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Planning" sheetId="3" state="visible" r:id="rId3"/>
    <sheet name="Tableau de bord" sheetId="4" state="visible" r:id="rId4"/>
    <sheet name="Suivi" sheetId="5" state="visible" r:id="rId5"/>
    <sheet name="Instructions" sheetId="6" state="visible" r:id="rId6"/>
    <sheet name="Paramètres" sheetId="7" state="visible" r:id="rId7"/>
    <sheet name="Tableau1" sheetId="8" state="hidden" r:id="rId8"/>
  </sheets>
  <definedNames>
    <definedName name="_xlnm._FilterDatabase" localSheetId="0" hidden="1">'Dossiers'!$B$3:$G$60</definedName>
    <definedName name="_xlnm._FilterDatabase" localSheetId="2" hidden="1">'Planning'!$A$3:$M$3183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5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  <font>
      <b val="1"/>
      <sz val="13"/>
    </font>
    <font>
      <b val="1"/>
      <sz val="10"/>
    </font>
    <font>
      <b val="1"/>
      <color rgb="00FFFFFF"/>
      <sz val="9"/>
    </font>
  </fonts>
  <fills count="25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C00000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00B0F0"/>
      </patternFill>
    </fill>
    <fill>
      <patternFill patternType="solid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22" fillId="0" borderId="0" pivotButton="0" quotePrefix="0" xfId="0"/>
    <xf numFmtId="0" fontId="23" fillId="0" borderId="0" pivotButton="0" quotePrefix="0" xfId="0"/>
    <xf numFmtId="166" fontId="0" fillId="23" borderId="0" pivotButton="0" quotePrefix="0" xfId="0"/>
    <xf numFmtId="0" fontId="24" fillId="5" borderId="0" applyAlignment="1" pivotButton="0" quotePrefix="0" xfId="0">
      <alignment horizontal="center"/>
    </xf>
    <xf numFmtId="166" fontId="0" fillId="24" borderId="0" pivotButton="0" quotePrefix="0" xfId="0"/>
    <xf numFmtId="0" fontId="24" fillId="5" borderId="0" pivotButton="0" quotePrefix="0" xfId="0"/>
  </cellXfs>
  <cellStyles count="1">
    <cellStyle name="Normal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/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D9D9D9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ED7D3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2F2F2"/>
        </patternFill>
      </fill>
    </dxf>
    <dxf>
      <font>
        <b val="1"/>
        <color rgb="009C0006"/>
      </font>
      <fill>
        <patternFill patternType="solid">
          <bgColor rgb="FFFFC7CE"/>
        </patternFill>
      </fill>
    </dxf>
    <dxf>
      <font>
        <i val="1"/>
        <strike val="1"/>
        <color rgb="0070AD47"/>
      </font>
    </dxf>
    <dxf>
      <font>
        <color rgb="00BFBFBF"/>
      </font>
    </dxf>
    <dxf>
      <font>
        <b val="1"/>
        <color rgb="00375623"/>
      </font>
      <fill>
        <patternFill patternType="solid">
          <bgColor rgb="FFE2EFDA"/>
        </patternFill>
      </fill>
    </dxf>
    <dxf>
      <font>
        <b val="1"/>
        <color rgb="009C0006"/>
      </font>
      <fill>
        <patternFill patternType="solid">
          <bgColor rgb="FFFFC7CE"/>
        </patternFill>
      </fill>
    </dxf>
    <dxf>
      <font>
        <b val="1"/>
        <color rgb="00C55A11"/>
      </font>
      <fill>
        <patternFill patternType="solid">
          <bgColor rgb="FFFFE6CC"/>
        </patternFill>
      </fill>
    </dxf>
    <dxf>
      <font>
        <b val="1"/>
        <color rgb="00375623"/>
      </font>
      <fill>
        <patternFill patternType="solid"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IFERROR(IF(ISNUMBER($A5),1,VALUE(LEFT(SUBSTITUTE(TEXT($A5,"@"),",","."),FIND(".",SUBSTITUTE(TEXT($A5,"@"),",",".")&amp;".0")-1))),"")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IFERROR(IF(ISNUMBER($A6),1,VALUE(LEFT(SUBSTITUTE(TEXT($A6,"@"),",","."),FIND(".",SUBSTITUTE(TEXT($A6,"@"),",",".")&amp;".0")-1))),"")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IFERROR(IF(ISNUMBER($A7),1,VALUE(LEFT(SUBSTITUTE(TEXT($A7,"@"),",","."),FIND(".",SUBSTITUTE(TEXT($A7,"@"),",",".")&amp;".0")-1))),"")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IFERROR(IF(ISNUMBER($A8),1,VALUE(LEFT(SUBSTITUTE(TEXT($A8,"@"),",","."),FIND(".",SUBSTITUTE(TEXT($A8,"@"),",",".")&amp;".0")-1))),"")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IFERROR(IF(ISNUMBER($A9),1,VALUE(LEFT(SUBSTITUTE(TEXT($A9,"@"),",","."),FIND(".",SUBSTITUTE(TEXT($A9,"@"),",",".")&amp;".0")-1))),"")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IFERROR(IF(ISNUMBER($A10),1,VALUE(LEFT(SUBSTITUTE(TEXT($A10,"@"),",","."),FIND(".",SUBSTITUTE(TEXT($A10,"@"),",",".")&amp;".0")-1))),"")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IFERROR(IF(ISNUMBER($A11),1,VALUE(LEFT(SUBSTITUTE(TEXT($A11,"@"),",","."),FIND(".",SUBSTITUTE(TEXT($A11,"@"),",",".")&amp;".0")-1))),"")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IFERROR(IF(ISNUMBER($A12),1,VALUE(LEFT(SUBSTITUTE(TEXT($A12,"@"),",","."),FIND(".",SUBSTITUTE(TEXT($A12,"@"),",",".")&amp;".0")-1))),"")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IFERROR(IF(ISNUMBER($A13),1,VALUE(LEFT(SUBSTITUTE(TEXT($A13,"@"),",","."),FIND(".",SUBSTITUTE(TEXT($A13,"@"),",",".")&amp;".0")-1))),"")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IFERROR(IF(ISNUMBER($A14),1,VALUE(LEFT(SUBSTITUTE(TEXT($A14,"@"),",","."),FIND(".",SUBSTITUTE(TEXT($A14,"@"),",",".")&amp;".0")-1))),"")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IFERROR(IF(ISNUMBER($A15),1,VALUE(LEFT(SUBSTITUTE(TEXT($A15,"@"),",","."),FIND(".",SUBSTITUTE(TEXT($A15,"@"),",",".")&amp;".0")-1))),"")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IFERROR(IF(ISNUMBER($A16),1,VALUE(LEFT(SUBSTITUTE(TEXT($A16,"@"),",","."),FIND(".",SUBSTITUTE(TEXT($A16,"@"),",",".")&amp;".0")-1))),"")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IFERROR(IF(ISNUMBER($A17),1,VALUE(LEFT(SUBSTITUTE(TEXT($A17,"@"),",","."),FIND(".",SUBSTITUTE(TEXT($A17,"@"),",",".")&amp;".0")-1))),"")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IFERROR(IF(ISNUMBER($A18),1,VALUE(LEFT(SUBSTITUTE(TEXT($A18,"@"),",","."),FIND(".",SUBSTITUTE(TEXT($A18,"@"),",",".")&amp;".0")-1))),"")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IFERROR(IF(ISNUMBER($A19),1,VALUE(LEFT(SUBSTITUTE(TEXT($A19,"@"),",","."),FIND(".",SUBSTITUTE(TEXT($A19,"@"),",",".")&amp;".0")-1))),"")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IFERROR(IF(ISNUMBER($A20),1,VALUE(LEFT(SUBSTITUTE(TEXT($A20,"@"),",","."),FIND(".",SUBSTITUTE(TEXT($A20,"@"),",",".")&amp;".0")-1))),"")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IFERROR(IF(ISNUMBER($A21),1,VALUE(LEFT(SUBSTITUTE(TEXT($A21,"@"),",","."),FIND(".",SUBSTITUTE(TEXT($A21,"@"),",",".")&amp;".0")-1))),"")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IFERROR(IF(ISNUMBER($A22),1,VALUE(LEFT(SUBSTITUTE(TEXT($A22,"@"),",","."),FIND(".",SUBSTITUTE(TEXT($A22,"@"),",",".")&amp;".0")-1))),"")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IFERROR(IF(ISNUMBER($A23),1,VALUE(LEFT(SUBSTITUTE(TEXT($A23,"@"),",","."),FIND(".",SUBSTITUTE(TEXT($A23,"@"),",",".")&amp;".0")-1))),"")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IFERROR(IF(ISNUMBER($A24),1,VALUE(LEFT(SUBSTITUTE(TEXT($A24,"@"),",","."),FIND(".",SUBSTITUTE(TEXT($A24,"@"),",",".")&amp;".0")-1))),"")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IFERROR(IF(ISNUMBER($A25),1,VALUE(LEFT(SUBSTITUTE(TEXT($A25,"@"),",","."),FIND(".",SUBSTITUTE(TEXT($A25,"@"),",",".")&amp;".0")-1))),"")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IFERROR(IF(ISNUMBER($A26),1,VALUE(LEFT(SUBSTITUTE(TEXT($A26,"@"),",","."),FIND(".",SUBSTITUTE(TEXT($A26,"@"),",",".")&amp;".0")-1))),"")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IFERROR(IF(ISNUMBER($A27),1,VALUE(LEFT(SUBSTITUTE(TEXT($A27,"@"),",","."),FIND(".",SUBSTITUTE(TEXT($A27,"@"),",",".")&amp;".0")-1))),"")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IFERROR(IF(ISNUMBER($A28),1,VALUE(LEFT(SUBSTITUTE(TEXT($A28,"@"),",","."),FIND(".",SUBSTITUTE(TEXT($A28,"@"),",",".")&amp;".0")-1))),"")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IFERROR(IF(ISNUMBER($A29),1,VALUE(LEFT(SUBSTITUTE(TEXT($A29,"@"),",","."),FIND(".",SUBSTITUTE(TEXT($A29,"@"),",",".")&amp;".0")-1))),"")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IFERROR(IF(ISNUMBER($A30),1,VALUE(LEFT(SUBSTITUTE(TEXT($A30,"@"),",","."),FIND(".",SUBSTITUTE(TEXT($A30,"@"),",",".")&amp;".0")-1))),"")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IFERROR(IF(ISNUMBER($A31),1,VALUE(LEFT(SUBSTITUTE(TEXT($A31,"@"),",","."),FIND(".",SUBSTITUTE(TEXT($A31,"@"),",",".")&amp;".0")-1))),"")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IFERROR(IF(ISNUMBER($A32),1,VALUE(LEFT(SUBSTITUTE(TEXT($A32,"@"),",","."),FIND(".",SUBSTITUTE(TEXT($A32,"@"),",",".")&amp;".0")-1))),"")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IFERROR(IF(ISNUMBER($A33),1,VALUE(LEFT(SUBSTITUTE(TEXT($A33,"@"),",","."),FIND(".",SUBSTITUTE(TEXT($A33,"@"),",",".")&amp;".0")-1))),"")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IFERROR(IF(ISNUMBER($A34),1,VALUE(LEFT(SUBSTITUTE(TEXT($A34,"@"),",","."),FIND(".",SUBSTITUTE(TEXT($A34,"@"),",",".")&amp;".0")-1))),"")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IFERROR(IF(ISNUMBER($A35),1,VALUE(LEFT(SUBSTITUTE(TEXT($A35,"@"),",","."),FIND(".",SUBSTITUTE(TEXT($A35,"@"),",",".")&amp;".0")-1))),"")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IFERROR(IF(ISNUMBER($A36),1,VALUE(LEFT(SUBSTITUTE(TEXT($A36,"@"),",","."),FIND(".",SUBSTITUTE(TEXT($A36,"@"),",",".")&amp;".0")-1))),"")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IFERROR(IF(ISNUMBER($A37),1,VALUE(LEFT(SUBSTITUTE(TEXT($A37,"@"),",","."),FIND(".",SUBSTITUTE(TEXT($A37,"@"),",",".")&amp;".0")-1))),"")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IFERROR(IF(ISNUMBER($A38),1,VALUE(LEFT(SUBSTITUTE(TEXT($A38,"@"),",","."),FIND(".",SUBSTITUTE(TEXT($A38,"@"),",",".")&amp;".0")-1))),"")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IFERROR(IF(ISNUMBER($A39),1,VALUE(LEFT(SUBSTITUTE(TEXT($A39,"@"),",","."),FIND(".",SUBSTITUTE(TEXT($A39,"@"),",",".")&amp;".0")-1))),"")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IFERROR(IF(ISNUMBER($A40),1,VALUE(LEFT(SUBSTITUTE(TEXT($A40,"@"),",","."),FIND(".",SUBSTITUTE(TEXT($A40,"@"),",",".")&amp;".0")-1))),"")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IFERROR(IF(ISNUMBER($A41),1,VALUE(LEFT(SUBSTITUTE(TEXT($A41,"@"),",","."),FIND(".",SUBSTITUTE(TEXT($A41,"@"),",",".")&amp;".0")-1))),"")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IFERROR(IF(ISNUMBER($A42),1,VALUE(LEFT(SUBSTITUTE(TEXT($A42,"@"),",","."),FIND(".",SUBSTITUTE(TEXT($A42,"@"),",",".")&amp;".0")-1))),"")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IFERROR(IF(ISNUMBER($A43),1,VALUE(LEFT(SUBSTITUTE(TEXT($A43,"@"),",","."),FIND(".",SUBSTITUTE(TEXT($A43,"@"),",",".")&amp;".0")-1))),"")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IFERROR(IF(ISNUMBER($A44),1,VALUE(LEFT(SUBSTITUTE(TEXT($A44,"@"),",","."),FIND(".",SUBSTITUTE(TEXT($A44,"@"),",",".")&amp;".0")-1))),"")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IFERROR(IF(ISNUMBER($A45),1,VALUE(LEFT(SUBSTITUTE(TEXT($A45,"@"),",","."),FIND(".",SUBSTITUTE(TEXT($A45,"@"),",",".")&amp;".0")-1))),"")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IFERROR(IF(ISNUMBER($A46),1,VALUE(LEFT(SUBSTITUTE(TEXT($A46,"@"),",","."),FIND(".",SUBSTITUTE(TEXT($A46,"@"),",",".")&amp;".0")-1))),"")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IFERROR(IF(ISNUMBER($A47),1,VALUE(LEFT(SUBSTITUTE(TEXT($A47,"@"),",","."),FIND(".",SUBSTITUTE(TEXT($A47,"@"),",",".")&amp;".0")-1))),"")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IFERROR(IF(ISNUMBER($A48),1,VALUE(LEFT(SUBSTITUTE(TEXT($A48,"@"),",","."),FIND(".",SUBSTITUTE(TEXT($A48,"@"),",",".")&amp;".0")-1))),"")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IFERROR(IF(ISNUMBER($A49),1,VALUE(LEFT(SUBSTITUTE(TEXT($A49,"@"),",","."),FIND(".",SUBSTITUTE(TEXT($A49,"@"),",",".")&amp;".0")-1))),"")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IFERROR(IF(ISNUMBER($A50),1,VALUE(LEFT(SUBSTITUTE(TEXT($A50,"@"),",","."),FIND(".",SUBSTITUTE(TEXT($A50,"@"),",",".")&amp;".0")-1))),"")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IFERROR(IF(ISNUMBER($A51),1,VALUE(LEFT(SUBSTITUTE(TEXT($A51,"@"),",","."),FIND(".",SUBSTITUTE(TEXT($A51,"@"),",",".")&amp;".0")-1))),"")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IFERROR(IF(ISNUMBER($A52),1,VALUE(LEFT(SUBSTITUTE(TEXT($A52,"@"),",","."),FIND(".",SUBSTITUTE(TEXT($A52,"@"),",",".")&amp;".0")-1))),"")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IFERROR(IF(ISNUMBER($A53),1,VALUE(LEFT(SUBSTITUTE(TEXT($A53,"@"),",","."),FIND(".",SUBSTITUTE(TEXT($A53,"@"),",",".")&amp;".0")-1))),"")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IFERROR(IF(ISNUMBER($A54),1,VALUE(LEFT(SUBSTITUTE(TEXT($A54,"@"),",","."),FIND(".",SUBSTITUTE(TEXT($A54,"@"),",",".")&amp;".0")-1))),"")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IFERROR(IF(ISNUMBER($A55),1,VALUE(LEFT(SUBSTITUTE(TEXT($A55,"@"),",","."),FIND(".",SUBSTITUTE(TEXT($A55,"@"),",",".")&amp;".0")-1))),"")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IFERROR(IF(ISNUMBER($A56),1,VALUE(LEFT(SUBSTITUTE(TEXT($A56,"@"),",","."),FIND(".",SUBSTITUTE(TEXT($A56,"@"),",",".")&amp;".0")-1))),"")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IFERROR(IF(ISNUMBER($A57),1,VALUE(LEFT(SUBSTITUTE(TEXT($A57,"@"),",","."),FIND(".",SUBSTITUTE(TEXT($A57,"@"),",",".")&amp;".0")-1))),"")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61" t="n"/>
      <c r="H61" s="49" t="inlineStr">
        <is>
          <t>Macro-étape (synthèse)</t>
        </is>
      </c>
    </row>
    <row r="62">
      <c r="G62" s="56" t="n"/>
      <c r="H62" s="49" t="inlineStr">
        <is>
          <t>1 · Demande de recrutement</t>
        </is>
      </c>
    </row>
    <row r="63">
      <c r="G63" s="57" t="n"/>
      <c r="H63" s="49" t="inlineStr">
        <is>
          <t>2 · Publicité</t>
        </is>
      </c>
    </row>
    <row r="64">
      <c r="G64" s="38" t="n"/>
      <c r="H64" s="49" t="inlineStr">
        <is>
          <t>3 · Choix candidats CS</t>
        </is>
      </c>
    </row>
    <row r="65">
      <c r="G65" s="58" t="n"/>
      <c r="H65" s="49" t="inlineStr">
        <is>
          <t>4 · Choix candidats Jury</t>
        </is>
      </c>
    </row>
    <row r="66">
      <c r="G66" s="59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36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19" stopIfTrue="1">
      <formula>AND($P5="Alerte retard",G$4&lt;=$F5,G$4&gt;=$E5)</formula>
    </cfRule>
    <cfRule type="expression" priority="2" dxfId="52" stopIfTrue="1">
      <formula>AND(ISNUMBER($E5),ISNUMBER($A5),G$4&gt;=$E5,G$4&lt;=$F5)</formula>
    </cfRule>
    <cfRule type="expression" priority="3" dxfId="41" stopIfTrue="1">
      <formula>AND(ISNUMBER($E5),$O5=1,G$4&gt;=$E5,G$4&lt;=$F5)</formula>
    </cfRule>
    <cfRule type="expression" priority="4" dxfId="42" stopIfTrue="1">
      <formula>AND(ISNUMBER($E5),$O5=2,G$4&gt;=$E5,G$4&lt;=$F5)</formula>
    </cfRule>
    <cfRule type="expression" priority="5" dxfId="18" stopIfTrue="1">
      <formula>AND(ISNUMBER($E5),$O5=3,G$4&gt;=$E5,G$4&lt;=$F5)</formula>
    </cfRule>
    <cfRule type="expression" priority="6" dxfId="44" stopIfTrue="1">
      <formula>AND(ISNUMBER($E5),$O5=4,G$4&gt;=$E5,G$4&lt;=$F5)</formula>
    </cfRule>
    <cfRule type="expression" priority="7" dxfId="45" stopIfTrue="1">
      <formula>AND(ISNUMBER($E5),$O5=5,G$4&gt;=$E5,G$4&lt;=$F5)</formula>
    </cfRule>
    <cfRule type="expression" priority="8" dxfId="20" stopIfTrue="1">
      <formula>AND(ISNUMBER($E5),$O5=6,G$4&gt;=$E5,G$4&lt;=$F5)</formula>
    </cfRule>
    <cfRule type="expression" priority="13" dxfId="19">
      <formula>AND(ISNUMBER($E$58),G$4=$E$58)</formula>
    </cfRule>
    <cfRule type="expression" priority="14" dxfId="20">
      <formula>AND(ISNUMBER($E$59),G$4=$E$59)</formula>
    </cfRule>
  </conditionalFormatting>
  <conditionalFormatting sqref="G3:EP59">
    <cfRule type="expression" priority="9" dxfId="40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19">
      <formula>AND(ISNUMBER($E$58),G$4=$E$58)</formula>
    </cfRule>
  </conditionalFormatting>
  <conditionalFormatting sqref="G59:EP59">
    <cfRule type="expression" priority="12" dxfId="20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18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9" customWidth="1" min="4" max="4"/>
    <col width="9" customWidth="1" min="5" max="5"/>
    <col width="13" customWidth="1" min="6" max="6"/>
    <col width="6" customWidth="1" min="7" max="7"/>
    <col width="2" customWidth="1" min="8" max="8"/>
    <col width="9" customWidth="1" min="9" max="9"/>
    <col width="13" customWidth="1" min="10" max="10"/>
    <col width="9" customWidth="1" min="11" max="11"/>
    <col width="10" customWidth="1" min="12" max="12"/>
    <col width="9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>
      <c r="A1" s="62" t="inlineStr">
        <is>
          <t>PLANNING GLISSANT — Tâches triées automatiquement par date de début</t>
        </is>
      </c>
    </row>
    <row r="2">
      <c r="A2" s="24" t="inlineStr">
        <is>
          <t>Tri automatique par date. Orange = échéance ≤ 7 jours. Rouge = retard. Cochez X en « Fait ? ».</t>
        </is>
      </c>
      <c r="C2" s="63" t="inlineStr">
        <is>
          <t>Date de référence :</t>
        </is>
      </c>
      <c r="D2" s="64">
        <f>TODAY()</f>
        <v/>
      </c>
      <c r="E2" s="63" t="inlineStr">
        <is>
          <t>Fin de période :</t>
        </is>
      </c>
      <c r="F2" s="64">
        <f>D2+30</f>
        <v/>
      </c>
      <c r="G2" s="63" t="inlineStr">
        <is>
          <t>Alerte ≤ :</t>
        </is>
      </c>
      <c r="H2" s="66">
        <f>D2+7</f>
        <v/>
      </c>
    </row>
    <row r="3">
      <c r="A3" s="65" t="inlineStr">
        <is>
          <t>Dossier</t>
        </is>
      </c>
      <c r="B3" s="65" t="inlineStr">
        <is>
          <t>ID</t>
        </is>
      </c>
      <c r="C3" s="65" t="inlineStr">
        <is>
          <t>Étape</t>
        </is>
      </c>
      <c r="D3" s="65" t="inlineStr">
        <is>
          <t>Début</t>
        </is>
      </c>
      <c r="E3" s="65" t="inlineStr">
        <is>
          <t>Fin</t>
        </is>
      </c>
      <c r="F3" s="65" t="inlineStr">
        <is>
          <t>Statut</t>
        </is>
      </c>
      <c r="G3" s="65" t="inlineStr">
        <is>
          <t>Fait ?</t>
        </is>
      </c>
      <c r="H3" s="65" t="inlineStr">
        <is>
          <t>Période</t>
        </is>
      </c>
      <c r="I3" s="65" t="inlineStr">
        <is>
          <t>Date Jury</t>
        </is>
      </c>
      <c r="J3" s="65" t="inlineStr">
        <is>
          <t>Échéance</t>
        </is>
      </c>
      <c r="K3" s="65" t="inlineStr">
        <is>
          <t>Retard</t>
        </is>
      </c>
      <c r="L3" s="65" t="inlineStr">
        <is>
          <t>Échéance</t>
        </is>
      </c>
      <c r="M3" s="67" t="inlineStr">
        <is>
          <t>Date CS</t>
        </is>
      </c>
    </row>
    <row r="4">
      <c r="A4">
        <f>IFERROR(INDEX($N$4:$N$3183,MATCH(SMALL($V$4:$V$3183,1),$V$4:$V$3183,0)),"")</f>
        <v/>
      </c>
      <c r="B4">
        <f>IFERROR(INDEX($O$4:$O$3183,MATCH(SMALL($V$4:$V$3183,1),$V$4:$V$3183,0)),"")</f>
        <v/>
      </c>
      <c r="C4">
        <f>IFERROR(INDEX($P$4:$P$3183,MATCH(SMALL($V$4:$V$3183,1),$V$4:$V$3183,0)),"")</f>
        <v/>
      </c>
      <c r="D4" s="29">
        <f>IFERROR(INDEX($Q$4:$Q$3183,MATCH(SMALL($V$4:$V$3183,1),$V$4:$V$3183,0)),"")</f>
        <v/>
      </c>
      <c r="E4" s="29">
        <f>IFERROR(INDEX($R$4:$R$3183,MATCH(SMALL($V$4:$V$3183,1),$V$4:$V$3183,0)),"")</f>
        <v/>
      </c>
      <c r="F4">
        <f>IFERROR(INDEX($S$4:$S$3183,MATCH(SMALL($V$4:$V$3183,1),$V$4:$V$3183,0)),"")</f>
        <v/>
      </c>
      <c r="I4" s="29">
        <f>IF($B4="","",IFERROR(INDEX($U$4:$U$3183,MATCH(SMALL($V$4:$V$3183,1),$V$4:$V$3183,0)),""))</f>
        <v/>
      </c>
      <c r="J4">
        <f>IF($B4="","",IF($D4&gt;$F$2,"À venir",IF($E4&lt;$D$2,"Passé","Dans la période")))</f>
        <v/>
      </c>
      <c r="K4">
        <f>IF(OR($B4="",NOT(ISNUMBER($D4))),"",IF(AND($E4&lt;$D$2,$G4&lt;&gt;"X",$F4&lt;&gt;"Réalisé",$F4&lt;&gt;"Clôturé"),"RETARD",""))</f>
        <v/>
      </c>
      <c r="L4">
        <f>IF(OR($B4="",NOT(ISNUMBER($D4))),"",IF(AND($D4&gt;=$D$2,$D4&lt;=$H$2,$G4&lt;&gt;"X",$F4&lt;&gt;"Réalisé",$F4&lt;&gt;"Clôturé"),"≤ 7 j",""))</f>
        <v/>
      </c>
      <c r="M4" s="29">
        <f>IF($B4="","",IFERROR(INDEX($T$4:$T$3183,MATCH(SMALL($V$4:$V$3183,1),$V$4:$V$3183,0)),""))</f>
        <v/>
      </c>
      <c r="O4">
        <f>IF(INDEX(Suivi!$B:$B,5)="","",INDEX(Suivi!$B:$B,5))</f>
        <v/>
      </c>
      <c r="P4">
        <f>IF($O4="","",IF(INDEX(Suivi!$D:$D,5)="",INDEX(Suivi!$C:$C,5),INDEX(Suivi!$D:$D,5)))</f>
        <v/>
      </c>
      <c r="Q4">
        <f>IF($O4="","",INDEX(Suivi!$E:$E,5))</f>
        <v/>
      </c>
      <c r="R4">
        <f>IF($O4="","",INDEX(Suivi!$F:$F,5))</f>
        <v/>
      </c>
      <c r="S4">
        <f>IF($O4="","",INDEX(Suivi!$G:$G,5))</f>
        <v/>
      </c>
      <c r="T4">
        <f>IF($O4="","",IF(INDEX(Dossiers!$F$4:$F$63,1)="","",INDEX(Dossiers!$F$4:$F$63,1)))</f>
        <v/>
      </c>
      <c r="U4">
        <f>IF($O4="","",IF(INDEX(Dossiers!$G$4:$G$63,1)="","",INDEX(Dossiers!$G$4:$G$63,1)))</f>
        <v/>
      </c>
      <c r="V4">
        <f>IF(OR($O4="",NOT(ISNUMBER($Q4))),"",$Q4*1000000+4)</f>
        <v/>
      </c>
      <c r="W4" s="29">
        <f>IF($B4="","",IFERROR(INDEX($U$4:$U$3183,MATCH(SMALL($V$4:$V$3183,1),$V$4:$V$3183,0)),""))</f>
        <v/>
      </c>
    </row>
    <row r="5">
      <c r="A5">
        <f>IFERROR(INDEX($N$4:$N$3183,MATCH(SMALL($V$4:$V$3183,2),$V$4:$V$3183,0)),"")</f>
        <v/>
      </c>
      <c r="B5">
        <f>IFERROR(INDEX($O$4:$O$3183,MATCH(SMALL($V$4:$V$3183,2),$V$4:$V$3183,0)),"")</f>
        <v/>
      </c>
      <c r="C5">
        <f>IFERROR(INDEX($P$4:$P$3183,MATCH(SMALL($V$4:$V$3183,2),$V$4:$V$3183,0)),"")</f>
        <v/>
      </c>
      <c r="D5" s="29">
        <f>IFERROR(INDEX($Q$4:$Q$3183,MATCH(SMALL($V$4:$V$3183,2),$V$4:$V$3183,0)),"")</f>
        <v/>
      </c>
      <c r="E5" s="29">
        <f>IFERROR(INDEX($R$4:$R$3183,MATCH(SMALL($V$4:$V$3183,2),$V$4:$V$3183,0)),"")</f>
        <v/>
      </c>
      <c r="F5">
        <f>IFERROR(INDEX($S$4:$S$3183,MATCH(SMALL($V$4:$V$3183,2),$V$4:$V$3183,0)),"")</f>
        <v/>
      </c>
      <c r="I5" s="29">
        <f>IF($B5="","",IFERROR(INDEX($U$4:$U$3183,MATCH(SMALL($V$4:$V$3183,2),$V$4:$V$3183,0)),""))</f>
        <v/>
      </c>
      <c r="J5">
        <f>IF($B5="","",IF($D5&gt;$F$2,"À venir",IF($E5&lt;$D$2,"Passé","Dans la période")))</f>
        <v/>
      </c>
      <c r="K5">
        <f>IF(OR($B5="",NOT(ISNUMBER($D5))),"",IF(AND($E5&lt;$D$2,$G5&lt;&gt;"X",$F5&lt;&gt;"Réalisé",$F5&lt;&gt;"Clôturé"),"RETARD",""))</f>
        <v/>
      </c>
      <c r="L5">
        <f>IF(OR($B5="",NOT(ISNUMBER($D5))),"",IF(AND($D5&gt;=$D$2,$D5&lt;=$H$2,$G5&lt;&gt;"X",$F5&lt;&gt;"Réalisé",$F5&lt;&gt;"Clôturé"),"≤ 7 j",""))</f>
        <v/>
      </c>
      <c r="M5" s="29">
        <f>IF($B5="","",IFERROR(INDEX($T$4:$T$3183,MATCH(SMALL($V$4:$V$3183,2),$V$4:$V$3183,0)),""))</f>
        <v/>
      </c>
      <c r="O5">
        <f>IF(INDEX(Suivi!$B:$B,6)="","",INDEX(Suivi!$B:$B,6))</f>
        <v/>
      </c>
      <c r="P5">
        <f>IF($O5="","",IF(INDEX(Suivi!$D:$D,6)="",INDEX(Suivi!$C:$C,6),INDEX(Suivi!$D:$D,6)))</f>
        <v/>
      </c>
      <c r="Q5">
        <f>IF($O5="","",INDEX(Suivi!$E:$E,6))</f>
        <v/>
      </c>
      <c r="R5">
        <f>IF($O5="","",INDEX(Suivi!$F:$F,6))</f>
        <v/>
      </c>
      <c r="S5">
        <f>IF($O5="","",INDEX(Suivi!$G:$G,6))</f>
        <v/>
      </c>
      <c r="T5">
        <f>IF($O5="","",IF(INDEX(Dossiers!$F$4:$F$63,1)="","",INDEX(Dossiers!$F$4:$F$63,1)))</f>
        <v/>
      </c>
      <c r="U5">
        <f>IF($O5="","",IF(INDEX(Dossiers!$G$4:$G$63,1)="","",INDEX(Dossiers!$G$4:$G$63,1)))</f>
        <v/>
      </c>
      <c r="V5">
        <f>IF(OR($O5="",NOT(ISNUMBER($Q5))),"",$Q5*1000000+5)</f>
        <v/>
      </c>
      <c r="W5" s="29">
        <f>IF($B5="","",IFERROR(INDEX($U$4:$U$3183,MATCH(SMALL($V$4:$V$3183,2),$V$4:$V$3183,0)),""))</f>
        <v/>
      </c>
    </row>
    <row r="6">
      <c r="A6">
        <f>IFERROR(INDEX($N$4:$N$3183,MATCH(SMALL($V$4:$V$3183,3),$V$4:$V$3183,0)),"")</f>
        <v/>
      </c>
      <c r="B6">
        <f>IFERROR(INDEX($O$4:$O$3183,MATCH(SMALL($V$4:$V$3183,3),$V$4:$V$3183,0)),"")</f>
        <v/>
      </c>
      <c r="C6">
        <f>IFERROR(INDEX($P$4:$P$3183,MATCH(SMALL($V$4:$V$3183,3),$V$4:$V$3183,0)),"")</f>
        <v/>
      </c>
      <c r="D6" s="29">
        <f>IFERROR(INDEX($Q$4:$Q$3183,MATCH(SMALL($V$4:$V$3183,3),$V$4:$V$3183,0)),"")</f>
        <v/>
      </c>
      <c r="E6" s="29">
        <f>IFERROR(INDEX($R$4:$R$3183,MATCH(SMALL($V$4:$V$3183,3),$V$4:$V$3183,0)),"")</f>
        <v/>
      </c>
      <c r="F6">
        <f>IFERROR(INDEX($S$4:$S$3183,MATCH(SMALL($V$4:$V$3183,3),$V$4:$V$3183,0)),"")</f>
        <v/>
      </c>
      <c r="I6" s="29">
        <f>IF($B6="","",IFERROR(INDEX($U$4:$U$3183,MATCH(SMALL($V$4:$V$3183,3),$V$4:$V$3183,0)),""))</f>
        <v/>
      </c>
      <c r="J6">
        <f>IF($B6="","",IF($D6&gt;$F$2,"À venir",IF($E6&lt;$D$2,"Passé","Dans la période")))</f>
        <v/>
      </c>
      <c r="K6">
        <f>IF(OR($B6="",NOT(ISNUMBER($D6))),"",IF(AND($E6&lt;$D$2,$G6&lt;&gt;"X",$F6&lt;&gt;"Réalisé",$F6&lt;&gt;"Clôturé"),"RETARD",""))</f>
        <v/>
      </c>
      <c r="L6">
        <f>IF(OR($B6="",NOT(ISNUMBER($D6))),"",IF(AND($D6&gt;=$D$2,$D6&lt;=$H$2,$G6&lt;&gt;"X",$F6&lt;&gt;"Réalisé",$F6&lt;&gt;"Clôturé"),"≤ 7 j",""))</f>
        <v/>
      </c>
      <c r="M6" s="29">
        <f>IF($B6="","",IFERROR(INDEX($T$4:$T$3183,MATCH(SMALL($V$4:$V$3183,3),$V$4:$V$3183,0)),""))</f>
        <v/>
      </c>
      <c r="O6">
        <f>IF(INDEX(Suivi!$B:$B,7)="","",INDEX(Suivi!$B:$B,7))</f>
        <v/>
      </c>
      <c r="P6">
        <f>IF($O6="","",IF(INDEX(Suivi!$D:$D,7)="",INDEX(Suivi!$C:$C,7),INDEX(Suivi!$D:$D,7)))</f>
        <v/>
      </c>
      <c r="Q6">
        <f>IF($O6="","",INDEX(Suivi!$E:$E,7))</f>
        <v/>
      </c>
      <c r="R6">
        <f>IF($O6="","",INDEX(Suivi!$F:$F,7))</f>
        <v/>
      </c>
      <c r="S6">
        <f>IF($O6="","",INDEX(Suivi!$G:$G,7))</f>
        <v/>
      </c>
      <c r="T6">
        <f>IF($O6="","",IF(INDEX(Dossiers!$F$4:$F$63,1)="","",INDEX(Dossiers!$F$4:$F$63,1)))</f>
        <v/>
      </c>
      <c r="U6">
        <f>IF($O6="","",IF(INDEX(Dossiers!$G$4:$G$63,1)="","",INDEX(Dossiers!$G$4:$G$63,1)))</f>
        <v/>
      </c>
      <c r="V6">
        <f>IF(OR($O6="",NOT(ISNUMBER($Q6))),"",$Q6*1000000+6)</f>
        <v/>
      </c>
      <c r="W6" s="29">
        <f>IF($B6="","",IFERROR(INDEX($U$4:$U$3183,MATCH(SMALL($V$4:$V$3183,3),$V$4:$V$3183,0)),""))</f>
        <v/>
      </c>
    </row>
    <row r="7">
      <c r="A7">
        <f>IFERROR(INDEX($N$4:$N$3183,MATCH(SMALL($V$4:$V$3183,4),$V$4:$V$3183,0)),"")</f>
        <v/>
      </c>
      <c r="B7">
        <f>IFERROR(INDEX($O$4:$O$3183,MATCH(SMALL($V$4:$V$3183,4),$V$4:$V$3183,0)),"")</f>
        <v/>
      </c>
      <c r="C7">
        <f>IFERROR(INDEX($P$4:$P$3183,MATCH(SMALL($V$4:$V$3183,4),$V$4:$V$3183,0)),"")</f>
        <v/>
      </c>
      <c r="D7" s="29">
        <f>IFERROR(INDEX($Q$4:$Q$3183,MATCH(SMALL($V$4:$V$3183,4),$V$4:$V$3183,0)),"")</f>
        <v/>
      </c>
      <c r="E7" s="29">
        <f>IFERROR(INDEX($R$4:$R$3183,MATCH(SMALL($V$4:$V$3183,4),$V$4:$V$3183,0)),"")</f>
        <v/>
      </c>
      <c r="F7">
        <f>IFERROR(INDEX($S$4:$S$3183,MATCH(SMALL($V$4:$V$3183,4),$V$4:$V$3183,0)),"")</f>
        <v/>
      </c>
      <c r="I7" s="29">
        <f>IF($B7="","",IFERROR(INDEX($U$4:$U$3183,MATCH(SMALL($V$4:$V$3183,4),$V$4:$V$3183,0)),""))</f>
        <v/>
      </c>
      <c r="J7">
        <f>IF($B7="","",IF($D7&gt;$F$2,"À venir",IF($E7&lt;$D$2,"Passé","Dans la période")))</f>
        <v/>
      </c>
      <c r="K7">
        <f>IF(OR($B7="",NOT(ISNUMBER($D7))),"",IF(AND($E7&lt;$D$2,$G7&lt;&gt;"X",$F7&lt;&gt;"Réalisé",$F7&lt;&gt;"Clôturé"),"RETARD",""))</f>
        <v/>
      </c>
      <c r="L7">
        <f>IF(OR($B7="",NOT(ISNUMBER($D7))),"",IF(AND($D7&gt;=$D$2,$D7&lt;=$H$2,$G7&lt;&gt;"X",$F7&lt;&gt;"Réalisé",$F7&lt;&gt;"Clôturé"),"≤ 7 j",""))</f>
        <v/>
      </c>
      <c r="M7" s="29">
        <f>IF($B7="","",IFERROR(INDEX($T$4:$T$3183,MATCH(SMALL($V$4:$V$3183,4),$V$4:$V$3183,0)),""))</f>
        <v/>
      </c>
      <c r="O7">
        <f>IF(INDEX(Suivi!$B:$B,8)="","",INDEX(Suivi!$B:$B,8))</f>
        <v/>
      </c>
      <c r="P7">
        <f>IF($O7="","",IF(INDEX(Suivi!$D:$D,8)="",INDEX(Suivi!$C:$C,8),INDEX(Suivi!$D:$D,8)))</f>
        <v/>
      </c>
      <c r="Q7">
        <f>IF($O7="","",INDEX(Suivi!$E:$E,8))</f>
        <v/>
      </c>
      <c r="R7">
        <f>IF($O7="","",INDEX(Suivi!$F:$F,8))</f>
        <v/>
      </c>
      <c r="S7">
        <f>IF($O7="","",INDEX(Suivi!$G:$G,8))</f>
        <v/>
      </c>
      <c r="T7">
        <f>IF($O7="","",IF(INDEX(Dossiers!$F$4:$F$63,1)="","",INDEX(Dossiers!$F$4:$F$63,1)))</f>
        <v/>
      </c>
      <c r="U7">
        <f>IF($O7="","",IF(INDEX(Dossiers!$G$4:$G$63,1)="","",INDEX(Dossiers!$G$4:$G$63,1)))</f>
        <v/>
      </c>
      <c r="V7">
        <f>IF(OR($O7="",NOT(ISNUMBER($Q7))),"",$Q7*1000000+7)</f>
        <v/>
      </c>
      <c r="W7" s="29">
        <f>IF($B7="","",IFERROR(INDEX($U$4:$U$3183,MATCH(SMALL($V$4:$V$3183,4),$V$4:$V$3183,0)),""))</f>
        <v/>
      </c>
    </row>
    <row r="8">
      <c r="A8">
        <f>IFERROR(INDEX($N$4:$N$3183,MATCH(SMALL($V$4:$V$3183,5),$V$4:$V$3183,0)),"")</f>
        <v/>
      </c>
      <c r="B8">
        <f>IFERROR(INDEX($O$4:$O$3183,MATCH(SMALL($V$4:$V$3183,5),$V$4:$V$3183,0)),"")</f>
        <v/>
      </c>
      <c r="C8">
        <f>IFERROR(INDEX($P$4:$P$3183,MATCH(SMALL($V$4:$V$3183,5),$V$4:$V$3183,0)),"")</f>
        <v/>
      </c>
      <c r="D8" s="29">
        <f>IFERROR(INDEX($Q$4:$Q$3183,MATCH(SMALL($V$4:$V$3183,5),$V$4:$V$3183,0)),"")</f>
        <v/>
      </c>
      <c r="E8" s="29">
        <f>IFERROR(INDEX($R$4:$R$3183,MATCH(SMALL($V$4:$V$3183,5),$V$4:$V$3183,0)),"")</f>
        <v/>
      </c>
      <c r="F8">
        <f>IFERROR(INDEX($S$4:$S$3183,MATCH(SMALL($V$4:$V$3183,5),$V$4:$V$3183,0)),"")</f>
        <v/>
      </c>
      <c r="I8" s="29">
        <f>IF($B8="","",IFERROR(INDEX($U$4:$U$3183,MATCH(SMALL($V$4:$V$3183,5),$V$4:$V$3183,0)),""))</f>
        <v/>
      </c>
      <c r="J8">
        <f>IF($B8="","",IF($D8&gt;$F$2,"À venir",IF($E8&lt;$D$2,"Passé","Dans la période")))</f>
        <v/>
      </c>
      <c r="K8">
        <f>IF(OR($B8="",NOT(ISNUMBER($D8))),"",IF(AND($E8&lt;$D$2,$G8&lt;&gt;"X",$F8&lt;&gt;"Réalisé",$F8&lt;&gt;"Clôturé"),"RETARD",""))</f>
        <v/>
      </c>
      <c r="L8">
        <f>IF(OR($B8="",NOT(ISNUMBER($D8))),"",IF(AND($D8&gt;=$D$2,$D8&lt;=$H$2,$G8&lt;&gt;"X",$F8&lt;&gt;"Réalisé",$F8&lt;&gt;"Clôturé"),"≤ 7 j",""))</f>
        <v/>
      </c>
      <c r="M8" s="29">
        <f>IF($B8="","",IFERROR(INDEX($T$4:$T$3183,MATCH(SMALL($V$4:$V$3183,5),$V$4:$V$3183,0)),""))</f>
        <v/>
      </c>
      <c r="O8">
        <f>IF(INDEX(Suivi!$B:$B,9)="","",INDEX(Suivi!$B:$B,9))</f>
        <v/>
      </c>
      <c r="P8">
        <f>IF($O8="","",IF(INDEX(Suivi!$D:$D,9)="",INDEX(Suivi!$C:$C,9),INDEX(Suivi!$D:$D,9)))</f>
        <v/>
      </c>
      <c r="Q8">
        <f>IF($O8="","",INDEX(Suivi!$E:$E,9))</f>
        <v/>
      </c>
      <c r="R8">
        <f>IF($O8="","",INDEX(Suivi!$F:$F,9))</f>
        <v/>
      </c>
      <c r="S8">
        <f>IF($O8="","",INDEX(Suivi!$G:$G,9))</f>
        <v/>
      </c>
      <c r="T8">
        <f>IF($O8="","",IF(INDEX(Dossiers!$F$4:$F$63,1)="","",INDEX(Dossiers!$F$4:$F$63,1)))</f>
        <v/>
      </c>
      <c r="U8">
        <f>IF($O8="","",IF(INDEX(Dossiers!$G$4:$G$63,1)="","",INDEX(Dossiers!$G$4:$G$63,1)))</f>
        <v/>
      </c>
      <c r="V8">
        <f>IF(OR($O8="",NOT(ISNUMBER($Q8))),"",$Q8*1000000+8)</f>
        <v/>
      </c>
      <c r="W8" s="29">
        <f>IF($B8="","",IFERROR(INDEX($U$4:$U$3183,MATCH(SMALL($V$4:$V$3183,5),$V$4:$V$3183,0)),""))</f>
        <v/>
      </c>
    </row>
    <row r="9">
      <c r="A9">
        <f>IFERROR(INDEX($N$4:$N$3183,MATCH(SMALL($V$4:$V$3183,6),$V$4:$V$3183,0)),"")</f>
        <v/>
      </c>
      <c r="B9">
        <f>IFERROR(INDEX($O$4:$O$3183,MATCH(SMALL($V$4:$V$3183,6),$V$4:$V$3183,0)),"")</f>
        <v/>
      </c>
      <c r="C9">
        <f>IFERROR(INDEX($P$4:$P$3183,MATCH(SMALL($V$4:$V$3183,6),$V$4:$V$3183,0)),"")</f>
        <v/>
      </c>
      <c r="D9" s="29">
        <f>IFERROR(INDEX($Q$4:$Q$3183,MATCH(SMALL($V$4:$V$3183,6),$V$4:$V$3183,0)),"")</f>
        <v/>
      </c>
      <c r="E9" s="29">
        <f>IFERROR(INDEX($R$4:$R$3183,MATCH(SMALL($V$4:$V$3183,6),$V$4:$V$3183,0)),"")</f>
        <v/>
      </c>
      <c r="F9">
        <f>IFERROR(INDEX($S$4:$S$3183,MATCH(SMALL($V$4:$V$3183,6),$V$4:$V$3183,0)),"")</f>
        <v/>
      </c>
      <c r="I9" s="29">
        <f>IF($B9="","",IFERROR(INDEX($U$4:$U$3183,MATCH(SMALL($V$4:$V$3183,6),$V$4:$V$3183,0)),""))</f>
        <v/>
      </c>
      <c r="J9">
        <f>IF($B9="","",IF($D9&gt;$F$2,"À venir",IF($E9&lt;$D$2,"Passé","Dans la période")))</f>
        <v/>
      </c>
      <c r="K9">
        <f>IF(OR($B9="",NOT(ISNUMBER($D9))),"",IF(AND($E9&lt;$D$2,$G9&lt;&gt;"X",$F9&lt;&gt;"Réalisé",$F9&lt;&gt;"Clôturé"),"RETARD",""))</f>
        <v/>
      </c>
      <c r="L9">
        <f>IF(OR($B9="",NOT(ISNUMBER($D9))),"",IF(AND($D9&gt;=$D$2,$D9&lt;=$H$2,$G9&lt;&gt;"X",$F9&lt;&gt;"Réalisé",$F9&lt;&gt;"Clôturé"),"≤ 7 j",""))</f>
        <v/>
      </c>
      <c r="M9" s="29">
        <f>IF($B9="","",IFERROR(INDEX($T$4:$T$3183,MATCH(SMALL($V$4:$V$3183,6),$V$4:$V$3183,0)),""))</f>
        <v/>
      </c>
      <c r="O9">
        <f>IF(INDEX(Suivi!$B:$B,10)="","",INDEX(Suivi!$B:$B,10))</f>
        <v/>
      </c>
      <c r="P9">
        <f>IF($O9="","",IF(INDEX(Suivi!$D:$D,10)="",INDEX(Suivi!$C:$C,10),INDEX(Suivi!$D:$D,10)))</f>
        <v/>
      </c>
      <c r="Q9">
        <f>IF($O9="","",INDEX(Suivi!$E:$E,10))</f>
        <v/>
      </c>
      <c r="R9">
        <f>IF($O9="","",INDEX(Suivi!$F:$F,10))</f>
        <v/>
      </c>
      <c r="S9">
        <f>IF($O9="","",INDEX(Suivi!$G:$G,10))</f>
        <v/>
      </c>
      <c r="T9">
        <f>IF($O9="","",IF(INDEX(Dossiers!$F$4:$F$63,1)="","",INDEX(Dossiers!$F$4:$F$63,1)))</f>
        <v/>
      </c>
      <c r="U9">
        <f>IF($O9="","",IF(INDEX(Dossiers!$G$4:$G$63,1)="","",INDEX(Dossiers!$G$4:$G$63,1)))</f>
        <v/>
      </c>
      <c r="V9">
        <f>IF(OR($O9="",NOT(ISNUMBER($Q9))),"",$Q9*1000000+9)</f>
        <v/>
      </c>
      <c r="W9" s="29">
        <f>IF($B9="","",IFERROR(INDEX($U$4:$U$3183,MATCH(SMALL($V$4:$V$3183,6),$V$4:$V$3183,0)),""))</f>
        <v/>
      </c>
    </row>
    <row r="10">
      <c r="A10">
        <f>IFERROR(INDEX($N$4:$N$3183,MATCH(SMALL($V$4:$V$3183,7),$V$4:$V$3183,0)),"")</f>
        <v/>
      </c>
      <c r="B10">
        <f>IFERROR(INDEX($O$4:$O$3183,MATCH(SMALL($V$4:$V$3183,7),$V$4:$V$3183,0)),"")</f>
        <v/>
      </c>
      <c r="C10">
        <f>IFERROR(INDEX($P$4:$P$3183,MATCH(SMALL($V$4:$V$3183,7),$V$4:$V$3183,0)),"")</f>
        <v/>
      </c>
      <c r="D10" s="29">
        <f>IFERROR(INDEX($Q$4:$Q$3183,MATCH(SMALL($V$4:$V$3183,7),$V$4:$V$3183,0)),"")</f>
        <v/>
      </c>
      <c r="E10" s="29">
        <f>IFERROR(INDEX($R$4:$R$3183,MATCH(SMALL($V$4:$V$3183,7),$V$4:$V$3183,0)),"")</f>
        <v/>
      </c>
      <c r="F10">
        <f>IFERROR(INDEX($S$4:$S$3183,MATCH(SMALL($V$4:$V$3183,7),$V$4:$V$3183,0)),"")</f>
        <v/>
      </c>
      <c r="I10" s="29">
        <f>IF($B10="","",IFERROR(INDEX($U$4:$U$3183,MATCH(SMALL($V$4:$V$3183,7),$V$4:$V$3183,0)),""))</f>
        <v/>
      </c>
      <c r="J10">
        <f>IF($B10="","",IF($D10&gt;$F$2,"À venir",IF($E10&lt;$D$2,"Passé","Dans la période")))</f>
        <v/>
      </c>
      <c r="K10">
        <f>IF(OR($B10="",NOT(ISNUMBER($D10))),"",IF(AND($E10&lt;$D$2,$G10&lt;&gt;"X",$F10&lt;&gt;"Réalisé",$F10&lt;&gt;"Clôturé"),"RETARD",""))</f>
        <v/>
      </c>
      <c r="L10">
        <f>IF(OR($B10="",NOT(ISNUMBER($D10))),"",IF(AND($D10&gt;=$D$2,$D10&lt;=$H$2,$G10&lt;&gt;"X",$F10&lt;&gt;"Réalisé",$F10&lt;&gt;"Clôturé"),"≤ 7 j",""))</f>
        <v/>
      </c>
      <c r="M10" s="29">
        <f>IF($B10="","",IFERROR(INDEX($T$4:$T$3183,MATCH(SMALL($V$4:$V$3183,7),$V$4:$V$3183,0)),""))</f>
        <v/>
      </c>
      <c r="O10">
        <f>IF(INDEX(Suivi!$B:$B,11)="","",INDEX(Suivi!$B:$B,11))</f>
        <v/>
      </c>
      <c r="P10">
        <f>IF($O10="","",IF(INDEX(Suivi!$D:$D,11)="",INDEX(Suivi!$C:$C,11),INDEX(Suivi!$D:$D,11)))</f>
        <v/>
      </c>
      <c r="Q10">
        <f>IF($O10="","",INDEX(Suivi!$E:$E,11))</f>
        <v/>
      </c>
      <c r="R10">
        <f>IF($O10="","",INDEX(Suivi!$F:$F,11))</f>
        <v/>
      </c>
      <c r="S10">
        <f>IF($O10="","",INDEX(Suivi!$G:$G,11))</f>
        <v/>
      </c>
      <c r="T10">
        <f>IF($O10="","",IF(INDEX(Dossiers!$F$4:$F$63,1)="","",INDEX(Dossiers!$F$4:$F$63,1)))</f>
        <v/>
      </c>
      <c r="U10">
        <f>IF($O10="","",IF(INDEX(Dossiers!$G$4:$G$63,1)="","",INDEX(Dossiers!$G$4:$G$63,1)))</f>
        <v/>
      </c>
      <c r="V10">
        <f>IF(OR($O10="",NOT(ISNUMBER($Q10))),"",$Q10*1000000+10)</f>
        <v/>
      </c>
      <c r="W10" s="29">
        <f>IF($B10="","",IFERROR(INDEX($U$4:$U$3183,MATCH(SMALL($V$4:$V$3183,7),$V$4:$V$3183,0)),""))</f>
        <v/>
      </c>
    </row>
    <row r="11">
      <c r="A11">
        <f>IFERROR(INDEX($N$4:$N$3183,MATCH(SMALL($V$4:$V$3183,8),$V$4:$V$3183,0)),"")</f>
        <v/>
      </c>
      <c r="B11">
        <f>IFERROR(INDEX($O$4:$O$3183,MATCH(SMALL($V$4:$V$3183,8),$V$4:$V$3183,0)),"")</f>
        <v/>
      </c>
      <c r="C11">
        <f>IFERROR(INDEX($P$4:$P$3183,MATCH(SMALL($V$4:$V$3183,8),$V$4:$V$3183,0)),"")</f>
        <v/>
      </c>
      <c r="D11" s="29">
        <f>IFERROR(INDEX($Q$4:$Q$3183,MATCH(SMALL($V$4:$V$3183,8),$V$4:$V$3183,0)),"")</f>
        <v/>
      </c>
      <c r="E11" s="29">
        <f>IFERROR(INDEX($R$4:$R$3183,MATCH(SMALL($V$4:$V$3183,8),$V$4:$V$3183,0)),"")</f>
        <v/>
      </c>
      <c r="F11">
        <f>IFERROR(INDEX($S$4:$S$3183,MATCH(SMALL($V$4:$V$3183,8),$V$4:$V$3183,0)),"")</f>
        <v/>
      </c>
      <c r="I11" s="29">
        <f>IF($B11="","",IFERROR(INDEX($U$4:$U$3183,MATCH(SMALL($V$4:$V$3183,8),$V$4:$V$3183,0)),""))</f>
        <v/>
      </c>
      <c r="J11">
        <f>IF($B11="","",IF($D11&gt;$F$2,"À venir",IF($E11&lt;$D$2,"Passé","Dans la période")))</f>
        <v/>
      </c>
      <c r="K11">
        <f>IF(OR($B11="",NOT(ISNUMBER($D11))),"",IF(AND($E11&lt;$D$2,$G11&lt;&gt;"X",$F11&lt;&gt;"Réalisé",$F11&lt;&gt;"Clôturé"),"RETARD",""))</f>
        <v/>
      </c>
      <c r="L11">
        <f>IF(OR($B11="",NOT(ISNUMBER($D11))),"",IF(AND($D11&gt;=$D$2,$D11&lt;=$H$2,$G11&lt;&gt;"X",$F11&lt;&gt;"Réalisé",$F11&lt;&gt;"Clôturé"),"≤ 7 j",""))</f>
        <v/>
      </c>
      <c r="M11" s="29">
        <f>IF($B11="","",IFERROR(INDEX($T$4:$T$3183,MATCH(SMALL($V$4:$V$3183,8),$V$4:$V$3183,0)),""))</f>
        <v/>
      </c>
      <c r="O11">
        <f>IF(INDEX(Suivi!$B:$B,12)="","",INDEX(Suivi!$B:$B,12))</f>
        <v/>
      </c>
      <c r="P11">
        <f>IF($O11="","",IF(INDEX(Suivi!$D:$D,12)="",INDEX(Suivi!$C:$C,12),INDEX(Suivi!$D:$D,12)))</f>
        <v/>
      </c>
      <c r="Q11">
        <f>IF($O11="","",INDEX(Suivi!$E:$E,12))</f>
        <v/>
      </c>
      <c r="R11">
        <f>IF($O11="","",INDEX(Suivi!$F:$F,12))</f>
        <v/>
      </c>
      <c r="S11">
        <f>IF($O11="","",INDEX(Suivi!$G:$G,12))</f>
        <v/>
      </c>
      <c r="T11">
        <f>IF($O11="","",IF(INDEX(Dossiers!$F$4:$F$63,1)="","",INDEX(Dossiers!$F$4:$F$63,1)))</f>
        <v/>
      </c>
      <c r="U11">
        <f>IF($O11="","",IF(INDEX(Dossiers!$G$4:$G$63,1)="","",INDEX(Dossiers!$G$4:$G$63,1)))</f>
        <v/>
      </c>
      <c r="V11">
        <f>IF(OR($O11="",NOT(ISNUMBER($Q11))),"",$Q11*1000000+11)</f>
        <v/>
      </c>
      <c r="W11" s="29">
        <f>IF($B11="","",IFERROR(INDEX($U$4:$U$3183,MATCH(SMALL($V$4:$V$3183,8),$V$4:$V$3183,0)),""))</f>
        <v/>
      </c>
    </row>
    <row r="12">
      <c r="A12">
        <f>IFERROR(INDEX($N$4:$N$3183,MATCH(SMALL($V$4:$V$3183,9),$V$4:$V$3183,0)),"")</f>
        <v/>
      </c>
      <c r="B12">
        <f>IFERROR(INDEX($O$4:$O$3183,MATCH(SMALL($V$4:$V$3183,9),$V$4:$V$3183,0)),"")</f>
        <v/>
      </c>
      <c r="C12">
        <f>IFERROR(INDEX($P$4:$P$3183,MATCH(SMALL($V$4:$V$3183,9),$V$4:$V$3183,0)),"")</f>
        <v/>
      </c>
      <c r="D12" s="29">
        <f>IFERROR(INDEX($Q$4:$Q$3183,MATCH(SMALL($V$4:$V$3183,9),$V$4:$V$3183,0)),"")</f>
        <v/>
      </c>
      <c r="E12" s="29">
        <f>IFERROR(INDEX($R$4:$R$3183,MATCH(SMALL($V$4:$V$3183,9),$V$4:$V$3183,0)),"")</f>
        <v/>
      </c>
      <c r="F12">
        <f>IFERROR(INDEX($S$4:$S$3183,MATCH(SMALL($V$4:$V$3183,9),$V$4:$V$3183,0)),"")</f>
        <v/>
      </c>
      <c r="I12" s="29">
        <f>IF($B12="","",IFERROR(INDEX($U$4:$U$3183,MATCH(SMALL($V$4:$V$3183,9),$V$4:$V$3183,0)),""))</f>
        <v/>
      </c>
      <c r="J12">
        <f>IF($B12="","",IF($D12&gt;$F$2,"À venir",IF($E12&lt;$D$2,"Passé","Dans la période")))</f>
        <v/>
      </c>
      <c r="K12">
        <f>IF(OR($B12="",NOT(ISNUMBER($D12))),"",IF(AND($E12&lt;$D$2,$G12&lt;&gt;"X",$F12&lt;&gt;"Réalisé",$F12&lt;&gt;"Clôturé"),"RETARD",""))</f>
        <v/>
      </c>
      <c r="L12">
        <f>IF(OR($B12="",NOT(ISNUMBER($D12))),"",IF(AND($D12&gt;=$D$2,$D12&lt;=$H$2,$G12&lt;&gt;"X",$F12&lt;&gt;"Réalisé",$F12&lt;&gt;"Clôturé"),"≤ 7 j",""))</f>
        <v/>
      </c>
      <c r="M12" s="29">
        <f>IF($B12="","",IFERROR(INDEX($T$4:$T$3183,MATCH(SMALL($V$4:$V$3183,9),$V$4:$V$3183,0)),""))</f>
        <v/>
      </c>
      <c r="O12">
        <f>IF(INDEX(Suivi!$B:$B,13)="","",INDEX(Suivi!$B:$B,13))</f>
        <v/>
      </c>
      <c r="P12">
        <f>IF($O12="","",IF(INDEX(Suivi!$D:$D,13)="",INDEX(Suivi!$C:$C,13),INDEX(Suivi!$D:$D,13)))</f>
        <v/>
      </c>
      <c r="Q12">
        <f>IF($O12="","",INDEX(Suivi!$E:$E,13))</f>
        <v/>
      </c>
      <c r="R12">
        <f>IF($O12="","",INDEX(Suivi!$F:$F,13))</f>
        <v/>
      </c>
      <c r="S12">
        <f>IF($O12="","",INDEX(Suivi!$G:$G,13))</f>
        <v/>
      </c>
      <c r="T12">
        <f>IF($O12="","",IF(INDEX(Dossiers!$F$4:$F$63,1)="","",INDEX(Dossiers!$F$4:$F$63,1)))</f>
        <v/>
      </c>
      <c r="U12">
        <f>IF($O12="","",IF(INDEX(Dossiers!$G$4:$G$63,1)="","",INDEX(Dossiers!$G$4:$G$63,1)))</f>
        <v/>
      </c>
      <c r="V12">
        <f>IF(OR($O12="",NOT(ISNUMBER($Q12))),"",$Q12*1000000+12)</f>
        <v/>
      </c>
      <c r="W12" s="29">
        <f>IF($B12="","",IFERROR(INDEX($U$4:$U$3183,MATCH(SMALL($V$4:$V$3183,9),$V$4:$V$3183,0)),""))</f>
        <v/>
      </c>
    </row>
    <row r="13">
      <c r="A13">
        <f>IFERROR(INDEX($N$4:$N$3183,MATCH(SMALL($V$4:$V$3183,10),$V$4:$V$3183,0)),"")</f>
        <v/>
      </c>
      <c r="B13">
        <f>IFERROR(INDEX($O$4:$O$3183,MATCH(SMALL($V$4:$V$3183,10),$V$4:$V$3183,0)),"")</f>
        <v/>
      </c>
      <c r="C13">
        <f>IFERROR(INDEX($P$4:$P$3183,MATCH(SMALL($V$4:$V$3183,10),$V$4:$V$3183,0)),"")</f>
        <v/>
      </c>
      <c r="D13" s="29">
        <f>IFERROR(INDEX($Q$4:$Q$3183,MATCH(SMALL($V$4:$V$3183,10),$V$4:$V$3183,0)),"")</f>
        <v/>
      </c>
      <c r="E13" s="29">
        <f>IFERROR(INDEX($R$4:$R$3183,MATCH(SMALL($V$4:$V$3183,10),$V$4:$V$3183,0)),"")</f>
        <v/>
      </c>
      <c r="F13">
        <f>IFERROR(INDEX($S$4:$S$3183,MATCH(SMALL($V$4:$V$3183,10),$V$4:$V$3183,0)),"")</f>
        <v/>
      </c>
      <c r="I13" s="29">
        <f>IF($B13="","",IFERROR(INDEX($U$4:$U$3183,MATCH(SMALL($V$4:$V$3183,10),$V$4:$V$3183,0)),""))</f>
        <v/>
      </c>
      <c r="J13">
        <f>IF($B13="","",IF($D13&gt;$F$2,"À venir",IF($E13&lt;$D$2,"Passé","Dans la période")))</f>
        <v/>
      </c>
      <c r="K13">
        <f>IF(OR($B13="",NOT(ISNUMBER($D13))),"",IF(AND($E13&lt;$D$2,$G13&lt;&gt;"X",$F13&lt;&gt;"Réalisé",$F13&lt;&gt;"Clôturé"),"RETARD",""))</f>
        <v/>
      </c>
      <c r="L13">
        <f>IF(OR($B13="",NOT(ISNUMBER($D13))),"",IF(AND($D13&gt;=$D$2,$D13&lt;=$H$2,$G13&lt;&gt;"X",$F13&lt;&gt;"Réalisé",$F13&lt;&gt;"Clôturé"),"≤ 7 j",""))</f>
        <v/>
      </c>
      <c r="M13" s="29">
        <f>IF($B13="","",IFERROR(INDEX($T$4:$T$3183,MATCH(SMALL($V$4:$V$3183,10),$V$4:$V$3183,0)),""))</f>
        <v/>
      </c>
      <c r="O13">
        <f>IF(INDEX(Suivi!$B:$B,14)="","",INDEX(Suivi!$B:$B,14))</f>
        <v/>
      </c>
      <c r="P13">
        <f>IF($O13="","",IF(INDEX(Suivi!$D:$D,14)="",INDEX(Suivi!$C:$C,14),INDEX(Suivi!$D:$D,14)))</f>
        <v/>
      </c>
      <c r="Q13">
        <f>IF($O13="","",INDEX(Suivi!$E:$E,14))</f>
        <v/>
      </c>
      <c r="R13">
        <f>IF($O13="","",INDEX(Suivi!$F:$F,14))</f>
        <v/>
      </c>
      <c r="S13">
        <f>IF($O13="","",INDEX(Suivi!$G:$G,14))</f>
        <v/>
      </c>
      <c r="T13">
        <f>IF($O13="","",IF(INDEX(Dossiers!$F$4:$F$63,1)="","",INDEX(Dossiers!$F$4:$F$63,1)))</f>
        <v/>
      </c>
      <c r="U13">
        <f>IF($O13="","",IF(INDEX(Dossiers!$G$4:$G$63,1)="","",INDEX(Dossiers!$G$4:$G$63,1)))</f>
        <v/>
      </c>
      <c r="V13">
        <f>IF(OR($O13="",NOT(ISNUMBER($Q13))),"",$Q13*1000000+13)</f>
        <v/>
      </c>
      <c r="W13" s="29">
        <f>IF($B13="","",IFERROR(INDEX($U$4:$U$3183,MATCH(SMALL($V$4:$V$3183,10),$V$4:$V$3183,0)),""))</f>
        <v/>
      </c>
    </row>
    <row r="14">
      <c r="A14">
        <f>IFERROR(INDEX($N$4:$N$3183,MATCH(SMALL($V$4:$V$3183,11),$V$4:$V$3183,0)),"")</f>
        <v/>
      </c>
      <c r="B14">
        <f>IFERROR(INDEX($O$4:$O$3183,MATCH(SMALL($V$4:$V$3183,11),$V$4:$V$3183,0)),"")</f>
        <v/>
      </c>
      <c r="C14">
        <f>IFERROR(INDEX($P$4:$P$3183,MATCH(SMALL($V$4:$V$3183,11),$V$4:$V$3183,0)),"")</f>
        <v/>
      </c>
      <c r="D14" s="29">
        <f>IFERROR(INDEX($Q$4:$Q$3183,MATCH(SMALL($V$4:$V$3183,11),$V$4:$V$3183,0)),"")</f>
        <v/>
      </c>
      <c r="E14" s="29">
        <f>IFERROR(INDEX($R$4:$R$3183,MATCH(SMALL($V$4:$V$3183,11),$V$4:$V$3183,0)),"")</f>
        <v/>
      </c>
      <c r="F14">
        <f>IFERROR(INDEX($S$4:$S$3183,MATCH(SMALL($V$4:$V$3183,11),$V$4:$V$3183,0)),"")</f>
        <v/>
      </c>
      <c r="I14" s="29">
        <f>IF($B14="","",IFERROR(INDEX($U$4:$U$3183,MATCH(SMALL($V$4:$V$3183,11),$V$4:$V$3183,0)),""))</f>
        <v/>
      </c>
      <c r="J14">
        <f>IF($B14="","",IF($D14&gt;$F$2,"À venir",IF($E14&lt;$D$2,"Passé","Dans la période")))</f>
        <v/>
      </c>
      <c r="K14">
        <f>IF(OR($B14="",NOT(ISNUMBER($D14))),"",IF(AND($E14&lt;$D$2,$G14&lt;&gt;"X",$F14&lt;&gt;"Réalisé",$F14&lt;&gt;"Clôturé"),"RETARD",""))</f>
        <v/>
      </c>
      <c r="L14">
        <f>IF(OR($B14="",NOT(ISNUMBER($D14))),"",IF(AND($D14&gt;=$D$2,$D14&lt;=$H$2,$G14&lt;&gt;"X",$F14&lt;&gt;"Réalisé",$F14&lt;&gt;"Clôturé"),"≤ 7 j",""))</f>
        <v/>
      </c>
      <c r="M14" s="29">
        <f>IF($B14="","",IFERROR(INDEX($T$4:$T$3183,MATCH(SMALL($V$4:$V$3183,11),$V$4:$V$3183,0)),""))</f>
        <v/>
      </c>
      <c r="O14">
        <f>IF(INDEX(Suivi!$B:$B,15)="","",INDEX(Suivi!$B:$B,15))</f>
        <v/>
      </c>
      <c r="P14">
        <f>IF($O14="","",IF(INDEX(Suivi!$D:$D,15)="",INDEX(Suivi!$C:$C,15),INDEX(Suivi!$D:$D,15)))</f>
        <v/>
      </c>
      <c r="Q14">
        <f>IF($O14="","",INDEX(Suivi!$E:$E,15))</f>
        <v/>
      </c>
      <c r="R14">
        <f>IF($O14="","",INDEX(Suivi!$F:$F,15))</f>
        <v/>
      </c>
      <c r="S14">
        <f>IF($O14="","",INDEX(Suivi!$G:$G,15))</f>
        <v/>
      </c>
      <c r="T14">
        <f>IF($O14="","",IF(INDEX(Dossiers!$F$4:$F$63,1)="","",INDEX(Dossiers!$F$4:$F$63,1)))</f>
        <v/>
      </c>
      <c r="U14">
        <f>IF($O14="","",IF(INDEX(Dossiers!$G$4:$G$63,1)="","",INDEX(Dossiers!$G$4:$G$63,1)))</f>
        <v/>
      </c>
      <c r="V14">
        <f>IF(OR($O14="",NOT(ISNUMBER($Q14))),"",$Q14*1000000+14)</f>
        <v/>
      </c>
      <c r="W14" s="29">
        <f>IF($B14="","",IFERROR(INDEX($U$4:$U$3183,MATCH(SMALL($V$4:$V$3183,11),$V$4:$V$3183,0)),""))</f>
        <v/>
      </c>
    </row>
    <row r="15">
      <c r="A15">
        <f>IFERROR(INDEX($N$4:$N$3183,MATCH(SMALL($V$4:$V$3183,12),$V$4:$V$3183,0)),"")</f>
        <v/>
      </c>
      <c r="B15">
        <f>IFERROR(INDEX($O$4:$O$3183,MATCH(SMALL($V$4:$V$3183,12),$V$4:$V$3183,0)),"")</f>
        <v/>
      </c>
      <c r="C15">
        <f>IFERROR(INDEX($P$4:$P$3183,MATCH(SMALL($V$4:$V$3183,12),$V$4:$V$3183,0)),"")</f>
        <v/>
      </c>
      <c r="D15" s="29">
        <f>IFERROR(INDEX($Q$4:$Q$3183,MATCH(SMALL($V$4:$V$3183,12),$V$4:$V$3183,0)),"")</f>
        <v/>
      </c>
      <c r="E15" s="29">
        <f>IFERROR(INDEX($R$4:$R$3183,MATCH(SMALL($V$4:$V$3183,12),$V$4:$V$3183,0)),"")</f>
        <v/>
      </c>
      <c r="F15">
        <f>IFERROR(INDEX($S$4:$S$3183,MATCH(SMALL($V$4:$V$3183,12),$V$4:$V$3183,0)),"")</f>
        <v/>
      </c>
      <c r="I15" s="29">
        <f>IF($B15="","",IFERROR(INDEX($U$4:$U$3183,MATCH(SMALL($V$4:$V$3183,12),$V$4:$V$3183,0)),""))</f>
        <v/>
      </c>
      <c r="J15">
        <f>IF($B15="","",IF($D15&gt;$F$2,"À venir",IF($E15&lt;$D$2,"Passé","Dans la période")))</f>
        <v/>
      </c>
      <c r="K15">
        <f>IF(OR($B15="",NOT(ISNUMBER($D15))),"",IF(AND($E15&lt;$D$2,$G15&lt;&gt;"X",$F15&lt;&gt;"Réalisé",$F15&lt;&gt;"Clôturé"),"RETARD",""))</f>
        <v/>
      </c>
      <c r="L15">
        <f>IF(OR($B15="",NOT(ISNUMBER($D15))),"",IF(AND($D15&gt;=$D$2,$D15&lt;=$H$2,$G15&lt;&gt;"X",$F15&lt;&gt;"Réalisé",$F15&lt;&gt;"Clôturé"),"≤ 7 j",""))</f>
        <v/>
      </c>
      <c r="M15" s="29">
        <f>IF($B15="","",IFERROR(INDEX($T$4:$T$3183,MATCH(SMALL($V$4:$V$3183,12),$V$4:$V$3183,0)),""))</f>
        <v/>
      </c>
      <c r="O15">
        <f>IF(INDEX(Suivi!$B:$B,16)="","",INDEX(Suivi!$B:$B,16))</f>
        <v/>
      </c>
      <c r="P15">
        <f>IF($O15="","",IF(INDEX(Suivi!$D:$D,16)="",INDEX(Suivi!$C:$C,16),INDEX(Suivi!$D:$D,16)))</f>
        <v/>
      </c>
      <c r="Q15">
        <f>IF($O15="","",INDEX(Suivi!$E:$E,16))</f>
        <v/>
      </c>
      <c r="R15">
        <f>IF($O15="","",INDEX(Suivi!$F:$F,16))</f>
        <v/>
      </c>
      <c r="S15">
        <f>IF($O15="","",INDEX(Suivi!$G:$G,16))</f>
        <v/>
      </c>
      <c r="T15">
        <f>IF($O15="","",IF(INDEX(Dossiers!$F$4:$F$63,1)="","",INDEX(Dossiers!$F$4:$F$63,1)))</f>
        <v/>
      </c>
      <c r="U15">
        <f>IF($O15="","",IF(INDEX(Dossiers!$G$4:$G$63,1)="","",INDEX(Dossiers!$G$4:$G$63,1)))</f>
        <v/>
      </c>
      <c r="V15">
        <f>IF(OR($O15="",NOT(ISNUMBER($Q15))),"",$Q15*1000000+15)</f>
        <v/>
      </c>
      <c r="W15" s="29">
        <f>IF($B15="","",IFERROR(INDEX($U$4:$U$3183,MATCH(SMALL($V$4:$V$3183,12),$V$4:$V$3183,0)),""))</f>
        <v/>
      </c>
    </row>
    <row r="16">
      <c r="A16">
        <f>IFERROR(INDEX($N$4:$N$3183,MATCH(SMALL($V$4:$V$3183,13),$V$4:$V$3183,0)),"")</f>
        <v/>
      </c>
      <c r="B16">
        <f>IFERROR(INDEX($O$4:$O$3183,MATCH(SMALL($V$4:$V$3183,13),$V$4:$V$3183,0)),"")</f>
        <v/>
      </c>
      <c r="C16">
        <f>IFERROR(INDEX($P$4:$P$3183,MATCH(SMALL($V$4:$V$3183,13),$V$4:$V$3183,0)),"")</f>
        <v/>
      </c>
      <c r="D16" s="29">
        <f>IFERROR(INDEX($Q$4:$Q$3183,MATCH(SMALL($V$4:$V$3183,13),$V$4:$V$3183,0)),"")</f>
        <v/>
      </c>
      <c r="E16" s="29">
        <f>IFERROR(INDEX($R$4:$R$3183,MATCH(SMALL($V$4:$V$3183,13),$V$4:$V$3183,0)),"")</f>
        <v/>
      </c>
      <c r="F16">
        <f>IFERROR(INDEX($S$4:$S$3183,MATCH(SMALL($V$4:$V$3183,13),$V$4:$V$3183,0)),"")</f>
        <v/>
      </c>
      <c r="I16" s="29">
        <f>IF($B16="","",IFERROR(INDEX($U$4:$U$3183,MATCH(SMALL($V$4:$V$3183,13),$V$4:$V$3183,0)),""))</f>
        <v/>
      </c>
      <c r="J16">
        <f>IF($B16="","",IF($D16&gt;$F$2,"À venir",IF($E16&lt;$D$2,"Passé","Dans la période")))</f>
        <v/>
      </c>
      <c r="K16">
        <f>IF(OR($B16="",NOT(ISNUMBER($D16))),"",IF(AND($E16&lt;$D$2,$G16&lt;&gt;"X",$F16&lt;&gt;"Réalisé",$F16&lt;&gt;"Clôturé"),"RETARD",""))</f>
        <v/>
      </c>
      <c r="L16">
        <f>IF(OR($B16="",NOT(ISNUMBER($D16))),"",IF(AND($D16&gt;=$D$2,$D16&lt;=$H$2,$G16&lt;&gt;"X",$F16&lt;&gt;"Réalisé",$F16&lt;&gt;"Clôturé"),"≤ 7 j",""))</f>
        <v/>
      </c>
      <c r="M16" s="29">
        <f>IF($B16="","",IFERROR(INDEX($T$4:$T$3183,MATCH(SMALL($V$4:$V$3183,13),$V$4:$V$3183,0)),""))</f>
        <v/>
      </c>
      <c r="O16">
        <f>IF(INDEX(Suivi!$B:$B,17)="","",INDEX(Suivi!$B:$B,17))</f>
        <v/>
      </c>
      <c r="P16">
        <f>IF($O16="","",IF(INDEX(Suivi!$D:$D,17)="",INDEX(Suivi!$C:$C,17),INDEX(Suivi!$D:$D,17)))</f>
        <v/>
      </c>
      <c r="Q16">
        <f>IF($O16="","",INDEX(Suivi!$E:$E,17))</f>
        <v/>
      </c>
      <c r="R16">
        <f>IF($O16="","",INDEX(Suivi!$F:$F,17))</f>
        <v/>
      </c>
      <c r="S16">
        <f>IF($O16="","",INDEX(Suivi!$G:$G,17))</f>
        <v/>
      </c>
      <c r="T16">
        <f>IF($O16="","",IF(INDEX(Dossiers!$F$4:$F$63,1)="","",INDEX(Dossiers!$F$4:$F$63,1)))</f>
        <v/>
      </c>
      <c r="U16">
        <f>IF($O16="","",IF(INDEX(Dossiers!$G$4:$G$63,1)="","",INDEX(Dossiers!$G$4:$G$63,1)))</f>
        <v/>
      </c>
      <c r="V16">
        <f>IF(OR($O16="",NOT(ISNUMBER($Q16))),"",$Q16*1000000+16)</f>
        <v/>
      </c>
      <c r="W16" s="29">
        <f>IF($B16="","",IFERROR(INDEX($U$4:$U$3183,MATCH(SMALL($V$4:$V$3183,13),$V$4:$V$3183,0)),""))</f>
        <v/>
      </c>
    </row>
    <row r="17">
      <c r="A17">
        <f>IFERROR(INDEX($N$4:$N$3183,MATCH(SMALL($V$4:$V$3183,14),$V$4:$V$3183,0)),"")</f>
        <v/>
      </c>
      <c r="B17">
        <f>IFERROR(INDEX($O$4:$O$3183,MATCH(SMALL($V$4:$V$3183,14),$V$4:$V$3183,0)),"")</f>
        <v/>
      </c>
      <c r="C17">
        <f>IFERROR(INDEX($P$4:$P$3183,MATCH(SMALL($V$4:$V$3183,14),$V$4:$V$3183,0)),"")</f>
        <v/>
      </c>
      <c r="D17" s="29">
        <f>IFERROR(INDEX($Q$4:$Q$3183,MATCH(SMALL($V$4:$V$3183,14),$V$4:$V$3183,0)),"")</f>
        <v/>
      </c>
      <c r="E17" s="29">
        <f>IFERROR(INDEX($R$4:$R$3183,MATCH(SMALL($V$4:$V$3183,14),$V$4:$V$3183,0)),"")</f>
        <v/>
      </c>
      <c r="F17">
        <f>IFERROR(INDEX($S$4:$S$3183,MATCH(SMALL($V$4:$V$3183,14),$V$4:$V$3183,0)),"")</f>
        <v/>
      </c>
      <c r="I17" s="29">
        <f>IF($B17="","",IFERROR(INDEX($U$4:$U$3183,MATCH(SMALL($V$4:$V$3183,14),$V$4:$V$3183,0)),""))</f>
        <v/>
      </c>
      <c r="J17">
        <f>IF($B17="","",IF($D17&gt;$F$2,"À venir",IF($E17&lt;$D$2,"Passé","Dans la période")))</f>
        <v/>
      </c>
      <c r="K17">
        <f>IF(OR($B17="",NOT(ISNUMBER($D17))),"",IF(AND($E17&lt;$D$2,$G17&lt;&gt;"X",$F17&lt;&gt;"Réalisé",$F17&lt;&gt;"Clôturé"),"RETARD",""))</f>
        <v/>
      </c>
      <c r="L17">
        <f>IF(OR($B17="",NOT(ISNUMBER($D17))),"",IF(AND($D17&gt;=$D$2,$D17&lt;=$H$2,$G17&lt;&gt;"X",$F17&lt;&gt;"Réalisé",$F17&lt;&gt;"Clôturé"),"≤ 7 j",""))</f>
        <v/>
      </c>
      <c r="M17" s="29">
        <f>IF($B17="","",IFERROR(INDEX($T$4:$T$3183,MATCH(SMALL($V$4:$V$3183,14),$V$4:$V$3183,0)),""))</f>
        <v/>
      </c>
      <c r="O17">
        <f>IF(INDEX(Suivi!$B:$B,18)="","",INDEX(Suivi!$B:$B,18))</f>
        <v/>
      </c>
      <c r="P17">
        <f>IF($O17="","",IF(INDEX(Suivi!$D:$D,18)="",INDEX(Suivi!$C:$C,18),INDEX(Suivi!$D:$D,18)))</f>
        <v/>
      </c>
      <c r="Q17">
        <f>IF($O17="","",INDEX(Suivi!$E:$E,18))</f>
        <v/>
      </c>
      <c r="R17">
        <f>IF($O17="","",INDEX(Suivi!$F:$F,18))</f>
        <v/>
      </c>
      <c r="S17">
        <f>IF($O17="","",INDEX(Suivi!$G:$G,18))</f>
        <v/>
      </c>
      <c r="T17">
        <f>IF($O17="","",IF(INDEX(Dossiers!$F$4:$F$63,1)="","",INDEX(Dossiers!$F$4:$F$63,1)))</f>
        <v/>
      </c>
      <c r="U17">
        <f>IF($O17="","",IF(INDEX(Dossiers!$G$4:$G$63,1)="","",INDEX(Dossiers!$G$4:$G$63,1)))</f>
        <v/>
      </c>
      <c r="V17">
        <f>IF(OR($O17="",NOT(ISNUMBER($Q17))),"",$Q17*1000000+17)</f>
        <v/>
      </c>
      <c r="W17" s="29">
        <f>IF($B17="","",IFERROR(INDEX($U$4:$U$3183,MATCH(SMALL($V$4:$V$3183,14),$V$4:$V$3183,0)),""))</f>
        <v/>
      </c>
    </row>
    <row r="18">
      <c r="A18">
        <f>IFERROR(INDEX($N$4:$N$3183,MATCH(SMALL($V$4:$V$3183,15),$V$4:$V$3183,0)),"")</f>
        <v/>
      </c>
      <c r="B18">
        <f>IFERROR(INDEX($O$4:$O$3183,MATCH(SMALL($V$4:$V$3183,15),$V$4:$V$3183,0)),"")</f>
        <v/>
      </c>
      <c r="C18">
        <f>IFERROR(INDEX($P$4:$P$3183,MATCH(SMALL($V$4:$V$3183,15),$V$4:$V$3183,0)),"")</f>
        <v/>
      </c>
      <c r="D18" s="29">
        <f>IFERROR(INDEX($Q$4:$Q$3183,MATCH(SMALL($V$4:$V$3183,15),$V$4:$V$3183,0)),"")</f>
        <v/>
      </c>
      <c r="E18" s="29">
        <f>IFERROR(INDEX($R$4:$R$3183,MATCH(SMALL($V$4:$V$3183,15),$V$4:$V$3183,0)),"")</f>
        <v/>
      </c>
      <c r="F18">
        <f>IFERROR(INDEX($S$4:$S$3183,MATCH(SMALL($V$4:$V$3183,15),$V$4:$V$3183,0)),"")</f>
        <v/>
      </c>
      <c r="I18" s="29">
        <f>IF($B18="","",IFERROR(INDEX($U$4:$U$3183,MATCH(SMALL($V$4:$V$3183,15),$V$4:$V$3183,0)),""))</f>
        <v/>
      </c>
      <c r="J18">
        <f>IF($B18="","",IF($D18&gt;$F$2,"À venir",IF($E18&lt;$D$2,"Passé","Dans la période")))</f>
        <v/>
      </c>
      <c r="K18">
        <f>IF(OR($B18="",NOT(ISNUMBER($D18))),"",IF(AND($E18&lt;$D$2,$G18&lt;&gt;"X",$F18&lt;&gt;"Réalisé",$F18&lt;&gt;"Clôturé"),"RETARD",""))</f>
        <v/>
      </c>
      <c r="L18">
        <f>IF(OR($B18="",NOT(ISNUMBER($D18))),"",IF(AND($D18&gt;=$D$2,$D18&lt;=$H$2,$G18&lt;&gt;"X",$F18&lt;&gt;"Réalisé",$F18&lt;&gt;"Clôturé"),"≤ 7 j",""))</f>
        <v/>
      </c>
      <c r="M18" s="29">
        <f>IF($B18="","",IFERROR(INDEX($T$4:$T$3183,MATCH(SMALL($V$4:$V$3183,15),$V$4:$V$3183,0)),""))</f>
        <v/>
      </c>
      <c r="O18">
        <f>IF(INDEX(Suivi!$B:$B,19)="","",INDEX(Suivi!$B:$B,19))</f>
        <v/>
      </c>
      <c r="P18">
        <f>IF($O18="","",IF(INDEX(Suivi!$D:$D,19)="",INDEX(Suivi!$C:$C,19),INDEX(Suivi!$D:$D,19)))</f>
        <v/>
      </c>
      <c r="Q18">
        <f>IF($O18="","",INDEX(Suivi!$E:$E,19))</f>
        <v/>
      </c>
      <c r="R18">
        <f>IF($O18="","",INDEX(Suivi!$F:$F,19))</f>
        <v/>
      </c>
      <c r="S18">
        <f>IF($O18="","",INDEX(Suivi!$G:$G,19))</f>
        <v/>
      </c>
      <c r="T18">
        <f>IF($O18="","",IF(INDEX(Dossiers!$F$4:$F$63,1)="","",INDEX(Dossiers!$F$4:$F$63,1)))</f>
        <v/>
      </c>
      <c r="U18">
        <f>IF($O18="","",IF(INDEX(Dossiers!$G$4:$G$63,1)="","",INDEX(Dossiers!$G$4:$G$63,1)))</f>
        <v/>
      </c>
      <c r="V18">
        <f>IF(OR($O18="",NOT(ISNUMBER($Q18))),"",$Q18*1000000+18)</f>
        <v/>
      </c>
      <c r="W18" s="29">
        <f>IF($B18="","",IFERROR(INDEX($U$4:$U$3183,MATCH(SMALL($V$4:$V$3183,15),$V$4:$V$3183,0)),""))</f>
        <v/>
      </c>
    </row>
    <row r="19">
      <c r="A19">
        <f>IFERROR(INDEX($N$4:$N$3183,MATCH(SMALL($V$4:$V$3183,16),$V$4:$V$3183,0)),"")</f>
        <v/>
      </c>
      <c r="B19">
        <f>IFERROR(INDEX($O$4:$O$3183,MATCH(SMALL($V$4:$V$3183,16),$V$4:$V$3183,0)),"")</f>
        <v/>
      </c>
      <c r="C19">
        <f>IFERROR(INDEX($P$4:$P$3183,MATCH(SMALL($V$4:$V$3183,16),$V$4:$V$3183,0)),"")</f>
        <v/>
      </c>
      <c r="D19" s="29">
        <f>IFERROR(INDEX($Q$4:$Q$3183,MATCH(SMALL($V$4:$V$3183,16),$V$4:$V$3183,0)),"")</f>
        <v/>
      </c>
      <c r="E19" s="29">
        <f>IFERROR(INDEX($R$4:$R$3183,MATCH(SMALL($V$4:$V$3183,16),$V$4:$V$3183,0)),"")</f>
        <v/>
      </c>
      <c r="F19">
        <f>IFERROR(INDEX($S$4:$S$3183,MATCH(SMALL($V$4:$V$3183,16),$V$4:$V$3183,0)),"")</f>
        <v/>
      </c>
      <c r="I19" s="29">
        <f>IF($B19="","",IFERROR(INDEX($U$4:$U$3183,MATCH(SMALL($V$4:$V$3183,16),$V$4:$V$3183,0)),""))</f>
        <v/>
      </c>
      <c r="J19">
        <f>IF($B19="","",IF($D19&gt;$F$2,"À venir",IF($E19&lt;$D$2,"Passé","Dans la période")))</f>
        <v/>
      </c>
      <c r="K19">
        <f>IF(OR($B19="",NOT(ISNUMBER($D19))),"",IF(AND($E19&lt;$D$2,$G19&lt;&gt;"X",$F19&lt;&gt;"Réalisé",$F19&lt;&gt;"Clôturé"),"RETARD",""))</f>
        <v/>
      </c>
      <c r="L19">
        <f>IF(OR($B19="",NOT(ISNUMBER($D19))),"",IF(AND($D19&gt;=$D$2,$D19&lt;=$H$2,$G19&lt;&gt;"X",$F19&lt;&gt;"Réalisé",$F19&lt;&gt;"Clôturé"),"≤ 7 j",""))</f>
        <v/>
      </c>
      <c r="M19" s="29">
        <f>IF($B19="","",IFERROR(INDEX($T$4:$T$3183,MATCH(SMALL($V$4:$V$3183,16),$V$4:$V$3183,0)),""))</f>
        <v/>
      </c>
      <c r="O19">
        <f>IF(INDEX(Suivi!$B:$B,20)="","",INDEX(Suivi!$B:$B,20))</f>
        <v/>
      </c>
      <c r="P19">
        <f>IF($O19="","",IF(INDEX(Suivi!$D:$D,20)="",INDEX(Suivi!$C:$C,20),INDEX(Suivi!$D:$D,20)))</f>
        <v/>
      </c>
      <c r="Q19">
        <f>IF($O19="","",INDEX(Suivi!$E:$E,20))</f>
        <v/>
      </c>
      <c r="R19">
        <f>IF($O19="","",INDEX(Suivi!$F:$F,20))</f>
        <v/>
      </c>
      <c r="S19">
        <f>IF($O19="","",INDEX(Suivi!$G:$G,20))</f>
        <v/>
      </c>
      <c r="T19">
        <f>IF($O19="","",IF(INDEX(Dossiers!$F$4:$F$63,1)="","",INDEX(Dossiers!$F$4:$F$63,1)))</f>
        <v/>
      </c>
      <c r="U19">
        <f>IF($O19="","",IF(INDEX(Dossiers!$G$4:$G$63,1)="","",INDEX(Dossiers!$G$4:$G$63,1)))</f>
        <v/>
      </c>
      <c r="V19">
        <f>IF(OR($O19="",NOT(ISNUMBER($Q19))),"",$Q19*1000000+19)</f>
        <v/>
      </c>
      <c r="W19" s="29">
        <f>IF($B19="","",IFERROR(INDEX($U$4:$U$3183,MATCH(SMALL($V$4:$V$3183,16),$V$4:$V$3183,0)),""))</f>
        <v/>
      </c>
    </row>
    <row r="20">
      <c r="A20">
        <f>IFERROR(INDEX($N$4:$N$3183,MATCH(SMALL($V$4:$V$3183,17),$V$4:$V$3183,0)),"")</f>
        <v/>
      </c>
      <c r="B20">
        <f>IFERROR(INDEX($O$4:$O$3183,MATCH(SMALL($V$4:$V$3183,17),$V$4:$V$3183,0)),"")</f>
        <v/>
      </c>
      <c r="C20">
        <f>IFERROR(INDEX($P$4:$P$3183,MATCH(SMALL($V$4:$V$3183,17),$V$4:$V$3183,0)),"")</f>
        <v/>
      </c>
      <c r="D20" s="29">
        <f>IFERROR(INDEX($Q$4:$Q$3183,MATCH(SMALL($V$4:$V$3183,17),$V$4:$V$3183,0)),"")</f>
        <v/>
      </c>
      <c r="E20" s="29">
        <f>IFERROR(INDEX($R$4:$R$3183,MATCH(SMALL($V$4:$V$3183,17),$V$4:$V$3183,0)),"")</f>
        <v/>
      </c>
      <c r="F20">
        <f>IFERROR(INDEX($S$4:$S$3183,MATCH(SMALL($V$4:$V$3183,17),$V$4:$V$3183,0)),"")</f>
        <v/>
      </c>
      <c r="I20" s="29">
        <f>IF($B20="","",IFERROR(INDEX($U$4:$U$3183,MATCH(SMALL($V$4:$V$3183,17),$V$4:$V$3183,0)),""))</f>
        <v/>
      </c>
      <c r="J20">
        <f>IF($B20="","",IF($D20&gt;$F$2,"À venir",IF($E20&lt;$D$2,"Passé","Dans la période")))</f>
        <v/>
      </c>
      <c r="K20">
        <f>IF(OR($B20="",NOT(ISNUMBER($D20))),"",IF(AND($E20&lt;$D$2,$G20&lt;&gt;"X",$F20&lt;&gt;"Réalisé",$F20&lt;&gt;"Clôturé"),"RETARD",""))</f>
        <v/>
      </c>
      <c r="L20">
        <f>IF(OR($B20="",NOT(ISNUMBER($D20))),"",IF(AND($D20&gt;=$D$2,$D20&lt;=$H$2,$G20&lt;&gt;"X",$F20&lt;&gt;"Réalisé",$F20&lt;&gt;"Clôturé"),"≤ 7 j",""))</f>
        <v/>
      </c>
      <c r="M20" s="29">
        <f>IF($B20="","",IFERROR(INDEX($T$4:$T$3183,MATCH(SMALL($V$4:$V$3183,17),$V$4:$V$3183,0)),""))</f>
        <v/>
      </c>
      <c r="O20">
        <f>IF(INDEX(Suivi!$B:$B,21)="","",INDEX(Suivi!$B:$B,21))</f>
        <v/>
      </c>
      <c r="P20">
        <f>IF($O20="","",IF(INDEX(Suivi!$D:$D,21)="",INDEX(Suivi!$C:$C,21),INDEX(Suivi!$D:$D,21)))</f>
        <v/>
      </c>
      <c r="Q20">
        <f>IF($O20="","",INDEX(Suivi!$E:$E,21))</f>
        <v/>
      </c>
      <c r="R20">
        <f>IF($O20="","",INDEX(Suivi!$F:$F,21))</f>
        <v/>
      </c>
      <c r="S20">
        <f>IF($O20="","",INDEX(Suivi!$G:$G,21))</f>
        <v/>
      </c>
      <c r="T20">
        <f>IF($O20="","",IF(INDEX(Dossiers!$F$4:$F$63,1)="","",INDEX(Dossiers!$F$4:$F$63,1)))</f>
        <v/>
      </c>
      <c r="U20">
        <f>IF($O20="","",IF(INDEX(Dossiers!$G$4:$G$63,1)="","",INDEX(Dossiers!$G$4:$G$63,1)))</f>
        <v/>
      </c>
      <c r="V20">
        <f>IF(OR($O20="",NOT(ISNUMBER($Q20))),"",$Q20*1000000+20)</f>
        <v/>
      </c>
      <c r="W20" s="29">
        <f>IF($B20="","",IFERROR(INDEX($U$4:$U$3183,MATCH(SMALL($V$4:$V$3183,17),$V$4:$V$3183,0)),""))</f>
        <v/>
      </c>
    </row>
    <row r="21">
      <c r="A21">
        <f>IFERROR(INDEX($N$4:$N$3183,MATCH(SMALL($V$4:$V$3183,18),$V$4:$V$3183,0)),"")</f>
        <v/>
      </c>
      <c r="B21">
        <f>IFERROR(INDEX($O$4:$O$3183,MATCH(SMALL($V$4:$V$3183,18),$V$4:$V$3183,0)),"")</f>
        <v/>
      </c>
      <c r="C21">
        <f>IFERROR(INDEX($P$4:$P$3183,MATCH(SMALL($V$4:$V$3183,18),$V$4:$V$3183,0)),"")</f>
        <v/>
      </c>
      <c r="D21" s="29">
        <f>IFERROR(INDEX($Q$4:$Q$3183,MATCH(SMALL($V$4:$V$3183,18),$V$4:$V$3183,0)),"")</f>
        <v/>
      </c>
      <c r="E21" s="29">
        <f>IFERROR(INDEX($R$4:$R$3183,MATCH(SMALL($V$4:$V$3183,18),$V$4:$V$3183,0)),"")</f>
        <v/>
      </c>
      <c r="F21">
        <f>IFERROR(INDEX($S$4:$S$3183,MATCH(SMALL($V$4:$V$3183,18),$V$4:$V$3183,0)),"")</f>
        <v/>
      </c>
      <c r="I21" s="29">
        <f>IF($B21="","",IFERROR(INDEX($U$4:$U$3183,MATCH(SMALL($V$4:$V$3183,18),$V$4:$V$3183,0)),""))</f>
        <v/>
      </c>
      <c r="J21">
        <f>IF($B21="","",IF($D21&gt;$F$2,"À venir",IF($E21&lt;$D$2,"Passé","Dans la période")))</f>
        <v/>
      </c>
      <c r="K21">
        <f>IF(OR($B21="",NOT(ISNUMBER($D21))),"",IF(AND($E21&lt;$D$2,$G21&lt;&gt;"X",$F21&lt;&gt;"Réalisé",$F21&lt;&gt;"Clôturé"),"RETARD",""))</f>
        <v/>
      </c>
      <c r="L21">
        <f>IF(OR($B21="",NOT(ISNUMBER($D21))),"",IF(AND($D21&gt;=$D$2,$D21&lt;=$H$2,$G21&lt;&gt;"X",$F21&lt;&gt;"Réalisé",$F21&lt;&gt;"Clôturé"),"≤ 7 j",""))</f>
        <v/>
      </c>
      <c r="M21" s="29">
        <f>IF($B21="","",IFERROR(INDEX($T$4:$T$3183,MATCH(SMALL($V$4:$V$3183,18),$V$4:$V$3183,0)),""))</f>
        <v/>
      </c>
      <c r="O21">
        <f>IF(INDEX(Suivi!$B:$B,22)="","",INDEX(Suivi!$B:$B,22))</f>
        <v/>
      </c>
      <c r="P21">
        <f>IF($O21="","",IF(INDEX(Suivi!$D:$D,22)="",INDEX(Suivi!$C:$C,22),INDEX(Suivi!$D:$D,22)))</f>
        <v/>
      </c>
      <c r="Q21">
        <f>IF($O21="","",INDEX(Suivi!$E:$E,22))</f>
        <v/>
      </c>
      <c r="R21">
        <f>IF($O21="","",INDEX(Suivi!$F:$F,22))</f>
        <v/>
      </c>
      <c r="S21">
        <f>IF($O21="","",INDEX(Suivi!$G:$G,22))</f>
        <v/>
      </c>
      <c r="T21">
        <f>IF($O21="","",IF(INDEX(Dossiers!$F$4:$F$63,1)="","",INDEX(Dossiers!$F$4:$F$63,1)))</f>
        <v/>
      </c>
      <c r="U21">
        <f>IF($O21="","",IF(INDEX(Dossiers!$G$4:$G$63,1)="","",INDEX(Dossiers!$G$4:$G$63,1)))</f>
        <v/>
      </c>
      <c r="V21">
        <f>IF(OR($O21="",NOT(ISNUMBER($Q21))),"",$Q21*1000000+21)</f>
        <v/>
      </c>
      <c r="W21" s="29">
        <f>IF($B21="","",IFERROR(INDEX($U$4:$U$3183,MATCH(SMALL($V$4:$V$3183,18),$V$4:$V$3183,0)),""))</f>
        <v/>
      </c>
    </row>
    <row r="22">
      <c r="A22">
        <f>IFERROR(INDEX($N$4:$N$3183,MATCH(SMALL($V$4:$V$3183,19),$V$4:$V$3183,0)),"")</f>
        <v/>
      </c>
      <c r="B22">
        <f>IFERROR(INDEX($O$4:$O$3183,MATCH(SMALL($V$4:$V$3183,19),$V$4:$V$3183,0)),"")</f>
        <v/>
      </c>
      <c r="C22">
        <f>IFERROR(INDEX($P$4:$P$3183,MATCH(SMALL($V$4:$V$3183,19),$V$4:$V$3183,0)),"")</f>
        <v/>
      </c>
      <c r="D22" s="29">
        <f>IFERROR(INDEX($Q$4:$Q$3183,MATCH(SMALL($V$4:$V$3183,19),$V$4:$V$3183,0)),"")</f>
        <v/>
      </c>
      <c r="E22" s="29">
        <f>IFERROR(INDEX($R$4:$R$3183,MATCH(SMALL($V$4:$V$3183,19),$V$4:$V$3183,0)),"")</f>
        <v/>
      </c>
      <c r="F22">
        <f>IFERROR(INDEX($S$4:$S$3183,MATCH(SMALL($V$4:$V$3183,19),$V$4:$V$3183,0)),"")</f>
        <v/>
      </c>
      <c r="I22" s="29">
        <f>IF($B22="","",IFERROR(INDEX($U$4:$U$3183,MATCH(SMALL($V$4:$V$3183,19),$V$4:$V$3183,0)),""))</f>
        <v/>
      </c>
      <c r="J22">
        <f>IF($B22="","",IF($D22&gt;$F$2,"À venir",IF($E22&lt;$D$2,"Passé","Dans la période")))</f>
        <v/>
      </c>
      <c r="K22">
        <f>IF(OR($B22="",NOT(ISNUMBER($D22))),"",IF(AND($E22&lt;$D$2,$G22&lt;&gt;"X",$F22&lt;&gt;"Réalisé",$F22&lt;&gt;"Clôturé"),"RETARD",""))</f>
        <v/>
      </c>
      <c r="L22">
        <f>IF(OR($B22="",NOT(ISNUMBER($D22))),"",IF(AND($D22&gt;=$D$2,$D22&lt;=$H$2,$G22&lt;&gt;"X",$F22&lt;&gt;"Réalisé",$F22&lt;&gt;"Clôturé"),"≤ 7 j",""))</f>
        <v/>
      </c>
      <c r="M22" s="29">
        <f>IF($B22="","",IFERROR(INDEX($T$4:$T$3183,MATCH(SMALL($V$4:$V$3183,19),$V$4:$V$3183,0)),""))</f>
        <v/>
      </c>
      <c r="O22">
        <f>IF(INDEX(Suivi!$B:$B,23)="","",INDEX(Suivi!$B:$B,23))</f>
        <v/>
      </c>
      <c r="P22">
        <f>IF($O22="","",IF(INDEX(Suivi!$D:$D,23)="",INDEX(Suivi!$C:$C,23),INDEX(Suivi!$D:$D,23)))</f>
        <v/>
      </c>
      <c r="Q22">
        <f>IF($O22="","",INDEX(Suivi!$E:$E,23))</f>
        <v/>
      </c>
      <c r="R22">
        <f>IF($O22="","",INDEX(Suivi!$F:$F,23))</f>
        <v/>
      </c>
      <c r="S22">
        <f>IF($O22="","",INDEX(Suivi!$G:$G,23))</f>
        <v/>
      </c>
      <c r="T22">
        <f>IF($O22="","",IF(INDEX(Dossiers!$F$4:$F$63,1)="","",INDEX(Dossiers!$F$4:$F$63,1)))</f>
        <v/>
      </c>
      <c r="U22">
        <f>IF($O22="","",IF(INDEX(Dossiers!$G$4:$G$63,1)="","",INDEX(Dossiers!$G$4:$G$63,1)))</f>
        <v/>
      </c>
      <c r="V22">
        <f>IF(OR($O22="",NOT(ISNUMBER($Q22))),"",$Q22*1000000+22)</f>
        <v/>
      </c>
      <c r="W22" s="29">
        <f>IF($B22="","",IFERROR(INDEX($U$4:$U$3183,MATCH(SMALL($V$4:$V$3183,19),$V$4:$V$3183,0)),""))</f>
        <v/>
      </c>
    </row>
    <row r="23">
      <c r="A23">
        <f>IFERROR(INDEX($N$4:$N$3183,MATCH(SMALL($V$4:$V$3183,20),$V$4:$V$3183,0)),"")</f>
        <v/>
      </c>
      <c r="B23">
        <f>IFERROR(INDEX($O$4:$O$3183,MATCH(SMALL($V$4:$V$3183,20),$V$4:$V$3183,0)),"")</f>
        <v/>
      </c>
      <c r="C23">
        <f>IFERROR(INDEX($P$4:$P$3183,MATCH(SMALL($V$4:$V$3183,20),$V$4:$V$3183,0)),"")</f>
        <v/>
      </c>
      <c r="D23" s="29">
        <f>IFERROR(INDEX($Q$4:$Q$3183,MATCH(SMALL($V$4:$V$3183,20),$V$4:$V$3183,0)),"")</f>
        <v/>
      </c>
      <c r="E23" s="29">
        <f>IFERROR(INDEX($R$4:$R$3183,MATCH(SMALL($V$4:$V$3183,20),$V$4:$V$3183,0)),"")</f>
        <v/>
      </c>
      <c r="F23">
        <f>IFERROR(INDEX($S$4:$S$3183,MATCH(SMALL($V$4:$V$3183,20),$V$4:$V$3183,0)),"")</f>
        <v/>
      </c>
      <c r="I23" s="29">
        <f>IF($B23="","",IFERROR(INDEX($U$4:$U$3183,MATCH(SMALL($V$4:$V$3183,20),$V$4:$V$3183,0)),""))</f>
        <v/>
      </c>
      <c r="J23">
        <f>IF($B23="","",IF($D23&gt;$F$2,"À venir",IF($E23&lt;$D$2,"Passé","Dans la période")))</f>
        <v/>
      </c>
      <c r="K23">
        <f>IF(OR($B23="",NOT(ISNUMBER($D23))),"",IF(AND($E23&lt;$D$2,$G23&lt;&gt;"X",$F23&lt;&gt;"Réalisé",$F23&lt;&gt;"Clôturé"),"RETARD",""))</f>
        <v/>
      </c>
      <c r="L23">
        <f>IF(OR($B23="",NOT(ISNUMBER($D23))),"",IF(AND($D23&gt;=$D$2,$D23&lt;=$H$2,$G23&lt;&gt;"X",$F23&lt;&gt;"Réalisé",$F23&lt;&gt;"Clôturé"),"≤ 7 j",""))</f>
        <v/>
      </c>
      <c r="M23" s="29">
        <f>IF($B23="","",IFERROR(INDEX($T$4:$T$3183,MATCH(SMALL($V$4:$V$3183,20),$V$4:$V$3183,0)),""))</f>
        <v/>
      </c>
      <c r="O23">
        <f>IF(INDEX(Suivi!$B:$B,24)="","",INDEX(Suivi!$B:$B,24))</f>
        <v/>
      </c>
      <c r="P23">
        <f>IF($O23="","",IF(INDEX(Suivi!$D:$D,24)="",INDEX(Suivi!$C:$C,24),INDEX(Suivi!$D:$D,24)))</f>
        <v/>
      </c>
      <c r="Q23">
        <f>IF($O23="","",INDEX(Suivi!$E:$E,24))</f>
        <v/>
      </c>
      <c r="R23">
        <f>IF($O23="","",INDEX(Suivi!$F:$F,24))</f>
        <v/>
      </c>
      <c r="S23">
        <f>IF($O23="","",INDEX(Suivi!$G:$G,24))</f>
        <v/>
      </c>
      <c r="T23">
        <f>IF($O23="","",IF(INDEX(Dossiers!$F$4:$F$63,1)="","",INDEX(Dossiers!$F$4:$F$63,1)))</f>
        <v/>
      </c>
      <c r="U23">
        <f>IF($O23="","",IF(INDEX(Dossiers!$G$4:$G$63,1)="","",INDEX(Dossiers!$G$4:$G$63,1)))</f>
        <v/>
      </c>
      <c r="V23">
        <f>IF(OR($O23="",NOT(ISNUMBER($Q23))),"",$Q23*1000000+23)</f>
        <v/>
      </c>
      <c r="W23" s="29">
        <f>IF($B23="","",IFERROR(INDEX($U$4:$U$3183,MATCH(SMALL($V$4:$V$3183,20),$V$4:$V$3183,0)),""))</f>
        <v/>
      </c>
    </row>
    <row r="24">
      <c r="A24">
        <f>IFERROR(INDEX($N$4:$N$3183,MATCH(SMALL($V$4:$V$3183,21),$V$4:$V$3183,0)),"")</f>
        <v/>
      </c>
      <c r="B24">
        <f>IFERROR(INDEX($O$4:$O$3183,MATCH(SMALL($V$4:$V$3183,21),$V$4:$V$3183,0)),"")</f>
        <v/>
      </c>
      <c r="C24">
        <f>IFERROR(INDEX($P$4:$P$3183,MATCH(SMALL($V$4:$V$3183,21),$V$4:$V$3183,0)),"")</f>
        <v/>
      </c>
      <c r="D24" s="29">
        <f>IFERROR(INDEX($Q$4:$Q$3183,MATCH(SMALL($V$4:$V$3183,21),$V$4:$V$3183,0)),"")</f>
        <v/>
      </c>
      <c r="E24" s="29">
        <f>IFERROR(INDEX($R$4:$R$3183,MATCH(SMALL($V$4:$V$3183,21),$V$4:$V$3183,0)),"")</f>
        <v/>
      </c>
      <c r="F24">
        <f>IFERROR(INDEX($S$4:$S$3183,MATCH(SMALL($V$4:$V$3183,21),$V$4:$V$3183,0)),"")</f>
        <v/>
      </c>
      <c r="I24" s="29">
        <f>IF($B24="","",IFERROR(INDEX($U$4:$U$3183,MATCH(SMALL($V$4:$V$3183,21),$V$4:$V$3183,0)),""))</f>
        <v/>
      </c>
      <c r="J24">
        <f>IF($B24="","",IF($D24&gt;$F$2,"À venir",IF($E24&lt;$D$2,"Passé","Dans la période")))</f>
        <v/>
      </c>
      <c r="K24">
        <f>IF(OR($B24="",NOT(ISNUMBER($D24))),"",IF(AND($E24&lt;$D$2,$G24&lt;&gt;"X",$F24&lt;&gt;"Réalisé",$F24&lt;&gt;"Clôturé"),"RETARD",""))</f>
        <v/>
      </c>
      <c r="L24">
        <f>IF(OR($B24="",NOT(ISNUMBER($D24))),"",IF(AND($D24&gt;=$D$2,$D24&lt;=$H$2,$G24&lt;&gt;"X",$F24&lt;&gt;"Réalisé",$F24&lt;&gt;"Clôturé"),"≤ 7 j",""))</f>
        <v/>
      </c>
      <c r="M24" s="29">
        <f>IF($B24="","",IFERROR(INDEX($T$4:$T$3183,MATCH(SMALL($V$4:$V$3183,21),$V$4:$V$3183,0)),""))</f>
        <v/>
      </c>
      <c r="O24">
        <f>IF(INDEX(Suivi!$B:$B,25)="","",INDEX(Suivi!$B:$B,25))</f>
        <v/>
      </c>
      <c r="P24">
        <f>IF($O24="","",IF(INDEX(Suivi!$D:$D,25)="",INDEX(Suivi!$C:$C,25),INDEX(Suivi!$D:$D,25)))</f>
        <v/>
      </c>
      <c r="Q24">
        <f>IF($O24="","",INDEX(Suivi!$E:$E,25))</f>
        <v/>
      </c>
      <c r="R24">
        <f>IF($O24="","",INDEX(Suivi!$F:$F,25))</f>
        <v/>
      </c>
      <c r="S24">
        <f>IF($O24="","",INDEX(Suivi!$G:$G,25))</f>
        <v/>
      </c>
      <c r="T24">
        <f>IF($O24="","",IF(INDEX(Dossiers!$F$4:$F$63,1)="","",INDEX(Dossiers!$F$4:$F$63,1)))</f>
        <v/>
      </c>
      <c r="U24">
        <f>IF($O24="","",IF(INDEX(Dossiers!$G$4:$G$63,1)="","",INDEX(Dossiers!$G$4:$G$63,1)))</f>
        <v/>
      </c>
      <c r="V24">
        <f>IF(OR($O24="",NOT(ISNUMBER($Q24))),"",$Q24*1000000+24)</f>
        <v/>
      </c>
      <c r="W24" s="29">
        <f>IF($B24="","",IFERROR(INDEX($U$4:$U$3183,MATCH(SMALL($V$4:$V$3183,21),$V$4:$V$3183,0)),""))</f>
        <v/>
      </c>
    </row>
    <row r="25">
      <c r="A25">
        <f>IFERROR(INDEX($N$4:$N$3183,MATCH(SMALL($V$4:$V$3183,22),$V$4:$V$3183,0)),"")</f>
        <v/>
      </c>
      <c r="B25">
        <f>IFERROR(INDEX($O$4:$O$3183,MATCH(SMALL($V$4:$V$3183,22),$V$4:$V$3183,0)),"")</f>
        <v/>
      </c>
      <c r="C25">
        <f>IFERROR(INDEX($P$4:$P$3183,MATCH(SMALL($V$4:$V$3183,22),$V$4:$V$3183,0)),"")</f>
        <v/>
      </c>
      <c r="D25" s="29">
        <f>IFERROR(INDEX($Q$4:$Q$3183,MATCH(SMALL($V$4:$V$3183,22),$V$4:$V$3183,0)),"")</f>
        <v/>
      </c>
      <c r="E25" s="29">
        <f>IFERROR(INDEX($R$4:$R$3183,MATCH(SMALL($V$4:$V$3183,22),$V$4:$V$3183,0)),"")</f>
        <v/>
      </c>
      <c r="F25">
        <f>IFERROR(INDEX($S$4:$S$3183,MATCH(SMALL($V$4:$V$3183,22),$V$4:$V$3183,0)),"")</f>
        <v/>
      </c>
      <c r="I25" s="29">
        <f>IF($B25="","",IFERROR(INDEX($U$4:$U$3183,MATCH(SMALL($V$4:$V$3183,22),$V$4:$V$3183,0)),""))</f>
        <v/>
      </c>
      <c r="J25">
        <f>IF($B25="","",IF($D25&gt;$F$2,"À venir",IF($E25&lt;$D$2,"Passé","Dans la période")))</f>
        <v/>
      </c>
      <c r="K25">
        <f>IF(OR($B25="",NOT(ISNUMBER($D25))),"",IF(AND($E25&lt;$D$2,$G25&lt;&gt;"X",$F25&lt;&gt;"Réalisé",$F25&lt;&gt;"Clôturé"),"RETARD",""))</f>
        <v/>
      </c>
      <c r="L25">
        <f>IF(OR($B25="",NOT(ISNUMBER($D25))),"",IF(AND($D25&gt;=$D$2,$D25&lt;=$H$2,$G25&lt;&gt;"X",$F25&lt;&gt;"Réalisé",$F25&lt;&gt;"Clôturé"),"≤ 7 j",""))</f>
        <v/>
      </c>
      <c r="M25" s="29">
        <f>IF($B25="","",IFERROR(INDEX($T$4:$T$3183,MATCH(SMALL($V$4:$V$3183,22),$V$4:$V$3183,0)),""))</f>
        <v/>
      </c>
      <c r="O25">
        <f>IF(INDEX(Suivi!$B:$B,26)="","",INDEX(Suivi!$B:$B,26))</f>
        <v/>
      </c>
      <c r="P25">
        <f>IF($O25="","",IF(INDEX(Suivi!$D:$D,26)="",INDEX(Suivi!$C:$C,26),INDEX(Suivi!$D:$D,26)))</f>
        <v/>
      </c>
      <c r="Q25">
        <f>IF($O25="","",INDEX(Suivi!$E:$E,26))</f>
        <v/>
      </c>
      <c r="R25">
        <f>IF($O25="","",INDEX(Suivi!$F:$F,26))</f>
        <v/>
      </c>
      <c r="S25">
        <f>IF($O25="","",INDEX(Suivi!$G:$G,26))</f>
        <v/>
      </c>
      <c r="T25">
        <f>IF($O25="","",IF(INDEX(Dossiers!$F$4:$F$63,1)="","",INDEX(Dossiers!$F$4:$F$63,1)))</f>
        <v/>
      </c>
      <c r="U25">
        <f>IF($O25="","",IF(INDEX(Dossiers!$G$4:$G$63,1)="","",INDEX(Dossiers!$G$4:$G$63,1)))</f>
        <v/>
      </c>
      <c r="V25">
        <f>IF(OR($O25="",NOT(ISNUMBER($Q25))),"",$Q25*1000000+25)</f>
        <v/>
      </c>
      <c r="W25" s="29">
        <f>IF($B25="","",IFERROR(INDEX($U$4:$U$3183,MATCH(SMALL($V$4:$V$3183,22),$V$4:$V$3183,0)),""))</f>
        <v/>
      </c>
    </row>
    <row r="26">
      <c r="A26">
        <f>IFERROR(INDEX($N$4:$N$3183,MATCH(SMALL($V$4:$V$3183,23),$V$4:$V$3183,0)),"")</f>
        <v/>
      </c>
      <c r="B26">
        <f>IFERROR(INDEX($O$4:$O$3183,MATCH(SMALL($V$4:$V$3183,23),$V$4:$V$3183,0)),"")</f>
        <v/>
      </c>
      <c r="C26">
        <f>IFERROR(INDEX($P$4:$P$3183,MATCH(SMALL($V$4:$V$3183,23),$V$4:$V$3183,0)),"")</f>
        <v/>
      </c>
      <c r="D26" s="29">
        <f>IFERROR(INDEX($Q$4:$Q$3183,MATCH(SMALL($V$4:$V$3183,23),$V$4:$V$3183,0)),"")</f>
        <v/>
      </c>
      <c r="E26" s="29">
        <f>IFERROR(INDEX($R$4:$R$3183,MATCH(SMALL($V$4:$V$3183,23),$V$4:$V$3183,0)),"")</f>
        <v/>
      </c>
      <c r="F26">
        <f>IFERROR(INDEX($S$4:$S$3183,MATCH(SMALL($V$4:$V$3183,23),$V$4:$V$3183,0)),"")</f>
        <v/>
      </c>
      <c r="I26" s="29">
        <f>IF($B26="","",IFERROR(INDEX($U$4:$U$3183,MATCH(SMALL($V$4:$V$3183,23),$V$4:$V$3183,0)),""))</f>
        <v/>
      </c>
      <c r="J26">
        <f>IF($B26="","",IF($D26&gt;$F$2,"À venir",IF($E26&lt;$D$2,"Passé","Dans la période")))</f>
        <v/>
      </c>
      <c r="K26">
        <f>IF(OR($B26="",NOT(ISNUMBER($D26))),"",IF(AND($E26&lt;$D$2,$G26&lt;&gt;"X",$F26&lt;&gt;"Réalisé",$F26&lt;&gt;"Clôturé"),"RETARD",""))</f>
        <v/>
      </c>
      <c r="L26">
        <f>IF(OR($B26="",NOT(ISNUMBER($D26))),"",IF(AND($D26&gt;=$D$2,$D26&lt;=$H$2,$G26&lt;&gt;"X",$F26&lt;&gt;"Réalisé",$F26&lt;&gt;"Clôturé"),"≤ 7 j",""))</f>
        <v/>
      </c>
      <c r="M26" s="29">
        <f>IF($B26="","",IFERROR(INDEX($T$4:$T$3183,MATCH(SMALL($V$4:$V$3183,23),$V$4:$V$3183,0)),""))</f>
        <v/>
      </c>
      <c r="O26">
        <f>IF(INDEX(Suivi!$B:$B,27)="","",INDEX(Suivi!$B:$B,27))</f>
        <v/>
      </c>
      <c r="P26">
        <f>IF($O26="","",IF(INDEX(Suivi!$D:$D,27)="",INDEX(Suivi!$C:$C,27),INDEX(Suivi!$D:$D,27)))</f>
        <v/>
      </c>
      <c r="Q26">
        <f>IF($O26="","",INDEX(Suivi!$E:$E,27))</f>
        <v/>
      </c>
      <c r="R26">
        <f>IF($O26="","",INDEX(Suivi!$F:$F,27))</f>
        <v/>
      </c>
      <c r="S26">
        <f>IF($O26="","",INDEX(Suivi!$G:$G,27))</f>
        <v/>
      </c>
      <c r="T26">
        <f>IF($O26="","",IF(INDEX(Dossiers!$F$4:$F$63,1)="","",INDEX(Dossiers!$F$4:$F$63,1)))</f>
        <v/>
      </c>
      <c r="U26">
        <f>IF($O26="","",IF(INDEX(Dossiers!$G$4:$G$63,1)="","",INDEX(Dossiers!$G$4:$G$63,1)))</f>
        <v/>
      </c>
      <c r="V26">
        <f>IF(OR($O26="",NOT(ISNUMBER($Q26))),"",$Q26*1000000+26)</f>
        <v/>
      </c>
      <c r="W26" s="29">
        <f>IF($B26="","",IFERROR(INDEX($U$4:$U$3183,MATCH(SMALL($V$4:$V$3183,23),$V$4:$V$3183,0)),""))</f>
        <v/>
      </c>
    </row>
    <row r="27">
      <c r="A27">
        <f>IFERROR(INDEX($N$4:$N$3183,MATCH(SMALL($V$4:$V$3183,24),$V$4:$V$3183,0)),"")</f>
        <v/>
      </c>
      <c r="B27">
        <f>IFERROR(INDEX($O$4:$O$3183,MATCH(SMALL($V$4:$V$3183,24),$V$4:$V$3183,0)),"")</f>
        <v/>
      </c>
      <c r="C27">
        <f>IFERROR(INDEX($P$4:$P$3183,MATCH(SMALL($V$4:$V$3183,24),$V$4:$V$3183,0)),"")</f>
        <v/>
      </c>
      <c r="D27" s="29">
        <f>IFERROR(INDEX($Q$4:$Q$3183,MATCH(SMALL($V$4:$V$3183,24),$V$4:$V$3183,0)),"")</f>
        <v/>
      </c>
      <c r="E27" s="29">
        <f>IFERROR(INDEX($R$4:$R$3183,MATCH(SMALL($V$4:$V$3183,24),$V$4:$V$3183,0)),"")</f>
        <v/>
      </c>
      <c r="F27">
        <f>IFERROR(INDEX($S$4:$S$3183,MATCH(SMALL($V$4:$V$3183,24),$V$4:$V$3183,0)),"")</f>
        <v/>
      </c>
      <c r="I27" s="29">
        <f>IF($B27="","",IFERROR(INDEX($U$4:$U$3183,MATCH(SMALL($V$4:$V$3183,24),$V$4:$V$3183,0)),""))</f>
        <v/>
      </c>
      <c r="J27">
        <f>IF($B27="","",IF($D27&gt;$F$2,"À venir",IF($E27&lt;$D$2,"Passé","Dans la période")))</f>
        <v/>
      </c>
      <c r="K27">
        <f>IF(OR($B27="",NOT(ISNUMBER($D27))),"",IF(AND($E27&lt;$D$2,$G27&lt;&gt;"X",$F27&lt;&gt;"Réalisé",$F27&lt;&gt;"Clôturé"),"RETARD",""))</f>
        <v/>
      </c>
      <c r="L27">
        <f>IF(OR($B27="",NOT(ISNUMBER($D27))),"",IF(AND($D27&gt;=$D$2,$D27&lt;=$H$2,$G27&lt;&gt;"X",$F27&lt;&gt;"Réalisé",$F27&lt;&gt;"Clôturé"),"≤ 7 j",""))</f>
        <v/>
      </c>
      <c r="M27" s="29">
        <f>IF($B27="","",IFERROR(INDEX($T$4:$T$3183,MATCH(SMALL($V$4:$V$3183,24),$V$4:$V$3183,0)),""))</f>
        <v/>
      </c>
      <c r="O27">
        <f>IF(INDEX(Suivi!$B:$B,28)="","",INDEX(Suivi!$B:$B,28))</f>
        <v/>
      </c>
      <c r="P27">
        <f>IF($O27="","",IF(INDEX(Suivi!$D:$D,28)="",INDEX(Suivi!$C:$C,28),INDEX(Suivi!$D:$D,28)))</f>
        <v/>
      </c>
      <c r="Q27">
        <f>IF($O27="","",INDEX(Suivi!$E:$E,28))</f>
        <v/>
      </c>
      <c r="R27">
        <f>IF($O27="","",INDEX(Suivi!$F:$F,28))</f>
        <v/>
      </c>
      <c r="S27">
        <f>IF($O27="","",INDEX(Suivi!$G:$G,28))</f>
        <v/>
      </c>
      <c r="T27">
        <f>IF($O27="","",IF(INDEX(Dossiers!$F$4:$F$63,1)="","",INDEX(Dossiers!$F$4:$F$63,1)))</f>
        <v/>
      </c>
      <c r="U27">
        <f>IF($O27="","",IF(INDEX(Dossiers!$G$4:$G$63,1)="","",INDEX(Dossiers!$G$4:$G$63,1)))</f>
        <v/>
      </c>
      <c r="V27">
        <f>IF(OR($O27="",NOT(ISNUMBER($Q27))),"",$Q27*1000000+27)</f>
        <v/>
      </c>
      <c r="W27" s="29">
        <f>IF($B27="","",IFERROR(INDEX($U$4:$U$3183,MATCH(SMALL($V$4:$V$3183,24),$V$4:$V$3183,0)),""))</f>
        <v/>
      </c>
    </row>
    <row r="28">
      <c r="A28">
        <f>IFERROR(INDEX($N$4:$N$3183,MATCH(SMALL($V$4:$V$3183,25),$V$4:$V$3183,0)),"")</f>
        <v/>
      </c>
      <c r="B28">
        <f>IFERROR(INDEX($O$4:$O$3183,MATCH(SMALL($V$4:$V$3183,25),$V$4:$V$3183,0)),"")</f>
        <v/>
      </c>
      <c r="C28">
        <f>IFERROR(INDEX($P$4:$P$3183,MATCH(SMALL($V$4:$V$3183,25),$V$4:$V$3183,0)),"")</f>
        <v/>
      </c>
      <c r="D28" s="29">
        <f>IFERROR(INDEX($Q$4:$Q$3183,MATCH(SMALL($V$4:$V$3183,25),$V$4:$V$3183,0)),"")</f>
        <v/>
      </c>
      <c r="E28" s="29">
        <f>IFERROR(INDEX($R$4:$R$3183,MATCH(SMALL($V$4:$V$3183,25),$V$4:$V$3183,0)),"")</f>
        <v/>
      </c>
      <c r="F28">
        <f>IFERROR(INDEX($S$4:$S$3183,MATCH(SMALL($V$4:$V$3183,25),$V$4:$V$3183,0)),"")</f>
        <v/>
      </c>
      <c r="I28" s="29">
        <f>IF($B28="","",IFERROR(INDEX($U$4:$U$3183,MATCH(SMALL($V$4:$V$3183,25),$V$4:$V$3183,0)),""))</f>
        <v/>
      </c>
      <c r="J28">
        <f>IF($B28="","",IF($D28&gt;$F$2,"À venir",IF($E28&lt;$D$2,"Passé","Dans la période")))</f>
        <v/>
      </c>
      <c r="K28">
        <f>IF(OR($B28="",NOT(ISNUMBER($D28))),"",IF(AND($E28&lt;$D$2,$G28&lt;&gt;"X",$F28&lt;&gt;"Réalisé",$F28&lt;&gt;"Clôturé"),"RETARD",""))</f>
        <v/>
      </c>
      <c r="L28">
        <f>IF(OR($B28="",NOT(ISNUMBER($D28))),"",IF(AND($D28&gt;=$D$2,$D28&lt;=$H$2,$G28&lt;&gt;"X",$F28&lt;&gt;"Réalisé",$F28&lt;&gt;"Clôturé"),"≤ 7 j",""))</f>
        <v/>
      </c>
      <c r="M28" s="29">
        <f>IF($B28="","",IFERROR(INDEX($T$4:$T$3183,MATCH(SMALL($V$4:$V$3183,25),$V$4:$V$3183,0)),""))</f>
        <v/>
      </c>
      <c r="O28">
        <f>IF(INDEX(Suivi!$B:$B,29)="","",INDEX(Suivi!$B:$B,29))</f>
        <v/>
      </c>
      <c r="P28">
        <f>IF($O28="","",IF(INDEX(Suivi!$D:$D,29)="",INDEX(Suivi!$C:$C,29),INDEX(Suivi!$D:$D,29)))</f>
        <v/>
      </c>
      <c r="Q28">
        <f>IF($O28="","",INDEX(Suivi!$E:$E,29))</f>
        <v/>
      </c>
      <c r="R28">
        <f>IF($O28="","",INDEX(Suivi!$F:$F,29))</f>
        <v/>
      </c>
      <c r="S28">
        <f>IF($O28="","",INDEX(Suivi!$G:$G,29))</f>
        <v/>
      </c>
      <c r="T28">
        <f>IF($O28="","",IF(INDEX(Dossiers!$F$4:$F$63,1)="","",INDEX(Dossiers!$F$4:$F$63,1)))</f>
        <v/>
      </c>
      <c r="U28">
        <f>IF($O28="","",IF(INDEX(Dossiers!$G$4:$G$63,1)="","",INDEX(Dossiers!$G$4:$G$63,1)))</f>
        <v/>
      </c>
      <c r="V28">
        <f>IF(OR($O28="",NOT(ISNUMBER($Q28))),"",$Q28*1000000+28)</f>
        <v/>
      </c>
      <c r="W28" s="29">
        <f>IF($B28="","",IFERROR(INDEX($U$4:$U$3183,MATCH(SMALL($V$4:$V$3183,25),$V$4:$V$3183,0)),""))</f>
        <v/>
      </c>
    </row>
    <row r="29">
      <c r="A29">
        <f>IFERROR(INDEX($N$4:$N$3183,MATCH(SMALL($V$4:$V$3183,26),$V$4:$V$3183,0)),"")</f>
        <v/>
      </c>
      <c r="B29">
        <f>IFERROR(INDEX($O$4:$O$3183,MATCH(SMALL($V$4:$V$3183,26),$V$4:$V$3183,0)),"")</f>
        <v/>
      </c>
      <c r="C29">
        <f>IFERROR(INDEX($P$4:$P$3183,MATCH(SMALL($V$4:$V$3183,26),$V$4:$V$3183,0)),"")</f>
        <v/>
      </c>
      <c r="D29" s="29">
        <f>IFERROR(INDEX($Q$4:$Q$3183,MATCH(SMALL($V$4:$V$3183,26),$V$4:$V$3183,0)),"")</f>
        <v/>
      </c>
      <c r="E29" s="29">
        <f>IFERROR(INDEX($R$4:$R$3183,MATCH(SMALL($V$4:$V$3183,26),$V$4:$V$3183,0)),"")</f>
        <v/>
      </c>
      <c r="F29">
        <f>IFERROR(INDEX($S$4:$S$3183,MATCH(SMALL($V$4:$V$3183,26),$V$4:$V$3183,0)),"")</f>
        <v/>
      </c>
      <c r="I29" s="29">
        <f>IF($B29="","",IFERROR(INDEX($U$4:$U$3183,MATCH(SMALL($V$4:$V$3183,26),$V$4:$V$3183,0)),""))</f>
        <v/>
      </c>
      <c r="J29">
        <f>IF($B29="","",IF($D29&gt;$F$2,"À venir",IF($E29&lt;$D$2,"Passé","Dans la période")))</f>
        <v/>
      </c>
      <c r="K29">
        <f>IF(OR($B29="",NOT(ISNUMBER($D29))),"",IF(AND($E29&lt;$D$2,$G29&lt;&gt;"X",$F29&lt;&gt;"Réalisé",$F29&lt;&gt;"Clôturé"),"RETARD",""))</f>
        <v/>
      </c>
      <c r="L29">
        <f>IF(OR($B29="",NOT(ISNUMBER($D29))),"",IF(AND($D29&gt;=$D$2,$D29&lt;=$H$2,$G29&lt;&gt;"X",$F29&lt;&gt;"Réalisé",$F29&lt;&gt;"Clôturé"),"≤ 7 j",""))</f>
        <v/>
      </c>
      <c r="M29" s="29">
        <f>IF($B29="","",IFERROR(INDEX($T$4:$T$3183,MATCH(SMALL($V$4:$V$3183,26),$V$4:$V$3183,0)),""))</f>
        <v/>
      </c>
      <c r="O29">
        <f>IF(INDEX(Suivi!$B:$B,30)="","",INDEX(Suivi!$B:$B,30))</f>
        <v/>
      </c>
      <c r="P29">
        <f>IF($O29="","",IF(INDEX(Suivi!$D:$D,30)="",INDEX(Suivi!$C:$C,30),INDEX(Suivi!$D:$D,30)))</f>
        <v/>
      </c>
      <c r="Q29">
        <f>IF($O29="","",INDEX(Suivi!$E:$E,30))</f>
        <v/>
      </c>
      <c r="R29">
        <f>IF($O29="","",INDEX(Suivi!$F:$F,30))</f>
        <v/>
      </c>
      <c r="S29">
        <f>IF($O29="","",INDEX(Suivi!$G:$G,30))</f>
        <v/>
      </c>
      <c r="T29">
        <f>IF($O29="","",IF(INDEX(Dossiers!$F$4:$F$63,1)="","",INDEX(Dossiers!$F$4:$F$63,1)))</f>
        <v/>
      </c>
      <c r="U29">
        <f>IF($O29="","",IF(INDEX(Dossiers!$G$4:$G$63,1)="","",INDEX(Dossiers!$G$4:$G$63,1)))</f>
        <v/>
      </c>
      <c r="V29">
        <f>IF(OR($O29="",NOT(ISNUMBER($Q29))),"",$Q29*1000000+29)</f>
        <v/>
      </c>
      <c r="W29" s="29">
        <f>IF($B29="","",IFERROR(INDEX($U$4:$U$3183,MATCH(SMALL($V$4:$V$3183,26),$V$4:$V$3183,0)),""))</f>
        <v/>
      </c>
    </row>
    <row r="30">
      <c r="A30">
        <f>IFERROR(INDEX($N$4:$N$3183,MATCH(SMALL($V$4:$V$3183,27),$V$4:$V$3183,0)),"")</f>
        <v/>
      </c>
      <c r="B30">
        <f>IFERROR(INDEX($O$4:$O$3183,MATCH(SMALL($V$4:$V$3183,27),$V$4:$V$3183,0)),"")</f>
        <v/>
      </c>
      <c r="C30">
        <f>IFERROR(INDEX($P$4:$P$3183,MATCH(SMALL($V$4:$V$3183,27),$V$4:$V$3183,0)),"")</f>
        <v/>
      </c>
      <c r="D30" s="29">
        <f>IFERROR(INDEX($Q$4:$Q$3183,MATCH(SMALL($V$4:$V$3183,27),$V$4:$V$3183,0)),"")</f>
        <v/>
      </c>
      <c r="E30" s="29">
        <f>IFERROR(INDEX($R$4:$R$3183,MATCH(SMALL($V$4:$V$3183,27),$V$4:$V$3183,0)),"")</f>
        <v/>
      </c>
      <c r="F30">
        <f>IFERROR(INDEX($S$4:$S$3183,MATCH(SMALL($V$4:$V$3183,27),$V$4:$V$3183,0)),"")</f>
        <v/>
      </c>
      <c r="I30" s="29">
        <f>IF($B30="","",IFERROR(INDEX($U$4:$U$3183,MATCH(SMALL($V$4:$V$3183,27),$V$4:$V$3183,0)),""))</f>
        <v/>
      </c>
      <c r="J30">
        <f>IF($B30="","",IF($D30&gt;$F$2,"À venir",IF($E30&lt;$D$2,"Passé","Dans la période")))</f>
        <v/>
      </c>
      <c r="K30">
        <f>IF(OR($B30="",NOT(ISNUMBER($D30))),"",IF(AND($E30&lt;$D$2,$G30&lt;&gt;"X",$F30&lt;&gt;"Réalisé",$F30&lt;&gt;"Clôturé"),"RETARD",""))</f>
        <v/>
      </c>
      <c r="L30">
        <f>IF(OR($B30="",NOT(ISNUMBER($D30))),"",IF(AND($D30&gt;=$D$2,$D30&lt;=$H$2,$G30&lt;&gt;"X",$F30&lt;&gt;"Réalisé",$F30&lt;&gt;"Clôturé"),"≤ 7 j",""))</f>
        <v/>
      </c>
      <c r="M30" s="29">
        <f>IF($B30="","",IFERROR(INDEX($T$4:$T$3183,MATCH(SMALL($V$4:$V$3183,27),$V$4:$V$3183,0)),""))</f>
        <v/>
      </c>
      <c r="O30">
        <f>IF(INDEX(Suivi!$B:$B,31)="","",INDEX(Suivi!$B:$B,31))</f>
        <v/>
      </c>
      <c r="P30">
        <f>IF($O30="","",IF(INDEX(Suivi!$D:$D,31)="",INDEX(Suivi!$C:$C,31),INDEX(Suivi!$D:$D,31)))</f>
        <v/>
      </c>
      <c r="Q30">
        <f>IF($O30="","",INDEX(Suivi!$E:$E,31))</f>
        <v/>
      </c>
      <c r="R30">
        <f>IF($O30="","",INDEX(Suivi!$F:$F,31))</f>
        <v/>
      </c>
      <c r="S30">
        <f>IF($O30="","",INDEX(Suivi!$G:$G,31))</f>
        <v/>
      </c>
      <c r="T30">
        <f>IF($O30="","",IF(INDEX(Dossiers!$F$4:$F$63,1)="","",INDEX(Dossiers!$F$4:$F$63,1)))</f>
        <v/>
      </c>
      <c r="U30">
        <f>IF($O30="","",IF(INDEX(Dossiers!$G$4:$G$63,1)="","",INDEX(Dossiers!$G$4:$G$63,1)))</f>
        <v/>
      </c>
      <c r="V30">
        <f>IF(OR($O30="",NOT(ISNUMBER($Q30))),"",$Q30*1000000+30)</f>
        <v/>
      </c>
      <c r="W30" s="29">
        <f>IF($B30="","",IFERROR(INDEX($U$4:$U$3183,MATCH(SMALL($V$4:$V$3183,27),$V$4:$V$3183,0)),""))</f>
        <v/>
      </c>
    </row>
    <row r="31">
      <c r="A31">
        <f>IFERROR(INDEX($N$4:$N$3183,MATCH(SMALL($V$4:$V$3183,28),$V$4:$V$3183,0)),"")</f>
        <v/>
      </c>
      <c r="B31">
        <f>IFERROR(INDEX($O$4:$O$3183,MATCH(SMALL($V$4:$V$3183,28),$V$4:$V$3183,0)),"")</f>
        <v/>
      </c>
      <c r="C31">
        <f>IFERROR(INDEX($P$4:$P$3183,MATCH(SMALL($V$4:$V$3183,28),$V$4:$V$3183,0)),"")</f>
        <v/>
      </c>
      <c r="D31" s="29">
        <f>IFERROR(INDEX($Q$4:$Q$3183,MATCH(SMALL($V$4:$V$3183,28),$V$4:$V$3183,0)),"")</f>
        <v/>
      </c>
      <c r="E31" s="29">
        <f>IFERROR(INDEX($R$4:$R$3183,MATCH(SMALL($V$4:$V$3183,28),$V$4:$V$3183,0)),"")</f>
        <v/>
      </c>
      <c r="F31">
        <f>IFERROR(INDEX($S$4:$S$3183,MATCH(SMALL($V$4:$V$3183,28),$V$4:$V$3183,0)),"")</f>
        <v/>
      </c>
      <c r="I31" s="29">
        <f>IF($B31="","",IFERROR(INDEX($U$4:$U$3183,MATCH(SMALL($V$4:$V$3183,28),$V$4:$V$3183,0)),""))</f>
        <v/>
      </c>
      <c r="J31">
        <f>IF($B31="","",IF($D31&gt;$F$2,"À venir",IF($E31&lt;$D$2,"Passé","Dans la période")))</f>
        <v/>
      </c>
      <c r="K31">
        <f>IF(OR($B31="",NOT(ISNUMBER($D31))),"",IF(AND($E31&lt;$D$2,$G31&lt;&gt;"X",$F31&lt;&gt;"Réalisé",$F31&lt;&gt;"Clôturé"),"RETARD",""))</f>
        <v/>
      </c>
      <c r="L31">
        <f>IF(OR($B31="",NOT(ISNUMBER($D31))),"",IF(AND($D31&gt;=$D$2,$D31&lt;=$H$2,$G31&lt;&gt;"X",$F31&lt;&gt;"Réalisé",$F31&lt;&gt;"Clôturé"),"≤ 7 j",""))</f>
        <v/>
      </c>
      <c r="M31" s="29">
        <f>IF($B31="","",IFERROR(INDEX($T$4:$T$3183,MATCH(SMALL($V$4:$V$3183,28),$V$4:$V$3183,0)),""))</f>
        <v/>
      </c>
      <c r="O31">
        <f>IF(INDEX(Suivi!$B:$B,32)="","",INDEX(Suivi!$B:$B,32))</f>
        <v/>
      </c>
      <c r="P31">
        <f>IF($O31="","",IF(INDEX(Suivi!$D:$D,32)="",INDEX(Suivi!$C:$C,32),INDEX(Suivi!$D:$D,32)))</f>
        <v/>
      </c>
      <c r="Q31">
        <f>IF($O31="","",INDEX(Suivi!$E:$E,32))</f>
        <v/>
      </c>
      <c r="R31">
        <f>IF($O31="","",INDEX(Suivi!$F:$F,32))</f>
        <v/>
      </c>
      <c r="S31">
        <f>IF($O31="","",INDEX(Suivi!$G:$G,32))</f>
        <v/>
      </c>
      <c r="T31">
        <f>IF($O31="","",IF(INDEX(Dossiers!$F$4:$F$63,1)="","",INDEX(Dossiers!$F$4:$F$63,1)))</f>
        <v/>
      </c>
      <c r="U31">
        <f>IF($O31="","",IF(INDEX(Dossiers!$G$4:$G$63,1)="","",INDEX(Dossiers!$G$4:$G$63,1)))</f>
        <v/>
      </c>
      <c r="V31">
        <f>IF(OR($O31="",NOT(ISNUMBER($Q31))),"",$Q31*1000000+31)</f>
        <v/>
      </c>
      <c r="W31" s="29">
        <f>IF($B31="","",IFERROR(INDEX($U$4:$U$3183,MATCH(SMALL($V$4:$V$3183,28),$V$4:$V$3183,0)),""))</f>
        <v/>
      </c>
    </row>
    <row r="32">
      <c r="A32">
        <f>IFERROR(INDEX($N$4:$N$3183,MATCH(SMALL($V$4:$V$3183,29),$V$4:$V$3183,0)),"")</f>
        <v/>
      </c>
      <c r="B32">
        <f>IFERROR(INDEX($O$4:$O$3183,MATCH(SMALL($V$4:$V$3183,29),$V$4:$V$3183,0)),"")</f>
        <v/>
      </c>
      <c r="C32">
        <f>IFERROR(INDEX($P$4:$P$3183,MATCH(SMALL($V$4:$V$3183,29),$V$4:$V$3183,0)),"")</f>
        <v/>
      </c>
      <c r="D32" s="29">
        <f>IFERROR(INDEX($Q$4:$Q$3183,MATCH(SMALL($V$4:$V$3183,29),$V$4:$V$3183,0)),"")</f>
        <v/>
      </c>
      <c r="E32" s="29">
        <f>IFERROR(INDEX($R$4:$R$3183,MATCH(SMALL($V$4:$V$3183,29),$V$4:$V$3183,0)),"")</f>
        <v/>
      </c>
      <c r="F32">
        <f>IFERROR(INDEX($S$4:$S$3183,MATCH(SMALL($V$4:$V$3183,29),$V$4:$V$3183,0)),"")</f>
        <v/>
      </c>
      <c r="I32" s="29">
        <f>IF($B32="","",IFERROR(INDEX($U$4:$U$3183,MATCH(SMALL($V$4:$V$3183,29),$V$4:$V$3183,0)),""))</f>
        <v/>
      </c>
      <c r="J32">
        <f>IF($B32="","",IF($D32&gt;$F$2,"À venir",IF($E32&lt;$D$2,"Passé","Dans la période")))</f>
        <v/>
      </c>
      <c r="K32">
        <f>IF(OR($B32="",NOT(ISNUMBER($D32))),"",IF(AND($E32&lt;$D$2,$G32&lt;&gt;"X",$F32&lt;&gt;"Réalisé",$F32&lt;&gt;"Clôturé"),"RETARD",""))</f>
        <v/>
      </c>
      <c r="L32">
        <f>IF(OR($B32="",NOT(ISNUMBER($D32))),"",IF(AND($D32&gt;=$D$2,$D32&lt;=$H$2,$G32&lt;&gt;"X",$F32&lt;&gt;"Réalisé",$F32&lt;&gt;"Clôturé"),"≤ 7 j",""))</f>
        <v/>
      </c>
      <c r="M32" s="29">
        <f>IF($B32="","",IFERROR(INDEX($T$4:$T$3183,MATCH(SMALL($V$4:$V$3183,29),$V$4:$V$3183,0)),""))</f>
        <v/>
      </c>
      <c r="O32">
        <f>IF(INDEX(Suivi!$B:$B,33)="","",INDEX(Suivi!$B:$B,33))</f>
        <v/>
      </c>
      <c r="P32">
        <f>IF($O32="","",IF(INDEX(Suivi!$D:$D,33)="",INDEX(Suivi!$C:$C,33),INDEX(Suivi!$D:$D,33)))</f>
        <v/>
      </c>
      <c r="Q32">
        <f>IF($O32="","",INDEX(Suivi!$E:$E,33))</f>
        <v/>
      </c>
      <c r="R32">
        <f>IF($O32="","",INDEX(Suivi!$F:$F,33))</f>
        <v/>
      </c>
      <c r="S32">
        <f>IF($O32="","",INDEX(Suivi!$G:$G,33))</f>
        <v/>
      </c>
      <c r="T32">
        <f>IF($O32="","",IF(INDEX(Dossiers!$F$4:$F$63,1)="","",INDEX(Dossiers!$F$4:$F$63,1)))</f>
        <v/>
      </c>
      <c r="U32">
        <f>IF($O32="","",IF(INDEX(Dossiers!$G$4:$G$63,1)="","",INDEX(Dossiers!$G$4:$G$63,1)))</f>
        <v/>
      </c>
      <c r="V32">
        <f>IF(OR($O32="",NOT(ISNUMBER($Q32))),"",$Q32*1000000+32)</f>
        <v/>
      </c>
      <c r="W32" s="29">
        <f>IF($B32="","",IFERROR(INDEX($U$4:$U$3183,MATCH(SMALL($V$4:$V$3183,29),$V$4:$V$3183,0)),""))</f>
        <v/>
      </c>
    </row>
    <row r="33">
      <c r="A33">
        <f>IFERROR(INDEX($N$4:$N$3183,MATCH(SMALL($V$4:$V$3183,30),$V$4:$V$3183,0)),"")</f>
        <v/>
      </c>
      <c r="B33">
        <f>IFERROR(INDEX($O$4:$O$3183,MATCH(SMALL($V$4:$V$3183,30),$V$4:$V$3183,0)),"")</f>
        <v/>
      </c>
      <c r="C33">
        <f>IFERROR(INDEX($P$4:$P$3183,MATCH(SMALL($V$4:$V$3183,30),$V$4:$V$3183,0)),"")</f>
        <v/>
      </c>
      <c r="D33" s="29">
        <f>IFERROR(INDEX($Q$4:$Q$3183,MATCH(SMALL($V$4:$V$3183,30),$V$4:$V$3183,0)),"")</f>
        <v/>
      </c>
      <c r="E33" s="29">
        <f>IFERROR(INDEX($R$4:$R$3183,MATCH(SMALL($V$4:$V$3183,30),$V$4:$V$3183,0)),"")</f>
        <v/>
      </c>
      <c r="F33">
        <f>IFERROR(INDEX($S$4:$S$3183,MATCH(SMALL($V$4:$V$3183,30),$V$4:$V$3183,0)),"")</f>
        <v/>
      </c>
      <c r="I33" s="29">
        <f>IF($B33="","",IFERROR(INDEX($U$4:$U$3183,MATCH(SMALL($V$4:$V$3183,30),$V$4:$V$3183,0)),""))</f>
        <v/>
      </c>
      <c r="J33">
        <f>IF($B33="","",IF($D33&gt;$F$2,"À venir",IF($E33&lt;$D$2,"Passé","Dans la période")))</f>
        <v/>
      </c>
      <c r="K33">
        <f>IF(OR($B33="",NOT(ISNUMBER($D33))),"",IF(AND($E33&lt;$D$2,$G33&lt;&gt;"X",$F33&lt;&gt;"Réalisé",$F33&lt;&gt;"Clôturé"),"RETARD",""))</f>
        <v/>
      </c>
      <c r="L33">
        <f>IF(OR($B33="",NOT(ISNUMBER($D33))),"",IF(AND($D33&gt;=$D$2,$D33&lt;=$H$2,$G33&lt;&gt;"X",$F33&lt;&gt;"Réalisé",$F33&lt;&gt;"Clôturé"),"≤ 7 j",""))</f>
        <v/>
      </c>
      <c r="M33" s="29">
        <f>IF($B33="","",IFERROR(INDEX($T$4:$T$3183,MATCH(SMALL($V$4:$V$3183,30),$V$4:$V$3183,0)),""))</f>
        <v/>
      </c>
      <c r="O33">
        <f>IF(INDEX(Suivi!$B:$B,34)="","",INDEX(Suivi!$B:$B,34))</f>
        <v/>
      </c>
      <c r="P33">
        <f>IF($O33="","",IF(INDEX(Suivi!$D:$D,34)="",INDEX(Suivi!$C:$C,34),INDEX(Suivi!$D:$D,34)))</f>
        <v/>
      </c>
      <c r="Q33">
        <f>IF($O33="","",INDEX(Suivi!$E:$E,34))</f>
        <v/>
      </c>
      <c r="R33">
        <f>IF($O33="","",INDEX(Suivi!$F:$F,34))</f>
        <v/>
      </c>
      <c r="S33">
        <f>IF($O33="","",INDEX(Suivi!$G:$G,34))</f>
        <v/>
      </c>
      <c r="T33">
        <f>IF($O33="","",IF(INDEX(Dossiers!$F$4:$F$63,1)="","",INDEX(Dossiers!$F$4:$F$63,1)))</f>
        <v/>
      </c>
      <c r="U33">
        <f>IF($O33="","",IF(INDEX(Dossiers!$G$4:$G$63,1)="","",INDEX(Dossiers!$G$4:$G$63,1)))</f>
        <v/>
      </c>
      <c r="V33">
        <f>IF(OR($O33="",NOT(ISNUMBER($Q33))),"",$Q33*1000000+33)</f>
        <v/>
      </c>
      <c r="W33" s="29">
        <f>IF($B33="","",IFERROR(INDEX($U$4:$U$3183,MATCH(SMALL($V$4:$V$3183,30),$V$4:$V$3183,0)),""))</f>
        <v/>
      </c>
    </row>
    <row r="34">
      <c r="A34">
        <f>IFERROR(INDEX($N$4:$N$3183,MATCH(SMALL($V$4:$V$3183,31),$V$4:$V$3183,0)),"")</f>
        <v/>
      </c>
      <c r="B34">
        <f>IFERROR(INDEX($O$4:$O$3183,MATCH(SMALL($V$4:$V$3183,31),$V$4:$V$3183,0)),"")</f>
        <v/>
      </c>
      <c r="C34">
        <f>IFERROR(INDEX($P$4:$P$3183,MATCH(SMALL($V$4:$V$3183,31),$V$4:$V$3183,0)),"")</f>
        <v/>
      </c>
      <c r="D34" s="29">
        <f>IFERROR(INDEX($Q$4:$Q$3183,MATCH(SMALL($V$4:$V$3183,31),$V$4:$V$3183,0)),"")</f>
        <v/>
      </c>
      <c r="E34" s="29">
        <f>IFERROR(INDEX($R$4:$R$3183,MATCH(SMALL($V$4:$V$3183,31),$V$4:$V$3183,0)),"")</f>
        <v/>
      </c>
      <c r="F34">
        <f>IFERROR(INDEX($S$4:$S$3183,MATCH(SMALL($V$4:$V$3183,31),$V$4:$V$3183,0)),"")</f>
        <v/>
      </c>
      <c r="I34" s="29">
        <f>IF($B34="","",IFERROR(INDEX($U$4:$U$3183,MATCH(SMALL($V$4:$V$3183,31),$V$4:$V$3183,0)),""))</f>
        <v/>
      </c>
      <c r="J34">
        <f>IF($B34="","",IF($D34&gt;$F$2,"À venir",IF($E34&lt;$D$2,"Passé","Dans la période")))</f>
        <v/>
      </c>
      <c r="K34">
        <f>IF(OR($B34="",NOT(ISNUMBER($D34))),"",IF(AND($E34&lt;$D$2,$G34&lt;&gt;"X",$F34&lt;&gt;"Réalisé",$F34&lt;&gt;"Clôturé"),"RETARD",""))</f>
        <v/>
      </c>
      <c r="L34">
        <f>IF(OR($B34="",NOT(ISNUMBER($D34))),"",IF(AND($D34&gt;=$D$2,$D34&lt;=$H$2,$G34&lt;&gt;"X",$F34&lt;&gt;"Réalisé",$F34&lt;&gt;"Clôturé"),"≤ 7 j",""))</f>
        <v/>
      </c>
      <c r="M34" s="29">
        <f>IF($B34="","",IFERROR(INDEX($T$4:$T$3183,MATCH(SMALL($V$4:$V$3183,31),$V$4:$V$3183,0)),""))</f>
        <v/>
      </c>
      <c r="O34">
        <f>IF(INDEX(Suivi!$B:$B,35)="","",INDEX(Suivi!$B:$B,35))</f>
        <v/>
      </c>
      <c r="P34">
        <f>IF($O34="","",IF(INDEX(Suivi!$D:$D,35)="",INDEX(Suivi!$C:$C,35),INDEX(Suivi!$D:$D,35)))</f>
        <v/>
      </c>
      <c r="Q34">
        <f>IF($O34="","",INDEX(Suivi!$E:$E,35))</f>
        <v/>
      </c>
      <c r="R34">
        <f>IF($O34="","",INDEX(Suivi!$F:$F,35))</f>
        <v/>
      </c>
      <c r="S34">
        <f>IF($O34="","",INDEX(Suivi!$G:$G,35))</f>
        <v/>
      </c>
      <c r="T34">
        <f>IF($O34="","",IF(INDEX(Dossiers!$F$4:$F$63,1)="","",INDEX(Dossiers!$F$4:$F$63,1)))</f>
        <v/>
      </c>
      <c r="U34">
        <f>IF($O34="","",IF(INDEX(Dossiers!$G$4:$G$63,1)="","",INDEX(Dossiers!$G$4:$G$63,1)))</f>
        <v/>
      </c>
      <c r="V34">
        <f>IF(OR($O34="",NOT(ISNUMBER($Q34))),"",$Q34*1000000+34)</f>
        <v/>
      </c>
      <c r="W34" s="29">
        <f>IF($B34="","",IFERROR(INDEX($U$4:$U$3183,MATCH(SMALL($V$4:$V$3183,31),$V$4:$V$3183,0)),""))</f>
        <v/>
      </c>
    </row>
    <row r="35">
      <c r="A35">
        <f>IFERROR(INDEX($N$4:$N$3183,MATCH(SMALL($V$4:$V$3183,32),$V$4:$V$3183,0)),"")</f>
        <v/>
      </c>
      <c r="B35">
        <f>IFERROR(INDEX($O$4:$O$3183,MATCH(SMALL($V$4:$V$3183,32),$V$4:$V$3183,0)),"")</f>
        <v/>
      </c>
      <c r="C35">
        <f>IFERROR(INDEX($P$4:$P$3183,MATCH(SMALL($V$4:$V$3183,32),$V$4:$V$3183,0)),"")</f>
        <v/>
      </c>
      <c r="D35" s="29">
        <f>IFERROR(INDEX($Q$4:$Q$3183,MATCH(SMALL($V$4:$V$3183,32),$V$4:$V$3183,0)),"")</f>
        <v/>
      </c>
      <c r="E35" s="29">
        <f>IFERROR(INDEX($R$4:$R$3183,MATCH(SMALL($V$4:$V$3183,32),$V$4:$V$3183,0)),"")</f>
        <v/>
      </c>
      <c r="F35">
        <f>IFERROR(INDEX($S$4:$S$3183,MATCH(SMALL($V$4:$V$3183,32),$V$4:$V$3183,0)),"")</f>
        <v/>
      </c>
      <c r="I35" s="29">
        <f>IF($B35="","",IFERROR(INDEX($U$4:$U$3183,MATCH(SMALL($V$4:$V$3183,32),$V$4:$V$3183,0)),""))</f>
        <v/>
      </c>
      <c r="J35">
        <f>IF($B35="","",IF($D35&gt;$F$2,"À venir",IF($E35&lt;$D$2,"Passé","Dans la période")))</f>
        <v/>
      </c>
      <c r="K35">
        <f>IF(OR($B35="",NOT(ISNUMBER($D35))),"",IF(AND($E35&lt;$D$2,$G35&lt;&gt;"X",$F35&lt;&gt;"Réalisé",$F35&lt;&gt;"Clôturé"),"RETARD",""))</f>
        <v/>
      </c>
      <c r="L35">
        <f>IF(OR($B35="",NOT(ISNUMBER($D35))),"",IF(AND($D35&gt;=$D$2,$D35&lt;=$H$2,$G35&lt;&gt;"X",$F35&lt;&gt;"Réalisé",$F35&lt;&gt;"Clôturé"),"≤ 7 j",""))</f>
        <v/>
      </c>
      <c r="M35" s="29">
        <f>IF($B35="","",IFERROR(INDEX($T$4:$T$3183,MATCH(SMALL($V$4:$V$3183,32),$V$4:$V$3183,0)),""))</f>
        <v/>
      </c>
      <c r="O35">
        <f>IF(INDEX(Suivi!$B:$B,36)="","",INDEX(Suivi!$B:$B,36))</f>
        <v/>
      </c>
      <c r="P35">
        <f>IF($O35="","",IF(INDEX(Suivi!$D:$D,36)="",INDEX(Suivi!$C:$C,36),INDEX(Suivi!$D:$D,36)))</f>
        <v/>
      </c>
      <c r="Q35">
        <f>IF($O35="","",INDEX(Suivi!$E:$E,36))</f>
        <v/>
      </c>
      <c r="R35">
        <f>IF($O35="","",INDEX(Suivi!$F:$F,36))</f>
        <v/>
      </c>
      <c r="S35">
        <f>IF($O35="","",INDEX(Suivi!$G:$G,36))</f>
        <v/>
      </c>
      <c r="T35">
        <f>IF($O35="","",IF(INDEX(Dossiers!$F$4:$F$63,1)="","",INDEX(Dossiers!$F$4:$F$63,1)))</f>
        <v/>
      </c>
      <c r="U35">
        <f>IF($O35="","",IF(INDEX(Dossiers!$G$4:$G$63,1)="","",INDEX(Dossiers!$G$4:$G$63,1)))</f>
        <v/>
      </c>
      <c r="V35">
        <f>IF(OR($O35="",NOT(ISNUMBER($Q35))),"",$Q35*1000000+35)</f>
        <v/>
      </c>
      <c r="W35" s="29">
        <f>IF($B35="","",IFERROR(INDEX($U$4:$U$3183,MATCH(SMALL($V$4:$V$3183,32),$V$4:$V$3183,0)),""))</f>
        <v/>
      </c>
    </row>
    <row r="36">
      <c r="A36">
        <f>IFERROR(INDEX($N$4:$N$3183,MATCH(SMALL($V$4:$V$3183,33),$V$4:$V$3183,0)),"")</f>
        <v/>
      </c>
      <c r="B36">
        <f>IFERROR(INDEX($O$4:$O$3183,MATCH(SMALL($V$4:$V$3183,33),$V$4:$V$3183,0)),"")</f>
        <v/>
      </c>
      <c r="C36">
        <f>IFERROR(INDEX($P$4:$P$3183,MATCH(SMALL($V$4:$V$3183,33),$V$4:$V$3183,0)),"")</f>
        <v/>
      </c>
      <c r="D36" s="29">
        <f>IFERROR(INDEX($Q$4:$Q$3183,MATCH(SMALL($V$4:$V$3183,33),$V$4:$V$3183,0)),"")</f>
        <v/>
      </c>
      <c r="E36" s="29">
        <f>IFERROR(INDEX($R$4:$R$3183,MATCH(SMALL($V$4:$V$3183,33),$V$4:$V$3183,0)),"")</f>
        <v/>
      </c>
      <c r="F36">
        <f>IFERROR(INDEX($S$4:$S$3183,MATCH(SMALL($V$4:$V$3183,33),$V$4:$V$3183,0)),"")</f>
        <v/>
      </c>
      <c r="I36" s="29">
        <f>IF($B36="","",IFERROR(INDEX($U$4:$U$3183,MATCH(SMALL($V$4:$V$3183,33),$V$4:$V$3183,0)),""))</f>
        <v/>
      </c>
      <c r="J36">
        <f>IF($B36="","",IF($D36&gt;$F$2,"À venir",IF($E36&lt;$D$2,"Passé","Dans la période")))</f>
        <v/>
      </c>
      <c r="K36">
        <f>IF(OR($B36="",NOT(ISNUMBER($D36))),"",IF(AND($E36&lt;$D$2,$G36&lt;&gt;"X",$F36&lt;&gt;"Réalisé",$F36&lt;&gt;"Clôturé"),"RETARD",""))</f>
        <v/>
      </c>
      <c r="L36">
        <f>IF(OR($B36="",NOT(ISNUMBER($D36))),"",IF(AND($D36&gt;=$D$2,$D36&lt;=$H$2,$G36&lt;&gt;"X",$F36&lt;&gt;"Réalisé",$F36&lt;&gt;"Clôturé"),"≤ 7 j",""))</f>
        <v/>
      </c>
      <c r="M36" s="29">
        <f>IF($B36="","",IFERROR(INDEX($T$4:$T$3183,MATCH(SMALL($V$4:$V$3183,33),$V$4:$V$3183,0)),""))</f>
        <v/>
      </c>
      <c r="O36">
        <f>IF(INDEX(Suivi!$B:$B,37)="","",INDEX(Suivi!$B:$B,37))</f>
        <v/>
      </c>
      <c r="P36">
        <f>IF($O36="","",IF(INDEX(Suivi!$D:$D,37)="",INDEX(Suivi!$C:$C,37),INDEX(Suivi!$D:$D,37)))</f>
        <v/>
      </c>
      <c r="Q36">
        <f>IF($O36="","",INDEX(Suivi!$E:$E,37))</f>
        <v/>
      </c>
      <c r="R36">
        <f>IF($O36="","",INDEX(Suivi!$F:$F,37))</f>
        <v/>
      </c>
      <c r="S36">
        <f>IF($O36="","",INDEX(Suivi!$G:$G,37))</f>
        <v/>
      </c>
      <c r="T36">
        <f>IF($O36="","",IF(INDEX(Dossiers!$F$4:$F$63,1)="","",INDEX(Dossiers!$F$4:$F$63,1)))</f>
        <v/>
      </c>
      <c r="U36">
        <f>IF($O36="","",IF(INDEX(Dossiers!$G$4:$G$63,1)="","",INDEX(Dossiers!$G$4:$G$63,1)))</f>
        <v/>
      </c>
      <c r="V36">
        <f>IF(OR($O36="",NOT(ISNUMBER($Q36))),"",$Q36*1000000+36)</f>
        <v/>
      </c>
      <c r="W36" s="29">
        <f>IF($B36="","",IFERROR(INDEX($U$4:$U$3183,MATCH(SMALL($V$4:$V$3183,33),$V$4:$V$3183,0)),""))</f>
        <v/>
      </c>
    </row>
    <row r="37">
      <c r="A37">
        <f>IFERROR(INDEX($N$4:$N$3183,MATCH(SMALL($V$4:$V$3183,34),$V$4:$V$3183,0)),"")</f>
        <v/>
      </c>
      <c r="B37">
        <f>IFERROR(INDEX($O$4:$O$3183,MATCH(SMALL($V$4:$V$3183,34),$V$4:$V$3183,0)),"")</f>
        <v/>
      </c>
      <c r="C37">
        <f>IFERROR(INDEX($P$4:$P$3183,MATCH(SMALL($V$4:$V$3183,34),$V$4:$V$3183,0)),"")</f>
        <v/>
      </c>
      <c r="D37" s="29">
        <f>IFERROR(INDEX($Q$4:$Q$3183,MATCH(SMALL($V$4:$V$3183,34),$V$4:$V$3183,0)),"")</f>
        <v/>
      </c>
      <c r="E37" s="29">
        <f>IFERROR(INDEX($R$4:$R$3183,MATCH(SMALL($V$4:$V$3183,34),$V$4:$V$3183,0)),"")</f>
        <v/>
      </c>
      <c r="F37">
        <f>IFERROR(INDEX($S$4:$S$3183,MATCH(SMALL($V$4:$V$3183,34),$V$4:$V$3183,0)),"")</f>
        <v/>
      </c>
      <c r="I37" s="29">
        <f>IF($B37="","",IFERROR(INDEX($U$4:$U$3183,MATCH(SMALL($V$4:$V$3183,34),$V$4:$V$3183,0)),""))</f>
        <v/>
      </c>
      <c r="J37">
        <f>IF($B37="","",IF($D37&gt;$F$2,"À venir",IF($E37&lt;$D$2,"Passé","Dans la période")))</f>
        <v/>
      </c>
      <c r="K37">
        <f>IF(OR($B37="",NOT(ISNUMBER($D37))),"",IF(AND($E37&lt;$D$2,$G37&lt;&gt;"X",$F37&lt;&gt;"Réalisé",$F37&lt;&gt;"Clôturé"),"RETARD",""))</f>
        <v/>
      </c>
      <c r="L37">
        <f>IF(OR($B37="",NOT(ISNUMBER($D37))),"",IF(AND($D37&gt;=$D$2,$D37&lt;=$H$2,$G37&lt;&gt;"X",$F37&lt;&gt;"Réalisé",$F37&lt;&gt;"Clôturé"),"≤ 7 j",""))</f>
        <v/>
      </c>
      <c r="M37" s="29">
        <f>IF($B37="","",IFERROR(INDEX($T$4:$T$3183,MATCH(SMALL($V$4:$V$3183,34),$V$4:$V$3183,0)),""))</f>
        <v/>
      </c>
      <c r="O37">
        <f>IF(INDEX(Suivi!$B:$B,38)="","",INDEX(Suivi!$B:$B,38))</f>
        <v/>
      </c>
      <c r="P37">
        <f>IF($O37="","",IF(INDEX(Suivi!$D:$D,38)="",INDEX(Suivi!$C:$C,38),INDEX(Suivi!$D:$D,38)))</f>
        <v/>
      </c>
      <c r="Q37">
        <f>IF($O37="","",INDEX(Suivi!$E:$E,38))</f>
        <v/>
      </c>
      <c r="R37">
        <f>IF($O37="","",INDEX(Suivi!$F:$F,38))</f>
        <v/>
      </c>
      <c r="S37">
        <f>IF($O37="","",INDEX(Suivi!$G:$G,38))</f>
        <v/>
      </c>
      <c r="T37">
        <f>IF($O37="","",IF(INDEX(Dossiers!$F$4:$F$63,1)="","",INDEX(Dossiers!$F$4:$F$63,1)))</f>
        <v/>
      </c>
      <c r="U37">
        <f>IF($O37="","",IF(INDEX(Dossiers!$G$4:$G$63,1)="","",INDEX(Dossiers!$G$4:$G$63,1)))</f>
        <v/>
      </c>
      <c r="V37">
        <f>IF(OR($O37="",NOT(ISNUMBER($Q37))),"",$Q37*1000000+37)</f>
        <v/>
      </c>
      <c r="W37" s="29">
        <f>IF($B37="","",IFERROR(INDEX($U$4:$U$3183,MATCH(SMALL($V$4:$V$3183,34),$V$4:$V$3183,0)),""))</f>
        <v/>
      </c>
    </row>
    <row r="38">
      <c r="A38">
        <f>IFERROR(INDEX($N$4:$N$3183,MATCH(SMALL($V$4:$V$3183,35),$V$4:$V$3183,0)),"")</f>
        <v/>
      </c>
      <c r="B38">
        <f>IFERROR(INDEX($O$4:$O$3183,MATCH(SMALL($V$4:$V$3183,35),$V$4:$V$3183,0)),"")</f>
        <v/>
      </c>
      <c r="C38">
        <f>IFERROR(INDEX($P$4:$P$3183,MATCH(SMALL($V$4:$V$3183,35),$V$4:$V$3183,0)),"")</f>
        <v/>
      </c>
      <c r="D38" s="29">
        <f>IFERROR(INDEX($Q$4:$Q$3183,MATCH(SMALL($V$4:$V$3183,35),$V$4:$V$3183,0)),"")</f>
        <v/>
      </c>
      <c r="E38" s="29">
        <f>IFERROR(INDEX($R$4:$R$3183,MATCH(SMALL($V$4:$V$3183,35),$V$4:$V$3183,0)),"")</f>
        <v/>
      </c>
      <c r="F38">
        <f>IFERROR(INDEX($S$4:$S$3183,MATCH(SMALL($V$4:$V$3183,35),$V$4:$V$3183,0)),"")</f>
        <v/>
      </c>
      <c r="I38" s="29">
        <f>IF($B38="","",IFERROR(INDEX($U$4:$U$3183,MATCH(SMALL($V$4:$V$3183,35),$V$4:$V$3183,0)),""))</f>
        <v/>
      </c>
      <c r="J38">
        <f>IF($B38="","",IF($D38&gt;$F$2,"À venir",IF($E38&lt;$D$2,"Passé","Dans la période")))</f>
        <v/>
      </c>
      <c r="K38">
        <f>IF(OR($B38="",NOT(ISNUMBER($D38))),"",IF(AND($E38&lt;$D$2,$G38&lt;&gt;"X",$F38&lt;&gt;"Réalisé",$F38&lt;&gt;"Clôturé"),"RETARD",""))</f>
        <v/>
      </c>
      <c r="L38">
        <f>IF(OR($B38="",NOT(ISNUMBER($D38))),"",IF(AND($D38&gt;=$D$2,$D38&lt;=$H$2,$G38&lt;&gt;"X",$F38&lt;&gt;"Réalisé",$F38&lt;&gt;"Clôturé"),"≤ 7 j",""))</f>
        <v/>
      </c>
      <c r="M38" s="29">
        <f>IF($B38="","",IFERROR(INDEX($T$4:$T$3183,MATCH(SMALL($V$4:$V$3183,35),$V$4:$V$3183,0)),""))</f>
        <v/>
      </c>
      <c r="O38">
        <f>IF(INDEX(Suivi!$B:$B,39)="","",INDEX(Suivi!$B:$B,39))</f>
        <v/>
      </c>
      <c r="P38">
        <f>IF($O38="","",IF(INDEX(Suivi!$D:$D,39)="",INDEX(Suivi!$C:$C,39),INDEX(Suivi!$D:$D,39)))</f>
        <v/>
      </c>
      <c r="Q38">
        <f>IF($O38="","",INDEX(Suivi!$E:$E,39))</f>
        <v/>
      </c>
      <c r="R38">
        <f>IF($O38="","",INDEX(Suivi!$F:$F,39))</f>
        <v/>
      </c>
      <c r="S38">
        <f>IF($O38="","",INDEX(Suivi!$G:$G,39))</f>
        <v/>
      </c>
      <c r="T38">
        <f>IF($O38="","",IF(INDEX(Dossiers!$F$4:$F$63,1)="","",INDEX(Dossiers!$F$4:$F$63,1)))</f>
        <v/>
      </c>
      <c r="U38">
        <f>IF($O38="","",IF(INDEX(Dossiers!$G$4:$G$63,1)="","",INDEX(Dossiers!$G$4:$G$63,1)))</f>
        <v/>
      </c>
      <c r="V38">
        <f>IF(OR($O38="",NOT(ISNUMBER($Q38))),"",$Q38*1000000+38)</f>
        <v/>
      </c>
      <c r="W38" s="29">
        <f>IF($B38="","",IFERROR(INDEX($U$4:$U$3183,MATCH(SMALL($V$4:$V$3183,35),$V$4:$V$3183,0)),""))</f>
        <v/>
      </c>
    </row>
    <row r="39">
      <c r="A39">
        <f>IFERROR(INDEX($N$4:$N$3183,MATCH(SMALL($V$4:$V$3183,36),$V$4:$V$3183,0)),"")</f>
        <v/>
      </c>
      <c r="B39">
        <f>IFERROR(INDEX($O$4:$O$3183,MATCH(SMALL($V$4:$V$3183,36),$V$4:$V$3183,0)),"")</f>
        <v/>
      </c>
      <c r="C39">
        <f>IFERROR(INDEX($P$4:$P$3183,MATCH(SMALL($V$4:$V$3183,36),$V$4:$V$3183,0)),"")</f>
        <v/>
      </c>
      <c r="D39" s="29">
        <f>IFERROR(INDEX($Q$4:$Q$3183,MATCH(SMALL($V$4:$V$3183,36),$V$4:$V$3183,0)),"")</f>
        <v/>
      </c>
      <c r="E39" s="29">
        <f>IFERROR(INDEX($R$4:$R$3183,MATCH(SMALL($V$4:$V$3183,36),$V$4:$V$3183,0)),"")</f>
        <v/>
      </c>
      <c r="F39">
        <f>IFERROR(INDEX($S$4:$S$3183,MATCH(SMALL($V$4:$V$3183,36),$V$4:$V$3183,0)),"")</f>
        <v/>
      </c>
      <c r="I39" s="29">
        <f>IF($B39="","",IFERROR(INDEX($U$4:$U$3183,MATCH(SMALL($V$4:$V$3183,36),$V$4:$V$3183,0)),""))</f>
        <v/>
      </c>
      <c r="J39">
        <f>IF($B39="","",IF($D39&gt;$F$2,"À venir",IF($E39&lt;$D$2,"Passé","Dans la période")))</f>
        <v/>
      </c>
      <c r="K39">
        <f>IF(OR($B39="",NOT(ISNUMBER($D39))),"",IF(AND($E39&lt;$D$2,$G39&lt;&gt;"X",$F39&lt;&gt;"Réalisé",$F39&lt;&gt;"Clôturé"),"RETARD",""))</f>
        <v/>
      </c>
      <c r="L39">
        <f>IF(OR($B39="",NOT(ISNUMBER($D39))),"",IF(AND($D39&gt;=$D$2,$D39&lt;=$H$2,$G39&lt;&gt;"X",$F39&lt;&gt;"Réalisé",$F39&lt;&gt;"Clôturé"),"≤ 7 j",""))</f>
        <v/>
      </c>
      <c r="M39" s="29">
        <f>IF($B39="","",IFERROR(INDEX($T$4:$T$3183,MATCH(SMALL($V$4:$V$3183,36),$V$4:$V$3183,0)),""))</f>
        <v/>
      </c>
      <c r="O39">
        <f>IF(INDEX(Suivi!$B:$B,40)="","",INDEX(Suivi!$B:$B,40))</f>
        <v/>
      </c>
      <c r="P39">
        <f>IF($O39="","",IF(INDEX(Suivi!$D:$D,40)="",INDEX(Suivi!$C:$C,40),INDEX(Suivi!$D:$D,40)))</f>
        <v/>
      </c>
      <c r="Q39">
        <f>IF($O39="","",INDEX(Suivi!$E:$E,40))</f>
        <v/>
      </c>
      <c r="R39">
        <f>IF($O39="","",INDEX(Suivi!$F:$F,40))</f>
        <v/>
      </c>
      <c r="S39">
        <f>IF($O39="","",INDEX(Suivi!$G:$G,40))</f>
        <v/>
      </c>
      <c r="T39">
        <f>IF($O39="","",IF(INDEX(Dossiers!$F$4:$F$63,1)="","",INDEX(Dossiers!$F$4:$F$63,1)))</f>
        <v/>
      </c>
      <c r="U39">
        <f>IF($O39="","",IF(INDEX(Dossiers!$G$4:$G$63,1)="","",INDEX(Dossiers!$G$4:$G$63,1)))</f>
        <v/>
      </c>
      <c r="V39">
        <f>IF(OR($O39="",NOT(ISNUMBER($Q39))),"",$Q39*1000000+39)</f>
        <v/>
      </c>
      <c r="W39" s="29">
        <f>IF($B39="","",IFERROR(INDEX($U$4:$U$3183,MATCH(SMALL($V$4:$V$3183,36),$V$4:$V$3183,0)),""))</f>
        <v/>
      </c>
    </row>
    <row r="40">
      <c r="A40">
        <f>IFERROR(INDEX($N$4:$N$3183,MATCH(SMALL($V$4:$V$3183,37),$V$4:$V$3183,0)),"")</f>
        <v/>
      </c>
      <c r="B40">
        <f>IFERROR(INDEX($O$4:$O$3183,MATCH(SMALL($V$4:$V$3183,37),$V$4:$V$3183,0)),"")</f>
        <v/>
      </c>
      <c r="C40">
        <f>IFERROR(INDEX($P$4:$P$3183,MATCH(SMALL($V$4:$V$3183,37),$V$4:$V$3183,0)),"")</f>
        <v/>
      </c>
      <c r="D40" s="29">
        <f>IFERROR(INDEX($Q$4:$Q$3183,MATCH(SMALL($V$4:$V$3183,37),$V$4:$V$3183,0)),"")</f>
        <v/>
      </c>
      <c r="E40" s="29">
        <f>IFERROR(INDEX($R$4:$R$3183,MATCH(SMALL($V$4:$V$3183,37),$V$4:$V$3183,0)),"")</f>
        <v/>
      </c>
      <c r="F40">
        <f>IFERROR(INDEX($S$4:$S$3183,MATCH(SMALL($V$4:$V$3183,37),$V$4:$V$3183,0)),"")</f>
        <v/>
      </c>
      <c r="I40" s="29">
        <f>IF($B40="","",IFERROR(INDEX($U$4:$U$3183,MATCH(SMALL($V$4:$V$3183,37),$V$4:$V$3183,0)),""))</f>
        <v/>
      </c>
      <c r="J40">
        <f>IF($B40="","",IF($D40&gt;$F$2,"À venir",IF($E40&lt;$D$2,"Passé","Dans la période")))</f>
        <v/>
      </c>
      <c r="K40">
        <f>IF(OR($B40="",NOT(ISNUMBER($D40))),"",IF(AND($E40&lt;$D$2,$G40&lt;&gt;"X",$F40&lt;&gt;"Réalisé",$F40&lt;&gt;"Clôturé"),"RETARD",""))</f>
        <v/>
      </c>
      <c r="L40">
        <f>IF(OR($B40="",NOT(ISNUMBER($D40))),"",IF(AND($D40&gt;=$D$2,$D40&lt;=$H$2,$G40&lt;&gt;"X",$F40&lt;&gt;"Réalisé",$F40&lt;&gt;"Clôturé"),"≤ 7 j",""))</f>
        <v/>
      </c>
      <c r="M40" s="29">
        <f>IF($B40="","",IFERROR(INDEX($T$4:$T$3183,MATCH(SMALL($V$4:$V$3183,37),$V$4:$V$3183,0)),""))</f>
        <v/>
      </c>
      <c r="O40">
        <f>IF(INDEX(Suivi!$B:$B,41)="","",INDEX(Suivi!$B:$B,41))</f>
        <v/>
      </c>
      <c r="P40">
        <f>IF($O40="","",IF(INDEX(Suivi!$D:$D,41)="",INDEX(Suivi!$C:$C,41),INDEX(Suivi!$D:$D,41)))</f>
        <v/>
      </c>
      <c r="Q40">
        <f>IF($O40="","",INDEX(Suivi!$E:$E,41))</f>
        <v/>
      </c>
      <c r="R40">
        <f>IF($O40="","",INDEX(Suivi!$F:$F,41))</f>
        <v/>
      </c>
      <c r="S40">
        <f>IF($O40="","",INDEX(Suivi!$G:$G,41))</f>
        <v/>
      </c>
      <c r="T40">
        <f>IF($O40="","",IF(INDEX(Dossiers!$F$4:$F$63,1)="","",INDEX(Dossiers!$F$4:$F$63,1)))</f>
        <v/>
      </c>
      <c r="U40">
        <f>IF($O40="","",IF(INDEX(Dossiers!$G$4:$G$63,1)="","",INDEX(Dossiers!$G$4:$G$63,1)))</f>
        <v/>
      </c>
      <c r="V40">
        <f>IF(OR($O40="",NOT(ISNUMBER($Q40))),"",$Q40*1000000+40)</f>
        <v/>
      </c>
      <c r="W40" s="29">
        <f>IF($B40="","",IFERROR(INDEX($U$4:$U$3183,MATCH(SMALL($V$4:$V$3183,37),$V$4:$V$3183,0)),""))</f>
        <v/>
      </c>
    </row>
    <row r="41">
      <c r="A41">
        <f>IFERROR(INDEX($N$4:$N$3183,MATCH(SMALL($V$4:$V$3183,38),$V$4:$V$3183,0)),"")</f>
        <v/>
      </c>
      <c r="B41">
        <f>IFERROR(INDEX($O$4:$O$3183,MATCH(SMALL($V$4:$V$3183,38),$V$4:$V$3183,0)),"")</f>
        <v/>
      </c>
      <c r="C41">
        <f>IFERROR(INDEX($P$4:$P$3183,MATCH(SMALL($V$4:$V$3183,38),$V$4:$V$3183,0)),"")</f>
        <v/>
      </c>
      <c r="D41" s="29">
        <f>IFERROR(INDEX($Q$4:$Q$3183,MATCH(SMALL($V$4:$V$3183,38),$V$4:$V$3183,0)),"")</f>
        <v/>
      </c>
      <c r="E41" s="29">
        <f>IFERROR(INDEX($R$4:$R$3183,MATCH(SMALL($V$4:$V$3183,38),$V$4:$V$3183,0)),"")</f>
        <v/>
      </c>
      <c r="F41">
        <f>IFERROR(INDEX($S$4:$S$3183,MATCH(SMALL($V$4:$V$3183,38),$V$4:$V$3183,0)),"")</f>
        <v/>
      </c>
      <c r="I41" s="29">
        <f>IF($B41="","",IFERROR(INDEX($U$4:$U$3183,MATCH(SMALL($V$4:$V$3183,38),$V$4:$V$3183,0)),""))</f>
        <v/>
      </c>
      <c r="J41">
        <f>IF($B41="","",IF($D41&gt;$F$2,"À venir",IF($E41&lt;$D$2,"Passé","Dans la période")))</f>
        <v/>
      </c>
      <c r="K41">
        <f>IF(OR($B41="",NOT(ISNUMBER($D41))),"",IF(AND($E41&lt;$D$2,$G41&lt;&gt;"X",$F41&lt;&gt;"Réalisé",$F41&lt;&gt;"Clôturé"),"RETARD",""))</f>
        <v/>
      </c>
      <c r="L41">
        <f>IF(OR($B41="",NOT(ISNUMBER($D41))),"",IF(AND($D41&gt;=$D$2,$D41&lt;=$H$2,$G41&lt;&gt;"X",$F41&lt;&gt;"Réalisé",$F41&lt;&gt;"Clôturé"),"≤ 7 j",""))</f>
        <v/>
      </c>
      <c r="M41" s="29">
        <f>IF($B41="","",IFERROR(INDEX($T$4:$T$3183,MATCH(SMALL($V$4:$V$3183,38),$V$4:$V$3183,0)),""))</f>
        <v/>
      </c>
      <c r="O41">
        <f>IF(INDEX(Suivi!$B:$B,42)="","",INDEX(Suivi!$B:$B,42))</f>
        <v/>
      </c>
      <c r="P41">
        <f>IF($O41="","",IF(INDEX(Suivi!$D:$D,42)="",INDEX(Suivi!$C:$C,42),INDEX(Suivi!$D:$D,42)))</f>
        <v/>
      </c>
      <c r="Q41">
        <f>IF($O41="","",INDEX(Suivi!$E:$E,42))</f>
        <v/>
      </c>
      <c r="R41">
        <f>IF($O41="","",INDEX(Suivi!$F:$F,42))</f>
        <v/>
      </c>
      <c r="S41">
        <f>IF($O41="","",INDEX(Suivi!$G:$G,42))</f>
        <v/>
      </c>
      <c r="T41">
        <f>IF($O41="","",IF(INDEX(Dossiers!$F$4:$F$63,1)="","",INDEX(Dossiers!$F$4:$F$63,1)))</f>
        <v/>
      </c>
      <c r="U41">
        <f>IF($O41="","",IF(INDEX(Dossiers!$G$4:$G$63,1)="","",INDEX(Dossiers!$G$4:$G$63,1)))</f>
        <v/>
      </c>
      <c r="V41">
        <f>IF(OR($O41="",NOT(ISNUMBER($Q41))),"",$Q41*1000000+41)</f>
        <v/>
      </c>
      <c r="W41" s="29">
        <f>IF($B41="","",IFERROR(INDEX($U$4:$U$3183,MATCH(SMALL($V$4:$V$3183,38),$V$4:$V$3183,0)),""))</f>
        <v/>
      </c>
    </row>
    <row r="42">
      <c r="A42">
        <f>IFERROR(INDEX($N$4:$N$3183,MATCH(SMALL($V$4:$V$3183,39),$V$4:$V$3183,0)),"")</f>
        <v/>
      </c>
      <c r="B42">
        <f>IFERROR(INDEX($O$4:$O$3183,MATCH(SMALL($V$4:$V$3183,39),$V$4:$V$3183,0)),"")</f>
        <v/>
      </c>
      <c r="C42">
        <f>IFERROR(INDEX($P$4:$P$3183,MATCH(SMALL($V$4:$V$3183,39),$V$4:$V$3183,0)),"")</f>
        <v/>
      </c>
      <c r="D42" s="29">
        <f>IFERROR(INDEX($Q$4:$Q$3183,MATCH(SMALL($V$4:$V$3183,39),$V$4:$V$3183,0)),"")</f>
        <v/>
      </c>
      <c r="E42" s="29">
        <f>IFERROR(INDEX($R$4:$R$3183,MATCH(SMALL($V$4:$V$3183,39),$V$4:$V$3183,0)),"")</f>
        <v/>
      </c>
      <c r="F42">
        <f>IFERROR(INDEX($S$4:$S$3183,MATCH(SMALL($V$4:$V$3183,39),$V$4:$V$3183,0)),"")</f>
        <v/>
      </c>
      <c r="I42" s="29">
        <f>IF($B42="","",IFERROR(INDEX($U$4:$U$3183,MATCH(SMALL($V$4:$V$3183,39),$V$4:$V$3183,0)),""))</f>
        <v/>
      </c>
      <c r="J42">
        <f>IF($B42="","",IF($D42&gt;$F$2,"À venir",IF($E42&lt;$D$2,"Passé","Dans la période")))</f>
        <v/>
      </c>
      <c r="K42">
        <f>IF(OR($B42="",NOT(ISNUMBER($D42))),"",IF(AND($E42&lt;$D$2,$G42&lt;&gt;"X",$F42&lt;&gt;"Réalisé",$F42&lt;&gt;"Clôturé"),"RETARD",""))</f>
        <v/>
      </c>
      <c r="L42">
        <f>IF(OR($B42="",NOT(ISNUMBER($D42))),"",IF(AND($D42&gt;=$D$2,$D42&lt;=$H$2,$G42&lt;&gt;"X",$F42&lt;&gt;"Réalisé",$F42&lt;&gt;"Clôturé"),"≤ 7 j",""))</f>
        <v/>
      </c>
      <c r="M42" s="29">
        <f>IF($B42="","",IFERROR(INDEX($T$4:$T$3183,MATCH(SMALL($V$4:$V$3183,39),$V$4:$V$3183,0)),""))</f>
        <v/>
      </c>
      <c r="O42">
        <f>IF(INDEX(Suivi!$B:$B,43)="","",INDEX(Suivi!$B:$B,43))</f>
        <v/>
      </c>
      <c r="P42">
        <f>IF($O42="","",IF(INDEX(Suivi!$D:$D,43)="",INDEX(Suivi!$C:$C,43),INDEX(Suivi!$D:$D,43)))</f>
        <v/>
      </c>
      <c r="Q42">
        <f>IF($O42="","",INDEX(Suivi!$E:$E,43))</f>
        <v/>
      </c>
      <c r="R42">
        <f>IF($O42="","",INDEX(Suivi!$F:$F,43))</f>
        <v/>
      </c>
      <c r="S42">
        <f>IF($O42="","",INDEX(Suivi!$G:$G,43))</f>
        <v/>
      </c>
      <c r="T42">
        <f>IF($O42="","",IF(INDEX(Dossiers!$F$4:$F$63,1)="","",INDEX(Dossiers!$F$4:$F$63,1)))</f>
        <v/>
      </c>
      <c r="U42">
        <f>IF($O42="","",IF(INDEX(Dossiers!$G$4:$G$63,1)="","",INDEX(Dossiers!$G$4:$G$63,1)))</f>
        <v/>
      </c>
      <c r="V42">
        <f>IF(OR($O42="",NOT(ISNUMBER($Q42))),"",$Q42*1000000+42)</f>
        <v/>
      </c>
      <c r="W42" s="29">
        <f>IF($B42="","",IFERROR(INDEX($U$4:$U$3183,MATCH(SMALL($V$4:$V$3183,39),$V$4:$V$3183,0)),""))</f>
        <v/>
      </c>
    </row>
    <row r="43">
      <c r="A43">
        <f>IFERROR(INDEX($N$4:$N$3183,MATCH(SMALL($V$4:$V$3183,40),$V$4:$V$3183,0)),"")</f>
        <v/>
      </c>
      <c r="B43">
        <f>IFERROR(INDEX($O$4:$O$3183,MATCH(SMALL($V$4:$V$3183,40),$V$4:$V$3183,0)),"")</f>
        <v/>
      </c>
      <c r="C43">
        <f>IFERROR(INDEX($P$4:$P$3183,MATCH(SMALL($V$4:$V$3183,40),$V$4:$V$3183,0)),"")</f>
        <v/>
      </c>
      <c r="D43" s="29">
        <f>IFERROR(INDEX($Q$4:$Q$3183,MATCH(SMALL($V$4:$V$3183,40),$V$4:$V$3183,0)),"")</f>
        <v/>
      </c>
      <c r="E43" s="29">
        <f>IFERROR(INDEX($R$4:$R$3183,MATCH(SMALL($V$4:$V$3183,40),$V$4:$V$3183,0)),"")</f>
        <v/>
      </c>
      <c r="F43">
        <f>IFERROR(INDEX($S$4:$S$3183,MATCH(SMALL($V$4:$V$3183,40),$V$4:$V$3183,0)),"")</f>
        <v/>
      </c>
      <c r="I43" s="29">
        <f>IF($B43="","",IFERROR(INDEX($U$4:$U$3183,MATCH(SMALL($V$4:$V$3183,40),$V$4:$V$3183,0)),""))</f>
        <v/>
      </c>
      <c r="J43">
        <f>IF($B43="","",IF($D43&gt;$F$2,"À venir",IF($E43&lt;$D$2,"Passé","Dans la période")))</f>
        <v/>
      </c>
      <c r="K43">
        <f>IF(OR($B43="",NOT(ISNUMBER($D43))),"",IF(AND($E43&lt;$D$2,$G43&lt;&gt;"X",$F43&lt;&gt;"Réalisé",$F43&lt;&gt;"Clôturé"),"RETARD",""))</f>
        <v/>
      </c>
      <c r="L43">
        <f>IF(OR($B43="",NOT(ISNUMBER($D43))),"",IF(AND($D43&gt;=$D$2,$D43&lt;=$H$2,$G43&lt;&gt;"X",$F43&lt;&gt;"Réalisé",$F43&lt;&gt;"Clôturé"),"≤ 7 j",""))</f>
        <v/>
      </c>
      <c r="M43" s="29">
        <f>IF($B43="","",IFERROR(INDEX($T$4:$T$3183,MATCH(SMALL($V$4:$V$3183,40),$V$4:$V$3183,0)),""))</f>
        <v/>
      </c>
      <c r="O43">
        <f>IF(INDEX(Suivi!$B:$B,44)="","",INDEX(Suivi!$B:$B,44))</f>
        <v/>
      </c>
      <c r="P43">
        <f>IF($O43="","",IF(INDEX(Suivi!$D:$D,44)="",INDEX(Suivi!$C:$C,44),INDEX(Suivi!$D:$D,44)))</f>
        <v/>
      </c>
      <c r="Q43">
        <f>IF($O43="","",INDEX(Suivi!$E:$E,44))</f>
        <v/>
      </c>
      <c r="R43">
        <f>IF($O43="","",INDEX(Suivi!$F:$F,44))</f>
        <v/>
      </c>
      <c r="S43">
        <f>IF($O43="","",INDEX(Suivi!$G:$G,44))</f>
        <v/>
      </c>
      <c r="T43">
        <f>IF($O43="","",IF(INDEX(Dossiers!$F$4:$F$63,1)="","",INDEX(Dossiers!$F$4:$F$63,1)))</f>
        <v/>
      </c>
      <c r="U43">
        <f>IF($O43="","",IF(INDEX(Dossiers!$G$4:$G$63,1)="","",INDEX(Dossiers!$G$4:$G$63,1)))</f>
        <v/>
      </c>
      <c r="V43">
        <f>IF(OR($O43="",NOT(ISNUMBER($Q43))),"",$Q43*1000000+43)</f>
        <v/>
      </c>
      <c r="W43" s="29">
        <f>IF($B43="","",IFERROR(INDEX($U$4:$U$3183,MATCH(SMALL($V$4:$V$3183,40),$V$4:$V$3183,0)),""))</f>
        <v/>
      </c>
    </row>
    <row r="44">
      <c r="A44">
        <f>IFERROR(INDEX($N$4:$N$3183,MATCH(SMALL($V$4:$V$3183,41),$V$4:$V$3183,0)),"")</f>
        <v/>
      </c>
      <c r="B44">
        <f>IFERROR(INDEX($O$4:$O$3183,MATCH(SMALL($V$4:$V$3183,41),$V$4:$V$3183,0)),"")</f>
        <v/>
      </c>
      <c r="C44">
        <f>IFERROR(INDEX($P$4:$P$3183,MATCH(SMALL($V$4:$V$3183,41),$V$4:$V$3183,0)),"")</f>
        <v/>
      </c>
      <c r="D44" s="29">
        <f>IFERROR(INDEX($Q$4:$Q$3183,MATCH(SMALL($V$4:$V$3183,41),$V$4:$V$3183,0)),"")</f>
        <v/>
      </c>
      <c r="E44" s="29">
        <f>IFERROR(INDEX($R$4:$R$3183,MATCH(SMALL($V$4:$V$3183,41),$V$4:$V$3183,0)),"")</f>
        <v/>
      </c>
      <c r="F44">
        <f>IFERROR(INDEX($S$4:$S$3183,MATCH(SMALL($V$4:$V$3183,41),$V$4:$V$3183,0)),"")</f>
        <v/>
      </c>
      <c r="I44" s="29">
        <f>IF($B44="","",IFERROR(INDEX($U$4:$U$3183,MATCH(SMALL($V$4:$V$3183,41),$V$4:$V$3183,0)),""))</f>
        <v/>
      </c>
      <c r="J44">
        <f>IF($B44="","",IF($D44&gt;$F$2,"À venir",IF($E44&lt;$D$2,"Passé","Dans la période")))</f>
        <v/>
      </c>
      <c r="K44">
        <f>IF(OR($B44="",NOT(ISNUMBER($D44))),"",IF(AND($E44&lt;$D$2,$G44&lt;&gt;"X",$F44&lt;&gt;"Réalisé",$F44&lt;&gt;"Clôturé"),"RETARD",""))</f>
        <v/>
      </c>
      <c r="L44">
        <f>IF(OR($B44="",NOT(ISNUMBER($D44))),"",IF(AND($D44&gt;=$D$2,$D44&lt;=$H$2,$G44&lt;&gt;"X",$F44&lt;&gt;"Réalisé",$F44&lt;&gt;"Clôturé"),"≤ 7 j",""))</f>
        <v/>
      </c>
      <c r="M44" s="29">
        <f>IF($B44="","",IFERROR(INDEX($T$4:$T$3183,MATCH(SMALL($V$4:$V$3183,41),$V$4:$V$3183,0)),""))</f>
        <v/>
      </c>
      <c r="O44">
        <f>IF(INDEX(Suivi!$B:$B,45)="","",INDEX(Suivi!$B:$B,45))</f>
        <v/>
      </c>
      <c r="P44">
        <f>IF($O44="","",IF(INDEX(Suivi!$D:$D,45)="",INDEX(Suivi!$C:$C,45),INDEX(Suivi!$D:$D,45)))</f>
        <v/>
      </c>
      <c r="Q44">
        <f>IF($O44="","",INDEX(Suivi!$E:$E,45))</f>
        <v/>
      </c>
      <c r="R44">
        <f>IF($O44="","",INDEX(Suivi!$F:$F,45))</f>
        <v/>
      </c>
      <c r="S44">
        <f>IF($O44="","",INDEX(Suivi!$G:$G,45))</f>
        <v/>
      </c>
      <c r="T44">
        <f>IF($O44="","",IF(INDEX(Dossiers!$F$4:$F$63,1)="","",INDEX(Dossiers!$F$4:$F$63,1)))</f>
        <v/>
      </c>
      <c r="U44">
        <f>IF($O44="","",IF(INDEX(Dossiers!$G$4:$G$63,1)="","",INDEX(Dossiers!$G$4:$G$63,1)))</f>
        <v/>
      </c>
      <c r="V44">
        <f>IF(OR($O44="",NOT(ISNUMBER($Q44))),"",$Q44*1000000+44)</f>
        <v/>
      </c>
      <c r="W44" s="29">
        <f>IF($B44="","",IFERROR(INDEX($U$4:$U$3183,MATCH(SMALL($V$4:$V$3183,41),$V$4:$V$3183,0)),""))</f>
        <v/>
      </c>
    </row>
    <row r="45">
      <c r="A45">
        <f>IFERROR(INDEX($N$4:$N$3183,MATCH(SMALL($V$4:$V$3183,42),$V$4:$V$3183,0)),"")</f>
        <v/>
      </c>
      <c r="B45">
        <f>IFERROR(INDEX($O$4:$O$3183,MATCH(SMALL($V$4:$V$3183,42),$V$4:$V$3183,0)),"")</f>
        <v/>
      </c>
      <c r="C45">
        <f>IFERROR(INDEX($P$4:$P$3183,MATCH(SMALL($V$4:$V$3183,42),$V$4:$V$3183,0)),"")</f>
        <v/>
      </c>
      <c r="D45" s="29">
        <f>IFERROR(INDEX($Q$4:$Q$3183,MATCH(SMALL($V$4:$V$3183,42),$V$4:$V$3183,0)),"")</f>
        <v/>
      </c>
      <c r="E45" s="29">
        <f>IFERROR(INDEX($R$4:$R$3183,MATCH(SMALL($V$4:$V$3183,42),$V$4:$V$3183,0)),"")</f>
        <v/>
      </c>
      <c r="F45">
        <f>IFERROR(INDEX($S$4:$S$3183,MATCH(SMALL($V$4:$V$3183,42),$V$4:$V$3183,0)),"")</f>
        <v/>
      </c>
      <c r="I45" s="29">
        <f>IF($B45="","",IFERROR(INDEX($U$4:$U$3183,MATCH(SMALL($V$4:$V$3183,42),$V$4:$V$3183,0)),""))</f>
        <v/>
      </c>
      <c r="J45">
        <f>IF($B45="","",IF($D45&gt;$F$2,"À venir",IF($E45&lt;$D$2,"Passé","Dans la période")))</f>
        <v/>
      </c>
      <c r="K45">
        <f>IF(OR($B45="",NOT(ISNUMBER($D45))),"",IF(AND($E45&lt;$D$2,$G45&lt;&gt;"X",$F45&lt;&gt;"Réalisé",$F45&lt;&gt;"Clôturé"),"RETARD",""))</f>
        <v/>
      </c>
      <c r="L45">
        <f>IF(OR($B45="",NOT(ISNUMBER($D45))),"",IF(AND($D45&gt;=$D$2,$D45&lt;=$H$2,$G45&lt;&gt;"X",$F45&lt;&gt;"Réalisé",$F45&lt;&gt;"Clôturé"),"≤ 7 j",""))</f>
        <v/>
      </c>
      <c r="M45" s="29">
        <f>IF($B45="","",IFERROR(INDEX($T$4:$T$3183,MATCH(SMALL($V$4:$V$3183,42),$V$4:$V$3183,0)),""))</f>
        <v/>
      </c>
      <c r="O45">
        <f>IF(INDEX(Suivi!$B:$B,46)="","",INDEX(Suivi!$B:$B,46))</f>
        <v/>
      </c>
      <c r="P45">
        <f>IF($O45="","",IF(INDEX(Suivi!$D:$D,46)="",INDEX(Suivi!$C:$C,46),INDEX(Suivi!$D:$D,46)))</f>
        <v/>
      </c>
      <c r="Q45">
        <f>IF($O45="","",INDEX(Suivi!$E:$E,46))</f>
        <v/>
      </c>
      <c r="R45">
        <f>IF($O45="","",INDEX(Suivi!$F:$F,46))</f>
        <v/>
      </c>
      <c r="S45">
        <f>IF($O45="","",INDEX(Suivi!$G:$G,46))</f>
        <v/>
      </c>
      <c r="T45">
        <f>IF($O45="","",IF(INDEX(Dossiers!$F$4:$F$63,1)="","",INDEX(Dossiers!$F$4:$F$63,1)))</f>
        <v/>
      </c>
      <c r="U45">
        <f>IF($O45="","",IF(INDEX(Dossiers!$G$4:$G$63,1)="","",INDEX(Dossiers!$G$4:$G$63,1)))</f>
        <v/>
      </c>
      <c r="V45">
        <f>IF(OR($O45="",NOT(ISNUMBER($Q45))),"",$Q45*1000000+45)</f>
        <v/>
      </c>
      <c r="W45" s="29">
        <f>IF($B45="","",IFERROR(INDEX($U$4:$U$3183,MATCH(SMALL($V$4:$V$3183,42),$V$4:$V$3183,0)),""))</f>
        <v/>
      </c>
    </row>
    <row r="46">
      <c r="A46">
        <f>IFERROR(INDEX($N$4:$N$3183,MATCH(SMALL($V$4:$V$3183,43),$V$4:$V$3183,0)),"")</f>
        <v/>
      </c>
      <c r="B46">
        <f>IFERROR(INDEX($O$4:$O$3183,MATCH(SMALL($V$4:$V$3183,43),$V$4:$V$3183,0)),"")</f>
        <v/>
      </c>
      <c r="C46">
        <f>IFERROR(INDEX($P$4:$P$3183,MATCH(SMALL($V$4:$V$3183,43),$V$4:$V$3183,0)),"")</f>
        <v/>
      </c>
      <c r="D46" s="29">
        <f>IFERROR(INDEX($Q$4:$Q$3183,MATCH(SMALL($V$4:$V$3183,43),$V$4:$V$3183,0)),"")</f>
        <v/>
      </c>
      <c r="E46" s="29">
        <f>IFERROR(INDEX($R$4:$R$3183,MATCH(SMALL($V$4:$V$3183,43),$V$4:$V$3183,0)),"")</f>
        <v/>
      </c>
      <c r="F46">
        <f>IFERROR(INDEX($S$4:$S$3183,MATCH(SMALL($V$4:$V$3183,43),$V$4:$V$3183,0)),"")</f>
        <v/>
      </c>
      <c r="I46" s="29">
        <f>IF($B46="","",IFERROR(INDEX($U$4:$U$3183,MATCH(SMALL($V$4:$V$3183,43),$V$4:$V$3183,0)),""))</f>
        <v/>
      </c>
      <c r="J46">
        <f>IF($B46="","",IF($D46&gt;$F$2,"À venir",IF($E46&lt;$D$2,"Passé","Dans la période")))</f>
        <v/>
      </c>
      <c r="K46">
        <f>IF(OR($B46="",NOT(ISNUMBER($D46))),"",IF(AND($E46&lt;$D$2,$G46&lt;&gt;"X",$F46&lt;&gt;"Réalisé",$F46&lt;&gt;"Clôturé"),"RETARD",""))</f>
        <v/>
      </c>
      <c r="L46">
        <f>IF(OR($B46="",NOT(ISNUMBER($D46))),"",IF(AND($D46&gt;=$D$2,$D46&lt;=$H$2,$G46&lt;&gt;"X",$F46&lt;&gt;"Réalisé",$F46&lt;&gt;"Clôturé"),"≤ 7 j",""))</f>
        <v/>
      </c>
      <c r="M46" s="29">
        <f>IF($B46="","",IFERROR(INDEX($T$4:$T$3183,MATCH(SMALL($V$4:$V$3183,43),$V$4:$V$3183,0)),""))</f>
        <v/>
      </c>
      <c r="O46">
        <f>IF(INDEX(Suivi!$B:$B,47)="","",INDEX(Suivi!$B:$B,47))</f>
        <v/>
      </c>
      <c r="P46">
        <f>IF($O46="","",IF(INDEX(Suivi!$D:$D,47)="",INDEX(Suivi!$C:$C,47),INDEX(Suivi!$D:$D,47)))</f>
        <v/>
      </c>
      <c r="Q46">
        <f>IF($O46="","",INDEX(Suivi!$E:$E,47))</f>
        <v/>
      </c>
      <c r="R46">
        <f>IF($O46="","",INDEX(Suivi!$F:$F,47))</f>
        <v/>
      </c>
      <c r="S46">
        <f>IF($O46="","",INDEX(Suivi!$G:$G,47))</f>
        <v/>
      </c>
      <c r="T46">
        <f>IF($O46="","",IF(INDEX(Dossiers!$F$4:$F$63,1)="","",INDEX(Dossiers!$F$4:$F$63,1)))</f>
        <v/>
      </c>
      <c r="U46">
        <f>IF($O46="","",IF(INDEX(Dossiers!$G$4:$G$63,1)="","",INDEX(Dossiers!$G$4:$G$63,1)))</f>
        <v/>
      </c>
      <c r="V46">
        <f>IF(OR($O46="",NOT(ISNUMBER($Q46))),"",$Q46*1000000+46)</f>
        <v/>
      </c>
      <c r="W46" s="29">
        <f>IF($B46="","",IFERROR(INDEX($U$4:$U$3183,MATCH(SMALL($V$4:$V$3183,43),$V$4:$V$3183,0)),""))</f>
        <v/>
      </c>
    </row>
    <row r="47">
      <c r="A47">
        <f>IFERROR(INDEX($N$4:$N$3183,MATCH(SMALL($V$4:$V$3183,44),$V$4:$V$3183,0)),"")</f>
        <v/>
      </c>
      <c r="B47">
        <f>IFERROR(INDEX($O$4:$O$3183,MATCH(SMALL($V$4:$V$3183,44),$V$4:$V$3183,0)),"")</f>
        <v/>
      </c>
      <c r="C47">
        <f>IFERROR(INDEX($P$4:$P$3183,MATCH(SMALL($V$4:$V$3183,44),$V$4:$V$3183,0)),"")</f>
        <v/>
      </c>
      <c r="D47" s="29">
        <f>IFERROR(INDEX($Q$4:$Q$3183,MATCH(SMALL($V$4:$V$3183,44),$V$4:$V$3183,0)),"")</f>
        <v/>
      </c>
      <c r="E47" s="29">
        <f>IFERROR(INDEX($R$4:$R$3183,MATCH(SMALL($V$4:$V$3183,44),$V$4:$V$3183,0)),"")</f>
        <v/>
      </c>
      <c r="F47">
        <f>IFERROR(INDEX($S$4:$S$3183,MATCH(SMALL($V$4:$V$3183,44),$V$4:$V$3183,0)),"")</f>
        <v/>
      </c>
      <c r="I47" s="29">
        <f>IF($B47="","",IFERROR(INDEX($U$4:$U$3183,MATCH(SMALL($V$4:$V$3183,44),$V$4:$V$3183,0)),""))</f>
        <v/>
      </c>
      <c r="J47">
        <f>IF($B47="","",IF($D47&gt;$F$2,"À venir",IF($E47&lt;$D$2,"Passé","Dans la période")))</f>
        <v/>
      </c>
      <c r="K47">
        <f>IF(OR($B47="",NOT(ISNUMBER($D47))),"",IF(AND($E47&lt;$D$2,$G47&lt;&gt;"X",$F47&lt;&gt;"Réalisé",$F47&lt;&gt;"Clôturé"),"RETARD",""))</f>
        <v/>
      </c>
      <c r="L47">
        <f>IF(OR($B47="",NOT(ISNUMBER($D47))),"",IF(AND($D47&gt;=$D$2,$D47&lt;=$H$2,$G47&lt;&gt;"X",$F47&lt;&gt;"Réalisé",$F47&lt;&gt;"Clôturé"),"≤ 7 j",""))</f>
        <v/>
      </c>
      <c r="M47" s="29">
        <f>IF($B47="","",IFERROR(INDEX($T$4:$T$3183,MATCH(SMALL($V$4:$V$3183,44),$V$4:$V$3183,0)),""))</f>
        <v/>
      </c>
      <c r="O47">
        <f>IF(INDEX(Suivi!$B:$B,48)="","",INDEX(Suivi!$B:$B,48))</f>
        <v/>
      </c>
      <c r="P47">
        <f>IF($O47="","",IF(INDEX(Suivi!$D:$D,48)="",INDEX(Suivi!$C:$C,48),INDEX(Suivi!$D:$D,48)))</f>
        <v/>
      </c>
      <c r="Q47">
        <f>IF($O47="","",INDEX(Suivi!$E:$E,48))</f>
        <v/>
      </c>
      <c r="R47">
        <f>IF($O47="","",INDEX(Suivi!$F:$F,48))</f>
        <v/>
      </c>
      <c r="S47">
        <f>IF($O47="","",INDEX(Suivi!$G:$G,48))</f>
        <v/>
      </c>
      <c r="T47">
        <f>IF($O47="","",IF(INDEX(Dossiers!$F$4:$F$63,1)="","",INDEX(Dossiers!$F$4:$F$63,1)))</f>
        <v/>
      </c>
      <c r="U47">
        <f>IF($O47="","",IF(INDEX(Dossiers!$G$4:$G$63,1)="","",INDEX(Dossiers!$G$4:$G$63,1)))</f>
        <v/>
      </c>
      <c r="V47">
        <f>IF(OR($O47="",NOT(ISNUMBER($Q47))),"",$Q47*1000000+47)</f>
        <v/>
      </c>
      <c r="W47" s="29">
        <f>IF($B47="","",IFERROR(INDEX($U$4:$U$3183,MATCH(SMALL($V$4:$V$3183,44),$V$4:$V$3183,0)),""))</f>
        <v/>
      </c>
    </row>
    <row r="48">
      <c r="A48">
        <f>IFERROR(INDEX($N$4:$N$3183,MATCH(SMALL($V$4:$V$3183,45),$V$4:$V$3183,0)),"")</f>
        <v/>
      </c>
      <c r="B48">
        <f>IFERROR(INDEX($O$4:$O$3183,MATCH(SMALL($V$4:$V$3183,45),$V$4:$V$3183,0)),"")</f>
        <v/>
      </c>
      <c r="C48">
        <f>IFERROR(INDEX($P$4:$P$3183,MATCH(SMALL($V$4:$V$3183,45),$V$4:$V$3183,0)),"")</f>
        <v/>
      </c>
      <c r="D48" s="29">
        <f>IFERROR(INDEX($Q$4:$Q$3183,MATCH(SMALL($V$4:$V$3183,45),$V$4:$V$3183,0)),"")</f>
        <v/>
      </c>
      <c r="E48" s="29">
        <f>IFERROR(INDEX($R$4:$R$3183,MATCH(SMALL($V$4:$V$3183,45),$V$4:$V$3183,0)),"")</f>
        <v/>
      </c>
      <c r="F48">
        <f>IFERROR(INDEX($S$4:$S$3183,MATCH(SMALL($V$4:$V$3183,45),$V$4:$V$3183,0)),"")</f>
        <v/>
      </c>
      <c r="I48" s="29">
        <f>IF($B48="","",IFERROR(INDEX($U$4:$U$3183,MATCH(SMALL($V$4:$V$3183,45),$V$4:$V$3183,0)),""))</f>
        <v/>
      </c>
      <c r="J48">
        <f>IF($B48="","",IF($D48&gt;$F$2,"À venir",IF($E48&lt;$D$2,"Passé","Dans la période")))</f>
        <v/>
      </c>
      <c r="K48">
        <f>IF(OR($B48="",NOT(ISNUMBER($D48))),"",IF(AND($E48&lt;$D$2,$G48&lt;&gt;"X",$F48&lt;&gt;"Réalisé",$F48&lt;&gt;"Clôturé"),"RETARD",""))</f>
        <v/>
      </c>
      <c r="L48">
        <f>IF(OR($B48="",NOT(ISNUMBER($D48))),"",IF(AND($D48&gt;=$D$2,$D48&lt;=$H$2,$G48&lt;&gt;"X",$F48&lt;&gt;"Réalisé",$F48&lt;&gt;"Clôturé"),"≤ 7 j",""))</f>
        <v/>
      </c>
      <c r="M48" s="29">
        <f>IF($B48="","",IFERROR(INDEX($T$4:$T$3183,MATCH(SMALL($V$4:$V$3183,45),$V$4:$V$3183,0)),""))</f>
        <v/>
      </c>
      <c r="O48">
        <f>IF(INDEX(Suivi!$B:$B,49)="","",INDEX(Suivi!$B:$B,49))</f>
        <v/>
      </c>
      <c r="P48">
        <f>IF($O48="","",IF(INDEX(Suivi!$D:$D,49)="",INDEX(Suivi!$C:$C,49),INDEX(Suivi!$D:$D,49)))</f>
        <v/>
      </c>
      <c r="Q48">
        <f>IF($O48="","",INDEX(Suivi!$E:$E,49))</f>
        <v/>
      </c>
      <c r="R48">
        <f>IF($O48="","",INDEX(Suivi!$F:$F,49))</f>
        <v/>
      </c>
      <c r="S48">
        <f>IF($O48="","",INDEX(Suivi!$G:$G,49))</f>
        <v/>
      </c>
      <c r="T48">
        <f>IF($O48="","",IF(INDEX(Dossiers!$F$4:$F$63,1)="","",INDEX(Dossiers!$F$4:$F$63,1)))</f>
        <v/>
      </c>
      <c r="U48">
        <f>IF($O48="","",IF(INDEX(Dossiers!$G$4:$G$63,1)="","",INDEX(Dossiers!$G$4:$G$63,1)))</f>
        <v/>
      </c>
      <c r="V48">
        <f>IF(OR($O48="",NOT(ISNUMBER($Q48))),"",$Q48*1000000+48)</f>
        <v/>
      </c>
      <c r="W48" s="29">
        <f>IF($B48="","",IFERROR(INDEX($U$4:$U$3183,MATCH(SMALL($V$4:$V$3183,45),$V$4:$V$3183,0)),""))</f>
        <v/>
      </c>
    </row>
    <row r="49">
      <c r="A49">
        <f>IFERROR(INDEX($N$4:$N$3183,MATCH(SMALL($V$4:$V$3183,46),$V$4:$V$3183,0)),"")</f>
        <v/>
      </c>
      <c r="B49">
        <f>IFERROR(INDEX($O$4:$O$3183,MATCH(SMALL($V$4:$V$3183,46),$V$4:$V$3183,0)),"")</f>
        <v/>
      </c>
      <c r="C49">
        <f>IFERROR(INDEX($P$4:$P$3183,MATCH(SMALL($V$4:$V$3183,46),$V$4:$V$3183,0)),"")</f>
        <v/>
      </c>
      <c r="D49" s="29">
        <f>IFERROR(INDEX($Q$4:$Q$3183,MATCH(SMALL($V$4:$V$3183,46),$V$4:$V$3183,0)),"")</f>
        <v/>
      </c>
      <c r="E49" s="29">
        <f>IFERROR(INDEX($R$4:$R$3183,MATCH(SMALL($V$4:$V$3183,46),$V$4:$V$3183,0)),"")</f>
        <v/>
      </c>
      <c r="F49">
        <f>IFERROR(INDEX($S$4:$S$3183,MATCH(SMALL($V$4:$V$3183,46),$V$4:$V$3183,0)),"")</f>
        <v/>
      </c>
      <c r="I49" s="29">
        <f>IF($B49="","",IFERROR(INDEX($U$4:$U$3183,MATCH(SMALL($V$4:$V$3183,46),$V$4:$V$3183,0)),""))</f>
        <v/>
      </c>
      <c r="J49">
        <f>IF($B49="","",IF($D49&gt;$F$2,"À venir",IF($E49&lt;$D$2,"Passé","Dans la période")))</f>
        <v/>
      </c>
      <c r="K49">
        <f>IF(OR($B49="",NOT(ISNUMBER($D49))),"",IF(AND($E49&lt;$D$2,$G49&lt;&gt;"X",$F49&lt;&gt;"Réalisé",$F49&lt;&gt;"Clôturé"),"RETARD",""))</f>
        <v/>
      </c>
      <c r="L49">
        <f>IF(OR($B49="",NOT(ISNUMBER($D49))),"",IF(AND($D49&gt;=$D$2,$D49&lt;=$H$2,$G49&lt;&gt;"X",$F49&lt;&gt;"Réalisé",$F49&lt;&gt;"Clôturé"),"≤ 7 j",""))</f>
        <v/>
      </c>
      <c r="M49" s="29">
        <f>IF($B49="","",IFERROR(INDEX($T$4:$T$3183,MATCH(SMALL($V$4:$V$3183,46),$V$4:$V$3183,0)),""))</f>
        <v/>
      </c>
      <c r="O49">
        <f>IF(INDEX(Suivi!$B:$B,50)="","",INDEX(Suivi!$B:$B,50))</f>
        <v/>
      </c>
      <c r="P49">
        <f>IF($O49="","",IF(INDEX(Suivi!$D:$D,50)="",INDEX(Suivi!$C:$C,50),INDEX(Suivi!$D:$D,50)))</f>
        <v/>
      </c>
      <c r="Q49">
        <f>IF($O49="","",INDEX(Suivi!$E:$E,50))</f>
        <v/>
      </c>
      <c r="R49">
        <f>IF($O49="","",INDEX(Suivi!$F:$F,50))</f>
        <v/>
      </c>
      <c r="S49">
        <f>IF($O49="","",INDEX(Suivi!$G:$G,50))</f>
        <v/>
      </c>
      <c r="T49">
        <f>IF($O49="","",IF(INDEX(Dossiers!$F$4:$F$63,1)="","",INDEX(Dossiers!$F$4:$F$63,1)))</f>
        <v/>
      </c>
      <c r="U49">
        <f>IF($O49="","",IF(INDEX(Dossiers!$G$4:$G$63,1)="","",INDEX(Dossiers!$G$4:$G$63,1)))</f>
        <v/>
      </c>
      <c r="V49">
        <f>IF(OR($O49="",NOT(ISNUMBER($Q49))),"",$Q49*1000000+49)</f>
        <v/>
      </c>
      <c r="W49" s="29">
        <f>IF($B49="","",IFERROR(INDEX($U$4:$U$3183,MATCH(SMALL($V$4:$V$3183,46),$V$4:$V$3183,0)),""))</f>
        <v/>
      </c>
    </row>
    <row r="50">
      <c r="A50">
        <f>IFERROR(INDEX($N$4:$N$3183,MATCH(SMALL($V$4:$V$3183,47),$V$4:$V$3183,0)),"")</f>
        <v/>
      </c>
      <c r="B50">
        <f>IFERROR(INDEX($O$4:$O$3183,MATCH(SMALL($V$4:$V$3183,47),$V$4:$V$3183,0)),"")</f>
        <v/>
      </c>
      <c r="C50">
        <f>IFERROR(INDEX($P$4:$P$3183,MATCH(SMALL($V$4:$V$3183,47),$V$4:$V$3183,0)),"")</f>
        <v/>
      </c>
      <c r="D50" s="29">
        <f>IFERROR(INDEX($Q$4:$Q$3183,MATCH(SMALL($V$4:$V$3183,47),$V$4:$V$3183,0)),"")</f>
        <v/>
      </c>
      <c r="E50" s="29">
        <f>IFERROR(INDEX($R$4:$R$3183,MATCH(SMALL($V$4:$V$3183,47),$V$4:$V$3183,0)),"")</f>
        <v/>
      </c>
      <c r="F50">
        <f>IFERROR(INDEX($S$4:$S$3183,MATCH(SMALL($V$4:$V$3183,47),$V$4:$V$3183,0)),"")</f>
        <v/>
      </c>
      <c r="I50" s="29">
        <f>IF($B50="","",IFERROR(INDEX($U$4:$U$3183,MATCH(SMALL($V$4:$V$3183,47),$V$4:$V$3183,0)),""))</f>
        <v/>
      </c>
      <c r="J50">
        <f>IF($B50="","",IF($D50&gt;$F$2,"À venir",IF($E50&lt;$D$2,"Passé","Dans la période")))</f>
        <v/>
      </c>
      <c r="K50">
        <f>IF(OR($B50="",NOT(ISNUMBER($D50))),"",IF(AND($E50&lt;$D$2,$G50&lt;&gt;"X",$F50&lt;&gt;"Réalisé",$F50&lt;&gt;"Clôturé"),"RETARD",""))</f>
        <v/>
      </c>
      <c r="L50">
        <f>IF(OR($B50="",NOT(ISNUMBER($D50))),"",IF(AND($D50&gt;=$D$2,$D50&lt;=$H$2,$G50&lt;&gt;"X",$F50&lt;&gt;"Réalisé",$F50&lt;&gt;"Clôturé"),"≤ 7 j",""))</f>
        <v/>
      </c>
      <c r="M50" s="29">
        <f>IF($B50="","",IFERROR(INDEX($T$4:$T$3183,MATCH(SMALL($V$4:$V$3183,47),$V$4:$V$3183,0)),""))</f>
        <v/>
      </c>
      <c r="O50">
        <f>IF(INDEX(Suivi!$B:$B,51)="","",INDEX(Suivi!$B:$B,51))</f>
        <v/>
      </c>
      <c r="P50">
        <f>IF($O50="","",IF(INDEX(Suivi!$D:$D,51)="",INDEX(Suivi!$C:$C,51),INDEX(Suivi!$D:$D,51)))</f>
        <v/>
      </c>
      <c r="Q50">
        <f>IF($O50="","",INDEX(Suivi!$E:$E,51))</f>
        <v/>
      </c>
      <c r="R50">
        <f>IF($O50="","",INDEX(Suivi!$F:$F,51))</f>
        <v/>
      </c>
      <c r="S50">
        <f>IF($O50="","",INDEX(Suivi!$G:$G,51))</f>
        <v/>
      </c>
      <c r="T50">
        <f>IF($O50="","",IF(INDEX(Dossiers!$F$4:$F$63,1)="","",INDEX(Dossiers!$F$4:$F$63,1)))</f>
        <v/>
      </c>
      <c r="U50">
        <f>IF($O50="","",IF(INDEX(Dossiers!$G$4:$G$63,1)="","",INDEX(Dossiers!$G$4:$G$63,1)))</f>
        <v/>
      </c>
      <c r="V50">
        <f>IF(OR($O50="",NOT(ISNUMBER($Q50))),"",$Q50*1000000+50)</f>
        <v/>
      </c>
      <c r="W50" s="29">
        <f>IF($B50="","",IFERROR(INDEX($U$4:$U$3183,MATCH(SMALL($V$4:$V$3183,47),$V$4:$V$3183,0)),""))</f>
        <v/>
      </c>
    </row>
    <row r="51">
      <c r="A51">
        <f>IFERROR(INDEX($N$4:$N$3183,MATCH(SMALL($V$4:$V$3183,48),$V$4:$V$3183,0)),"")</f>
        <v/>
      </c>
      <c r="B51">
        <f>IFERROR(INDEX($O$4:$O$3183,MATCH(SMALL($V$4:$V$3183,48),$V$4:$V$3183,0)),"")</f>
        <v/>
      </c>
      <c r="C51">
        <f>IFERROR(INDEX($P$4:$P$3183,MATCH(SMALL($V$4:$V$3183,48),$V$4:$V$3183,0)),"")</f>
        <v/>
      </c>
      <c r="D51" s="29">
        <f>IFERROR(INDEX($Q$4:$Q$3183,MATCH(SMALL($V$4:$V$3183,48),$V$4:$V$3183,0)),"")</f>
        <v/>
      </c>
      <c r="E51" s="29">
        <f>IFERROR(INDEX($R$4:$R$3183,MATCH(SMALL($V$4:$V$3183,48),$V$4:$V$3183,0)),"")</f>
        <v/>
      </c>
      <c r="F51">
        <f>IFERROR(INDEX($S$4:$S$3183,MATCH(SMALL($V$4:$V$3183,48),$V$4:$V$3183,0)),"")</f>
        <v/>
      </c>
      <c r="I51" s="29">
        <f>IF($B51="","",IFERROR(INDEX($U$4:$U$3183,MATCH(SMALL($V$4:$V$3183,48),$V$4:$V$3183,0)),""))</f>
        <v/>
      </c>
      <c r="J51">
        <f>IF($B51="","",IF($D51&gt;$F$2,"À venir",IF($E51&lt;$D$2,"Passé","Dans la période")))</f>
        <v/>
      </c>
      <c r="K51">
        <f>IF(OR($B51="",NOT(ISNUMBER($D51))),"",IF(AND($E51&lt;$D$2,$G51&lt;&gt;"X",$F51&lt;&gt;"Réalisé",$F51&lt;&gt;"Clôturé"),"RETARD",""))</f>
        <v/>
      </c>
      <c r="L51">
        <f>IF(OR($B51="",NOT(ISNUMBER($D51))),"",IF(AND($D51&gt;=$D$2,$D51&lt;=$H$2,$G51&lt;&gt;"X",$F51&lt;&gt;"Réalisé",$F51&lt;&gt;"Clôturé"),"≤ 7 j",""))</f>
        <v/>
      </c>
      <c r="M51" s="29">
        <f>IF($B51="","",IFERROR(INDEX($T$4:$T$3183,MATCH(SMALL($V$4:$V$3183,48),$V$4:$V$3183,0)),""))</f>
        <v/>
      </c>
      <c r="O51">
        <f>IF(INDEX(Suivi!$B:$B,52)="","",INDEX(Suivi!$B:$B,52))</f>
        <v/>
      </c>
      <c r="P51">
        <f>IF($O51="","",IF(INDEX(Suivi!$D:$D,52)="",INDEX(Suivi!$C:$C,52),INDEX(Suivi!$D:$D,52)))</f>
        <v/>
      </c>
      <c r="Q51">
        <f>IF($O51="","",INDEX(Suivi!$E:$E,52))</f>
        <v/>
      </c>
      <c r="R51">
        <f>IF($O51="","",INDEX(Suivi!$F:$F,52))</f>
        <v/>
      </c>
      <c r="S51">
        <f>IF($O51="","",INDEX(Suivi!$G:$G,52))</f>
        <v/>
      </c>
      <c r="T51">
        <f>IF($O51="","",IF(INDEX(Dossiers!$F$4:$F$63,1)="","",INDEX(Dossiers!$F$4:$F$63,1)))</f>
        <v/>
      </c>
      <c r="U51">
        <f>IF($O51="","",IF(INDEX(Dossiers!$G$4:$G$63,1)="","",INDEX(Dossiers!$G$4:$G$63,1)))</f>
        <v/>
      </c>
      <c r="V51">
        <f>IF(OR($O51="",NOT(ISNUMBER($Q51))),"",$Q51*1000000+51)</f>
        <v/>
      </c>
      <c r="W51" s="29">
        <f>IF($B51="","",IFERROR(INDEX($U$4:$U$3183,MATCH(SMALL($V$4:$V$3183,48),$V$4:$V$3183,0)),""))</f>
        <v/>
      </c>
    </row>
    <row r="52">
      <c r="A52">
        <f>IFERROR(INDEX($N$4:$N$3183,MATCH(SMALL($V$4:$V$3183,49),$V$4:$V$3183,0)),"")</f>
        <v/>
      </c>
      <c r="B52">
        <f>IFERROR(INDEX($O$4:$O$3183,MATCH(SMALL($V$4:$V$3183,49),$V$4:$V$3183,0)),"")</f>
        <v/>
      </c>
      <c r="C52">
        <f>IFERROR(INDEX($P$4:$P$3183,MATCH(SMALL($V$4:$V$3183,49),$V$4:$V$3183,0)),"")</f>
        <v/>
      </c>
      <c r="D52" s="29">
        <f>IFERROR(INDEX($Q$4:$Q$3183,MATCH(SMALL($V$4:$V$3183,49),$V$4:$V$3183,0)),"")</f>
        <v/>
      </c>
      <c r="E52" s="29">
        <f>IFERROR(INDEX($R$4:$R$3183,MATCH(SMALL($V$4:$V$3183,49),$V$4:$V$3183,0)),"")</f>
        <v/>
      </c>
      <c r="F52">
        <f>IFERROR(INDEX($S$4:$S$3183,MATCH(SMALL($V$4:$V$3183,49),$V$4:$V$3183,0)),"")</f>
        <v/>
      </c>
      <c r="I52" s="29">
        <f>IF($B52="","",IFERROR(INDEX($U$4:$U$3183,MATCH(SMALL($V$4:$V$3183,49),$V$4:$V$3183,0)),""))</f>
        <v/>
      </c>
      <c r="J52">
        <f>IF($B52="","",IF($D52&gt;$F$2,"À venir",IF($E52&lt;$D$2,"Passé","Dans la période")))</f>
        <v/>
      </c>
      <c r="K52">
        <f>IF(OR($B52="",NOT(ISNUMBER($D52))),"",IF(AND($E52&lt;$D$2,$G52&lt;&gt;"X",$F52&lt;&gt;"Réalisé",$F52&lt;&gt;"Clôturé"),"RETARD",""))</f>
        <v/>
      </c>
      <c r="L52">
        <f>IF(OR($B52="",NOT(ISNUMBER($D52))),"",IF(AND($D52&gt;=$D$2,$D52&lt;=$H$2,$G52&lt;&gt;"X",$F52&lt;&gt;"Réalisé",$F52&lt;&gt;"Clôturé"),"≤ 7 j",""))</f>
        <v/>
      </c>
      <c r="M52" s="29">
        <f>IF($B52="","",IFERROR(INDEX($T$4:$T$3183,MATCH(SMALL($V$4:$V$3183,49),$V$4:$V$3183,0)),""))</f>
        <v/>
      </c>
      <c r="O52">
        <f>IF(INDEX(Suivi!$B:$B,53)="","",INDEX(Suivi!$B:$B,53))</f>
        <v/>
      </c>
      <c r="P52">
        <f>IF($O52="","",IF(INDEX(Suivi!$D:$D,53)="",INDEX(Suivi!$C:$C,53),INDEX(Suivi!$D:$D,53)))</f>
        <v/>
      </c>
      <c r="Q52">
        <f>IF($O52="","",INDEX(Suivi!$E:$E,53))</f>
        <v/>
      </c>
      <c r="R52">
        <f>IF($O52="","",INDEX(Suivi!$F:$F,53))</f>
        <v/>
      </c>
      <c r="S52">
        <f>IF($O52="","",INDEX(Suivi!$G:$G,53))</f>
        <v/>
      </c>
      <c r="T52">
        <f>IF($O52="","",IF(INDEX(Dossiers!$F$4:$F$63,1)="","",INDEX(Dossiers!$F$4:$F$63,1)))</f>
        <v/>
      </c>
      <c r="U52">
        <f>IF($O52="","",IF(INDEX(Dossiers!$G$4:$G$63,1)="","",INDEX(Dossiers!$G$4:$G$63,1)))</f>
        <v/>
      </c>
      <c r="V52">
        <f>IF(OR($O52="",NOT(ISNUMBER($Q52))),"",$Q52*1000000+52)</f>
        <v/>
      </c>
      <c r="W52" s="29">
        <f>IF($B52="","",IFERROR(INDEX($U$4:$U$3183,MATCH(SMALL($V$4:$V$3183,49),$V$4:$V$3183,0)),""))</f>
        <v/>
      </c>
    </row>
    <row r="53">
      <c r="A53">
        <f>IFERROR(INDEX($N$4:$N$3183,MATCH(SMALL($V$4:$V$3183,50),$V$4:$V$3183,0)),"")</f>
        <v/>
      </c>
      <c r="B53">
        <f>IFERROR(INDEX($O$4:$O$3183,MATCH(SMALL($V$4:$V$3183,50),$V$4:$V$3183,0)),"")</f>
        <v/>
      </c>
      <c r="C53">
        <f>IFERROR(INDEX($P$4:$P$3183,MATCH(SMALL($V$4:$V$3183,50),$V$4:$V$3183,0)),"")</f>
        <v/>
      </c>
      <c r="D53" s="29">
        <f>IFERROR(INDEX($Q$4:$Q$3183,MATCH(SMALL($V$4:$V$3183,50),$V$4:$V$3183,0)),"")</f>
        <v/>
      </c>
      <c r="E53" s="29">
        <f>IFERROR(INDEX($R$4:$R$3183,MATCH(SMALL($V$4:$V$3183,50),$V$4:$V$3183,0)),"")</f>
        <v/>
      </c>
      <c r="F53">
        <f>IFERROR(INDEX($S$4:$S$3183,MATCH(SMALL($V$4:$V$3183,50),$V$4:$V$3183,0)),"")</f>
        <v/>
      </c>
      <c r="I53" s="29">
        <f>IF($B53="","",IFERROR(INDEX($U$4:$U$3183,MATCH(SMALL($V$4:$V$3183,50),$V$4:$V$3183,0)),""))</f>
        <v/>
      </c>
      <c r="J53">
        <f>IF($B53="","",IF($D53&gt;$F$2,"À venir",IF($E53&lt;$D$2,"Passé","Dans la période")))</f>
        <v/>
      </c>
      <c r="K53">
        <f>IF(OR($B53="",NOT(ISNUMBER($D53))),"",IF(AND($E53&lt;$D$2,$G53&lt;&gt;"X",$F53&lt;&gt;"Réalisé",$F53&lt;&gt;"Clôturé"),"RETARD",""))</f>
        <v/>
      </c>
      <c r="L53">
        <f>IF(OR($B53="",NOT(ISNUMBER($D53))),"",IF(AND($D53&gt;=$D$2,$D53&lt;=$H$2,$G53&lt;&gt;"X",$F53&lt;&gt;"Réalisé",$F53&lt;&gt;"Clôturé"),"≤ 7 j",""))</f>
        <v/>
      </c>
      <c r="M53" s="29">
        <f>IF($B53="","",IFERROR(INDEX($T$4:$T$3183,MATCH(SMALL($V$4:$V$3183,50),$V$4:$V$3183,0)),""))</f>
        <v/>
      </c>
      <c r="O53">
        <f>IF(INDEX(Suivi!$B:$B,54)="","",INDEX(Suivi!$B:$B,54))</f>
        <v/>
      </c>
      <c r="P53">
        <f>IF($O53="","",IF(INDEX(Suivi!$D:$D,54)="",INDEX(Suivi!$C:$C,54),INDEX(Suivi!$D:$D,54)))</f>
        <v/>
      </c>
      <c r="Q53">
        <f>IF($O53="","",INDEX(Suivi!$E:$E,54))</f>
        <v/>
      </c>
      <c r="R53">
        <f>IF($O53="","",INDEX(Suivi!$F:$F,54))</f>
        <v/>
      </c>
      <c r="S53">
        <f>IF($O53="","",INDEX(Suivi!$G:$G,54))</f>
        <v/>
      </c>
      <c r="T53">
        <f>IF($O53="","",IF(INDEX(Dossiers!$F$4:$F$63,1)="","",INDEX(Dossiers!$F$4:$F$63,1)))</f>
        <v/>
      </c>
      <c r="U53">
        <f>IF($O53="","",IF(INDEX(Dossiers!$G$4:$G$63,1)="","",INDEX(Dossiers!$G$4:$G$63,1)))</f>
        <v/>
      </c>
      <c r="V53">
        <f>IF(OR($O53="",NOT(ISNUMBER($Q53))),"",$Q53*1000000+53)</f>
        <v/>
      </c>
      <c r="W53" s="29">
        <f>IF($B53="","",IFERROR(INDEX($U$4:$U$3183,MATCH(SMALL($V$4:$V$3183,50),$V$4:$V$3183,0)),""))</f>
        <v/>
      </c>
    </row>
    <row r="54">
      <c r="A54">
        <f>IFERROR(INDEX($N$4:$N$3183,MATCH(SMALL($V$4:$V$3183,51),$V$4:$V$3183,0)),"")</f>
        <v/>
      </c>
      <c r="B54">
        <f>IFERROR(INDEX($O$4:$O$3183,MATCH(SMALL($V$4:$V$3183,51),$V$4:$V$3183,0)),"")</f>
        <v/>
      </c>
      <c r="C54">
        <f>IFERROR(INDEX($P$4:$P$3183,MATCH(SMALL($V$4:$V$3183,51),$V$4:$V$3183,0)),"")</f>
        <v/>
      </c>
      <c r="D54" s="29">
        <f>IFERROR(INDEX($Q$4:$Q$3183,MATCH(SMALL($V$4:$V$3183,51),$V$4:$V$3183,0)),"")</f>
        <v/>
      </c>
      <c r="E54" s="29">
        <f>IFERROR(INDEX($R$4:$R$3183,MATCH(SMALL($V$4:$V$3183,51),$V$4:$V$3183,0)),"")</f>
        <v/>
      </c>
      <c r="F54">
        <f>IFERROR(INDEX($S$4:$S$3183,MATCH(SMALL($V$4:$V$3183,51),$V$4:$V$3183,0)),"")</f>
        <v/>
      </c>
      <c r="I54" s="29">
        <f>IF($B54="","",IFERROR(INDEX($U$4:$U$3183,MATCH(SMALL($V$4:$V$3183,51),$V$4:$V$3183,0)),""))</f>
        <v/>
      </c>
      <c r="J54">
        <f>IF($B54="","",IF($D54&gt;$F$2,"À venir",IF($E54&lt;$D$2,"Passé","Dans la période")))</f>
        <v/>
      </c>
      <c r="K54">
        <f>IF(OR($B54="",NOT(ISNUMBER($D54))),"",IF(AND($E54&lt;$D$2,$G54&lt;&gt;"X",$F54&lt;&gt;"Réalisé",$F54&lt;&gt;"Clôturé"),"RETARD",""))</f>
        <v/>
      </c>
      <c r="L54">
        <f>IF(OR($B54="",NOT(ISNUMBER($D54))),"",IF(AND($D54&gt;=$D$2,$D54&lt;=$H$2,$G54&lt;&gt;"X",$F54&lt;&gt;"Réalisé",$F54&lt;&gt;"Clôturé"),"≤ 7 j",""))</f>
        <v/>
      </c>
      <c r="M54" s="29">
        <f>IF($B54="","",IFERROR(INDEX($T$4:$T$3183,MATCH(SMALL($V$4:$V$3183,51),$V$4:$V$3183,0)),""))</f>
        <v/>
      </c>
      <c r="O54">
        <f>IF(INDEX(Suivi!$B:$B,55)="","",INDEX(Suivi!$B:$B,55))</f>
        <v/>
      </c>
      <c r="P54">
        <f>IF($O54="","",IF(INDEX(Suivi!$D:$D,55)="",INDEX(Suivi!$C:$C,55),INDEX(Suivi!$D:$D,55)))</f>
        <v/>
      </c>
      <c r="Q54">
        <f>IF($O54="","",INDEX(Suivi!$E:$E,55))</f>
        <v/>
      </c>
      <c r="R54">
        <f>IF($O54="","",INDEX(Suivi!$F:$F,55))</f>
        <v/>
      </c>
      <c r="S54">
        <f>IF($O54="","",INDEX(Suivi!$G:$G,55))</f>
        <v/>
      </c>
      <c r="T54">
        <f>IF($O54="","",IF(INDEX(Dossiers!$F$4:$F$63,1)="","",INDEX(Dossiers!$F$4:$F$63,1)))</f>
        <v/>
      </c>
      <c r="U54">
        <f>IF($O54="","",IF(INDEX(Dossiers!$G$4:$G$63,1)="","",INDEX(Dossiers!$G$4:$G$63,1)))</f>
        <v/>
      </c>
      <c r="V54">
        <f>IF(OR($O54="",NOT(ISNUMBER($Q54))),"",$Q54*1000000+54)</f>
        <v/>
      </c>
      <c r="W54" s="29">
        <f>IF($B54="","",IFERROR(INDEX($U$4:$U$3183,MATCH(SMALL($V$4:$V$3183,51),$V$4:$V$3183,0)),""))</f>
        <v/>
      </c>
    </row>
    <row r="55">
      <c r="A55">
        <f>IFERROR(INDEX($N$4:$N$3183,MATCH(SMALL($V$4:$V$3183,52),$V$4:$V$3183,0)),"")</f>
        <v/>
      </c>
      <c r="B55">
        <f>IFERROR(INDEX($O$4:$O$3183,MATCH(SMALL($V$4:$V$3183,52),$V$4:$V$3183,0)),"")</f>
        <v/>
      </c>
      <c r="C55">
        <f>IFERROR(INDEX($P$4:$P$3183,MATCH(SMALL($V$4:$V$3183,52),$V$4:$V$3183,0)),"")</f>
        <v/>
      </c>
      <c r="D55" s="29">
        <f>IFERROR(INDEX($Q$4:$Q$3183,MATCH(SMALL($V$4:$V$3183,52),$V$4:$V$3183,0)),"")</f>
        <v/>
      </c>
      <c r="E55" s="29">
        <f>IFERROR(INDEX($R$4:$R$3183,MATCH(SMALL($V$4:$V$3183,52),$V$4:$V$3183,0)),"")</f>
        <v/>
      </c>
      <c r="F55">
        <f>IFERROR(INDEX($S$4:$S$3183,MATCH(SMALL($V$4:$V$3183,52),$V$4:$V$3183,0)),"")</f>
        <v/>
      </c>
      <c r="I55" s="29">
        <f>IF($B55="","",IFERROR(INDEX($U$4:$U$3183,MATCH(SMALL($V$4:$V$3183,52),$V$4:$V$3183,0)),""))</f>
        <v/>
      </c>
      <c r="J55">
        <f>IF($B55="","",IF($D55&gt;$F$2,"À venir",IF($E55&lt;$D$2,"Passé","Dans la période")))</f>
        <v/>
      </c>
      <c r="K55">
        <f>IF(OR($B55="",NOT(ISNUMBER($D55))),"",IF(AND($E55&lt;$D$2,$G55&lt;&gt;"X",$F55&lt;&gt;"Réalisé",$F55&lt;&gt;"Clôturé"),"RETARD",""))</f>
        <v/>
      </c>
      <c r="L55">
        <f>IF(OR($B55="",NOT(ISNUMBER($D55))),"",IF(AND($D55&gt;=$D$2,$D55&lt;=$H$2,$G55&lt;&gt;"X",$F55&lt;&gt;"Réalisé",$F55&lt;&gt;"Clôturé"),"≤ 7 j",""))</f>
        <v/>
      </c>
      <c r="M55" s="29">
        <f>IF($B55="","",IFERROR(INDEX($T$4:$T$3183,MATCH(SMALL($V$4:$V$3183,52),$V$4:$V$3183,0)),""))</f>
        <v/>
      </c>
      <c r="O55">
        <f>IF(INDEX(Suivi!$B:$B,56)="","",INDEX(Suivi!$B:$B,56))</f>
        <v/>
      </c>
      <c r="P55">
        <f>IF($O55="","",IF(INDEX(Suivi!$D:$D,56)="",INDEX(Suivi!$C:$C,56),INDEX(Suivi!$D:$D,56)))</f>
        <v/>
      </c>
      <c r="Q55">
        <f>IF($O55="","",INDEX(Suivi!$E:$E,56))</f>
        <v/>
      </c>
      <c r="R55">
        <f>IF($O55="","",INDEX(Suivi!$F:$F,56))</f>
        <v/>
      </c>
      <c r="S55">
        <f>IF($O55="","",INDEX(Suivi!$G:$G,56))</f>
        <v/>
      </c>
      <c r="T55">
        <f>IF($O55="","",IF(INDEX(Dossiers!$F$4:$F$63,1)="","",INDEX(Dossiers!$F$4:$F$63,1)))</f>
        <v/>
      </c>
      <c r="U55">
        <f>IF($O55="","",IF(INDEX(Dossiers!$G$4:$G$63,1)="","",INDEX(Dossiers!$G$4:$G$63,1)))</f>
        <v/>
      </c>
      <c r="V55">
        <f>IF(OR($O55="",NOT(ISNUMBER($Q55))),"",$Q55*1000000+55)</f>
        <v/>
      </c>
      <c r="W55" s="29">
        <f>IF($B55="","",IFERROR(INDEX($U$4:$U$3183,MATCH(SMALL($V$4:$V$3183,52),$V$4:$V$3183,0)),""))</f>
        <v/>
      </c>
    </row>
    <row r="56">
      <c r="A56">
        <f>IFERROR(INDEX($N$4:$N$3183,MATCH(SMALL($V$4:$V$3183,53),$V$4:$V$3183,0)),"")</f>
        <v/>
      </c>
      <c r="B56">
        <f>IFERROR(INDEX($O$4:$O$3183,MATCH(SMALL($V$4:$V$3183,53),$V$4:$V$3183,0)),"")</f>
        <v/>
      </c>
      <c r="C56">
        <f>IFERROR(INDEX($P$4:$P$3183,MATCH(SMALL($V$4:$V$3183,53),$V$4:$V$3183,0)),"")</f>
        <v/>
      </c>
      <c r="D56" s="29">
        <f>IFERROR(INDEX($Q$4:$Q$3183,MATCH(SMALL($V$4:$V$3183,53),$V$4:$V$3183,0)),"")</f>
        <v/>
      </c>
      <c r="E56" s="29">
        <f>IFERROR(INDEX($R$4:$R$3183,MATCH(SMALL($V$4:$V$3183,53),$V$4:$V$3183,0)),"")</f>
        <v/>
      </c>
      <c r="F56">
        <f>IFERROR(INDEX($S$4:$S$3183,MATCH(SMALL($V$4:$V$3183,53),$V$4:$V$3183,0)),"")</f>
        <v/>
      </c>
      <c r="I56" s="29">
        <f>IF($B56="","",IFERROR(INDEX($U$4:$U$3183,MATCH(SMALL($V$4:$V$3183,53),$V$4:$V$3183,0)),""))</f>
        <v/>
      </c>
      <c r="J56">
        <f>IF($B56="","",IF($D56&gt;$F$2,"À venir",IF($E56&lt;$D$2,"Passé","Dans la période")))</f>
        <v/>
      </c>
      <c r="K56">
        <f>IF(OR($B56="",NOT(ISNUMBER($D56))),"",IF(AND($E56&lt;$D$2,$G56&lt;&gt;"X",$F56&lt;&gt;"Réalisé",$F56&lt;&gt;"Clôturé"),"RETARD",""))</f>
        <v/>
      </c>
      <c r="L56">
        <f>IF(OR($B56="",NOT(ISNUMBER($D56))),"",IF(AND($D56&gt;=$D$2,$D56&lt;=$H$2,$G56&lt;&gt;"X",$F56&lt;&gt;"Réalisé",$F56&lt;&gt;"Clôturé"),"≤ 7 j",""))</f>
        <v/>
      </c>
      <c r="M56" s="29">
        <f>IF($B56="","",IFERROR(INDEX($T$4:$T$3183,MATCH(SMALL($V$4:$V$3183,53),$V$4:$V$3183,0)),""))</f>
        <v/>
      </c>
      <c r="O56">
        <f>IF(INDEX(Suivi!$B:$B,57)="","",INDEX(Suivi!$B:$B,57))</f>
        <v/>
      </c>
      <c r="P56">
        <f>IF($O56="","",IF(INDEX(Suivi!$D:$D,57)="",INDEX(Suivi!$C:$C,57),INDEX(Suivi!$D:$D,57)))</f>
        <v/>
      </c>
      <c r="Q56">
        <f>IF($O56="","",INDEX(Suivi!$E:$E,57))</f>
        <v/>
      </c>
      <c r="R56">
        <f>IF($O56="","",INDEX(Suivi!$F:$F,57))</f>
        <v/>
      </c>
      <c r="S56">
        <f>IF($O56="","",INDEX(Suivi!$G:$G,57))</f>
        <v/>
      </c>
      <c r="T56">
        <f>IF($O56="","",IF(INDEX(Dossiers!$F$4:$F$63,1)="","",INDEX(Dossiers!$F$4:$F$63,1)))</f>
        <v/>
      </c>
      <c r="U56">
        <f>IF($O56="","",IF(INDEX(Dossiers!$G$4:$G$63,1)="","",INDEX(Dossiers!$G$4:$G$63,1)))</f>
        <v/>
      </c>
      <c r="V56">
        <f>IF(OR($O56="",NOT(ISNUMBER($Q56))),"",$Q56*1000000+56)</f>
        <v/>
      </c>
      <c r="W56" s="29">
        <f>IF($B56="","",IFERROR(INDEX($U$4:$U$3183,MATCH(SMALL($V$4:$V$3183,53),$V$4:$V$3183,0)),""))</f>
        <v/>
      </c>
    </row>
    <row r="57">
      <c r="A57">
        <f>IFERROR(INDEX($N$4:$N$3183,MATCH(SMALL($V$4:$V$3183,54),$V$4:$V$3183,0)),"")</f>
        <v/>
      </c>
      <c r="B57">
        <f>IFERROR(INDEX($O$4:$O$3183,MATCH(SMALL($V$4:$V$3183,54),$V$4:$V$3183,0)),"")</f>
        <v/>
      </c>
      <c r="C57">
        <f>IFERROR(INDEX($P$4:$P$3183,MATCH(SMALL($V$4:$V$3183,54),$V$4:$V$3183,0)),"")</f>
        <v/>
      </c>
      <c r="D57" s="29">
        <f>IFERROR(INDEX($Q$4:$Q$3183,MATCH(SMALL($V$4:$V$3183,54),$V$4:$V$3183,0)),"")</f>
        <v/>
      </c>
      <c r="E57" s="29">
        <f>IFERROR(INDEX($R$4:$R$3183,MATCH(SMALL($V$4:$V$3183,54),$V$4:$V$3183,0)),"")</f>
        <v/>
      </c>
      <c r="F57">
        <f>IFERROR(INDEX($S$4:$S$3183,MATCH(SMALL($V$4:$V$3183,54),$V$4:$V$3183,0)),"")</f>
        <v/>
      </c>
      <c r="I57" s="29">
        <f>IF($B57="","",IFERROR(INDEX($U$4:$U$3183,MATCH(SMALL($V$4:$V$3183,54),$V$4:$V$3183,0)),""))</f>
        <v/>
      </c>
      <c r="J57">
        <f>IF($B57="","",IF($D57&gt;$F$2,"À venir",IF($E57&lt;$D$2,"Passé","Dans la période")))</f>
        <v/>
      </c>
      <c r="K57">
        <f>IF(OR($B57="",NOT(ISNUMBER($D57))),"",IF(AND($E57&lt;$D$2,$G57&lt;&gt;"X",$F57&lt;&gt;"Réalisé",$F57&lt;&gt;"Clôturé"),"RETARD",""))</f>
        <v/>
      </c>
      <c r="L57">
        <f>IF(OR($B57="",NOT(ISNUMBER($D57))),"",IF(AND($D57&gt;=$D$2,$D57&lt;=$H$2,$G57&lt;&gt;"X",$F57&lt;&gt;"Réalisé",$F57&lt;&gt;"Clôturé"),"≤ 7 j",""))</f>
        <v/>
      </c>
      <c r="M57" s="29">
        <f>IF($B57="","",IFERROR(INDEX($T$4:$T$3183,MATCH(SMALL($V$4:$V$3183,54),$V$4:$V$3183,0)),""))</f>
        <v/>
      </c>
      <c r="O57">
        <f>IF(INDEX(Suivi!$B:$B,59)="","",INDEX(Suivi!$B:$B,59))</f>
        <v/>
      </c>
      <c r="P57">
        <f>IF($O57="","",IF(INDEX(Suivi!$D:$D,59)="",INDEX(Suivi!$C:$C,59),INDEX(Suivi!$D:$D,59)))</f>
        <v/>
      </c>
      <c r="Q57">
        <f>IF($O57="","",INDEX(Suivi!$E:$E,59))</f>
        <v/>
      </c>
      <c r="R57">
        <f>IF($O57="","",INDEX(Suivi!$F:$F,59))</f>
        <v/>
      </c>
      <c r="S57">
        <f>IF($O57="","",INDEX(Suivi!$G:$G,59))</f>
        <v/>
      </c>
      <c r="T57">
        <f>IF($O57="","",IF(INDEX(Dossiers!$F$4:$F$63,2)="","",INDEX(Dossiers!$F$4:$F$63,2)))</f>
        <v/>
      </c>
      <c r="U57">
        <f>IF($O57="","",IF(INDEX(Dossiers!$G$4:$G$63,2)="","",INDEX(Dossiers!$G$4:$G$63,2)))</f>
        <v/>
      </c>
      <c r="V57">
        <f>IF(OR($O57="",NOT(ISNUMBER($Q57))),"",$Q57*1000000+57)</f>
        <v/>
      </c>
      <c r="W57" s="29">
        <f>IF($B57="","",IFERROR(INDEX($U$4:$U$3183,MATCH(SMALL($V$4:$V$3183,54),$V$4:$V$3183,0)),""))</f>
        <v/>
      </c>
    </row>
    <row r="58">
      <c r="A58">
        <f>IFERROR(INDEX($N$4:$N$3183,MATCH(SMALL($V$4:$V$3183,55),$V$4:$V$3183,0)),"")</f>
        <v/>
      </c>
      <c r="B58">
        <f>IFERROR(INDEX($O$4:$O$3183,MATCH(SMALL($V$4:$V$3183,55),$V$4:$V$3183,0)),"")</f>
        <v/>
      </c>
      <c r="C58">
        <f>IFERROR(INDEX($P$4:$P$3183,MATCH(SMALL($V$4:$V$3183,55),$V$4:$V$3183,0)),"")</f>
        <v/>
      </c>
      <c r="D58" s="29">
        <f>IFERROR(INDEX($Q$4:$Q$3183,MATCH(SMALL($V$4:$V$3183,55),$V$4:$V$3183,0)),"")</f>
        <v/>
      </c>
      <c r="E58" s="29">
        <f>IFERROR(INDEX($R$4:$R$3183,MATCH(SMALL($V$4:$V$3183,55),$V$4:$V$3183,0)),"")</f>
        <v/>
      </c>
      <c r="F58">
        <f>IFERROR(INDEX($S$4:$S$3183,MATCH(SMALL($V$4:$V$3183,55),$V$4:$V$3183,0)),"")</f>
        <v/>
      </c>
      <c r="I58" s="29">
        <f>IF($B58="","",IFERROR(INDEX($U$4:$U$3183,MATCH(SMALL($V$4:$V$3183,55),$V$4:$V$3183,0)),""))</f>
        <v/>
      </c>
      <c r="J58">
        <f>IF($B58="","",IF($D58&gt;$F$2,"À venir",IF($E58&lt;$D$2,"Passé","Dans la période")))</f>
        <v/>
      </c>
      <c r="K58">
        <f>IF(OR($B58="",NOT(ISNUMBER($D58))),"",IF(AND($E58&lt;$D$2,$G58&lt;&gt;"X",$F58&lt;&gt;"Réalisé",$F58&lt;&gt;"Clôturé"),"RETARD",""))</f>
        <v/>
      </c>
      <c r="L58">
        <f>IF(OR($B58="",NOT(ISNUMBER($D58))),"",IF(AND($D58&gt;=$D$2,$D58&lt;=$H$2,$G58&lt;&gt;"X",$F58&lt;&gt;"Réalisé",$F58&lt;&gt;"Clôturé"),"≤ 7 j",""))</f>
        <v/>
      </c>
      <c r="M58" s="29">
        <f>IF($B58="","",IFERROR(INDEX($T$4:$T$3183,MATCH(SMALL($V$4:$V$3183,55),$V$4:$V$3183,0)),""))</f>
        <v/>
      </c>
      <c r="O58">
        <f>IF(INDEX(Suivi!$B:$B,60)="","",INDEX(Suivi!$B:$B,60))</f>
        <v/>
      </c>
      <c r="P58">
        <f>IF($O58="","",IF(INDEX(Suivi!$D:$D,60)="",INDEX(Suivi!$C:$C,60),INDEX(Suivi!$D:$D,60)))</f>
        <v/>
      </c>
      <c r="Q58">
        <f>IF($O58="","",INDEX(Suivi!$E:$E,60))</f>
        <v/>
      </c>
      <c r="R58">
        <f>IF($O58="","",INDEX(Suivi!$F:$F,60))</f>
        <v/>
      </c>
      <c r="S58">
        <f>IF($O58="","",INDEX(Suivi!$G:$G,60))</f>
        <v/>
      </c>
      <c r="T58">
        <f>IF($O58="","",IF(INDEX(Dossiers!$F$4:$F$63,2)="","",INDEX(Dossiers!$F$4:$F$63,2)))</f>
        <v/>
      </c>
      <c r="U58">
        <f>IF($O58="","",IF(INDEX(Dossiers!$G$4:$G$63,2)="","",INDEX(Dossiers!$G$4:$G$63,2)))</f>
        <v/>
      </c>
      <c r="V58">
        <f>IF(OR($O58="",NOT(ISNUMBER($Q58))),"",$Q58*1000000+58)</f>
        <v/>
      </c>
      <c r="W58" s="29">
        <f>IF($B58="","",IFERROR(INDEX($U$4:$U$3183,MATCH(SMALL($V$4:$V$3183,55),$V$4:$V$3183,0)),""))</f>
        <v/>
      </c>
    </row>
    <row r="59">
      <c r="A59">
        <f>IFERROR(INDEX($N$4:$N$3183,MATCH(SMALL($V$4:$V$3183,56),$V$4:$V$3183,0)),"")</f>
        <v/>
      </c>
      <c r="B59">
        <f>IFERROR(INDEX($O$4:$O$3183,MATCH(SMALL($V$4:$V$3183,56),$V$4:$V$3183,0)),"")</f>
        <v/>
      </c>
      <c r="C59">
        <f>IFERROR(INDEX($P$4:$P$3183,MATCH(SMALL($V$4:$V$3183,56),$V$4:$V$3183,0)),"")</f>
        <v/>
      </c>
      <c r="D59" s="29">
        <f>IFERROR(INDEX($Q$4:$Q$3183,MATCH(SMALL($V$4:$V$3183,56),$V$4:$V$3183,0)),"")</f>
        <v/>
      </c>
      <c r="E59" s="29">
        <f>IFERROR(INDEX($R$4:$R$3183,MATCH(SMALL($V$4:$V$3183,56),$V$4:$V$3183,0)),"")</f>
        <v/>
      </c>
      <c r="F59">
        <f>IFERROR(INDEX($S$4:$S$3183,MATCH(SMALL($V$4:$V$3183,56),$V$4:$V$3183,0)),"")</f>
        <v/>
      </c>
      <c r="I59" s="29">
        <f>IF($B59="","",IFERROR(INDEX($U$4:$U$3183,MATCH(SMALL($V$4:$V$3183,56),$V$4:$V$3183,0)),""))</f>
        <v/>
      </c>
      <c r="J59">
        <f>IF($B59="","",IF($D59&gt;$F$2,"À venir",IF($E59&lt;$D$2,"Passé","Dans la période")))</f>
        <v/>
      </c>
      <c r="K59">
        <f>IF(OR($B59="",NOT(ISNUMBER($D59))),"",IF(AND($E59&lt;$D$2,$G59&lt;&gt;"X",$F59&lt;&gt;"Réalisé",$F59&lt;&gt;"Clôturé"),"RETARD",""))</f>
        <v/>
      </c>
      <c r="L59">
        <f>IF(OR($B59="",NOT(ISNUMBER($D59))),"",IF(AND($D59&gt;=$D$2,$D59&lt;=$H$2,$G59&lt;&gt;"X",$F59&lt;&gt;"Réalisé",$F59&lt;&gt;"Clôturé"),"≤ 7 j",""))</f>
        <v/>
      </c>
      <c r="M59" s="29">
        <f>IF($B59="","",IFERROR(INDEX($T$4:$T$3183,MATCH(SMALL($V$4:$V$3183,56),$V$4:$V$3183,0)),""))</f>
        <v/>
      </c>
      <c r="O59">
        <f>IF(INDEX(Suivi!$B:$B,61)="","",INDEX(Suivi!$B:$B,61))</f>
        <v/>
      </c>
      <c r="P59">
        <f>IF($O59="","",IF(INDEX(Suivi!$D:$D,61)="",INDEX(Suivi!$C:$C,61),INDEX(Suivi!$D:$D,61)))</f>
        <v/>
      </c>
      <c r="Q59">
        <f>IF($O59="","",INDEX(Suivi!$E:$E,61))</f>
        <v/>
      </c>
      <c r="R59">
        <f>IF($O59="","",INDEX(Suivi!$F:$F,61))</f>
        <v/>
      </c>
      <c r="S59">
        <f>IF($O59="","",INDEX(Suivi!$G:$G,61))</f>
        <v/>
      </c>
      <c r="T59">
        <f>IF($O59="","",IF(INDEX(Dossiers!$F$4:$F$63,2)="","",INDEX(Dossiers!$F$4:$F$63,2)))</f>
        <v/>
      </c>
      <c r="U59">
        <f>IF($O59="","",IF(INDEX(Dossiers!$G$4:$G$63,2)="","",INDEX(Dossiers!$G$4:$G$63,2)))</f>
        <v/>
      </c>
      <c r="V59">
        <f>IF(OR($O59="",NOT(ISNUMBER($Q59))),"",$Q59*1000000+59)</f>
        <v/>
      </c>
      <c r="W59" s="29">
        <f>IF($B59="","",IFERROR(INDEX($U$4:$U$3183,MATCH(SMALL($V$4:$V$3183,56),$V$4:$V$3183,0)),""))</f>
        <v/>
      </c>
    </row>
    <row r="60">
      <c r="A60">
        <f>IFERROR(INDEX($N$4:$N$3183,MATCH(SMALL($V$4:$V$3183,57),$V$4:$V$3183,0)),"")</f>
        <v/>
      </c>
      <c r="B60">
        <f>IFERROR(INDEX($O$4:$O$3183,MATCH(SMALL($V$4:$V$3183,57),$V$4:$V$3183,0)),"")</f>
        <v/>
      </c>
      <c r="C60">
        <f>IFERROR(INDEX($P$4:$P$3183,MATCH(SMALL($V$4:$V$3183,57),$V$4:$V$3183,0)),"")</f>
        <v/>
      </c>
      <c r="D60" s="29">
        <f>IFERROR(INDEX($Q$4:$Q$3183,MATCH(SMALL($V$4:$V$3183,57),$V$4:$V$3183,0)),"")</f>
        <v/>
      </c>
      <c r="E60" s="29">
        <f>IFERROR(INDEX($R$4:$R$3183,MATCH(SMALL($V$4:$V$3183,57),$V$4:$V$3183,0)),"")</f>
        <v/>
      </c>
      <c r="F60">
        <f>IFERROR(INDEX($S$4:$S$3183,MATCH(SMALL($V$4:$V$3183,57),$V$4:$V$3183,0)),"")</f>
        <v/>
      </c>
      <c r="I60" s="29">
        <f>IF($B60="","",IFERROR(INDEX($U$4:$U$3183,MATCH(SMALL($V$4:$V$3183,57),$V$4:$V$3183,0)),""))</f>
        <v/>
      </c>
      <c r="J60">
        <f>IF($B60="","",IF($D60&gt;$F$2,"À venir",IF($E60&lt;$D$2,"Passé","Dans la période")))</f>
        <v/>
      </c>
      <c r="K60">
        <f>IF(OR($B60="",NOT(ISNUMBER($D60))),"",IF(AND($E60&lt;$D$2,$G60&lt;&gt;"X",$F60&lt;&gt;"Réalisé",$F60&lt;&gt;"Clôturé"),"RETARD",""))</f>
        <v/>
      </c>
      <c r="L60">
        <f>IF(OR($B60="",NOT(ISNUMBER($D60))),"",IF(AND($D60&gt;=$D$2,$D60&lt;=$H$2,$G60&lt;&gt;"X",$F60&lt;&gt;"Réalisé",$F60&lt;&gt;"Clôturé"),"≤ 7 j",""))</f>
        <v/>
      </c>
      <c r="M60" s="29">
        <f>IF($B60="","",IFERROR(INDEX($T$4:$T$3183,MATCH(SMALL($V$4:$V$3183,57),$V$4:$V$3183,0)),""))</f>
        <v/>
      </c>
      <c r="O60">
        <f>IF(INDEX(Suivi!$B:$B,62)="","",INDEX(Suivi!$B:$B,62))</f>
        <v/>
      </c>
      <c r="P60">
        <f>IF($O60="","",IF(INDEX(Suivi!$D:$D,62)="",INDEX(Suivi!$C:$C,62),INDEX(Suivi!$D:$D,62)))</f>
        <v/>
      </c>
      <c r="Q60">
        <f>IF($O60="","",INDEX(Suivi!$E:$E,62))</f>
        <v/>
      </c>
      <c r="R60">
        <f>IF($O60="","",INDEX(Suivi!$F:$F,62))</f>
        <v/>
      </c>
      <c r="S60">
        <f>IF($O60="","",INDEX(Suivi!$G:$G,62))</f>
        <v/>
      </c>
      <c r="T60">
        <f>IF($O60="","",IF(INDEX(Dossiers!$F$4:$F$63,2)="","",INDEX(Dossiers!$F$4:$F$63,2)))</f>
        <v/>
      </c>
      <c r="U60">
        <f>IF($O60="","",IF(INDEX(Dossiers!$G$4:$G$63,2)="","",INDEX(Dossiers!$G$4:$G$63,2)))</f>
        <v/>
      </c>
      <c r="V60">
        <f>IF(OR($O60="",NOT(ISNUMBER($Q60))),"",$Q60*1000000+60)</f>
        <v/>
      </c>
      <c r="W60" s="29">
        <f>IF($B60="","",IFERROR(INDEX($U$4:$U$3183,MATCH(SMALL($V$4:$V$3183,57),$V$4:$V$3183,0)),""))</f>
        <v/>
      </c>
    </row>
    <row r="61">
      <c r="A61">
        <f>IFERROR(INDEX($N$4:$N$3183,MATCH(SMALL($V$4:$V$3183,58),$V$4:$V$3183,0)),"")</f>
        <v/>
      </c>
      <c r="B61">
        <f>IFERROR(INDEX($O$4:$O$3183,MATCH(SMALL($V$4:$V$3183,58),$V$4:$V$3183,0)),"")</f>
        <v/>
      </c>
      <c r="C61">
        <f>IFERROR(INDEX($P$4:$P$3183,MATCH(SMALL($V$4:$V$3183,58),$V$4:$V$3183,0)),"")</f>
        <v/>
      </c>
      <c r="D61" s="29">
        <f>IFERROR(INDEX($Q$4:$Q$3183,MATCH(SMALL($V$4:$V$3183,58),$V$4:$V$3183,0)),"")</f>
        <v/>
      </c>
      <c r="E61" s="29">
        <f>IFERROR(INDEX($R$4:$R$3183,MATCH(SMALL($V$4:$V$3183,58),$V$4:$V$3183,0)),"")</f>
        <v/>
      </c>
      <c r="F61">
        <f>IFERROR(INDEX($S$4:$S$3183,MATCH(SMALL($V$4:$V$3183,58),$V$4:$V$3183,0)),"")</f>
        <v/>
      </c>
      <c r="I61" s="29">
        <f>IF($B61="","",IFERROR(INDEX($U$4:$U$3183,MATCH(SMALL($V$4:$V$3183,58),$V$4:$V$3183,0)),""))</f>
        <v/>
      </c>
      <c r="J61">
        <f>IF($B61="","",IF($D61&gt;$F$2,"À venir",IF($E61&lt;$D$2,"Passé","Dans la période")))</f>
        <v/>
      </c>
      <c r="K61">
        <f>IF(OR($B61="",NOT(ISNUMBER($D61))),"",IF(AND($E61&lt;$D$2,$G61&lt;&gt;"X",$F61&lt;&gt;"Réalisé",$F61&lt;&gt;"Clôturé"),"RETARD",""))</f>
        <v/>
      </c>
      <c r="L61">
        <f>IF(OR($B61="",NOT(ISNUMBER($D61))),"",IF(AND($D61&gt;=$D$2,$D61&lt;=$H$2,$G61&lt;&gt;"X",$F61&lt;&gt;"Réalisé",$F61&lt;&gt;"Clôturé"),"≤ 7 j",""))</f>
        <v/>
      </c>
      <c r="M61" s="29">
        <f>IF($B61="","",IFERROR(INDEX($T$4:$T$3183,MATCH(SMALL($V$4:$V$3183,58),$V$4:$V$3183,0)),""))</f>
        <v/>
      </c>
      <c r="O61">
        <f>IF(INDEX(Suivi!$B:$B,63)="","",INDEX(Suivi!$B:$B,63))</f>
        <v/>
      </c>
      <c r="P61">
        <f>IF($O61="","",IF(INDEX(Suivi!$D:$D,63)="",INDEX(Suivi!$C:$C,63),INDEX(Suivi!$D:$D,63)))</f>
        <v/>
      </c>
      <c r="Q61">
        <f>IF($O61="","",INDEX(Suivi!$E:$E,63))</f>
        <v/>
      </c>
      <c r="R61">
        <f>IF($O61="","",INDEX(Suivi!$F:$F,63))</f>
        <v/>
      </c>
      <c r="S61">
        <f>IF($O61="","",INDEX(Suivi!$G:$G,63))</f>
        <v/>
      </c>
      <c r="T61">
        <f>IF($O61="","",IF(INDEX(Dossiers!$F$4:$F$63,2)="","",INDEX(Dossiers!$F$4:$F$63,2)))</f>
        <v/>
      </c>
      <c r="U61">
        <f>IF($O61="","",IF(INDEX(Dossiers!$G$4:$G$63,2)="","",INDEX(Dossiers!$G$4:$G$63,2)))</f>
        <v/>
      </c>
      <c r="V61">
        <f>IF(OR($O61="",NOT(ISNUMBER($Q61))),"",$Q61*1000000+61)</f>
        <v/>
      </c>
      <c r="W61" s="29">
        <f>IF($B61="","",IFERROR(INDEX($U$4:$U$3183,MATCH(SMALL($V$4:$V$3183,58),$V$4:$V$3183,0)),""))</f>
        <v/>
      </c>
    </row>
    <row r="62">
      <c r="A62">
        <f>IFERROR(INDEX($N$4:$N$3183,MATCH(SMALL($V$4:$V$3183,59),$V$4:$V$3183,0)),"")</f>
        <v/>
      </c>
      <c r="B62">
        <f>IFERROR(INDEX($O$4:$O$3183,MATCH(SMALL($V$4:$V$3183,59),$V$4:$V$3183,0)),"")</f>
        <v/>
      </c>
      <c r="C62">
        <f>IFERROR(INDEX($P$4:$P$3183,MATCH(SMALL($V$4:$V$3183,59),$V$4:$V$3183,0)),"")</f>
        <v/>
      </c>
      <c r="D62" s="29">
        <f>IFERROR(INDEX($Q$4:$Q$3183,MATCH(SMALL($V$4:$V$3183,59),$V$4:$V$3183,0)),"")</f>
        <v/>
      </c>
      <c r="E62" s="29">
        <f>IFERROR(INDEX($R$4:$R$3183,MATCH(SMALL($V$4:$V$3183,59),$V$4:$V$3183,0)),"")</f>
        <v/>
      </c>
      <c r="F62">
        <f>IFERROR(INDEX($S$4:$S$3183,MATCH(SMALL($V$4:$V$3183,59),$V$4:$V$3183,0)),"")</f>
        <v/>
      </c>
      <c r="I62" s="29">
        <f>IF($B62="","",IFERROR(INDEX($U$4:$U$3183,MATCH(SMALL($V$4:$V$3183,59),$V$4:$V$3183,0)),""))</f>
        <v/>
      </c>
      <c r="J62">
        <f>IF($B62="","",IF($D62&gt;$F$2,"À venir",IF($E62&lt;$D$2,"Passé","Dans la période")))</f>
        <v/>
      </c>
      <c r="K62">
        <f>IF(OR($B62="",NOT(ISNUMBER($D62))),"",IF(AND($E62&lt;$D$2,$G62&lt;&gt;"X",$F62&lt;&gt;"Réalisé",$F62&lt;&gt;"Clôturé"),"RETARD",""))</f>
        <v/>
      </c>
      <c r="L62">
        <f>IF(OR($B62="",NOT(ISNUMBER($D62))),"",IF(AND($D62&gt;=$D$2,$D62&lt;=$H$2,$G62&lt;&gt;"X",$F62&lt;&gt;"Réalisé",$F62&lt;&gt;"Clôturé"),"≤ 7 j",""))</f>
        <v/>
      </c>
      <c r="M62" s="29">
        <f>IF($B62="","",IFERROR(INDEX($T$4:$T$3183,MATCH(SMALL($V$4:$V$3183,59),$V$4:$V$3183,0)),""))</f>
        <v/>
      </c>
      <c r="O62">
        <f>IF(INDEX(Suivi!$B:$B,64)="","",INDEX(Suivi!$B:$B,64))</f>
        <v/>
      </c>
      <c r="P62">
        <f>IF($O62="","",IF(INDEX(Suivi!$D:$D,64)="",INDEX(Suivi!$C:$C,64),INDEX(Suivi!$D:$D,64)))</f>
        <v/>
      </c>
      <c r="Q62">
        <f>IF($O62="","",INDEX(Suivi!$E:$E,64))</f>
        <v/>
      </c>
      <c r="R62">
        <f>IF($O62="","",INDEX(Suivi!$F:$F,64))</f>
        <v/>
      </c>
      <c r="S62">
        <f>IF($O62="","",INDEX(Suivi!$G:$G,64))</f>
        <v/>
      </c>
      <c r="T62">
        <f>IF($O62="","",IF(INDEX(Dossiers!$F$4:$F$63,2)="","",INDEX(Dossiers!$F$4:$F$63,2)))</f>
        <v/>
      </c>
      <c r="U62">
        <f>IF($O62="","",IF(INDEX(Dossiers!$G$4:$G$63,2)="","",INDEX(Dossiers!$G$4:$G$63,2)))</f>
        <v/>
      </c>
      <c r="V62">
        <f>IF(OR($O62="",NOT(ISNUMBER($Q62))),"",$Q62*1000000+62)</f>
        <v/>
      </c>
      <c r="W62" s="29">
        <f>IF($B62="","",IFERROR(INDEX($U$4:$U$3183,MATCH(SMALL($V$4:$V$3183,59),$V$4:$V$3183,0)),""))</f>
        <v/>
      </c>
    </row>
    <row r="63">
      <c r="A63">
        <f>IFERROR(INDEX($N$4:$N$3183,MATCH(SMALL($V$4:$V$3183,60),$V$4:$V$3183,0)),"")</f>
        <v/>
      </c>
      <c r="B63">
        <f>IFERROR(INDEX($O$4:$O$3183,MATCH(SMALL($V$4:$V$3183,60),$V$4:$V$3183,0)),"")</f>
        <v/>
      </c>
      <c r="C63">
        <f>IFERROR(INDEX($P$4:$P$3183,MATCH(SMALL($V$4:$V$3183,60),$V$4:$V$3183,0)),"")</f>
        <v/>
      </c>
      <c r="D63" s="29">
        <f>IFERROR(INDEX($Q$4:$Q$3183,MATCH(SMALL($V$4:$V$3183,60),$V$4:$V$3183,0)),"")</f>
        <v/>
      </c>
      <c r="E63" s="29">
        <f>IFERROR(INDEX($R$4:$R$3183,MATCH(SMALL($V$4:$V$3183,60),$V$4:$V$3183,0)),"")</f>
        <v/>
      </c>
      <c r="F63">
        <f>IFERROR(INDEX($S$4:$S$3183,MATCH(SMALL($V$4:$V$3183,60),$V$4:$V$3183,0)),"")</f>
        <v/>
      </c>
      <c r="I63" s="29">
        <f>IF($B63="","",IFERROR(INDEX($U$4:$U$3183,MATCH(SMALL($V$4:$V$3183,60),$V$4:$V$3183,0)),""))</f>
        <v/>
      </c>
      <c r="J63">
        <f>IF($B63="","",IF($D63&gt;$F$2,"À venir",IF($E63&lt;$D$2,"Passé","Dans la période")))</f>
        <v/>
      </c>
      <c r="K63">
        <f>IF(OR($B63="",NOT(ISNUMBER($D63))),"",IF(AND($E63&lt;$D$2,$G63&lt;&gt;"X",$F63&lt;&gt;"Réalisé",$F63&lt;&gt;"Clôturé"),"RETARD",""))</f>
        <v/>
      </c>
      <c r="L63">
        <f>IF(OR($B63="",NOT(ISNUMBER($D63))),"",IF(AND($D63&gt;=$D$2,$D63&lt;=$H$2,$G63&lt;&gt;"X",$F63&lt;&gt;"Réalisé",$F63&lt;&gt;"Clôturé"),"≤ 7 j",""))</f>
        <v/>
      </c>
      <c r="M63" s="29">
        <f>IF($B63="","",IFERROR(INDEX($T$4:$T$3183,MATCH(SMALL($V$4:$V$3183,60),$V$4:$V$3183,0)),""))</f>
        <v/>
      </c>
      <c r="O63">
        <f>IF(INDEX(Suivi!$B:$B,65)="","",INDEX(Suivi!$B:$B,65))</f>
        <v/>
      </c>
      <c r="P63">
        <f>IF($O63="","",IF(INDEX(Suivi!$D:$D,65)="",INDEX(Suivi!$C:$C,65),INDEX(Suivi!$D:$D,65)))</f>
        <v/>
      </c>
      <c r="Q63">
        <f>IF($O63="","",INDEX(Suivi!$E:$E,65))</f>
        <v/>
      </c>
      <c r="R63">
        <f>IF($O63="","",INDEX(Suivi!$F:$F,65))</f>
        <v/>
      </c>
      <c r="S63">
        <f>IF($O63="","",INDEX(Suivi!$G:$G,65))</f>
        <v/>
      </c>
      <c r="T63">
        <f>IF($O63="","",IF(INDEX(Dossiers!$F$4:$F$63,2)="","",INDEX(Dossiers!$F$4:$F$63,2)))</f>
        <v/>
      </c>
      <c r="U63">
        <f>IF($O63="","",IF(INDEX(Dossiers!$G$4:$G$63,2)="","",INDEX(Dossiers!$G$4:$G$63,2)))</f>
        <v/>
      </c>
      <c r="V63">
        <f>IF(OR($O63="",NOT(ISNUMBER($Q63))),"",$Q63*1000000+63)</f>
        <v/>
      </c>
      <c r="W63" s="29">
        <f>IF($B63="","",IFERROR(INDEX($U$4:$U$3183,MATCH(SMALL($V$4:$V$3183,60),$V$4:$V$3183,0)),""))</f>
        <v/>
      </c>
    </row>
    <row r="64">
      <c r="A64">
        <f>IFERROR(INDEX($N$4:$N$3183,MATCH(SMALL($V$4:$V$3183,61),$V$4:$V$3183,0)),"")</f>
        <v/>
      </c>
      <c r="B64">
        <f>IFERROR(INDEX($O$4:$O$3183,MATCH(SMALL($V$4:$V$3183,61),$V$4:$V$3183,0)),"")</f>
        <v/>
      </c>
      <c r="C64">
        <f>IFERROR(INDEX($P$4:$P$3183,MATCH(SMALL($V$4:$V$3183,61),$V$4:$V$3183,0)),"")</f>
        <v/>
      </c>
      <c r="D64" s="29">
        <f>IFERROR(INDEX($Q$4:$Q$3183,MATCH(SMALL($V$4:$V$3183,61),$V$4:$V$3183,0)),"")</f>
        <v/>
      </c>
      <c r="E64" s="29">
        <f>IFERROR(INDEX($R$4:$R$3183,MATCH(SMALL($V$4:$V$3183,61),$V$4:$V$3183,0)),"")</f>
        <v/>
      </c>
      <c r="F64">
        <f>IFERROR(INDEX($S$4:$S$3183,MATCH(SMALL($V$4:$V$3183,61),$V$4:$V$3183,0)),"")</f>
        <v/>
      </c>
      <c r="I64" s="29">
        <f>IF($B64="","",IFERROR(INDEX($U$4:$U$3183,MATCH(SMALL($V$4:$V$3183,61),$V$4:$V$3183,0)),""))</f>
        <v/>
      </c>
      <c r="J64">
        <f>IF($B64="","",IF($D64&gt;$F$2,"À venir",IF($E64&lt;$D$2,"Passé","Dans la période")))</f>
        <v/>
      </c>
      <c r="K64">
        <f>IF(OR($B64="",NOT(ISNUMBER($D64))),"",IF(AND($E64&lt;$D$2,$G64&lt;&gt;"X",$F64&lt;&gt;"Réalisé",$F64&lt;&gt;"Clôturé"),"RETARD",""))</f>
        <v/>
      </c>
      <c r="L64">
        <f>IF(OR($B64="",NOT(ISNUMBER($D64))),"",IF(AND($D64&gt;=$D$2,$D64&lt;=$H$2,$G64&lt;&gt;"X",$F64&lt;&gt;"Réalisé",$F64&lt;&gt;"Clôturé"),"≤ 7 j",""))</f>
        <v/>
      </c>
      <c r="M64" s="29">
        <f>IF($B64="","",IFERROR(INDEX($T$4:$T$3183,MATCH(SMALL($V$4:$V$3183,61),$V$4:$V$3183,0)),""))</f>
        <v/>
      </c>
      <c r="O64">
        <f>IF(INDEX(Suivi!$B:$B,66)="","",INDEX(Suivi!$B:$B,66))</f>
        <v/>
      </c>
      <c r="P64">
        <f>IF($O64="","",IF(INDEX(Suivi!$D:$D,66)="",INDEX(Suivi!$C:$C,66),INDEX(Suivi!$D:$D,66)))</f>
        <v/>
      </c>
      <c r="Q64">
        <f>IF($O64="","",INDEX(Suivi!$E:$E,66))</f>
        <v/>
      </c>
      <c r="R64">
        <f>IF($O64="","",INDEX(Suivi!$F:$F,66))</f>
        <v/>
      </c>
      <c r="S64">
        <f>IF($O64="","",INDEX(Suivi!$G:$G,66))</f>
        <v/>
      </c>
      <c r="T64">
        <f>IF($O64="","",IF(INDEX(Dossiers!$F$4:$F$63,2)="","",INDEX(Dossiers!$F$4:$F$63,2)))</f>
        <v/>
      </c>
      <c r="U64">
        <f>IF($O64="","",IF(INDEX(Dossiers!$G$4:$G$63,2)="","",INDEX(Dossiers!$G$4:$G$63,2)))</f>
        <v/>
      </c>
      <c r="V64">
        <f>IF(OR($O64="",NOT(ISNUMBER($Q64))),"",$Q64*1000000+64)</f>
        <v/>
      </c>
      <c r="W64" s="29">
        <f>IF($B64="","",IFERROR(INDEX($U$4:$U$3183,MATCH(SMALL($V$4:$V$3183,61),$V$4:$V$3183,0)),""))</f>
        <v/>
      </c>
    </row>
    <row r="65">
      <c r="A65">
        <f>IFERROR(INDEX($N$4:$N$3183,MATCH(SMALL($V$4:$V$3183,62),$V$4:$V$3183,0)),"")</f>
        <v/>
      </c>
      <c r="B65">
        <f>IFERROR(INDEX($O$4:$O$3183,MATCH(SMALL($V$4:$V$3183,62),$V$4:$V$3183,0)),"")</f>
        <v/>
      </c>
      <c r="C65">
        <f>IFERROR(INDEX($P$4:$P$3183,MATCH(SMALL($V$4:$V$3183,62),$V$4:$V$3183,0)),"")</f>
        <v/>
      </c>
      <c r="D65" s="29">
        <f>IFERROR(INDEX($Q$4:$Q$3183,MATCH(SMALL($V$4:$V$3183,62),$V$4:$V$3183,0)),"")</f>
        <v/>
      </c>
      <c r="E65" s="29">
        <f>IFERROR(INDEX($R$4:$R$3183,MATCH(SMALL($V$4:$V$3183,62),$V$4:$V$3183,0)),"")</f>
        <v/>
      </c>
      <c r="F65">
        <f>IFERROR(INDEX($S$4:$S$3183,MATCH(SMALL($V$4:$V$3183,62),$V$4:$V$3183,0)),"")</f>
        <v/>
      </c>
      <c r="I65" s="29">
        <f>IF($B65="","",IFERROR(INDEX($U$4:$U$3183,MATCH(SMALL($V$4:$V$3183,62),$V$4:$V$3183,0)),""))</f>
        <v/>
      </c>
      <c r="J65">
        <f>IF($B65="","",IF($D65&gt;$F$2,"À venir",IF($E65&lt;$D$2,"Passé","Dans la période")))</f>
        <v/>
      </c>
      <c r="K65">
        <f>IF(OR($B65="",NOT(ISNUMBER($D65))),"",IF(AND($E65&lt;$D$2,$G65&lt;&gt;"X",$F65&lt;&gt;"Réalisé",$F65&lt;&gt;"Clôturé"),"RETARD",""))</f>
        <v/>
      </c>
      <c r="L65">
        <f>IF(OR($B65="",NOT(ISNUMBER($D65))),"",IF(AND($D65&gt;=$D$2,$D65&lt;=$H$2,$G65&lt;&gt;"X",$F65&lt;&gt;"Réalisé",$F65&lt;&gt;"Clôturé"),"≤ 7 j",""))</f>
        <v/>
      </c>
      <c r="M65" s="29">
        <f>IF($B65="","",IFERROR(INDEX($T$4:$T$3183,MATCH(SMALL($V$4:$V$3183,62),$V$4:$V$3183,0)),""))</f>
        <v/>
      </c>
      <c r="O65">
        <f>IF(INDEX(Suivi!$B:$B,67)="","",INDEX(Suivi!$B:$B,67))</f>
        <v/>
      </c>
      <c r="P65">
        <f>IF($O65="","",IF(INDEX(Suivi!$D:$D,67)="",INDEX(Suivi!$C:$C,67),INDEX(Suivi!$D:$D,67)))</f>
        <v/>
      </c>
      <c r="Q65">
        <f>IF($O65="","",INDEX(Suivi!$E:$E,67))</f>
        <v/>
      </c>
      <c r="R65">
        <f>IF($O65="","",INDEX(Suivi!$F:$F,67))</f>
        <v/>
      </c>
      <c r="S65">
        <f>IF($O65="","",INDEX(Suivi!$G:$G,67))</f>
        <v/>
      </c>
      <c r="T65">
        <f>IF($O65="","",IF(INDEX(Dossiers!$F$4:$F$63,2)="","",INDEX(Dossiers!$F$4:$F$63,2)))</f>
        <v/>
      </c>
      <c r="U65">
        <f>IF($O65="","",IF(INDEX(Dossiers!$G$4:$G$63,2)="","",INDEX(Dossiers!$G$4:$G$63,2)))</f>
        <v/>
      </c>
      <c r="V65">
        <f>IF(OR($O65="",NOT(ISNUMBER($Q65))),"",$Q65*1000000+65)</f>
        <v/>
      </c>
      <c r="W65" s="29">
        <f>IF($B65="","",IFERROR(INDEX($U$4:$U$3183,MATCH(SMALL($V$4:$V$3183,62),$V$4:$V$3183,0)),""))</f>
        <v/>
      </c>
    </row>
    <row r="66">
      <c r="A66">
        <f>IFERROR(INDEX($N$4:$N$3183,MATCH(SMALL($V$4:$V$3183,63),$V$4:$V$3183,0)),"")</f>
        <v/>
      </c>
      <c r="B66">
        <f>IFERROR(INDEX($O$4:$O$3183,MATCH(SMALL($V$4:$V$3183,63),$V$4:$V$3183,0)),"")</f>
        <v/>
      </c>
      <c r="C66">
        <f>IFERROR(INDEX($P$4:$P$3183,MATCH(SMALL($V$4:$V$3183,63),$V$4:$V$3183,0)),"")</f>
        <v/>
      </c>
      <c r="D66" s="29">
        <f>IFERROR(INDEX($Q$4:$Q$3183,MATCH(SMALL($V$4:$V$3183,63),$V$4:$V$3183,0)),"")</f>
        <v/>
      </c>
      <c r="E66" s="29">
        <f>IFERROR(INDEX($R$4:$R$3183,MATCH(SMALL($V$4:$V$3183,63),$V$4:$V$3183,0)),"")</f>
        <v/>
      </c>
      <c r="F66">
        <f>IFERROR(INDEX($S$4:$S$3183,MATCH(SMALL($V$4:$V$3183,63),$V$4:$V$3183,0)),"")</f>
        <v/>
      </c>
      <c r="I66" s="29">
        <f>IF($B66="","",IFERROR(INDEX($U$4:$U$3183,MATCH(SMALL($V$4:$V$3183,63),$V$4:$V$3183,0)),""))</f>
        <v/>
      </c>
      <c r="J66">
        <f>IF($B66="","",IF($D66&gt;$F$2,"À venir",IF($E66&lt;$D$2,"Passé","Dans la période")))</f>
        <v/>
      </c>
      <c r="K66">
        <f>IF(OR($B66="",NOT(ISNUMBER($D66))),"",IF(AND($E66&lt;$D$2,$G66&lt;&gt;"X",$F66&lt;&gt;"Réalisé",$F66&lt;&gt;"Clôturé"),"RETARD",""))</f>
        <v/>
      </c>
      <c r="L66">
        <f>IF(OR($B66="",NOT(ISNUMBER($D66))),"",IF(AND($D66&gt;=$D$2,$D66&lt;=$H$2,$G66&lt;&gt;"X",$F66&lt;&gt;"Réalisé",$F66&lt;&gt;"Clôturé"),"≤ 7 j",""))</f>
        <v/>
      </c>
      <c r="M66" s="29">
        <f>IF($B66="","",IFERROR(INDEX($T$4:$T$3183,MATCH(SMALL($V$4:$V$3183,63),$V$4:$V$3183,0)),""))</f>
        <v/>
      </c>
      <c r="O66">
        <f>IF(INDEX(Suivi!$B:$B,68)="","",INDEX(Suivi!$B:$B,68))</f>
        <v/>
      </c>
      <c r="P66">
        <f>IF($O66="","",IF(INDEX(Suivi!$D:$D,68)="",INDEX(Suivi!$C:$C,68),INDEX(Suivi!$D:$D,68)))</f>
        <v/>
      </c>
      <c r="Q66">
        <f>IF($O66="","",INDEX(Suivi!$E:$E,68))</f>
        <v/>
      </c>
      <c r="R66">
        <f>IF($O66="","",INDEX(Suivi!$F:$F,68))</f>
        <v/>
      </c>
      <c r="S66">
        <f>IF($O66="","",INDEX(Suivi!$G:$G,68))</f>
        <v/>
      </c>
      <c r="T66">
        <f>IF($O66="","",IF(INDEX(Dossiers!$F$4:$F$63,2)="","",INDEX(Dossiers!$F$4:$F$63,2)))</f>
        <v/>
      </c>
      <c r="U66">
        <f>IF($O66="","",IF(INDEX(Dossiers!$G$4:$G$63,2)="","",INDEX(Dossiers!$G$4:$G$63,2)))</f>
        <v/>
      </c>
      <c r="V66">
        <f>IF(OR($O66="",NOT(ISNUMBER($Q66))),"",$Q66*1000000+66)</f>
        <v/>
      </c>
      <c r="W66" s="29">
        <f>IF($B66="","",IFERROR(INDEX($U$4:$U$3183,MATCH(SMALL($V$4:$V$3183,63),$V$4:$V$3183,0)),""))</f>
        <v/>
      </c>
    </row>
    <row r="67">
      <c r="A67">
        <f>IFERROR(INDEX($N$4:$N$3183,MATCH(SMALL($V$4:$V$3183,64),$V$4:$V$3183,0)),"")</f>
        <v/>
      </c>
      <c r="B67">
        <f>IFERROR(INDEX($O$4:$O$3183,MATCH(SMALL($V$4:$V$3183,64),$V$4:$V$3183,0)),"")</f>
        <v/>
      </c>
      <c r="C67">
        <f>IFERROR(INDEX($P$4:$P$3183,MATCH(SMALL($V$4:$V$3183,64),$V$4:$V$3183,0)),"")</f>
        <v/>
      </c>
      <c r="D67" s="29">
        <f>IFERROR(INDEX($Q$4:$Q$3183,MATCH(SMALL($V$4:$V$3183,64),$V$4:$V$3183,0)),"")</f>
        <v/>
      </c>
      <c r="E67" s="29">
        <f>IFERROR(INDEX($R$4:$R$3183,MATCH(SMALL($V$4:$V$3183,64),$V$4:$V$3183,0)),"")</f>
        <v/>
      </c>
      <c r="F67">
        <f>IFERROR(INDEX($S$4:$S$3183,MATCH(SMALL($V$4:$V$3183,64),$V$4:$V$3183,0)),"")</f>
        <v/>
      </c>
      <c r="I67" s="29">
        <f>IF($B67="","",IFERROR(INDEX($U$4:$U$3183,MATCH(SMALL($V$4:$V$3183,64),$V$4:$V$3183,0)),""))</f>
        <v/>
      </c>
      <c r="J67">
        <f>IF($B67="","",IF($D67&gt;$F$2,"À venir",IF($E67&lt;$D$2,"Passé","Dans la période")))</f>
        <v/>
      </c>
      <c r="K67">
        <f>IF(OR($B67="",NOT(ISNUMBER($D67))),"",IF(AND($E67&lt;$D$2,$G67&lt;&gt;"X",$F67&lt;&gt;"Réalisé",$F67&lt;&gt;"Clôturé"),"RETARD",""))</f>
        <v/>
      </c>
      <c r="L67">
        <f>IF(OR($B67="",NOT(ISNUMBER($D67))),"",IF(AND($D67&gt;=$D$2,$D67&lt;=$H$2,$G67&lt;&gt;"X",$F67&lt;&gt;"Réalisé",$F67&lt;&gt;"Clôturé"),"≤ 7 j",""))</f>
        <v/>
      </c>
      <c r="M67" s="29">
        <f>IF($B67="","",IFERROR(INDEX($T$4:$T$3183,MATCH(SMALL($V$4:$V$3183,64),$V$4:$V$3183,0)),""))</f>
        <v/>
      </c>
      <c r="O67">
        <f>IF(INDEX(Suivi!$B:$B,69)="","",INDEX(Suivi!$B:$B,69))</f>
        <v/>
      </c>
      <c r="P67">
        <f>IF($O67="","",IF(INDEX(Suivi!$D:$D,69)="",INDEX(Suivi!$C:$C,69),INDEX(Suivi!$D:$D,69)))</f>
        <v/>
      </c>
      <c r="Q67">
        <f>IF($O67="","",INDEX(Suivi!$E:$E,69))</f>
        <v/>
      </c>
      <c r="R67">
        <f>IF($O67="","",INDEX(Suivi!$F:$F,69))</f>
        <v/>
      </c>
      <c r="S67">
        <f>IF($O67="","",INDEX(Suivi!$G:$G,69))</f>
        <v/>
      </c>
      <c r="T67">
        <f>IF($O67="","",IF(INDEX(Dossiers!$F$4:$F$63,2)="","",INDEX(Dossiers!$F$4:$F$63,2)))</f>
        <v/>
      </c>
      <c r="U67">
        <f>IF($O67="","",IF(INDEX(Dossiers!$G$4:$G$63,2)="","",INDEX(Dossiers!$G$4:$G$63,2)))</f>
        <v/>
      </c>
      <c r="V67">
        <f>IF(OR($O67="",NOT(ISNUMBER($Q67))),"",$Q67*1000000+67)</f>
        <v/>
      </c>
      <c r="W67" s="29">
        <f>IF($B67="","",IFERROR(INDEX($U$4:$U$3183,MATCH(SMALL($V$4:$V$3183,64),$V$4:$V$3183,0)),""))</f>
        <v/>
      </c>
    </row>
    <row r="68">
      <c r="A68">
        <f>IFERROR(INDEX($N$4:$N$3183,MATCH(SMALL($V$4:$V$3183,65),$V$4:$V$3183,0)),"")</f>
        <v/>
      </c>
      <c r="B68">
        <f>IFERROR(INDEX($O$4:$O$3183,MATCH(SMALL($V$4:$V$3183,65),$V$4:$V$3183,0)),"")</f>
        <v/>
      </c>
      <c r="C68">
        <f>IFERROR(INDEX($P$4:$P$3183,MATCH(SMALL($V$4:$V$3183,65),$V$4:$V$3183,0)),"")</f>
        <v/>
      </c>
      <c r="D68" s="29">
        <f>IFERROR(INDEX($Q$4:$Q$3183,MATCH(SMALL($V$4:$V$3183,65),$V$4:$V$3183,0)),"")</f>
        <v/>
      </c>
      <c r="E68" s="29">
        <f>IFERROR(INDEX($R$4:$R$3183,MATCH(SMALL($V$4:$V$3183,65),$V$4:$V$3183,0)),"")</f>
        <v/>
      </c>
      <c r="F68">
        <f>IFERROR(INDEX($S$4:$S$3183,MATCH(SMALL($V$4:$V$3183,65),$V$4:$V$3183,0)),"")</f>
        <v/>
      </c>
      <c r="I68" s="29">
        <f>IF($B68="","",IFERROR(INDEX($U$4:$U$3183,MATCH(SMALL($V$4:$V$3183,65),$V$4:$V$3183,0)),""))</f>
        <v/>
      </c>
      <c r="J68">
        <f>IF($B68="","",IF($D68&gt;$F$2,"À venir",IF($E68&lt;$D$2,"Passé","Dans la période")))</f>
        <v/>
      </c>
      <c r="K68">
        <f>IF(OR($B68="",NOT(ISNUMBER($D68))),"",IF(AND($E68&lt;$D$2,$G68&lt;&gt;"X",$F68&lt;&gt;"Réalisé",$F68&lt;&gt;"Clôturé"),"RETARD",""))</f>
        <v/>
      </c>
      <c r="L68">
        <f>IF(OR($B68="",NOT(ISNUMBER($D68))),"",IF(AND($D68&gt;=$D$2,$D68&lt;=$H$2,$G68&lt;&gt;"X",$F68&lt;&gt;"Réalisé",$F68&lt;&gt;"Clôturé"),"≤ 7 j",""))</f>
        <v/>
      </c>
      <c r="M68" s="29">
        <f>IF($B68="","",IFERROR(INDEX($T$4:$T$3183,MATCH(SMALL($V$4:$V$3183,65),$V$4:$V$3183,0)),""))</f>
        <v/>
      </c>
      <c r="O68">
        <f>IF(INDEX(Suivi!$B:$B,70)="","",INDEX(Suivi!$B:$B,70))</f>
        <v/>
      </c>
      <c r="P68">
        <f>IF($O68="","",IF(INDEX(Suivi!$D:$D,70)="",INDEX(Suivi!$C:$C,70),INDEX(Suivi!$D:$D,70)))</f>
        <v/>
      </c>
      <c r="Q68">
        <f>IF($O68="","",INDEX(Suivi!$E:$E,70))</f>
        <v/>
      </c>
      <c r="R68">
        <f>IF($O68="","",INDEX(Suivi!$F:$F,70))</f>
        <v/>
      </c>
      <c r="S68">
        <f>IF($O68="","",INDEX(Suivi!$G:$G,70))</f>
        <v/>
      </c>
      <c r="T68">
        <f>IF($O68="","",IF(INDEX(Dossiers!$F$4:$F$63,2)="","",INDEX(Dossiers!$F$4:$F$63,2)))</f>
        <v/>
      </c>
      <c r="U68">
        <f>IF($O68="","",IF(INDEX(Dossiers!$G$4:$G$63,2)="","",INDEX(Dossiers!$G$4:$G$63,2)))</f>
        <v/>
      </c>
      <c r="V68">
        <f>IF(OR($O68="",NOT(ISNUMBER($Q68))),"",$Q68*1000000+68)</f>
        <v/>
      </c>
      <c r="W68" s="29">
        <f>IF($B68="","",IFERROR(INDEX($U$4:$U$3183,MATCH(SMALL($V$4:$V$3183,65),$V$4:$V$3183,0)),""))</f>
        <v/>
      </c>
    </row>
    <row r="69">
      <c r="A69">
        <f>IFERROR(INDEX($N$4:$N$3183,MATCH(SMALL($V$4:$V$3183,66),$V$4:$V$3183,0)),"")</f>
        <v/>
      </c>
      <c r="B69">
        <f>IFERROR(INDEX($O$4:$O$3183,MATCH(SMALL($V$4:$V$3183,66),$V$4:$V$3183,0)),"")</f>
        <v/>
      </c>
      <c r="C69">
        <f>IFERROR(INDEX($P$4:$P$3183,MATCH(SMALL($V$4:$V$3183,66),$V$4:$V$3183,0)),"")</f>
        <v/>
      </c>
      <c r="D69" s="29">
        <f>IFERROR(INDEX($Q$4:$Q$3183,MATCH(SMALL($V$4:$V$3183,66),$V$4:$V$3183,0)),"")</f>
        <v/>
      </c>
      <c r="E69" s="29">
        <f>IFERROR(INDEX($R$4:$R$3183,MATCH(SMALL($V$4:$V$3183,66),$V$4:$V$3183,0)),"")</f>
        <v/>
      </c>
      <c r="F69">
        <f>IFERROR(INDEX($S$4:$S$3183,MATCH(SMALL($V$4:$V$3183,66),$V$4:$V$3183,0)),"")</f>
        <v/>
      </c>
      <c r="I69" s="29">
        <f>IF($B69="","",IFERROR(INDEX($U$4:$U$3183,MATCH(SMALL($V$4:$V$3183,66),$V$4:$V$3183,0)),""))</f>
        <v/>
      </c>
      <c r="J69">
        <f>IF($B69="","",IF($D69&gt;$F$2,"À venir",IF($E69&lt;$D$2,"Passé","Dans la période")))</f>
        <v/>
      </c>
      <c r="K69">
        <f>IF(OR($B69="",NOT(ISNUMBER($D69))),"",IF(AND($E69&lt;$D$2,$G69&lt;&gt;"X",$F69&lt;&gt;"Réalisé",$F69&lt;&gt;"Clôturé"),"RETARD",""))</f>
        <v/>
      </c>
      <c r="L69">
        <f>IF(OR($B69="",NOT(ISNUMBER($D69))),"",IF(AND($D69&gt;=$D$2,$D69&lt;=$H$2,$G69&lt;&gt;"X",$F69&lt;&gt;"Réalisé",$F69&lt;&gt;"Clôturé"),"≤ 7 j",""))</f>
        <v/>
      </c>
      <c r="M69" s="29">
        <f>IF($B69="","",IFERROR(INDEX($T$4:$T$3183,MATCH(SMALL($V$4:$V$3183,66),$V$4:$V$3183,0)),""))</f>
        <v/>
      </c>
      <c r="O69">
        <f>IF(INDEX(Suivi!$B:$B,71)="","",INDEX(Suivi!$B:$B,71))</f>
        <v/>
      </c>
      <c r="P69">
        <f>IF($O69="","",IF(INDEX(Suivi!$D:$D,71)="",INDEX(Suivi!$C:$C,71),INDEX(Suivi!$D:$D,71)))</f>
        <v/>
      </c>
      <c r="Q69">
        <f>IF($O69="","",INDEX(Suivi!$E:$E,71))</f>
        <v/>
      </c>
      <c r="R69">
        <f>IF($O69="","",INDEX(Suivi!$F:$F,71))</f>
        <v/>
      </c>
      <c r="S69">
        <f>IF($O69="","",INDEX(Suivi!$G:$G,71))</f>
        <v/>
      </c>
      <c r="T69">
        <f>IF($O69="","",IF(INDEX(Dossiers!$F$4:$F$63,2)="","",INDEX(Dossiers!$F$4:$F$63,2)))</f>
        <v/>
      </c>
      <c r="U69">
        <f>IF($O69="","",IF(INDEX(Dossiers!$G$4:$G$63,2)="","",INDEX(Dossiers!$G$4:$G$63,2)))</f>
        <v/>
      </c>
      <c r="V69">
        <f>IF(OR($O69="",NOT(ISNUMBER($Q69))),"",$Q69*1000000+69)</f>
        <v/>
      </c>
      <c r="W69" s="29">
        <f>IF($B69="","",IFERROR(INDEX($U$4:$U$3183,MATCH(SMALL($V$4:$V$3183,66),$V$4:$V$3183,0)),""))</f>
        <v/>
      </c>
    </row>
    <row r="70">
      <c r="A70">
        <f>IFERROR(INDEX($N$4:$N$3183,MATCH(SMALL($V$4:$V$3183,67),$V$4:$V$3183,0)),"")</f>
        <v/>
      </c>
      <c r="B70">
        <f>IFERROR(INDEX($O$4:$O$3183,MATCH(SMALL($V$4:$V$3183,67),$V$4:$V$3183,0)),"")</f>
        <v/>
      </c>
      <c r="C70">
        <f>IFERROR(INDEX($P$4:$P$3183,MATCH(SMALL($V$4:$V$3183,67),$V$4:$V$3183,0)),"")</f>
        <v/>
      </c>
      <c r="D70" s="29">
        <f>IFERROR(INDEX($Q$4:$Q$3183,MATCH(SMALL($V$4:$V$3183,67),$V$4:$V$3183,0)),"")</f>
        <v/>
      </c>
      <c r="E70" s="29">
        <f>IFERROR(INDEX($R$4:$R$3183,MATCH(SMALL($V$4:$V$3183,67),$V$4:$V$3183,0)),"")</f>
        <v/>
      </c>
      <c r="F70">
        <f>IFERROR(INDEX($S$4:$S$3183,MATCH(SMALL($V$4:$V$3183,67),$V$4:$V$3183,0)),"")</f>
        <v/>
      </c>
      <c r="I70" s="29">
        <f>IF($B70="","",IFERROR(INDEX($U$4:$U$3183,MATCH(SMALL($V$4:$V$3183,67),$V$4:$V$3183,0)),""))</f>
        <v/>
      </c>
      <c r="J70">
        <f>IF($B70="","",IF($D70&gt;$F$2,"À venir",IF($E70&lt;$D$2,"Passé","Dans la période")))</f>
        <v/>
      </c>
      <c r="K70">
        <f>IF(OR($B70="",NOT(ISNUMBER($D70))),"",IF(AND($E70&lt;$D$2,$G70&lt;&gt;"X",$F70&lt;&gt;"Réalisé",$F70&lt;&gt;"Clôturé"),"RETARD",""))</f>
        <v/>
      </c>
      <c r="L70">
        <f>IF(OR($B70="",NOT(ISNUMBER($D70))),"",IF(AND($D70&gt;=$D$2,$D70&lt;=$H$2,$G70&lt;&gt;"X",$F70&lt;&gt;"Réalisé",$F70&lt;&gt;"Clôturé"),"≤ 7 j",""))</f>
        <v/>
      </c>
      <c r="M70" s="29">
        <f>IF($B70="","",IFERROR(INDEX($T$4:$T$3183,MATCH(SMALL($V$4:$V$3183,67),$V$4:$V$3183,0)),""))</f>
        <v/>
      </c>
      <c r="O70">
        <f>IF(INDEX(Suivi!$B:$B,72)="","",INDEX(Suivi!$B:$B,72))</f>
        <v/>
      </c>
      <c r="P70">
        <f>IF($O70="","",IF(INDEX(Suivi!$D:$D,72)="",INDEX(Suivi!$C:$C,72),INDEX(Suivi!$D:$D,72)))</f>
        <v/>
      </c>
      <c r="Q70">
        <f>IF($O70="","",INDEX(Suivi!$E:$E,72))</f>
        <v/>
      </c>
      <c r="R70">
        <f>IF($O70="","",INDEX(Suivi!$F:$F,72))</f>
        <v/>
      </c>
      <c r="S70">
        <f>IF($O70="","",INDEX(Suivi!$G:$G,72))</f>
        <v/>
      </c>
      <c r="T70">
        <f>IF($O70="","",IF(INDEX(Dossiers!$F$4:$F$63,2)="","",INDEX(Dossiers!$F$4:$F$63,2)))</f>
        <v/>
      </c>
      <c r="U70">
        <f>IF($O70="","",IF(INDEX(Dossiers!$G$4:$G$63,2)="","",INDEX(Dossiers!$G$4:$G$63,2)))</f>
        <v/>
      </c>
      <c r="V70">
        <f>IF(OR($O70="",NOT(ISNUMBER($Q70))),"",$Q70*1000000+70)</f>
        <v/>
      </c>
      <c r="W70" s="29">
        <f>IF($B70="","",IFERROR(INDEX($U$4:$U$3183,MATCH(SMALL($V$4:$V$3183,67),$V$4:$V$3183,0)),""))</f>
        <v/>
      </c>
    </row>
    <row r="71">
      <c r="A71">
        <f>IFERROR(INDEX($N$4:$N$3183,MATCH(SMALL($V$4:$V$3183,68),$V$4:$V$3183,0)),"")</f>
        <v/>
      </c>
      <c r="B71">
        <f>IFERROR(INDEX($O$4:$O$3183,MATCH(SMALL($V$4:$V$3183,68),$V$4:$V$3183,0)),"")</f>
        <v/>
      </c>
      <c r="C71">
        <f>IFERROR(INDEX($P$4:$P$3183,MATCH(SMALL($V$4:$V$3183,68),$V$4:$V$3183,0)),"")</f>
        <v/>
      </c>
      <c r="D71" s="29">
        <f>IFERROR(INDEX($Q$4:$Q$3183,MATCH(SMALL($V$4:$V$3183,68),$V$4:$V$3183,0)),"")</f>
        <v/>
      </c>
      <c r="E71" s="29">
        <f>IFERROR(INDEX($R$4:$R$3183,MATCH(SMALL($V$4:$V$3183,68),$V$4:$V$3183,0)),"")</f>
        <v/>
      </c>
      <c r="F71">
        <f>IFERROR(INDEX($S$4:$S$3183,MATCH(SMALL($V$4:$V$3183,68),$V$4:$V$3183,0)),"")</f>
        <v/>
      </c>
      <c r="I71" s="29">
        <f>IF($B71="","",IFERROR(INDEX($U$4:$U$3183,MATCH(SMALL($V$4:$V$3183,68),$V$4:$V$3183,0)),""))</f>
        <v/>
      </c>
      <c r="J71">
        <f>IF($B71="","",IF($D71&gt;$F$2,"À venir",IF($E71&lt;$D$2,"Passé","Dans la période")))</f>
        <v/>
      </c>
      <c r="K71">
        <f>IF(OR($B71="",NOT(ISNUMBER($D71))),"",IF(AND($E71&lt;$D$2,$G71&lt;&gt;"X",$F71&lt;&gt;"Réalisé",$F71&lt;&gt;"Clôturé"),"RETARD",""))</f>
        <v/>
      </c>
      <c r="L71">
        <f>IF(OR($B71="",NOT(ISNUMBER($D71))),"",IF(AND($D71&gt;=$D$2,$D71&lt;=$H$2,$G71&lt;&gt;"X",$F71&lt;&gt;"Réalisé",$F71&lt;&gt;"Clôturé"),"≤ 7 j",""))</f>
        <v/>
      </c>
      <c r="M71" s="29">
        <f>IF($B71="","",IFERROR(INDEX($T$4:$T$3183,MATCH(SMALL($V$4:$V$3183,68),$V$4:$V$3183,0)),""))</f>
        <v/>
      </c>
      <c r="O71">
        <f>IF(INDEX(Suivi!$B:$B,73)="","",INDEX(Suivi!$B:$B,73))</f>
        <v/>
      </c>
      <c r="P71">
        <f>IF($O71="","",IF(INDEX(Suivi!$D:$D,73)="",INDEX(Suivi!$C:$C,73),INDEX(Suivi!$D:$D,73)))</f>
        <v/>
      </c>
      <c r="Q71">
        <f>IF($O71="","",INDEX(Suivi!$E:$E,73))</f>
        <v/>
      </c>
      <c r="R71">
        <f>IF($O71="","",INDEX(Suivi!$F:$F,73))</f>
        <v/>
      </c>
      <c r="S71">
        <f>IF($O71="","",INDEX(Suivi!$G:$G,73))</f>
        <v/>
      </c>
      <c r="T71">
        <f>IF($O71="","",IF(INDEX(Dossiers!$F$4:$F$63,2)="","",INDEX(Dossiers!$F$4:$F$63,2)))</f>
        <v/>
      </c>
      <c r="U71">
        <f>IF($O71="","",IF(INDEX(Dossiers!$G$4:$G$63,2)="","",INDEX(Dossiers!$G$4:$G$63,2)))</f>
        <v/>
      </c>
      <c r="V71">
        <f>IF(OR($O71="",NOT(ISNUMBER($Q71))),"",$Q71*1000000+71)</f>
        <v/>
      </c>
      <c r="W71" s="29">
        <f>IF($B71="","",IFERROR(INDEX($U$4:$U$3183,MATCH(SMALL($V$4:$V$3183,68),$V$4:$V$3183,0)),""))</f>
        <v/>
      </c>
    </row>
    <row r="72">
      <c r="A72">
        <f>IFERROR(INDEX($N$4:$N$3183,MATCH(SMALL($V$4:$V$3183,69),$V$4:$V$3183,0)),"")</f>
        <v/>
      </c>
      <c r="B72">
        <f>IFERROR(INDEX($O$4:$O$3183,MATCH(SMALL($V$4:$V$3183,69),$V$4:$V$3183,0)),"")</f>
        <v/>
      </c>
      <c r="C72">
        <f>IFERROR(INDEX($P$4:$P$3183,MATCH(SMALL($V$4:$V$3183,69),$V$4:$V$3183,0)),"")</f>
        <v/>
      </c>
      <c r="D72" s="29">
        <f>IFERROR(INDEX($Q$4:$Q$3183,MATCH(SMALL($V$4:$V$3183,69),$V$4:$V$3183,0)),"")</f>
        <v/>
      </c>
      <c r="E72" s="29">
        <f>IFERROR(INDEX($R$4:$R$3183,MATCH(SMALL($V$4:$V$3183,69),$V$4:$V$3183,0)),"")</f>
        <v/>
      </c>
      <c r="F72">
        <f>IFERROR(INDEX($S$4:$S$3183,MATCH(SMALL($V$4:$V$3183,69),$V$4:$V$3183,0)),"")</f>
        <v/>
      </c>
      <c r="I72" s="29">
        <f>IF($B72="","",IFERROR(INDEX($U$4:$U$3183,MATCH(SMALL($V$4:$V$3183,69),$V$4:$V$3183,0)),""))</f>
        <v/>
      </c>
      <c r="J72">
        <f>IF($B72="","",IF($D72&gt;$F$2,"À venir",IF($E72&lt;$D$2,"Passé","Dans la période")))</f>
        <v/>
      </c>
      <c r="K72">
        <f>IF(OR($B72="",NOT(ISNUMBER($D72))),"",IF(AND($E72&lt;$D$2,$G72&lt;&gt;"X",$F72&lt;&gt;"Réalisé",$F72&lt;&gt;"Clôturé"),"RETARD",""))</f>
        <v/>
      </c>
      <c r="L72">
        <f>IF(OR($B72="",NOT(ISNUMBER($D72))),"",IF(AND($D72&gt;=$D$2,$D72&lt;=$H$2,$G72&lt;&gt;"X",$F72&lt;&gt;"Réalisé",$F72&lt;&gt;"Clôturé"),"≤ 7 j",""))</f>
        <v/>
      </c>
      <c r="M72" s="29">
        <f>IF($B72="","",IFERROR(INDEX($T$4:$T$3183,MATCH(SMALL($V$4:$V$3183,69),$V$4:$V$3183,0)),""))</f>
        <v/>
      </c>
      <c r="O72">
        <f>IF(INDEX(Suivi!$B:$B,74)="","",INDEX(Suivi!$B:$B,74))</f>
        <v/>
      </c>
      <c r="P72">
        <f>IF($O72="","",IF(INDEX(Suivi!$D:$D,74)="",INDEX(Suivi!$C:$C,74),INDEX(Suivi!$D:$D,74)))</f>
        <v/>
      </c>
      <c r="Q72">
        <f>IF($O72="","",INDEX(Suivi!$E:$E,74))</f>
        <v/>
      </c>
      <c r="R72">
        <f>IF($O72="","",INDEX(Suivi!$F:$F,74))</f>
        <v/>
      </c>
      <c r="S72">
        <f>IF($O72="","",INDEX(Suivi!$G:$G,74))</f>
        <v/>
      </c>
      <c r="T72">
        <f>IF($O72="","",IF(INDEX(Dossiers!$F$4:$F$63,2)="","",INDEX(Dossiers!$F$4:$F$63,2)))</f>
        <v/>
      </c>
      <c r="U72">
        <f>IF($O72="","",IF(INDEX(Dossiers!$G$4:$G$63,2)="","",INDEX(Dossiers!$G$4:$G$63,2)))</f>
        <v/>
      </c>
      <c r="V72">
        <f>IF(OR($O72="",NOT(ISNUMBER($Q72))),"",$Q72*1000000+72)</f>
        <v/>
      </c>
      <c r="W72" s="29">
        <f>IF($B72="","",IFERROR(INDEX($U$4:$U$3183,MATCH(SMALL($V$4:$V$3183,69),$V$4:$V$3183,0)),""))</f>
        <v/>
      </c>
    </row>
    <row r="73">
      <c r="A73">
        <f>IFERROR(INDEX($N$4:$N$3183,MATCH(SMALL($V$4:$V$3183,70),$V$4:$V$3183,0)),"")</f>
        <v/>
      </c>
      <c r="B73">
        <f>IFERROR(INDEX($O$4:$O$3183,MATCH(SMALL($V$4:$V$3183,70),$V$4:$V$3183,0)),"")</f>
        <v/>
      </c>
      <c r="C73">
        <f>IFERROR(INDEX($P$4:$P$3183,MATCH(SMALL($V$4:$V$3183,70),$V$4:$V$3183,0)),"")</f>
        <v/>
      </c>
      <c r="D73" s="29">
        <f>IFERROR(INDEX($Q$4:$Q$3183,MATCH(SMALL($V$4:$V$3183,70),$V$4:$V$3183,0)),"")</f>
        <v/>
      </c>
      <c r="E73" s="29">
        <f>IFERROR(INDEX($R$4:$R$3183,MATCH(SMALL($V$4:$V$3183,70),$V$4:$V$3183,0)),"")</f>
        <v/>
      </c>
      <c r="F73">
        <f>IFERROR(INDEX($S$4:$S$3183,MATCH(SMALL($V$4:$V$3183,70),$V$4:$V$3183,0)),"")</f>
        <v/>
      </c>
      <c r="I73" s="29">
        <f>IF($B73="","",IFERROR(INDEX($U$4:$U$3183,MATCH(SMALL($V$4:$V$3183,70),$V$4:$V$3183,0)),""))</f>
        <v/>
      </c>
      <c r="J73">
        <f>IF($B73="","",IF($D73&gt;$F$2,"À venir",IF($E73&lt;$D$2,"Passé","Dans la période")))</f>
        <v/>
      </c>
      <c r="K73">
        <f>IF(OR($B73="",NOT(ISNUMBER($D73))),"",IF(AND($E73&lt;$D$2,$G73&lt;&gt;"X",$F73&lt;&gt;"Réalisé",$F73&lt;&gt;"Clôturé"),"RETARD",""))</f>
        <v/>
      </c>
      <c r="L73">
        <f>IF(OR($B73="",NOT(ISNUMBER($D73))),"",IF(AND($D73&gt;=$D$2,$D73&lt;=$H$2,$G73&lt;&gt;"X",$F73&lt;&gt;"Réalisé",$F73&lt;&gt;"Clôturé"),"≤ 7 j",""))</f>
        <v/>
      </c>
      <c r="M73" s="29">
        <f>IF($B73="","",IFERROR(INDEX($T$4:$T$3183,MATCH(SMALL($V$4:$V$3183,70),$V$4:$V$3183,0)),""))</f>
        <v/>
      </c>
      <c r="O73">
        <f>IF(INDEX(Suivi!$B:$B,75)="","",INDEX(Suivi!$B:$B,75))</f>
        <v/>
      </c>
      <c r="P73">
        <f>IF($O73="","",IF(INDEX(Suivi!$D:$D,75)="",INDEX(Suivi!$C:$C,75),INDEX(Suivi!$D:$D,75)))</f>
        <v/>
      </c>
      <c r="Q73">
        <f>IF($O73="","",INDEX(Suivi!$E:$E,75))</f>
        <v/>
      </c>
      <c r="R73">
        <f>IF($O73="","",INDEX(Suivi!$F:$F,75))</f>
        <v/>
      </c>
      <c r="S73">
        <f>IF($O73="","",INDEX(Suivi!$G:$G,75))</f>
        <v/>
      </c>
      <c r="T73">
        <f>IF($O73="","",IF(INDEX(Dossiers!$F$4:$F$63,2)="","",INDEX(Dossiers!$F$4:$F$63,2)))</f>
        <v/>
      </c>
      <c r="U73">
        <f>IF($O73="","",IF(INDEX(Dossiers!$G$4:$G$63,2)="","",INDEX(Dossiers!$G$4:$G$63,2)))</f>
        <v/>
      </c>
      <c r="V73">
        <f>IF(OR($O73="",NOT(ISNUMBER($Q73))),"",$Q73*1000000+73)</f>
        <v/>
      </c>
      <c r="W73" s="29">
        <f>IF($B73="","",IFERROR(INDEX($U$4:$U$3183,MATCH(SMALL($V$4:$V$3183,70),$V$4:$V$3183,0)),""))</f>
        <v/>
      </c>
    </row>
    <row r="74">
      <c r="A74">
        <f>IFERROR(INDEX($N$4:$N$3183,MATCH(SMALL($V$4:$V$3183,71),$V$4:$V$3183,0)),"")</f>
        <v/>
      </c>
      <c r="B74">
        <f>IFERROR(INDEX($O$4:$O$3183,MATCH(SMALL($V$4:$V$3183,71),$V$4:$V$3183,0)),"")</f>
        <v/>
      </c>
      <c r="C74">
        <f>IFERROR(INDEX($P$4:$P$3183,MATCH(SMALL($V$4:$V$3183,71),$V$4:$V$3183,0)),"")</f>
        <v/>
      </c>
      <c r="D74" s="29">
        <f>IFERROR(INDEX($Q$4:$Q$3183,MATCH(SMALL($V$4:$V$3183,71),$V$4:$V$3183,0)),"")</f>
        <v/>
      </c>
      <c r="E74" s="29">
        <f>IFERROR(INDEX($R$4:$R$3183,MATCH(SMALL($V$4:$V$3183,71),$V$4:$V$3183,0)),"")</f>
        <v/>
      </c>
      <c r="F74">
        <f>IFERROR(INDEX($S$4:$S$3183,MATCH(SMALL($V$4:$V$3183,71),$V$4:$V$3183,0)),"")</f>
        <v/>
      </c>
      <c r="I74" s="29">
        <f>IF($B74="","",IFERROR(INDEX($U$4:$U$3183,MATCH(SMALL($V$4:$V$3183,71),$V$4:$V$3183,0)),""))</f>
        <v/>
      </c>
      <c r="J74">
        <f>IF($B74="","",IF($D74&gt;$F$2,"À venir",IF($E74&lt;$D$2,"Passé","Dans la période")))</f>
        <v/>
      </c>
      <c r="K74">
        <f>IF(OR($B74="",NOT(ISNUMBER($D74))),"",IF(AND($E74&lt;$D$2,$G74&lt;&gt;"X",$F74&lt;&gt;"Réalisé",$F74&lt;&gt;"Clôturé"),"RETARD",""))</f>
        <v/>
      </c>
      <c r="L74">
        <f>IF(OR($B74="",NOT(ISNUMBER($D74))),"",IF(AND($D74&gt;=$D$2,$D74&lt;=$H$2,$G74&lt;&gt;"X",$F74&lt;&gt;"Réalisé",$F74&lt;&gt;"Clôturé"),"≤ 7 j",""))</f>
        <v/>
      </c>
      <c r="M74" s="29">
        <f>IF($B74="","",IFERROR(INDEX($T$4:$T$3183,MATCH(SMALL($V$4:$V$3183,71),$V$4:$V$3183,0)),""))</f>
        <v/>
      </c>
      <c r="O74">
        <f>IF(INDEX(Suivi!$B:$B,76)="","",INDEX(Suivi!$B:$B,76))</f>
        <v/>
      </c>
      <c r="P74">
        <f>IF($O74="","",IF(INDEX(Suivi!$D:$D,76)="",INDEX(Suivi!$C:$C,76),INDEX(Suivi!$D:$D,76)))</f>
        <v/>
      </c>
      <c r="Q74">
        <f>IF($O74="","",INDEX(Suivi!$E:$E,76))</f>
        <v/>
      </c>
      <c r="R74">
        <f>IF($O74="","",INDEX(Suivi!$F:$F,76))</f>
        <v/>
      </c>
      <c r="S74">
        <f>IF($O74="","",INDEX(Suivi!$G:$G,76))</f>
        <v/>
      </c>
      <c r="T74">
        <f>IF($O74="","",IF(INDEX(Dossiers!$F$4:$F$63,2)="","",INDEX(Dossiers!$F$4:$F$63,2)))</f>
        <v/>
      </c>
      <c r="U74">
        <f>IF($O74="","",IF(INDEX(Dossiers!$G$4:$G$63,2)="","",INDEX(Dossiers!$G$4:$G$63,2)))</f>
        <v/>
      </c>
      <c r="V74">
        <f>IF(OR($O74="",NOT(ISNUMBER($Q74))),"",$Q74*1000000+74)</f>
        <v/>
      </c>
      <c r="W74" s="29">
        <f>IF($B74="","",IFERROR(INDEX($U$4:$U$3183,MATCH(SMALL($V$4:$V$3183,71),$V$4:$V$3183,0)),""))</f>
        <v/>
      </c>
    </row>
    <row r="75">
      <c r="A75">
        <f>IFERROR(INDEX($N$4:$N$3183,MATCH(SMALL($V$4:$V$3183,72),$V$4:$V$3183,0)),"")</f>
        <v/>
      </c>
      <c r="B75">
        <f>IFERROR(INDEX($O$4:$O$3183,MATCH(SMALL($V$4:$V$3183,72),$V$4:$V$3183,0)),"")</f>
        <v/>
      </c>
      <c r="C75">
        <f>IFERROR(INDEX($P$4:$P$3183,MATCH(SMALL($V$4:$V$3183,72),$V$4:$V$3183,0)),"")</f>
        <v/>
      </c>
      <c r="D75" s="29">
        <f>IFERROR(INDEX($Q$4:$Q$3183,MATCH(SMALL($V$4:$V$3183,72),$V$4:$V$3183,0)),"")</f>
        <v/>
      </c>
      <c r="E75" s="29">
        <f>IFERROR(INDEX($R$4:$R$3183,MATCH(SMALL($V$4:$V$3183,72),$V$4:$V$3183,0)),"")</f>
        <v/>
      </c>
      <c r="F75">
        <f>IFERROR(INDEX($S$4:$S$3183,MATCH(SMALL($V$4:$V$3183,72),$V$4:$V$3183,0)),"")</f>
        <v/>
      </c>
      <c r="I75" s="29">
        <f>IF($B75="","",IFERROR(INDEX($U$4:$U$3183,MATCH(SMALL($V$4:$V$3183,72),$V$4:$V$3183,0)),""))</f>
        <v/>
      </c>
      <c r="J75">
        <f>IF($B75="","",IF($D75&gt;$F$2,"À venir",IF($E75&lt;$D$2,"Passé","Dans la période")))</f>
        <v/>
      </c>
      <c r="K75">
        <f>IF(OR($B75="",NOT(ISNUMBER($D75))),"",IF(AND($E75&lt;$D$2,$G75&lt;&gt;"X",$F75&lt;&gt;"Réalisé",$F75&lt;&gt;"Clôturé"),"RETARD",""))</f>
        <v/>
      </c>
      <c r="L75">
        <f>IF(OR($B75="",NOT(ISNUMBER($D75))),"",IF(AND($D75&gt;=$D$2,$D75&lt;=$H$2,$G75&lt;&gt;"X",$F75&lt;&gt;"Réalisé",$F75&lt;&gt;"Clôturé"),"≤ 7 j",""))</f>
        <v/>
      </c>
      <c r="M75" s="29">
        <f>IF($B75="","",IFERROR(INDEX($T$4:$T$3183,MATCH(SMALL($V$4:$V$3183,72),$V$4:$V$3183,0)),""))</f>
        <v/>
      </c>
      <c r="O75">
        <f>IF(INDEX(Suivi!$B:$B,77)="","",INDEX(Suivi!$B:$B,77))</f>
        <v/>
      </c>
      <c r="P75">
        <f>IF($O75="","",IF(INDEX(Suivi!$D:$D,77)="",INDEX(Suivi!$C:$C,77),INDEX(Suivi!$D:$D,77)))</f>
        <v/>
      </c>
      <c r="Q75">
        <f>IF($O75="","",INDEX(Suivi!$E:$E,77))</f>
        <v/>
      </c>
      <c r="R75">
        <f>IF($O75="","",INDEX(Suivi!$F:$F,77))</f>
        <v/>
      </c>
      <c r="S75">
        <f>IF($O75="","",INDEX(Suivi!$G:$G,77))</f>
        <v/>
      </c>
      <c r="T75">
        <f>IF($O75="","",IF(INDEX(Dossiers!$F$4:$F$63,2)="","",INDEX(Dossiers!$F$4:$F$63,2)))</f>
        <v/>
      </c>
      <c r="U75">
        <f>IF($O75="","",IF(INDEX(Dossiers!$G$4:$G$63,2)="","",INDEX(Dossiers!$G$4:$G$63,2)))</f>
        <v/>
      </c>
      <c r="V75">
        <f>IF(OR($O75="",NOT(ISNUMBER($Q75))),"",$Q75*1000000+75)</f>
        <v/>
      </c>
      <c r="W75" s="29">
        <f>IF($B75="","",IFERROR(INDEX($U$4:$U$3183,MATCH(SMALL($V$4:$V$3183,72),$V$4:$V$3183,0)),""))</f>
        <v/>
      </c>
    </row>
    <row r="76">
      <c r="A76">
        <f>IFERROR(INDEX($N$4:$N$3183,MATCH(SMALL($V$4:$V$3183,73),$V$4:$V$3183,0)),"")</f>
        <v/>
      </c>
      <c r="B76">
        <f>IFERROR(INDEX($O$4:$O$3183,MATCH(SMALL($V$4:$V$3183,73),$V$4:$V$3183,0)),"")</f>
        <v/>
      </c>
      <c r="C76">
        <f>IFERROR(INDEX($P$4:$P$3183,MATCH(SMALL($V$4:$V$3183,73),$V$4:$V$3183,0)),"")</f>
        <v/>
      </c>
      <c r="D76" s="29">
        <f>IFERROR(INDEX($Q$4:$Q$3183,MATCH(SMALL($V$4:$V$3183,73),$V$4:$V$3183,0)),"")</f>
        <v/>
      </c>
      <c r="E76" s="29">
        <f>IFERROR(INDEX($R$4:$R$3183,MATCH(SMALL($V$4:$V$3183,73),$V$4:$V$3183,0)),"")</f>
        <v/>
      </c>
      <c r="F76">
        <f>IFERROR(INDEX($S$4:$S$3183,MATCH(SMALL($V$4:$V$3183,73),$V$4:$V$3183,0)),"")</f>
        <v/>
      </c>
      <c r="I76" s="29">
        <f>IF($B76="","",IFERROR(INDEX($U$4:$U$3183,MATCH(SMALL($V$4:$V$3183,73),$V$4:$V$3183,0)),""))</f>
        <v/>
      </c>
      <c r="J76">
        <f>IF($B76="","",IF($D76&gt;$F$2,"À venir",IF($E76&lt;$D$2,"Passé","Dans la période")))</f>
        <v/>
      </c>
      <c r="K76">
        <f>IF(OR($B76="",NOT(ISNUMBER($D76))),"",IF(AND($E76&lt;$D$2,$G76&lt;&gt;"X",$F76&lt;&gt;"Réalisé",$F76&lt;&gt;"Clôturé"),"RETARD",""))</f>
        <v/>
      </c>
      <c r="L76">
        <f>IF(OR($B76="",NOT(ISNUMBER($D76))),"",IF(AND($D76&gt;=$D$2,$D76&lt;=$H$2,$G76&lt;&gt;"X",$F76&lt;&gt;"Réalisé",$F76&lt;&gt;"Clôturé"),"≤ 7 j",""))</f>
        <v/>
      </c>
      <c r="M76" s="29">
        <f>IF($B76="","",IFERROR(INDEX($T$4:$T$3183,MATCH(SMALL($V$4:$V$3183,73),$V$4:$V$3183,0)),""))</f>
        <v/>
      </c>
      <c r="O76">
        <f>IF(INDEX(Suivi!$B:$B,78)="","",INDEX(Suivi!$B:$B,78))</f>
        <v/>
      </c>
      <c r="P76">
        <f>IF($O76="","",IF(INDEX(Suivi!$D:$D,78)="",INDEX(Suivi!$C:$C,78),INDEX(Suivi!$D:$D,78)))</f>
        <v/>
      </c>
      <c r="Q76">
        <f>IF($O76="","",INDEX(Suivi!$E:$E,78))</f>
        <v/>
      </c>
      <c r="R76">
        <f>IF($O76="","",INDEX(Suivi!$F:$F,78))</f>
        <v/>
      </c>
      <c r="S76">
        <f>IF($O76="","",INDEX(Suivi!$G:$G,78))</f>
        <v/>
      </c>
      <c r="T76">
        <f>IF($O76="","",IF(INDEX(Dossiers!$F$4:$F$63,2)="","",INDEX(Dossiers!$F$4:$F$63,2)))</f>
        <v/>
      </c>
      <c r="U76">
        <f>IF($O76="","",IF(INDEX(Dossiers!$G$4:$G$63,2)="","",INDEX(Dossiers!$G$4:$G$63,2)))</f>
        <v/>
      </c>
      <c r="V76">
        <f>IF(OR($O76="",NOT(ISNUMBER($Q76))),"",$Q76*1000000+76)</f>
        <v/>
      </c>
      <c r="W76" s="29">
        <f>IF($B76="","",IFERROR(INDEX($U$4:$U$3183,MATCH(SMALL($V$4:$V$3183,73),$V$4:$V$3183,0)),""))</f>
        <v/>
      </c>
    </row>
    <row r="77">
      <c r="A77">
        <f>IFERROR(INDEX($N$4:$N$3183,MATCH(SMALL($V$4:$V$3183,74),$V$4:$V$3183,0)),"")</f>
        <v/>
      </c>
      <c r="B77">
        <f>IFERROR(INDEX($O$4:$O$3183,MATCH(SMALL($V$4:$V$3183,74),$V$4:$V$3183,0)),"")</f>
        <v/>
      </c>
      <c r="C77">
        <f>IFERROR(INDEX($P$4:$P$3183,MATCH(SMALL($V$4:$V$3183,74),$V$4:$V$3183,0)),"")</f>
        <v/>
      </c>
      <c r="D77" s="29">
        <f>IFERROR(INDEX($Q$4:$Q$3183,MATCH(SMALL($V$4:$V$3183,74),$V$4:$V$3183,0)),"")</f>
        <v/>
      </c>
      <c r="E77" s="29">
        <f>IFERROR(INDEX($R$4:$R$3183,MATCH(SMALL($V$4:$V$3183,74),$V$4:$V$3183,0)),"")</f>
        <v/>
      </c>
      <c r="F77">
        <f>IFERROR(INDEX($S$4:$S$3183,MATCH(SMALL($V$4:$V$3183,74),$V$4:$V$3183,0)),"")</f>
        <v/>
      </c>
      <c r="I77" s="29">
        <f>IF($B77="","",IFERROR(INDEX($U$4:$U$3183,MATCH(SMALL($V$4:$V$3183,74),$V$4:$V$3183,0)),""))</f>
        <v/>
      </c>
      <c r="J77">
        <f>IF($B77="","",IF($D77&gt;$F$2,"À venir",IF($E77&lt;$D$2,"Passé","Dans la période")))</f>
        <v/>
      </c>
      <c r="K77">
        <f>IF(OR($B77="",NOT(ISNUMBER($D77))),"",IF(AND($E77&lt;$D$2,$G77&lt;&gt;"X",$F77&lt;&gt;"Réalisé",$F77&lt;&gt;"Clôturé"),"RETARD",""))</f>
        <v/>
      </c>
      <c r="L77">
        <f>IF(OR($B77="",NOT(ISNUMBER($D77))),"",IF(AND($D77&gt;=$D$2,$D77&lt;=$H$2,$G77&lt;&gt;"X",$F77&lt;&gt;"Réalisé",$F77&lt;&gt;"Clôturé"),"≤ 7 j",""))</f>
        <v/>
      </c>
      <c r="M77" s="29">
        <f>IF($B77="","",IFERROR(INDEX($T$4:$T$3183,MATCH(SMALL($V$4:$V$3183,74),$V$4:$V$3183,0)),""))</f>
        <v/>
      </c>
      <c r="O77">
        <f>IF(INDEX(Suivi!$B:$B,79)="","",INDEX(Suivi!$B:$B,79))</f>
        <v/>
      </c>
      <c r="P77">
        <f>IF($O77="","",IF(INDEX(Suivi!$D:$D,79)="",INDEX(Suivi!$C:$C,79),INDEX(Suivi!$D:$D,79)))</f>
        <v/>
      </c>
      <c r="Q77">
        <f>IF($O77="","",INDEX(Suivi!$E:$E,79))</f>
        <v/>
      </c>
      <c r="R77">
        <f>IF($O77="","",INDEX(Suivi!$F:$F,79))</f>
        <v/>
      </c>
      <c r="S77">
        <f>IF($O77="","",INDEX(Suivi!$G:$G,79))</f>
        <v/>
      </c>
      <c r="T77">
        <f>IF($O77="","",IF(INDEX(Dossiers!$F$4:$F$63,2)="","",INDEX(Dossiers!$F$4:$F$63,2)))</f>
        <v/>
      </c>
      <c r="U77">
        <f>IF($O77="","",IF(INDEX(Dossiers!$G$4:$G$63,2)="","",INDEX(Dossiers!$G$4:$G$63,2)))</f>
        <v/>
      </c>
      <c r="V77">
        <f>IF(OR($O77="",NOT(ISNUMBER($Q77))),"",$Q77*1000000+77)</f>
        <v/>
      </c>
      <c r="W77" s="29">
        <f>IF($B77="","",IFERROR(INDEX($U$4:$U$3183,MATCH(SMALL($V$4:$V$3183,74),$V$4:$V$3183,0)),""))</f>
        <v/>
      </c>
    </row>
    <row r="78">
      <c r="A78">
        <f>IFERROR(INDEX($N$4:$N$3183,MATCH(SMALL($V$4:$V$3183,75),$V$4:$V$3183,0)),"")</f>
        <v/>
      </c>
      <c r="B78">
        <f>IFERROR(INDEX($O$4:$O$3183,MATCH(SMALL($V$4:$V$3183,75),$V$4:$V$3183,0)),"")</f>
        <v/>
      </c>
      <c r="C78">
        <f>IFERROR(INDEX($P$4:$P$3183,MATCH(SMALL($V$4:$V$3183,75),$V$4:$V$3183,0)),"")</f>
        <v/>
      </c>
      <c r="D78" s="29">
        <f>IFERROR(INDEX($Q$4:$Q$3183,MATCH(SMALL($V$4:$V$3183,75),$V$4:$V$3183,0)),"")</f>
        <v/>
      </c>
      <c r="E78" s="29">
        <f>IFERROR(INDEX($R$4:$R$3183,MATCH(SMALL($V$4:$V$3183,75),$V$4:$V$3183,0)),"")</f>
        <v/>
      </c>
      <c r="F78">
        <f>IFERROR(INDEX($S$4:$S$3183,MATCH(SMALL($V$4:$V$3183,75),$V$4:$V$3183,0)),"")</f>
        <v/>
      </c>
      <c r="I78" s="29">
        <f>IF($B78="","",IFERROR(INDEX($U$4:$U$3183,MATCH(SMALL($V$4:$V$3183,75),$V$4:$V$3183,0)),""))</f>
        <v/>
      </c>
      <c r="J78">
        <f>IF($B78="","",IF($D78&gt;$F$2,"À venir",IF($E78&lt;$D$2,"Passé","Dans la période")))</f>
        <v/>
      </c>
      <c r="K78">
        <f>IF(OR($B78="",NOT(ISNUMBER($D78))),"",IF(AND($E78&lt;$D$2,$G78&lt;&gt;"X",$F78&lt;&gt;"Réalisé",$F78&lt;&gt;"Clôturé"),"RETARD",""))</f>
        <v/>
      </c>
      <c r="L78">
        <f>IF(OR($B78="",NOT(ISNUMBER($D78))),"",IF(AND($D78&gt;=$D$2,$D78&lt;=$H$2,$G78&lt;&gt;"X",$F78&lt;&gt;"Réalisé",$F78&lt;&gt;"Clôturé"),"≤ 7 j",""))</f>
        <v/>
      </c>
      <c r="M78" s="29">
        <f>IF($B78="","",IFERROR(INDEX($T$4:$T$3183,MATCH(SMALL($V$4:$V$3183,75),$V$4:$V$3183,0)),""))</f>
        <v/>
      </c>
      <c r="O78">
        <f>IF(INDEX(Suivi!$B:$B,80)="","",INDEX(Suivi!$B:$B,80))</f>
        <v/>
      </c>
      <c r="P78">
        <f>IF($O78="","",IF(INDEX(Suivi!$D:$D,80)="",INDEX(Suivi!$C:$C,80),INDEX(Suivi!$D:$D,80)))</f>
        <v/>
      </c>
      <c r="Q78">
        <f>IF($O78="","",INDEX(Suivi!$E:$E,80))</f>
        <v/>
      </c>
      <c r="R78">
        <f>IF($O78="","",INDEX(Suivi!$F:$F,80))</f>
        <v/>
      </c>
      <c r="S78">
        <f>IF($O78="","",INDEX(Suivi!$G:$G,80))</f>
        <v/>
      </c>
      <c r="T78">
        <f>IF($O78="","",IF(INDEX(Dossiers!$F$4:$F$63,2)="","",INDEX(Dossiers!$F$4:$F$63,2)))</f>
        <v/>
      </c>
      <c r="U78">
        <f>IF($O78="","",IF(INDEX(Dossiers!$G$4:$G$63,2)="","",INDEX(Dossiers!$G$4:$G$63,2)))</f>
        <v/>
      </c>
      <c r="V78">
        <f>IF(OR($O78="",NOT(ISNUMBER($Q78))),"",$Q78*1000000+78)</f>
        <v/>
      </c>
      <c r="W78" s="29">
        <f>IF($B78="","",IFERROR(INDEX($U$4:$U$3183,MATCH(SMALL($V$4:$V$3183,75),$V$4:$V$3183,0)),""))</f>
        <v/>
      </c>
    </row>
    <row r="79">
      <c r="A79">
        <f>IFERROR(INDEX($N$4:$N$3183,MATCH(SMALL($V$4:$V$3183,76),$V$4:$V$3183,0)),"")</f>
        <v/>
      </c>
      <c r="B79">
        <f>IFERROR(INDEX($O$4:$O$3183,MATCH(SMALL($V$4:$V$3183,76),$V$4:$V$3183,0)),"")</f>
        <v/>
      </c>
      <c r="C79">
        <f>IFERROR(INDEX($P$4:$P$3183,MATCH(SMALL($V$4:$V$3183,76),$V$4:$V$3183,0)),"")</f>
        <v/>
      </c>
      <c r="D79" s="29">
        <f>IFERROR(INDEX($Q$4:$Q$3183,MATCH(SMALL($V$4:$V$3183,76),$V$4:$V$3183,0)),"")</f>
        <v/>
      </c>
      <c r="E79" s="29">
        <f>IFERROR(INDEX($R$4:$R$3183,MATCH(SMALL($V$4:$V$3183,76),$V$4:$V$3183,0)),"")</f>
        <v/>
      </c>
      <c r="F79">
        <f>IFERROR(INDEX($S$4:$S$3183,MATCH(SMALL($V$4:$V$3183,76),$V$4:$V$3183,0)),"")</f>
        <v/>
      </c>
      <c r="I79" s="29">
        <f>IF($B79="","",IFERROR(INDEX($U$4:$U$3183,MATCH(SMALL($V$4:$V$3183,76),$V$4:$V$3183,0)),""))</f>
        <v/>
      </c>
      <c r="J79">
        <f>IF($B79="","",IF($D79&gt;$F$2,"À venir",IF($E79&lt;$D$2,"Passé","Dans la période")))</f>
        <v/>
      </c>
      <c r="K79">
        <f>IF(OR($B79="",NOT(ISNUMBER($D79))),"",IF(AND($E79&lt;$D$2,$G79&lt;&gt;"X",$F79&lt;&gt;"Réalisé",$F79&lt;&gt;"Clôturé"),"RETARD",""))</f>
        <v/>
      </c>
      <c r="L79">
        <f>IF(OR($B79="",NOT(ISNUMBER($D79))),"",IF(AND($D79&gt;=$D$2,$D79&lt;=$H$2,$G79&lt;&gt;"X",$F79&lt;&gt;"Réalisé",$F79&lt;&gt;"Clôturé"),"≤ 7 j",""))</f>
        <v/>
      </c>
      <c r="M79" s="29">
        <f>IF($B79="","",IFERROR(INDEX($T$4:$T$3183,MATCH(SMALL($V$4:$V$3183,76),$V$4:$V$3183,0)),""))</f>
        <v/>
      </c>
      <c r="O79">
        <f>IF(INDEX(Suivi!$B:$B,81)="","",INDEX(Suivi!$B:$B,81))</f>
        <v/>
      </c>
      <c r="P79">
        <f>IF($O79="","",IF(INDEX(Suivi!$D:$D,81)="",INDEX(Suivi!$C:$C,81),INDEX(Suivi!$D:$D,81)))</f>
        <v/>
      </c>
      <c r="Q79">
        <f>IF($O79="","",INDEX(Suivi!$E:$E,81))</f>
        <v/>
      </c>
      <c r="R79">
        <f>IF($O79="","",INDEX(Suivi!$F:$F,81))</f>
        <v/>
      </c>
      <c r="S79">
        <f>IF($O79="","",INDEX(Suivi!$G:$G,81))</f>
        <v/>
      </c>
      <c r="T79">
        <f>IF($O79="","",IF(INDEX(Dossiers!$F$4:$F$63,2)="","",INDEX(Dossiers!$F$4:$F$63,2)))</f>
        <v/>
      </c>
      <c r="U79">
        <f>IF($O79="","",IF(INDEX(Dossiers!$G$4:$G$63,2)="","",INDEX(Dossiers!$G$4:$G$63,2)))</f>
        <v/>
      </c>
      <c r="V79">
        <f>IF(OR($O79="",NOT(ISNUMBER($Q79))),"",$Q79*1000000+79)</f>
        <v/>
      </c>
      <c r="W79" s="29">
        <f>IF($B79="","",IFERROR(INDEX($U$4:$U$3183,MATCH(SMALL($V$4:$V$3183,76),$V$4:$V$3183,0)),""))</f>
        <v/>
      </c>
    </row>
    <row r="80">
      <c r="A80">
        <f>IFERROR(INDEX($N$4:$N$3183,MATCH(SMALL($V$4:$V$3183,77),$V$4:$V$3183,0)),"")</f>
        <v/>
      </c>
      <c r="B80">
        <f>IFERROR(INDEX($O$4:$O$3183,MATCH(SMALL($V$4:$V$3183,77),$V$4:$V$3183,0)),"")</f>
        <v/>
      </c>
      <c r="C80">
        <f>IFERROR(INDEX($P$4:$P$3183,MATCH(SMALL($V$4:$V$3183,77),$V$4:$V$3183,0)),"")</f>
        <v/>
      </c>
      <c r="D80" s="29">
        <f>IFERROR(INDEX($Q$4:$Q$3183,MATCH(SMALL($V$4:$V$3183,77),$V$4:$V$3183,0)),"")</f>
        <v/>
      </c>
      <c r="E80" s="29">
        <f>IFERROR(INDEX($R$4:$R$3183,MATCH(SMALL($V$4:$V$3183,77),$V$4:$V$3183,0)),"")</f>
        <v/>
      </c>
      <c r="F80">
        <f>IFERROR(INDEX($S$4:$S$3183,MATCH(SMALL($V$4:$V$3183,77),$V$4:$V$3183,0)),"")</f>
        <v/>
      </c>
      <c r="I80" s="29">
        <f>IF($B80="","",IFERROR(INDEX($U$4:$U$3183,MATCH(SMALL($V$4:$V$3183,77),$V$4:$V$3183,0)),""))</f>
        <v/>
      </c>
      <c r="J80">
        <f>IF($B80="","",IF($D80&gt;$F$2,"À venir",IF($E80&lt;$D$2,"Passé","Dans la période")))</f>
        <v/>
      </c>
      <c r="K80">
        <f>IF(OR($B80="",NOT(ISNUMBER($D80))),"",IF(AND($E80&lt;$D$2,$G80&lt;&gt;"X",$F80&lt;&gt;"Réalisé",$F80&lt;&gt;"Clôturé"),"RETARD",""))</f>
        <v/>
      </c>
      <c r="L80">
        <f>IF(OR($B80="",NOT(ISNUMBER($D80))),"",IF(AND($D80&gt;=$D$2,$D80&lt;=$H$2,$G80&lt;&gt;"X",$F80&lt;&gt;"Réalisé",$F80&lt;&gt;"Clôturé"),"≤ 7 j",""))</f>
        <v/>
      </c>
      <c r="M80" s="29">
        <f>IF($B80="","",IFERROR(INDEX($T$4:$T$3183,MATCH(SMALL($V$4:$V$3183,77),$V$4:$V$3183,0)),""))</f>
        <v/>
      </c>
      <c r="O80">
        <f>IF(INDEX(Suivi!$B:$B,82)="","",INDEX(Suivi!$B:$B,82))</f>
        <v/>
      </c>
      <c r="P80">
        <f>IF($O80="","",IF(INDEX(Suivi!$D:$D,82)="",INDEX(Suivi!$C:$C,82),INDEX(Suivi!$D:$D,82)))</f>
        <v/>
      </c>
      <c r="Q80">
        <f>IF($O80="","",INDEX(Suivi!$E:$E,82))</f>
        <v/>
      </c>
      <c r="R80">
        <f>IF($O80="","",INDEX(Suivi!$F:$F,82))</f>
        <v/>
      </c>
      <c r="S80">
        <f>IF($O80="","",INDEX(Suivi!$G:$G,82))</f>
        <v/>
      </c>
      <c r="T80">
        <f>IF($O80="","",IF(INDEX(Dossiers!$F$4:$F$63,2)="","",INDEX(Dossiers!$F$4:$F$63,2)))</f>
        <v/>
      </c>
      <c r="U80">
        <f>IF($O80="","",IF(INDEX(Dossiers!$G$4:$G$63,2)="","",INDEX(Dossiers!$G$4:$G$63,2)))</f>
        <v/>
      </c>
      <c r="V80">
        <f>IF(OR($O80="",NOT(ISNUMBER($Q80))),"",$Q80*1000000+80)</f>
        <v/>
      </c>
      <c r="W80" s="29">
        <f>IF($B80="","",IFERROR(INDEX($U$4:$U$3183,MATCH(SMALL($V$4:$V$3183,77),$V$4:$V$3183,0)),""))</f>
        <v/>
      </c>
    </row>
    <row r="81">
      <c r="A81">
        <f>IFERROR(INDEX($N$4:$N$3183,MATCH(SMALL($V$4:$V$3183,78),$V$4:$V$3183,0)),"")</f>
        <v/>
      </c>
      <c r="B81">
        <f>IFERROR(INDEX($O$4:$O$3183,MATCH(SMALL($V$4:$V$3183,78),$V$4:$V$3183,0)),"")</f>
        <v/>
      </c>
      <c r="C81">
        <f>IFERROR(INDEX($P$4:$P$3183,MATCH(SMALL($V$4:$V$3183,78),$V$4:$V$3183,0)),"")</f>
        <v/>
      </c>
      <c r="D81" s="29">
        <f>IFERROR(INDEX($Q$4:$Q$3183,MATCH(SMALL($V$4:$V$3183,78),$V$4:$V$3183,0)),"")</f>
        <v/>
      </c>
      <c r="E81" s="29">
        <f>IFERROR(INDEX($R$4:$R$3183,MATCH(SMALL($V$4:$V$3183,78),$V$4:$V$3183,0)),"")</f>
        <v/>
      </c>
      <c r="F81">
        <f>IFERROR(INDEX($S$4:$S$3183,MATCH(SMALL($V$4:$V$3183,78),$V$4:$V$3183,0)),"")</f>
        <v/>
      </c>
      <c r="I81" s="29">
        <f>IF($B81="","",IFERROR(INDEX($U$4:$U$3183,MATCH(SMALL($V$4:$V$3183,78),$V$4:$V$3183,0)),""))</f>
        <v/>
      </c>
      <c r="J81">
        <f>IF($B81="","",IF($D81&gt;$F$2,"À venir",IF($E81&lt;$D$2,"Passé","Dans la période")))</f>
        <v/>
      </c>
      <c r="K81">
        <f>IF(OR($B81="",NOT(ISNUMBER($D81))),"",IF(AND($E81&lt;$D$2,$G81&lt;&gt;"X",$F81&lt;&gt;"Réalisé",$F81&lt;&gt;"Clôturé"),"RETARD",""))</f>
        <v/>
      </c>
      <c r="L81">
        <f>IF(OR($B81="",NOT(ISNUMBER($D81))),"",IF(AND($D81&gt;=$D$2,$D81&lt;=$H$2,$G81&lt;&gt;"X",$F81&lt;&gt;"Réalisé",$F81&lt;&gt;"Clôturé"),"≤ 7 j",""))</f>
        <v/>
      </c>
      <c r="M81" s="29">
        <f>IF($B81="","",IFERROR(INDEX($T$4:$T$3183,MATCH(SMALL($V$4:$V$3183,78),$V$4:$V$3183,0)),""))</f>
        <v/>
      </c>
      <c r="O81">
        <f>IF(INDEX(Suivi!$B:$B,83)="","",INDEX(Suivi!$B:$B,83))</f>
        <v/>
      </c>
      <c r="P81">
        <f>IF($O81="","",IF(INDEX(Suivi!$D:$D,83)="",INDEX(Suivi!$C:$C,83),INDEX(Suivi!$D:$D,83)))</f>
        <v/>
      </c>
      <c r="Q81">
        <f>IF($O81="","",INDEX(Suivi!$E:$E,83))</f>
        <v/>
      </c>
      <c r="R81">
        <f>IF($O81="","",INDEX(Suivi!$F:$F,83))</f>
        <v/>
      </c>
      <c r="S81">
        <f>IF($O81="","",INDEX(Suivi!$G:$G,83))</f>
        <v/>
      </c>
      <c r="T81">
        <f>IF($O81="","",IF(INDEX(Dossiers!$F$4:$F$63,2)="","",INDEX(Dossiers!$F$4:$F$63,2)))</f>
        <v/>
      </c>
      <c r="U81">
        <f>IF($O81="","",IF(INDEX(Dossiers!$G$4:$G$63,2)="","",INDEX(Dossiers!$G$4:$G$63,2)))</f>
        <v/>
      </c>
      <c r="V81">
        <f>IF(OR($O81="",NOT(ISNUMBER($Q81))),"",$Q81*1000000+81)</f>
        <v/>
      </c>
      <c r="W81" s="29">
        <f>IF($B81="","",IFERROR(INDEX($U$4:$U$3183,MATCH(SMALL($V$4:$V$3183,78),$V$4:$V$3183,0)),""))</f>
        <v/>
      </c>
    </row>
    <row r="82">
      <c r="A82">
        <f>IFERROR(INDEX($N$4:$N$3183,MATCH(SMALL($V$4:$V$3183,79),$V$4:$V$3183,0)),"")</f>
        <v/>
      </c>
      <c r="B82">
        <f>IFERROR(INDEX($O$4:$O$3183,MATCH(SMALL($V$4:$V$3183,79),$V$4:$V$3183,0)),"")</f>
        <v/>
      </c>
      <c r="C82">
        <f>IFERROR(INDEX($P$4:$P$3183,MATCH(SMALL($V$4:$V$3183,79),$V$4:$V$3183,0)),"")</f>
        <v/>
      </c>
      <c r="D82" s="29">
        <f>IFERROR(INDEX($Q$4:$Q$3183,MATCH(SMALL($V$4:$V$3183,79),$V$4:$V$3183,0)),"")</f>
        <v/>
      </c>
      <c r="E82" s="29">
        <f>IFERROR(INDEX($R$4:$R$3183,MATCH(SMALL($V$4:$V$3183,79),$V$4:$V$3183,0)),"")</f>
        <v/>
      </c>
      <c r="F82">
        <f>IFERROR(INDEX($S$4:$S$3183,MATCH(SMALL($V$4:$V$3183,79),$V$4:$V$3183,0)),"")</f>
        <v/>
      </c>
      <c r="I82" s="29">
        <f>IF($B82="","",IFERROR(INDEX($U$4:$U$3183,MATCH(SMALL($V$4:$V$3183,79),$V$4:$V$3183,0)),""))</f>
        <v/>
      </c>
      <c r="J82">
        <f>IF($B82="","",IF($D82&gt;$F$2,"À venir",IF($E82&lt;$D$2,"Passé","Dans la période")))</f>
        <v/>
      </c>
      <c r="K82">
        <f>IF(OR($B82="",NOT(ISNUMBER($D82))),"",IF(AND($E82&lt;$D$2,$G82&lt;&gt;"X",$F82&lt;&gt;"Réalisé",$F82&lt;&gt;"Clôturé"),"RETARD",""))</f>
        <v/>
      </c>
      <c r="L82">
        <f>IF(OR($B82="",NOT(ISNUMBER($D82))),"",IF(AND($D82&gt;=$D$2,$D82&lt;=$H$2,$G82&lt;&gt;"X",$F82&lt;&gt;"Réalisé",$F82&lt;&gt;"Clôturé"),"≤ 7 j",""))</f>
        <v/>
      </c>
      <c r="M82" s="29">
        <f>IF($B82="","",IFERROR(INDEX($T$4:$T$3183,MATCH(SMALL($V$4:$V$3183,79),$V$4:$V$3183,0)),""))</f>
        <v/>
      </c>
      <c r="O82">
        <f>IF(INDEX(Suivi!$B:$B,84)="","",INDEX(Suivi!$B:$B,84))</f>
        <v/>
      </c>
      <c r="P82">
        <f>IF($O82="","",IF(INDEX(Suivi!$D:$D,84)="",INDEX(Suivi!$C:$C,84),INDEX(Suivi!$D:$D,84)))</f>
        <v/>
      </c>
      <c r="Q82">
        <f>IF($O82="","",INDEX(Suivi!$E:$E,84))</f>
        <v/>
      </c>
      <c r="R82">
        <f>IF($O82="","",INDEX(Suivi!$F:$F,84))</f>
        <v/>
      </c>
      <c r="S82">
        <f>IF($O82="","",INDEX(Suivi!$G:$G,84))</f>
        <v/>
      </c>
      <c r="T82">
        <f>IF($O82="","",IF(INDEX(Dossiers!$F$4:$F$63,2)="","",INDEX(Dossiers!$F$4:$F$63,2)))</f>
        <v/>
      </c>
      <c r="U82">
        <f>IF($O82="","",IF(INDEX(Dossiers!$G$4:$G$63,2)="","",INDEX(Dossiers!$G$4:$G$63,2)))</f>
        <v/>
      </c>
      <c r="V82">
        <f>IF(OR($O82="",NOT(ISNUMBER($Q82))),"",$Q82*1000000+82)</f>
        <v/>
      </c>
      <c r="W82" s="29">
        <f>IF($B82="","",IFERROR(INDEX($U$4:$U$3183,MATCH(SMALL($V$4:$V$3183,79),$V$4:$V$3183,0)),""))</f>
        <v/>
      </c>
    </row>
    <row r="83">
      <c r="A83">
        <f>IFERROR(INDEX($N$4:$N$3183,MATCH(SMALL($V$4:$V$3183,80),$V$4:$V$3183,0)),"")</f>
        <v/>
      </c>
      <c r="B83">
        <f>IFERROR(INDEX($O$4:$O$3183,MATCH(SMALL($V$4:$V$3183,80),$V$4:$V$3183,0)),"")</f>
        <v/>
      </c>
      <c r="C83">
        <f>IFERROR(INDEX($P$4:$P$3183,MATCH(SMALL($V$4:$V$3183,80),$V$4:$V$3183,0)),"")</f>
        <v/>
      </c>
      <c r="D83" s="29">
        <f>IFERROR(INDEX($Q$4:$Q$3183,MATCH(SMALL($V$4:$V$3183,80),$V$4:$V$3183,0)),"")</f>
        <v/>
      </c>
      <c r="E83" s="29">
        <f>IFERROR(INDEX($R$4:$R$3183,MATCH(SMALL($V$4:$V$3183,80),$V$4:$V$3183,0)),"")</f>
        <v/>
      </c>
      <c r="F83">
        <f>IFERROR(INDEX($S$4:$S$3183,MATCH(SMALL($V$4:$V$3183,80),$V$4:$V$3183,0)),"")</f>
        <v/>
      </c>
      <c r="I83" s="29">
        <f>IF($B83="","",IFERROR(INDEX($U$4:$U$3183,MATCH(SMALL($V$4:$V$3183,80),$V$4:$V$3183,0)),""))</f>
        <v/>
      </c>
      <c r="J83">
        <f>IF($B83="","",IF($D83&gt;$F$2,"À venir",IF($E83&lt;$D$2,"Passé","Dans la période")))</f>
        <v/>
      </c>
      <c r="K83">
        <f>IF(OR($B83="",NOT(ISNUMBER($D83))),"",IF(AND($E83&lt;$D$2,$G83&lt;&gt;"X",$F83&lt;&gt;"Réalisé",$F83&lt;&gt;"Clôturé"),"RETARD",""))</f>
        <v/>
      </c>
      <c r="L83">
        <f>IF(OR($B83="",NOT(ISNUMBER($D83))),"",IF(AND($D83&gt;=$D$2,$D83&lt;=$H$2,$G83&lt;&gt;"X",$F83&lt;&gt;"Réalisé",$F83&lt;&gt;"Clôturé"),"≤ 7 j",""))</f>
        <v/>
      </c>
      <c r="M83" s="29">
        <f>IF($B83="","",IFERROR(INDEX($T$4:$T$3183,MATCH(SMALL($V$4:$V$3183,80),$V$4:$V$3183,0)),""))</f>
        <v/>
      </c>
      <c r="O83">
        <f>IF(INDEX(Suivi!$B:$B,85)="","",INDEX(Suivi!$B:$B,85))</f>
        <v/>
      </c>
      <c r="P83">
        <f>IF($O83="","",IF(INDEX(Suivi!$D:$D,85)="",INDEX(Suivi!$C:$C,85),INDEX(Suivi!$D:$D,85)))</f>
        <v/>
      </c>
      <c r="Q83">
        <f>IF($O83="","",INDEX(Suivi!$E:$E,85))</f>
        <v/>
      </c>
      <c r="R83">
        <f>IF($O83="","",INDEX(Suivi!$F:$F,85))</f>
        <v/>
      </c>
      <c r="S83">
        <f>IF($O83="","",INDEX(Suivi!$G:$G,85))</f>
        <v/>
      </c>
      <c r="T83">
        <f>IF($O83="","",IF(INDEX(Dossiers!$F$4:$F$63,2)="","",INDEX(Dossiers!$F$4:$F$63,2)))</f>
        <v/>
      </c>
      <c r="U83">
        <f>IF($O83="","",IF(INDEX(Dossiers!$G$4:$G$63,2)="","",INDEX(Dossiers!$G$4:$G$63,2)))</f>
        <v/>
      </c>
      <c r="V83">
        <f>IF(OR($O83="",NOT(ISNUMBER($Q83))),"",$Q83*1000000+83)</f>
        <v/>
      </c>
      <c r="W83" s="29">
        <f>IF($B83="","",IFERROR(INDEX($U$4:$U$3183,MATCH(SMALL($V$4:$V$3183,80),$V$4:$V$3183,0)),""))</f>
        <v/>
      </c>
    </row>
    <row r="84">
      <c r="A84">
        <f>IFERROR(INDEX($N$4:$N$3183,MATCH(SMALL($V$4:$V$3183,81),$V$4:$V$3183,0)),"")</f>
        <v/>
      </c>
      <c r="B84">
        <f>IFERROR(INDEX($O$4:$O$3183,MATCH(SMALL($V$4:$V$3183,81),$V$4:$V$3183,0)),"")</f>
        <v/>
      </c>
      <c r="C84">
        <f>IFERROR(INDEX($P$4:$P$3183,MATCH(SMALL($V$4:$V$3183,81),$V$4:$V$3183,0)),"")</f>
        <v/>
      </c>
      <c r="D84" s="29">
        <f>IFERROR(INDEX($Q$4:$Q$3183,MATCH(SMALL($V$4:$V$3183,81),$V$4:$V$3183,0)),"")</f>
        <v/>
      </c>
      <c r="E84" s="29">
        <f>IFERROR(INDEX($R$4:$R$3183,MATCH(SMALL($V$4:$V$3183,81),$V$4:$V$3183,0)),"")</f>
        <v/>
      </c>
      <c r="F84">
        <f>IFERROR(INDEX($S$4:$S$3183,MATCH(SMALL($V$4:$V$3183,81),$V$4:$V$3183,0)),"")</f>
        <v/>
      </c>
      <c r="I84" s="29">
        <f>IF($B84="","",IFERROR(INDEX($U$4:$U$3183,MATCH(SMALL($V$4:$V$3183,81),$V$4:$V$3183,0)),""))</f>
        <v/>
      </c>
      <c r="J84">
        <f>IF($B84="","",IF($D84&gt;$F$2,"À venir",IF($E84&lt;$D$2,"Passé","Dans la période")))</f>
        <v/>
      </c>
      <c r="K84">
        <f>IF(OR($B84="",NOT(ISNUMBER($D84))),"",IF(AND($E84&lt;$D$2,$G84&lt;&gt;"X",$F84&lt;&gt;"Réalisé",$F84&lt;&gt;"Clôturé"),"RETARD",""))</f>
        <v/>
      </c>
      <c r="L84">
        <f>IF(OR($B84="",NOT(ISNUMBER($D84))),"",IF(AND($D84&gt;=$D$2,$D84&lt;=$H$2,$G84&lt;&gt;"X",$F84&lt;&gt;"Réalisé",$F84&lt;&gt;"Clôturé"),"≤ 7 j",""))</f>
        <v/>
      </c>
      <c r="M84" s="29">
        <f>IF($B84="","",IFERROR(INDEX($T$4:$T$3183,MATCH(SMALL($V$4:$V$3183,81),$V$4:$V$3183,0)),""))</f>
        <v/>
      </c>
      <c r="O84">
        <f>IF(INDEX(Suivi!$B:$B,86)="","",INDEX(Suivi!$B:$B,86))</f>
        <v/>
      </c>
      <c r="P84">
        <f>IF($O84="","",IF(INDEX(Suivi!$D:$D,86)="",INDEX(Suivi!$C:$C,86),INDEX(Suivi!$D:$D,86)))</f>
        <v/>
      </c>
      <c r="Q84">
        <f>IF($O84="","",INDEX(Suivi!$E:$E,86))</f>
        <v/>
      </c>
      <c r="R84">
        <f>IF($O84="","",INDEX(Suivi!$F:$F,86))</f>
        <v/>
      </c>
      <c r="S84">
        <f>IF($O84="","",INDEX(Suivi!$G:$G,86))</f>
        <v/>
      </c>
      <c r="T84">
        <f>IF($O84="","",IF(INDEX(Dossiers!$F$4:$F$63,2)="","",INDEX(Dossiers!$F$4:$F$63,2)))</f>
        <v/>
      </c>
      <c r="U84">
        <f>IF($O84="","",IF(INDEX(Dossiers!$G$4:$G$63,2)="","",INDEX(Dossiers!$G$4:$G$63,2)))</f>
        <v/>
      </c>
      <c r="V84">
        <f>IF(OR($O84="",NOT(ISNUMBER($Q84))),"",$Q84*1000000+84)</f>
        <v/>
      </c>
      <c r="W84" s="29">
        <f>IF($B84="","",IFERROR(INDEX($U$4:$U$3183,MATCH(SMALL($V$4:$V$3183,81),$V$4:$V$3183,0)),""))</f>
        <v/>
      </c>
    </row>
    <row r="85">
      <c r="A85">
        <f>IFERROR(INDEX($N$4:$N$3183,MATCH(SMALL($V$4:$V$3183,82),$V$4:$V$3183,0)),"")</f>
        <v/>
      </c>
      <c r="B85">
        <f>IFERROR(INDEX($O$4:$O$3183,MATCH(SMALL($V$4:$V$3183,82),$V$4:$V$3183,0)),"")</f>
        <v/>
      </c>
      <c r="C85">
        <f>IFERROR(INDEX($P$4:$P$3183,MATCH(SMALL($V$4:$V$3183,82),$V$4:$V$3183,0)),"")</f>
        <v/>
      </c>
      <c r="D85" s="29">
        <f>IFERROR(INDEX($Q$4:$Q$3183,MATCH(SMALL($V$4:$V$3183,82),$V$4:$V$3183,0)),"")</f>
        <v/>
      </c>
      <c r="E85" s="29">
        <f>IFERROR(INDEX($R$4:$R$3183,MATCH(SMALL($V$4:$V$3183,82),$V$4:$V$3183,0)),"")</f>
        <v/>
      </c>
      <c r="F85">
        <f>IFERROR(INDEX($S$4:$S$3183,MATCH(SMALL($V$4:$V$3183,82),$V$4:$V$3183,0)),"")</f>
        <v/>
      </c>
      <c r="I85" s="29">
        <f>IF($B85="","",IFERROR(INDEX($U$4:$U$3183,MATCH(SMALL($V$4:$V$3183,82),$V$4:$V$3183,0)),""))</f>
        <v/>
      </c>
      <c r="J85">
        <f>IF($B85="","",IF($D85&gt;$F$2,"À venir",IF($E85&lt;$D$2,"Passé","Dans la période")))</f>
        <v/>
      </c>
      <c r="K85">
        <f>IF(OR($B85="",NOT(ISNUMBER($D85))),"",IF(AND($E85&lt;$D$2,$G85&lt;&gt;"X",$F85&lt;&gt;"Réalisé",$F85&lt;&gt;"Clôturé"),"RETARD",""))</f>
        <v/>
      </c>
      <c r="L85">
        <f>IF(OR($B85="",NOT(ISNUMBER($D85))),"",IF(AND($D85&gt;=$D$2,$D85&lt;=$H$2,$G85&lt;&gt;"X",$F85&lt;&gt;"Réalisé",$F85&lt;&gt;"Clôturé"),"≤ 7 j",""))</f>
        <v/>
      </c>
      <c r="M85" s="29">
        <f>IF($B85="","",IFERROR(INDEX($T$4:$T$3183,MATCH(SMALL($V$4:$V$3183,82),$V$4:$V$3183,0)),""))</f>
        <v/>
      </c>
      <c r="O85">
        <f>IF(INDEX(Suivi!$B:$B,87)="","",INDEX(Suivi!$B:$B,87))</f>
        <v/>
      </c>
      <c r="P85">
        <f>IF($O85="","",IF(INDEX(Suivi!$D:$D,87)="",INDEX(Suivi!$C:$C,87),INDEX(Suivi!$D:$D,87)))</f>
        <v/>
      </c>
      <c r="Q85">
        <f>IF($O85="","",INDEX(Suivi!$E:$E,87))</f>
        <v/>
      </c>
      <c r="R85">
        <f>IF($O85="","",INDEX(Suivi!$F:$F,87))</f>
        <v/>
      </c>
      <c r="S85">
        <f>IF($O85="","",INDEX(Suivi!$G:$G,87))</f>
        <v/>
      </c>
      <c r="T85">
        <f>IF($O85="","",IF(INDEX(Dossiers!$F$4:$F$63,2)="","",INDEX(Dossiers!$F$4:$F$63,2)))</f>
        <v/>
      </c>
      <c r="U85">
        <f>IF($O85="","",IF(INDEX(Dossiers!$G$4:$G$63,2)="","",INDEX(Dossiers!$G$4:$G$63,2)))</f>
        <v/>
      </c>
      <c r="V85">
        <f>IF(OR($O85="",NOT(ISNUMBER($Q85))),"",$Q85*1000000+85)</f>
        <v/>
      </c>
      <c r="W85" s="29">
        <f>IF($B85="","",IFERROR(INDEX($U$4:$U$3183,MATCH(SMALL($V$4:$V$3183,82),$V$4:$V$3183,0)),""))</f>
        <v/>
      </c>
    </row>
    <row r="86">
      <c r="A86">
        <f>IFERROR(INDEX($N$4:$N$3183,MATCH(SMALL($V$4:$V$3183,83),$V$4:$V$3183,0)),"")</f>
        <v/>
      </c>
      <c r="B86">
        <f>IFERROR(INDEX($O$4:$O$3183,MATCH(SMALL($V$4:$V$3183,83),$V$4:$V$3183,0)),"")</f>
        <v/>
      </c>
      <c r="C86">
        <f>IFERROR(INDEX($P$4:$P$3183,MATCH(SMALL($V$4:$V$3183,83),$V$4:$V$3183,0)),"")</f>
        <v/>
      </c>
      <c r="D86" s="29">
        <f>IFERROR(INDEX($Q$4:$Q$3183,MATCH(SMALL($V$4:$V$3183,83),$V$4:$V$3183,0)),"")</f>
        <v/>
      </c>
      <c r="E86" s="29">
        <f>IFERROR(INDEX($R$4:$R$3183,MATCH(SMALL($V$4:$V$3183,83),$V$4:$V$3183,0)),"")</f>
        <v/>
      </c>
      <c r="F86">
        <f>IFERROR(INDEX($S$4:$S$3183,MATCH(SMALL($V$4:$V$3183,83),$V$4:$V$3183,0)),"")</f>
        <v/>
      </c>
      <c r="I86" s="29">
        <f>IF($B86="","",IFERROR(INDEX($U$4:$U$3183,MATCH(SMALL($V$4:$V$3183,83),$V$4:$V$3183,0)),""))</f>
        <v/>
      </c>
      <c r="J86">
        <f>IF($B86="","",IF($D86&gt;$F$2,"À venir",IF($E86&lt;$D$2,"Passé","Dans la période")))</f>
        <v/>
      </c>
      <c r="K86">
        <f>IF(OR($B86="",NOT(ISNUMBER($D86))),"",IF(AND($E86&lt;$D$2,$G86&lt;&gt;"X",$F86&lt;&gt;"Réalisé",$F86&lt;&gt;"Clôturé"),"RETARD",""))</f>
        <v/>
      </c>
      <c r="L86">
        <f>IF(OR($B86="",NOT(ISNUMBER($D86))),"",IF(AND($D86&gt;=$D$2,$D86&lt;=$H$2,$G86&lt;&gt;"X",$F86&lt;&gt;"Réalisé",$F86&lt;&gt;"Clôturé"),"≤ 7 j",""))</f>
        <v/>
      </c>
      <c r="M86" s="29">
        <f>IF($B86="","",IFERROR(INDEX($T$4:$T$3183,MATCH(SMALL($V$4:$V$3183,83),$V$4:$V$3183,0)),""))</f>
        <v/>
      </c>
      <c r="O86">
        <f>IF(INDEX(Suivi!$B:$B,88)="","",INDEX(Suivi!$B:$B,88))</f>
        <v/>
      </c>
      <c r="P86">
        <f>IF($O86="","",IF(INDEX(Suivi!$D:$D,88)="",INDEX(Suivi!$C:$C,88),INDEX(Suivi!$D:$D,88)))</f>
        <v/>
      </c>
      <c r="Q86">
        <f>IF($O86="","",INDEX(Suivi!$E:$E,88))</f>
        <v/>
      </c>
      <c r="R86">
        <f>IF($O86="","",INDEX(Suivi!$F:$F,88))</f>
        <v/>
      </c>
      <c r="S86">
        <f>IF($O86="","",INDEX(Suivi!$G:$G,88))</f>
        <v/>
      </c>
      <c r="T86">
        <f>IF($O86="","",IF(INDEX(Dossiers!$F$4:$F$63,2)="","",INDEX(Dossiers!$F$4:$F$63,2)))</f>
        <v/>
      </c>
      <c r="U86">
        <f>IF($O86="","",IF(INDEX(Dossiers!$G$4:$G$63,2)="","",INDEX(Dossiers!$G$4:$G$63,2)))</f>
        <v/>
      </c>
      <c r="V86">
        <f>IF(OR($O86="",NOT(ISNUMBER($Q86))),"",$Q86*1000000+86)</f>
        <v/>
      </c>
      <c r="W86" s="29">
        <f>IF($B86="","",IFERROR(INDEX($U$4:$U$3183,MATCH(SMALL($V$4:$V$3183,83),$V$4:$V$3183,0)),""))</f>
        <v/>
      </c>
    </row>
    <row r="87">
      <c r="A87">
        <f>IFERROR(INDEX($N$4:$N$3183,MATCH(SMALL($V$4:$V$3183,84),$V$4:$V$3183,0)),"")</f>
        <v/>
      </c>
      <c r="B87">
        <f>IFERROR(INDEX($O$4:$O$3183,MATCH(SMALL($V$4:$V$3183,84),$V$4:$V$3183,0)),"")</f>
        <v/>
      </c>
      <c r="C87">
        <f>IFERROR(INDEX($P$4:$P$3183,MATCH(SMALL($V$4:$V$3183,84),$V$4:$V$3183,0)),"")</f>
        <v/>
      </c>
      <c r="D87" s="29">
        <f>IFERROR(INDEX($Q$4:$Q$3183,MATCH(SMALL($V$4:$V$3183,84),$V$4:$V$3183,0)),"")</f>
        <v/>
      </c>
      <c r="E87" s="29">
        <f>IFERROR(INDEX($R$4:$R$3183,MATCH(SMALL($V$4:$V$3183,84),$V$4:$V$3183,0)),"")</f>
        <v/>
      </c>
      <c r="F87">
        <f>IFERROR(INDEX($S$4:$S$3183,MATCH(SMALL($V$4:$V$3183,84),$V$4:$V$3183,0)),"")</f>
        <v/>
      </c>
      <c r="I87" s="29">
        <f>IF($B87="","",IFERROR(INDEX($U$4:$U$3183,MATCH(SMALL($V$4:$V$3183,84),$V$4:$V$3183,0)),""))</f>
        <v/>
      </c>
      <c r="J87">
        <f>IF($B87="","",IF($D87&gt;$F$2,"À venir",IF($E87&lt;$D$2,"Passé","Dans la période")))</f>
        <v/>
      </c>
      <c r="K87">
        <f>IF(OR($B87="",NOT(ISNUMBER($D87))),"",IF(AND($E87&lt;$D$2,$G87&lt;&gt;"X",$F87&lt;&gt;"Réalisé",$F87&lt;&gt;"Clôturé"),"RETARD",""))</f>
        <v/>
      </c>
      <c r="L87">
        <f>IF(OR($B87="",NOT(ISNUMBER($D87))),"",IF(AND($D87&gt;=$D$2,$D87&lt;=$H$2,$G87&lt;&gt;"X",$F87&lt;&gt;"Réalisé",$F87&lt;&gt;"Clôturé"),"≤ 7 j",""))</f>
        <v/>
      </c>
      <c r="M87" s="29">
        <f>IF($B87="","",IFERROR(INDEX($T$4:$T$3183,MATCH(SMALL($V$4:$V$3183,84),$V$4:$V$3183,0)),""))</f>
        <v/>
      </c>
      <c r="O87">
        <f>IF(INDEX(Suivi!$B:$B,89)="","",INDEX(Suivi!$B:$B,89))</f>
        <v/>
      </c>
      <c r="P87">
        <f>IF($O87="","",IF(INDEX(Suivi!$D:$D,89)="",INDEX(Suivi!$C:$C,89),INDEX(Suivi!$D:$D,89)))</f>
        <v/>
      </c>
      <c r="Q87">
        <f>IF($O87="","",INDEX(Suivi!$E:$E,89))</f>
        <v/>
      </c>
      <c r="R87">
        <f>IF($O87="","",INDEX(Suivi!$F:$F,89))</f>
        <v/>
      </c>
      <c r="S87">
        <f>IF($O87="","",INDEX(Suivi!$G:$G,89))</f>
        <v/>
      </c>
      <c r="T87">
        <f>IF($O87="","",IF(INDEX(Dossiers!$F$4:$F$63,2)="","",INDEX(Dossiers!$F$4:$F$63,2)))</f>
        <v/>
      </c>
      <c r="U87">
        <f>IF($O87="","",IF(INDEX(Dossiers!$G$4:$G$63,2)="","",INDEX(Dossiers!$G$4:$G$63,2)))</f>
        <v/>
      </c>
      <c r="V87">
        <f>IF(OR($O87="",NOT(ISNUMBER($Q87))),"",$Q87*1000000+87)</f>
        <v/>
      </c>
      <c r="W87" s="29">
        <f>IF($B87="","",IFERROR(INDEX($U$4:$U$3183,MATCH(SMALL($V$4:$V$3183,84),$V$4:$V$3183,0)),""))</f>
        <v/>
      </c>
    </row>
    <row r="88">
      <c r="A88">
        <f>IFERROR(INDEX($N$4:$N$3183,MATCH(SMALL($V$4:$V$3183,85),$V$4:$V$3183,0)),"")</f>
        <v/>
      </c>
      <c r="B88">
        <f>IFERROR(INDEX($O$4:$O$3183,MATCH(SMALL($V$4:$V$3183,85),$V$4:$V$3183,0)),"")</f>
        <v/>
      </c>
      <c r="C88">
        <f>IFERROR(INDEX($P$4:$P$3183,MATCH(SMALL($V$4:$V$3183,85),$V$4:$V$3183,0)),"")</f>
        <v/>
      </c>
      <c r="D88" s="29">
        <f>IFERROR(INDEX($Q$4:$Q$3183,MATCH(SMALL($V$4:$V$3183,85),$V$4:$V$3183,0)),"")</f>
        <v/>
      </c>
      <c r="E88" s="29">
        <f>IFERROR(INDEX($R$4:$R$3183,MATCH(SMALL($V$4:$V$3183,85),$V$4:$V$3183,0)),"")</f>
        <v/>
      </c>
      <c r="F88">
        <f>IFERROR(INDEX($S$4:$S$3183,MATCH(SMALL($V$4:$V$3183,85),$V$4:$V$3183,0)),"")</f>
        <v/>
      </c>
      <c r="I88" s="29">
        <f>IF($B88="","",IFERROR(INDEX($U$4:$U$3183,MATCH(SMALL($V$4:$V$3183,85),$V$4:$V$3183,0)),""))</f>
        <v/>
      </c>
      <c r="J88">
        <f>IF($B88="","",IF($D88&gt;$F$2,"À venir",IF($E88&lt;$D$2,"Passé","Dans la période")))</f>
        <v/>
      </c>
      <c r="K88">
        <f>IF(OR($B88="",NOT(ISNUMBER($D88))),"",IF(AND($E88&lt;$D$2,$G88&lt;&gt;"X",$F88&lt;&gt;"Réalisé",$F88&lt;&gt;"Clôturé"),"RETARD",""))</f>
        <v/>
      </c>
      <c r="L88">
        <f>IF(OR($B88="",NOT(ISNUMBER($D88))),"",IF(AND($D88&gt;=$D$2,$D88&lt;=$H$2,$G88&lt;&gt;"X",$F88&lt;&gt;"Réalisé",$F88&lt;&gt;"Clôturé"),"≤ 7 j",""))</f>
        <v/>
      </c>
      <c r="M88" s="29">
        <f>IF($B88="","",IFERROR(INDEX($T$4:$T$3183,MATCH(SMALL($V$4:$V$3183,85),$V$4:$V$3183,0)),""))</f>
        <v/>
      </c>
      <c r="O88">
        <f>IF(INDEX(Suivi!$B:$B,90)="","",INDEX(Suivi!$B:$B,90))</f>
        <v/>
      </c>
      <c r="P88">
        <f>IF($O88="","",IF(INDEX(Suivi!$D:$D,90)="",INDEX(Suivi!$C:$C,90),INDEX(Suivi!$D:$D,90)))</f>
        <v/>
      </c>
      <c r="Q88">
        <f>IF($O88="","",INDEX(Suivi!$E:$E,90))</f>
        <v/>
      </c>
      <c r="R88">
        <f>IF($O88="","",INDEX(Suivi!$F:$F,90))</f>
        <v/>
      </c>
      <c r="S88">
        <f>IF($O88="","",INDEX(Suivi!$G:$G,90))</f>
        <v/>
      </c>
      <c r="T88">
        <f>IF($O88="","",IF(INDEX(Dossiers!$F$4:$F$63,2)="","",INDEX(Dossiers!$F$4:$F$63,2)))</f>
        <v/>
      </c>
      <c r="U88">
        <f>IF($O88="","",IF(INDEX(Dossiers!$G$4:$G$63,2)="","",INDEX(Dossiers!$G$4:$G$63,2)))</f>
        <v/>
      </c>
      <c r="V88">
        <f>IF(OR($O88="",NOT(ISNUMBER($Q88))),"",$Q88*1000000+88)</f>
        <v/>
      </c>
      <c r="W88" s="29">
        <f>IF($B88="","",IFERROR(INDEX($U$4:$U$3183,MATCH(SMALL($V$4:$V$3183,85),$V$4:$V$3183,0)),""))</f>
        <v/>
      </c>
    </row>
    <row r="89">
      <c r="A89">
        <f>IFERROR(INDEX($N$4:$N$3183,MATCH(SMALL($V$4:$V$3183,86),$V$4:$V$3183,0)),"")</f>
        <v/>
      </c>
      <c r="B89">
        <f>IFERROR(INDEX($O$4:$O$3183,MATCH(SMALL($V$4:$V$3183,86),$V$4:$V$3183,0)),"")</f>
        <v/>
      </c>
      <c r="C89">
        <f>IFERROR(INDEX($P$4:$P$3183,MATCH(SMALL($V$4:$V$3183,86),$V$4:$V$3183,0)),"")</f>
        <v/>
      </c>
      <c r="D89" s="29">
        <f>IFERROR(INDEX($Q$4:$Q$3183,MATCH(SMALL($V$4:$V$3183,86),$V$4:$V$3183,0)),"")</f>
        <v/>
      </c>
      <c r="E89" s="29">
        <f>IFERROR(INDEX($R$4:$R$3183,MATCH(SMALL($V$4:$V$3183,86),$V$4:$V$3183,0)),"")</f>
        <v/>
      </c>
      <c r="F89">
        <f>IFERROR(INDEX($S$4:$S$3183,MATCH(SMALL($V$4:$V$3183,86),$V$4:$V$3183,0)),"")</f>
        <v/>
      </c>
      <c r="I89" s="29">
        <f>IF($B89="","",IFERROR(INDEX($U$4:$U$3183,MATCH(SMALL($V$4:$V$3183,86),$V$4:$V$3183,0)),""))</f>
        <v/>
      </c>
      <c r="J89">
        <f>IF($B89="","",IF($D89&gt;$F$2,"À venir",IF($E89&lt;$D$2,"Passé","Dans la période")))</f>
        <v/>
      </c>
      <c r="K89">
        <f>IF(OR($B89="",NOT(ISNUMBER($D89))),"",IF(AND($E89&lt;$D$2,$G89&lt;&gt;"X",$F89&lt;&gt;"Réalisé",$F89&lt;&gt;"Clôturé"),"RETARD",""))</f>
        <v/>
      </c>
      <c r="L89">
        <f>IF(OR($B89="",NOT(ISNUMBER($D89))),"",IF(AND($D89&gt;=$D$2,$D89&lt;=$H$2,$G89&lt;&gt;"X",$F89&lt;&gt;"Réalisé",$F89&lt;&gt;"Clôturé"),"≤ 7 j",""))</f>
        <v/>
      </c>
      <c r="M89" s="29">
        <f>IF($B89="","",IFERROR(INDEX($T$4:$T$3183,MATCH(SMALL($V$4:$V$3183,86),$V$4:$V$3183,0)),""))</f>
        <v/>
      </c>
      <c r="O89">
        <f>IF(INDEX(Suivi!$B:$B,91)="","",INDEX(Suivi!$B:$B,91))</f>
        <v/>
      </c>
      <c r="P89">
        <f>IF($O89="","",IF(INDEX(Suivi!$D:$D,91)="",INDEX(Suivi!$C:$C,91),INDEX(Suivi!$D:$D,91)))</f>
        <v/>
      </c>
      <c r="Q89">
        <f>IF($O89="","",INDEX(Suivi!$E:$E,91))</f>
        <v/>
      </c>
      <c r="R89">
        <f>IF($O89="","",INDEX(Suivi!$F:$F,91))</f>
        <v/>
      </c>
      <c r="S89">
        <f>IF($O89="","",INDEX(Suivi!$G:$G,91))</f>
        <v/>
      </c>
      <c r="T89">
        <f>IF($O89="","",IF(INDEX(Dossiers!$F$4:$F$63,2)="","",INDEX(Dossiers!$F$4:$F$63,2)))</f>
        <v/>
      </c>
      <c r="U89">
        <f>IF($O89="","",IF(INDEX(Dossiers!$G$4:$G$63,2)="","",INDEX(Dossiers!$G$4:$G$63,2)))</f>
        <v/>
      </c>
      <c r="V89">
        <f>IF(OR($O89="",NOT(ISNUMBER($Q89))),"",$Q89*1000000+89)</f>
        <v/>
      </c>
      <c r="W89" s="29">
        <f>IF($B89="","",IFERROR(INDEX($U$4:$U$3183,MATCH(SMALL($V$4:$V$3183,86),$V$4:$V$3183,0)),""))</f>
        <v/>
      </c>
    </row>
    <row r="90">
      <c r="A90">
        <f>IFERROR(INDEX($N$4:$N$3183,MATCH(SMALL($V$4:$V$3183,87),$V$4:$V$3183,0)),"")</f>
        <v/>
      </c>
      <c r="B90">
        <f>IFERROR(INDEX($O$4:$O$3183,MATCH(SMALL($V$4:$V$3183,87),$V$4:$V$3183,0)),"")</f>
        <v/>
      </c>
      <c r="C90">
        <f>IFERROR(INDEX($P$4:$P$3183,MATCH(SMALL($V$4:$V$3183,87),$V$4:$V$3183,0)),"")</f>
        <v/>
      </c>
      <c r="D90" s="29">
        <f>IFERROR(INDEX($Q$4:$Q$3183,MATCH(SMALL($V$4:$V$3183,87),$V$4:$V$3183,0)),"")</f>
        <v/>
      </c>
      <c r="E90" s="29">
        <f>IFERROR(INDEX($R$4:$R$3183,MATCH(SMALL($V$4:$V$3183,87),$V$4:$V$3183,0)),"")</f>
        <v/>
      </c>
      <c r="F90">
        <f>IFERROR(INDEX($S$4:$S$3183,MATCH(SMALL($V$4:$V$3183,87),$V$4:$V$3183,0)),"")</f>
        <v/>
      </c>
      <c r="I90" s="29">
        <f>IF($B90="","",IFERROR(INDEX($U$4:$U$3183,MATCH(SMALL($V$4:$V$3183,87),$V$4:$V$3183,0)),""))</f>
        <v/>
      </c>
      <c r="J90">
        <f>IF($B90="","",IF($D90&gt;$F$2,"À venir",IF($E90&lt;$D$2,"Passé","Dans la période")))</f>
        <v/>
      </c>
      <c r="K90">
        <f>IF(OR($B90="",NOT(ISNUMBER($D90))),"",IF(AND($E90&lt;$D$2,$G90&lt;&gt;"X",$F90&lt;&gt;"Réalisé",$F90&lt;&gt;"Clôturé"),"RETARD",""))</f>
        <v/>
      </c>
      <c r="L90">
        <f>IF(OR($B90="",NOT(ISNUMBER($D90))),"",IF(AND($D90&gt;=$D$2,$D90&lt;=$H$2,$G90&lt;&gt;"X",$F90&lt;&gt;"Réalisé",$F90&lt;&gt;"Clôturé"),"≤ 7 j",""))</f>
        <v/>
      </c>
      <c r="M90" s="29">
        <f>IF($B90="","",IFERROR(INDEX($T$4:$T$3183,MATCH(SMALL($V$4:$V$3183,87),$V$4:$V$3183,0)),""))</f>
        <v/>
      </c>
      <c r="O90">
        <f>IF(INDEX(Suivi!$B:$B,92)="","",INDEX(Suivi!$B:$B,92))</f>
        <v/>
      </c>
      <c r="P90">
        <f>IF($O90="","",IF(INDEX(Suivi!$D:$D,92)="",INDEX(Suivi!$C:$C,92),INDEX(Suivi!$D:$D,92)))</f>
        <v/>
      </c>
      <c r="Q90">
        <f>IF($O90="","",INDEX(Suivi!$E:$E,92))</f>
        <v/>
      </c>
      <c r="R90">
        <f>IF($O90="","",INDEX(Suivi!$F:$F,92))</f>
        <v/>
      </c>
      <c r="S90">
        <f>IF($O90="","",INDEX(Suivi!$G:$G,92))</f>
        <v/>
      </c>
      <c r="T90">
        <f>IF($O90="","",IF(INDEX(Dossiers!$F$4:$F$63,2)="","",INDEX(Dossiers!$F$4:$F$63,2)))</f>
        <v/>
      </c>
      <c r="U90">
        <f>IF($O90="","",IF(INDEX(Dossiers!$G$4:$G$63,2)="","",INDEX(Dossiers!$G$4:$G$63,2)))</f>
        <v/>
      </c>
      <c r="V90">
        <f>IF(OR($O90="",NOT(ISNUMBER($Q90))),"",$Q90*1000000+90)</f>
        <v/>
      </c>
      <c r="W90" s="29">
        <f>IF($B90="","",IFERROR(INDEX($U$4:$U$3183,MATCH(SMALL($V$4:$V$3183,87),$V$4:$V$3183,0)),""))</f>
        <v/>
      </c>
    </row>
    <row r="91">
      <c r="A91">
        <f>IFERROR(INDEX($N$4:$N$3183,MATCH(SMALL($V$4:$V$3183,88),$V$4:$V$3183,0)),"")</f>
        <v/>
      </c>
      <c r="B91">
        <f>IFERROR(INDEX($O$4:$O$3183,MATCH(SMALL($V$4:$V$3183,88),$V$4:$V$3183,0)),"")</f>
        <v/>
      </c>
      <c r="C91">
        <f>IFERROR(INDEX($P$4:$P$3183,MATCH(SMALL($V$4:$V$3183,88),$V$4:$V$3183,0)),"")</f>
        <v/>
      </c>
      <c r="D91" s="29">
        <f>IFERROR(INDEX($Q$4:$Q$3183,MATCH(SMALL($V$4:$V$3183,88),$V$4:$V$3183,0)),"")</f>
        <v/>
      </c>
      <c r="E91" s="29">
        <f>IFERROR(INDEX($R$4:$R$3183,MATCH(SMALL($V$4:$V$3183,88),$V$4:$V$3183,0)),"")</f>
        <v/>
      </c>
      <c r="F91">
        <f>IFERROR(INDEX($S$4:$S$3183,MATCH(SMALL($V$4:$V$3183,88),$V$4:$V$3183,0)),"")</f>
        <v/>
      </c>
      <c r="I91" s="29">
        <f>IF($B91="","",IFERROR(INDEX($U$4:$U$3183,MATCH(SMALL($V$4:$V$3183,88),$V$4:$V$3183,0)),""))</f>
        <v/>
      </c>
      <c r="J91">
        <f>IF($B91="","",IF($D91&gt;$F$2,"À venir",IF($E91&lt;$D$2,"Passé","Dans la période")))</f>
        <v/>
      </c>
      <c r="K91">
        <f>IF(OR($B91="",NOT(ISNUMBER($D91))),"",IF(AND($E91&lt;$D$2,$G91&lt;&gt;"X",$F91&lt;&gt;"Réalisé",$F91&lt;&gt;"Clôturé"),"RETARD",""))</f>
        <v/>
      </c>
      <c r="L91">
        <f>IF(OR($B91="",NOT(ISNUMBER($D91))),"",IF(AND($D91&gt;=$D$2,$D91&lt;=$H$2,$G91&lt;&gt;"X",$F91&lt;&gt;"Réalisé",$F91&lt;&gt;"Clôturé"),"≤ 7 j",""))</f>
        <v/>
      </c>
      <c r="M91" s="29">
        <f>IF($B91="","",IFERROR(INDEX($T$4:$T$3183,MATCH(SMALL($V$4:$V$3183,88),$V$4:$V$3183,0)),""))</f>
        <v/>
      </c>
      <c r="O91">
        <f>IF(INDEX(Suivi!$B:$B,93)="","",INDEX(Suivi!$B:$B,93))</f>
        <v/>
      </c>
      <c r="P91">
        <f>IF($O91="","",IF(INDEX(Suivi!$D:$D,93)="",INDEX(Suivi!$C:$C,93),INDEX(Suivi!$D:$D,93)))</f>
        <v/>
      </c>
      <c r="Q91">
        <f>IF($O91="","",INDEX(Suivi!$E:$E,93))</f>
        <v/>
      </c>
      <c r="R91">
        <f>IF($O91="","",INDEX(Suivi!$F:$F,93))</f>
        <v/>
      </c>
      <c r="S91">
        <f>IF($O91="","",INDEX(Suivi!$G:$G,93))</f>
        <v/>
      </c>
      <c r="T91">
        <f>IF($O91="","",IF(INDEX(Dossiers!$F$4:$F$63,2)="","",INDEX(Dossiers!$F$4:$F$63,2)))</f>
        <v/>
      </c>
      <c r="U91">
        <f>IF($O91="","",IF(INDEX(Dossiers!$G$4:$G$63,2)="","",INDEX(Dossiers!$G$4:$G$63,2)))</f>
        <v/>
      </c>
      <c r="V91">
        <f>IF(OR($O91="",NOT(ISNUMBER($Q91))),"",$Q91*1000000+91)</f>
        <v/>
      </c>
      <c r="W91" s="29">
        <f>IF($B91="","",IFERROR(INDEX($U$4:$U$3183,MATCH(SMALL($V$4:$V$3183,88),$V$4:$V$3183,0)),""))</f>
        <v/>
      </c>
    </row>
    <row r="92">
      <c r="A92">
        <f>IFERROR(INDEX($N$4:$N$3183,MATCH(SMALL($V$4:$V$3183,89),$V$4:$V$3183,0)),"")</f>
        <v/>
      </c>
      <c r="B92">
        <f>IFERROR(INDEX($O$4:$O$3183,MATCH(SMALL($V$4:$V$3183,89),$V$4:$V$3183,0)),"")</f>
        <v/>
      </c>
      <c r="C92">
        <f>IFERROR(INDEX($P$4:$P$3183,MATCH(SMALL($V$4:$V$3183,89),$V$4:$V$3183,0)),"")</f>
        <v/>
      </c>
      <c r="D92" s="29">
        <f>IFERROR(INDEX($Q$4:$Q$3183,MATCH(SMALL($V$4:$V$3183,89),$V$4:$V$3183,0)),"")</f>
        <v/>
      </c>
      <c r="E92" s="29">
        <f>IFERROR(INDEX($R$4:$R$3183,MATCH(SMALL($V$4:$V$3183,89),$V$4:$V$3183,0)),"")</f>
        <v/>
      </c>
      <c r="F92">
        <f>IFERROR(INDEX($S$4:$S$3183,MATCH(SMALL($V$4:$V$3183,89),$V$4:$V$3183,0)),"")</f>
        <v/>
      </c>
      <c r="I92" s="29">
        <f>IF($B92="","",IFERROR(INDEX($U$4:$U$3183,MATCH(SMALL($V$4:$V$3183,89),$V$4:$V$3183,0)),""))</f>
        <v/>
      </c>
      <c r="J92">
        <f>IF($B92="","",IF($D92&gt;$F$2,"À venir",IF($E92&lt;$D$2,"Passé","Dans la période")))</f>
        <v/>
      </c>
      <c r="K92">
        <f>IF(OR($B92="",NOT(ISNUMBER($D92))),"",IF(AND($E92&lt;$D$2,$G92&lt;&gt;"X",$F92&lt;&gt;"Réalisé",$F92&lt;&gt;"Clôturé"),"RETARD",""))</f>
        <v/>
      </c>
      <c r="L92">
        <f>IF(OR($B92="",NOT(ISNUMBER($D92))),"",IF(AND($D92&gt;=$D$2,$D92&lt;=$H$2,$G92&lt;&gt;"X",$F92&lt;&gt;"Réalisé",$F92&lt;&gt;"Clôturé"),"≤ 7 j",""))</f>
        <v/>
      </c>
      <c r="M92" s="29">
        <f>IF($B92="","",IFERROR(INDEX($T$4:$T$3183,MATCH(SMALL($V$4:$V$3183,89),$V$4:$V$3183,0)),""))</f>
        <v/>
      </c>
      <c r="O92">
        <f>IF(INDEX(Suivi!$B:$B,94)="","",INDEX(Suivi!$B:$B,94))</f>
        <v/>
      </c>
      <c r="P92">
        <f>IF($O92="","",IF(INDEX(Suivi!$D:$D,94)="",INDEX(Suivi!$C:$C,94),INDEX(Suivi!$D:$D,94)))</f>
        <v/>
      </c>
      <c r="Q92">
        <f>IF($O92="","",INDEX(Suivi!$E:$E,94))</f>
        <v/>
      </c>
      <c r="R92">
        <f>IF($O92="","",INDEX(Suivi!$F:$F,94))</f>
        <v/>
      </c>
      <c r="S92">
        <f>IF($O92="","",INDEX(Suivi!$G:$G,94))</f>
        <v/>
      </c>
      <c r="T92">
        <f>IF($O92="","",IF(INDEX(Dossiers!$F$4:$F$63,2)="","",INDEX(Dossiers!$F$4:$F$63,2)))</f>
        <v/>
      </c>
      <c r="U92">
        <f>IF($O92="","",IF(INDEX(Dossiers!$G$4:$G$63,2)="","",INDEX(Dossiers!$G$4:$G$63,2)))</f>
        <v/>
      </c>
      <c r="V92">
        <f>IF(OR($O92="",NOT(ISNUMBER($Q92))),"",$Q92*1000000+92)</f>
        <v/>
      </c>
      <c r="W92" s="29">
        <f>IF($B92="","",IFERROR(INDEX($U$4:$U$3183,MATCH(SMALL($V$4:$V$3183,89),$V$4:$V$3183,0)),""))</f>
        <v/>
      </c>
    </row>
    <row r="93">
      <c r="A93">
        <f>IFERROR(INDEX($N$4:$N$3183,MATCH(SMALL($V$4:$V$3183,90),$V$4:$V$3183,0)),"")</f>
        <v/>
      </c>
      <c r="B93">
        <f>IFERROR(INDEX($O$4:$O$3183,MATCH(SMALL($V$4:$V$3183,90),$V$4:$V$3183,0)),"")</f>
        <v/>
      </c>
      <c r="C93">
        <f>IFERROR(INDEX($P$4:$P$3183,MATCH(SMALL($V$4:$V$3183,90),$V$4:$V$3183,0)),"")</f>
        <v/>
      </c>
      <c r="D93" s="29">
        <f>IFERROR(INDEX($Q$4:$Q$3183,MATCH(SMALL($V$4:$V$3183,90),$V$4:$V$3183,0)),"")</f>
        <v/>
      </c>
      <c r="E93" s="29">
        <f>IFERROR(INDEX($R$4:$R$3183,MATCH(SMALL($V$4:$V$3183,90),$V$4:$V$3183,0)),"")</f>
        <v/>
      </c>
      <c r="F93">
        <f>IFERROR(INDEX($S$4:$S$3183,MATCH(SMALL($V$4:$V$3183,90),$V$4:$V$3183,0)),"")</f>
        <v/>
      </c>
      <c r="I93" s="29">
        <f>IF($B93="","",IFERROR(INDEX($U$4:$U$3183,MATCH(SMALL($V$4:$V$3183,90),$V$4:$V$3183,0)),""))</f>
        <v/>
      </c>
      <c r="J93">
        <f>IF($B93="","",IF($D93&gt;$F$2,"À venir",IF($E93&lt;$D$2,"Passé","Dans la période")))</f>
        <v/>
      </c>
      <c r="K93">
        <f>IF(OR($B93="",NOT(ISNUMBER($D93))),"",IF(AND($E93&lt;$D$2,$G93&lt;&gt;"X",$F93&lt;&gt;"Réalisé",$F93&lt;&gt;"Clôturé"),"RETARD",""))</f>
        <v/>
      </c>
      <c r="L93">
        <f>IF(OR($B93="",NOT(ISNUMBER($D93))),"",IF(AND($D93&gt;=$D$2,$D93&lt;=$H$2,$G93&lt;&gt;"X",$F93&lt;&gt;"Réalisé",$F93&lt;&gt;"Clôturé"),"≤ 7 j",""))</f>
        <v/>
      </c>
      <c r="M93" s="29">
        <f>IF($B93="","",IFERROR(INDEX($T$4:$T$3183,MATCH(SMALL($V$4:$V$3183,90),$V$4:$V$3183,0)),""))</f>
        <v/>
      </c>
      <c r="O93">
        <f>IF(INDEX(Suivi!$B:$B,95)="","",INDEX(Suivi!$B:$B,95))</f>
        <v/>
      </c>
      <c r="P93">
        <f>IF($O93="","",IF(INDEX(Suivi!$D:$D,95)="",INDEX(Suivi!$C:$C,95),INDEX(Suivi!$D:$D,95)))</f>
        <v/>
      </c>
      <c r="Q93">
        <f>IF($O93="","",INDEX(Suivi!$E:$E,95))</f>
        <v/>
      </c>
      <c r="R93">
        <f>IF($O93="","",INDEX(Suivi!$F:$F,95))</f>
        <v/>
      </c>
      <c r="S93">
        <f>IF($O93="","",INDEX(Suivi!$G:$G,95))</f>
        <v/>
      </c>
      <c r="T93">
        <f>IF($O93="","",IF(INDEX(Dossiers!$F$4:$F$63,2)="","",INDEX(Dossiers!$F$4:$F$63,2)))</f>
        <v/>
      </c>
      <c r="U93">
        <f>IF($O93="","",IF(INDEX(Dossiers!$G$4:$G$63,2)="","",INDEX(Dossiers!$G$4:$G$63,2)))</f>
        <v/>
      </c>
      <c r="V93">
        <f>IF(OR($O93="",NOT(ISNUMBER($Q93))),"",$Q93*1000000+93)</f>
        <v/>
      </c>
      <c r="W93" s="29">
        <f>IF($B93="","",IFERROR(INDEX($U$4:$U$3183,MATCH(SMALL($V$4:$V$3183,90),$V$4:$V$3183,0)),""))</f>
        <v/>
      </c>
    </row>
    <row r="94">
      <c r="A94">
        <f>IFERROR(INDEX($N$4:$N$3183,MATCH(SMALL($V$4:$V$3183,91),$V$4:$V$3183,0)),"")</f>
        <v/>
      </c>
      <c r="B94">
        <f>IFERROR(INDEX($O$4:$O$3183,MATCH(SMALL($V$4:$V$3183,91),$V$4:$V$3183,0)),"")</f>
        <v/>
      </c>
      <c r="C94">
        <f>IFERROR(INDEX($P$4:$P$3183,MATCH(SMALL($V$4:$V$3183,91),$V$4:$V$3183,0)),"")</f>
        <v/>
      </c>
      <c r="D94" s="29">
        <f>IFERROR(INDEX($Q$4:$Q$3183,MATCH(SMALL($V$4:$V$3183,91),$V$4:$V$3183,0)),"")</f>
        <v/>
      </c>
      <c r="E94" s="29">
        <f>IFERROR(INDEX($R$4:$R$3183,MATCH(SMALL($V$4:$V$3183,91),$V$4:$V$3183,0)),"")</f>
        <v/>
      </c>
      <c r="F94">
        <f>IFERROR(INDEX($S$4:$S$3183,MATCH(SMALL($V$4:$V$3183,91),$V$4:$V$3183,0)),"")</f>
        <v/>
      </c>
      <c r="I94" s="29">
        <f>IF($B94="","",IFERROR(INDEX($U$4:$U$3183,MATCH(SMALL($V$4:$V$3183,91),$V$4:$V$3183,0)),""))</f>
        <v/>
      </c>
      <c r="J94">
        <f>IF($B94="","",IF($D94&gt;$F$2,"À venir",IF($E94&lt;$D$2,"Passé","Dans la période")))</f>
        <v/>
      </c>
      <c r="K94">
        <f>IF(OR($B94="",NOT(ISNUMBER($D94))),"",IF(AND($E94&lt;$D$2,$G94&lt;&gt;"X",$F94&lt;&gt;"Réalisé",$F94&lt;&gt;"Clôturé"),"RETARD",""))</f>
        <v/>
      </c>
      <c r="L94">
        <f>IF(OR($B94="",NOT(ISNUMBER($D94))),"",IF(AND($D94&gt;=$D$2,$D94&lt;=$H$2,$G94&lt;&gt;"X",$F94&lt;&gt;"Réalisé",$F94&lt;&gt;"Clôturé"),"≤ 7 j",""))</f>
        <v/>
      </c>
      <c r="M94" s="29">
        <f>IF($B94="","",IFERROR(INDEX($T$4:$T$3183,MATCH(SMALL($V$4:$V$3183,91),$V$4:$V$3183,0)),""))</f>
        <v/>
      </c>
      <c r="O94">
        <f>IF(INDEX(Suivi!$B:$B,96)="","",INDEX(Suivi!$B:$B,96))</f>
        <v/>
      </c>
      <c r="P94">
        <f>IF($O94="","",IF(INDEX(Suivi!$D:$D,96)="",INDEX(Suivi!$C:$C,96),INDEX(Suivi!$D:$D,96)))</f>
        <v/>
      </c>
      <c r="Q94">
        <f>IF($O94="","",INDEX(Suivi!$E:$E,96))</f>
        <v/>
      </c>
      <c r="R94">
        <f>IF($O94="","",INDEX(Suivi!$F:$F,96))</f>
        <v/>
      </c>
      <c r="S94">
        <f>IF($O94="","",INDEX(Suivi!$G:$G,96))</f>
        <v/>
      </c>
      <c r="T94">
        <f>IF($O94="","",IF(INDEX(Dossiers!$F$4:$F$63,2)="","",INDEX(Dossiers!$F$4:$F$63,2)))</f>
        <v/>
      </c>
      <c r="U94">
        <f>IF($O94="","",IF(INDEX(Dossiers!$G$4:$G$63,2)="","",INDEX(Dossiers!$G$4:$G$63,2)))</f>
        <v/>
      </c>
      <c r="V94">
        <f>IF(OR($O94="",NOT(ISNUMBER($Q94))),"",$Q94*1000000+94)</f>
        <v/>
      </c>
      <c r="W94" s="29">
        <f>IF($B94="","",IFERROR(INDEX($U$4:$U$3183,MATCH(SMALL($V$4:$V$3183,91),$V$4:$V$3183,0)),""))</f>
        <v/>
      </c>
    </row>
    <row r="95">
      <c r="A95">
        <f>IFERROR(INDEX($N$4:$N$3183,MATCH(SMALL($V$4:$V$3183,92),$V$4:$V$3183,0)),"")</f>
        <v/>
      </c>
      <c r="B95">
        <f>IFERROR(INDEX($O$4:$O$3183,MATCH(SMALL($V$4:$V$3183,92),$V$4:$V$3183,0)),"")</f>
        <v/>
      </c>
      <c r="C95">
        <f>IFERROR(INDEX($P$4:$P$3183,MATCH(SMALL($V$4:$V$3183,92),$V$4:$V$3183,0)),"")</f>
        <v/>
      </c>
      <c r="D95" s="29">
        <f>IFERROR(INDEX($Q$4:$Q$3183,MATCH(SMALL($V$4:$V$3183,92),$V$4:$V$3183,0)),"")</f>
        <v/>
      </c>
      <c r="E95" s="29">
        <f>IFERROR(INDEX($R$4:$R$3183,MATCH(SMALL($V$4:$V$3183,92),$V$4:$V$3183,0)),"")</f>
        <v/>
      </c>
      <c r="F95">
        <f>IFERROR(INDEX($S$4:$S$3183,MATCH(SMALL($V$4:$V$3183,92),$V$4:$V$3183,0)),"")</f>
        <v/>
      </c>
      <c r="I95" s="29">
        <f>IF($B95="","",IFERROR(INDEX($U$4:$U$3183,MATCH(SMALL($V$4:$V$3183,92),$V$4:$V$3183,0)),""))</f>
        <v/>
      </c>
      <c r="J95">
        <f>IF($B95="","",IF($D95&gt;$F$2,"À venir",IF($E95&lt;$D$2,"Passé","Dans la période")))</f>
        <v/>
      </c>
      <c r="K95">
        <f>IF(OR($B95="",NOT(ISNUMBER($D95))),"",IF(AND($E95&lt;$D$2,$G95&lt;&gt;"X",$F95&lt;&gt;"Réalisé",$F95&lt;&gt;"Clôturé"),"RETARD",""))</f>
        <v/>
      </c>
      <c r="L95">
        <f>IF(OR($B95="",NOT(ISNUMBER($D95))),"",IF(AND($D95&gt;=$D$2,$D95&lt;=$H$2,$G95&lt;&gt;"X",$F95&lt;&gt;"Réalisé",$F95&lt;&gt;"Clôturé"),"≤ 7 j",""))</f>
        <v/>
      </c>
      <c r="M95" s="29">
        <f>IF($B95="","",IFERROR(INDEX($T$4:$T$3183,MATCH(SMALL($V$4:$V$3183,92),$V$4:$V$3183,0)),""))</f>
        <v/>
      </c>
      <c r="O95">
        <f>IF(INDEX(Suivi!$B:$B,97)="","",INDEX(Suivi!$B:$B,97))</f>
        <v/>
      </c>
      <c r="P95">
        <f>IF($O95="","",IF(INDEX(Suivi!$D:$D,97)="",INDEX(Suivi!$C:$C,97),INDEX(Suivi!$D:$D,97)))</f>
        <v/>
      </c>
      <c r="Q95">
        <f>IF($O95="","",INDEX(Suivi!$E:$E,97))</f>
        <v/>
      </c>
      <c r="R95">
        <f>IF($O95="","",INDEX(Suivi!$F:$F,97))</f>
        <v/>
      </c>
      <c r="S95">
        <f>IF($O95="","",INDEX(Suivi!$G:$G,97))</f>
        <v/>
      </c>
      <c r="T95">
        <f>IF($O95="","",IF(INDEX(Dossiers!$F$4:$F$63,2)="","",INDEX(Dossiers!$F$4:$F$63,2)))</f>
        <v/>
      </c>
      <c r="U95">
        <f>IF($O95="","",IF(INDEX(Dossiers!$G$4:$G$63,2)="","",INDEX(Dossiers!$G$4:$G$63,2)))</f>
        <v/>
      </c>
      <c r="V95">
        <f>IF(OR($O95="",NOT(ISNUMBER($Q95))),"",$Q95*1000000+95)</f>
        <v/>
      </c>
      <c r="W95" s="29">
        <f>IF($B95="","",IFERROR(INDEX($U$4:$U$3183,MATCH(SMALL($V$4:$V$3183,92),$V$4:$V$3183,0)),""))</f>
        <v/>
      </c>
    </row>
    <row r="96">
      <c r="A96">
        <f>IFERROR(INDEX($N$4:$N$3183,MATCH(SMALL($V$4:$V$3183,93),$V$4:$V$3183,0)),"")</f>
        <v/>
      </c>
      <c r="B96">
        <f>IFERROR(INDEX($O$4:$O$3183,MATCH(SMALL($V$4:$V$3183,93),$V$4:$V$3183,0)),"")</f>
        <v/>
      </c>
      <c r="C96">
        <f>IFERROR(INDEX($P$4:$P$3183,MATCH(SMALL($V$4:$V$3183,93),$V$4:$V$3183,0)),"")</f>
        <v/>
      </c>
      <c r="D96" s="29">
        <f>IFERROR(INDEX($Q$4:$Q$3183,MATCH(SMALL($V$4:$V$3183,93),$V$4:$V$3183,0)),"")</f>
        <v/>
      </c>
      <c r="E96" s="29">
        <f>IFERROR(INDEX($R$4:$R$3183,MATCH(SMALL($V$4:$V$3183,93),$V$4:$V$3183,0)),"")</f>
        <v/>
      </c>
      <c r="F96">
        <f>IFERROR(INDEX($S$4:$S$3183,MATCH(SMALL($V$4:$V$3183,93),$V$4:$V$3183,0)),"")</f>
        <v/>
      </c>
      <c r="I96" s="29">
        <f>IF($B96="","",IFERROR(INDEX($U$4:$U$3183,MATCH(SMALL($V$4:$V$3183,93),$V$4:$V$3183,0)),""))</f>
        <v/>
      </c>
      <c r="J96">
        <f>IF($B96="","",IF($D96&gt;$F$2,"À venir",IF($E96&lt;$D$2,"Passé","Dans la période")))</f>
        <v/>
      </c>
      <c r="K96">
        <f>IF(OR($B96="",NOT(ISNUMBER($D96))),"",IF(AND($E96&lt;$D$2,$G96&lt;&gt;"X",$F96&lt;&gt;"Réalisé",$F96&lt;&gt;"Clôturé"),"RETARD",""))</f>
        <v/>
      </c>
      <c r="L96">
        <f>IF(OR($B96="",NOT(ISNUMBER($D96))),"",IF(AND($D96&gt;=$D$2,$D96&lt;=$H$2,$G96&lt;&gt;"X",$F96&lt;&gt;"Réalisé",$F96&lt;&gt;"Clôturé"),"≤ 7 j",""))</f>
        <v/>
      </c>
      <c r="M96" s="29">
        <f>IF($B96="","",IFERROR(INDEX($T$4:$T$3183,MATCH(SMALL($V$4:$V$3183,93),$V$4:$V$3183,0)),""))</f>
        <v/>
      </c>
      <c r="O96">
        <f>IF(INDEX(Suivi!$B:$B,98)="","",INDEX(Suivi!$B:$B,98))</f>
        <v/>
      </c>
      <c r="P96">
        <f>IF($O96="","",IF(INDEX(Suivi!$D:$D,98)="",INDEX(Suivi!$C:$C,98),INDEX(Suivi!$D:$D,98)))</f>
        <v/>
      </c>
      <c r="Q96">
        <f>IF($O96="","",INDEX(Suivi!$E:$E,98))</f>
        <v/>
      </c>
      <c r="R96">
        <f>IF($O96="","",INDEX(Suivi!$F:$F,98))</f>
        <v/>
      </c>
      <c r="S96">
        <f>IF($O96="","",INDEX(Suivi!$G:$G,98))</f>
        <v/>
      </c>
      <c r="T96">
        <f>IF($O96="","",IF(INDEX(Dossiers!$F$4:$F$63,2)="","",INDEX(Dossiers!$F$4:$F$63,2)))</f>
        <v/>
      </c>
      <c r="U96">
        <f>IF($O96="","",IF(INDEX(Dossiers!$G$4:$G$63,2)="","",INDEX(Dossiers!$G$4:$G$63,2)))</f>
        <v/>
      </c>
      <c r="V96">
        <f>IF(OR($O96="",NOT(ISNUMBER($Q96))),"",$Q96*1000000+96)</f>
        <v/>
      </c>
      <c r="W96" s="29">
        <f>IF($B96="","",IFERROR(INDEX($U$4:$U$3183,MATCH(SMALL($V$4:$V$3183,93),$V$4:$V$3183,0)),""))</f>
        <v/>
      </c>
    </row>
    <row r="97">
      <c r="A97">
        <f>IFERROR(INDEX($N$4:$N$3183,MATCH(SMALL($V$4:$V$3183,94),$V$4:$V$3183,0)),"")</f>
        <v/>
      </c>
      <c r="B97">
        <f>IFERROR(INDEX($O$4:$O$3183,MATCH(SMALL($V$4:$V$3183,94),$V$4:$V$3183,0)),"")</f>
        <v/>
      </c>
      <c r="C97">
        <f>IFERROR(INDEX($P$4:$P$3183,MATCH(SMALL($V$4:$V$3183,94),$V$4:$V$3183,0)),"")</f>
        <v/>
      </c>
      <c r="D97" s="29">
        <f>IFERROR(INDEX($Q$4:$Q$3183,MATCH(SMALL($V$4:$V$3183,94),$V$4:$V$3183,0)),"")</f>
        <v/>
      </c>
      <c r="E97" s="29">
        <f>IFERROR(INDEX($R$4:$R$3183,MATCH(SMALL($V$4:$V$3183,94),$V$4:$V$3183,0)),"")</f>
        <v/>
      </c>
      <c r="F97">
        <f>IFERROR(INDEX($S$4:$S$3183,MATCH(SMALL($V$4:$V$3183,94),$V$4:$V$3183,0)),"")</f>
        <v/>
      </c>
      <c r="I97" s="29">
        <f>IF($B97="","",IFERROR(INDEX($U$4:$U$3183,MATCH(SMALL($V$4:$V$3183,94),$V$4:$V$3183,0)),""))</f>
        <v/>
      </c>
      <c r="J97">
        <f>IF($B97="","",IF($D97&gt;$F$2,"À venir",IF($E97&lt;$D$2,"Passé","Dans la période")))</f>
        <v/>
      </c>
      <c r="K97">
        <f>IF(OR($B97="",NOT(ISNUMBER($D97))),"",IF(AND($E97&lt;$D$2,$G97&lt;&gt;"X",$F97&lt;&gt;"Réalisé",$F97&lt;&gt;"Clôturé"),"RETARD",""))</f>
        <v/>
      </c>
      <c r="L97">
        <f>IF(OR($B97="",NOT(ISNUMBER($D97))),"",IF(AND($D97&gt;=$D$2,$D97&lt;=$H$2,$G97&lt;&gt;"X",$F97&lt;&gt;"Réalisé",$F97&lt;&gt;"Clôturé"),"≤ 7 j",""))</f>
        <v/>
      </c>
      <c r="M97" s="29">
        <f>IF($B97="","",IFERROR(INDEX($T$4:$T$3183,MATCH(SMALL($V$4:$V$3183,94),$V$4:$V$3183,0)),""))</f>
        <v/>
      </c>
      <c r="O97">
        <f>IF(INDEX(Suivi!$B:$B,99)="","",INDEX(Suivi!$B:$B,99))</f>
        <v/>
      </c>
      <c r="P97">
        <f>IF($O97="","",IF(INDEX(Suivi!$D:$D,99)="",INDEX(Suivi!$C:$C,99),INDEX(Suivi!$D:$D,99)))</f>
        <v/>
      </c>
      <c r="Q97">
        <f>IF($O97="","",INDEX(Suivi!$E:$E,99))</f>
        <v/>
      </c>
      <c r="R97">
        <f>IF($O97="","",INDEX(Suivi!$F:$F,99))</f>
        <v/>
      </c>
      <c r="S97">
        <f>IF($O97="","",INDEX(Suivi!$G:$G,99))</f>
        <v/>
      </c>
      <c r="T97">
        <f>IF($O97="","",IF(INDEX(Dossiers!$F$4:$F$63,2)="","",INDEX(Dossiers!$F$4:$F$63,2)))</f>
        <v/>
      </c>
      <c r="U97">
        <f>IF($O97="","",IF(INDEX(Dossiers!$G$4:$G$63,2)="","",INDEX(Dossiers!$G$4:$G$63,2)))</f>
        <v/>
      </c>
      <c r="V97">
        <f>IF(OR($O97="",NOT(ISNUMBER($Q97))),"",$Q97*1000000+97)</f>
        <v/>
      </c>
      <c r="W97" s="29">
        <f>IF($B97="","",IFERROR(INDEX($U$4:$U$3183,MATCH(SMALL($V$4:$V$3183,94),$V$4:$V$3183,0)),""))</f>
        <v/>
      </c>
    </row>
    <row r="98">
      <c r="A98">
        <f>IFERROR(INDEX($N$4:$N$3183,MATCH(SMALL($V$4:$V$3183,95),$V$4:$V$3183,0)),"")</f>
        <v/>
      </c>
      <c r="B98">
        <f>IFERROR(INDEX($O$4:$O$3183,MATCH(SMALL($V$4:$V$3183,95),$V$4:$V$3183,0)),"")</f>
        <v/>
      </c>
      <c r="C98">
        <f>IFERROR(INDEX($P$4:$P$3183,MATCH(SMALL($V$4:$V$3183,95),$V$4:$V$3183,0)),"")</f>
        <v/>
      </c>
      <c r="D98" s="29">
        <f>IFERROR(INDEX($Q$4:$Q$3183,MATCH(SMALL($V$4:$V$3183,95),$V$4:$V$3183,0)),"")</f>
        <v/>
      </c>
      <c r="E98" s="29">
        <f>IFERROR(INDEX($R$4:$R$3183,MATCH(SMALL($V$4:$V$3183,95),$V$4:$V$3183,0)),"")</f>
        <v/>
      </c>
      <c r="F98">
        <f>IFERROR(INDEX($S$4:$S$3183,MATCH(SMALL($V$4:$V$3183,95),$V$4:$V$3183,0)),"")</f>
        <v/>
      </c>
      <c r="I98" s="29">
        <f>IF($B98="","",IFERROR(INDEX($U$4:$U$3183,MATCH(SMALL($V$4:$V$3183,95),$V$4:$V$3183,0)),""))</f>
        <v/>
      </c>
      <c r="J98">
        <f>IF($B98="","",IF($D98&gt;$F$2,"À venir",IF($E98&lt;$D$2,"Passé","Dans la période")))</f>
        <v/>
      </c>
      <c r="K98">
        <f>IF(OR($B98="",NOT(ISNUMBER($D98))),"",IF(AND($E98&lt;$D$2,$G98&lt;&gt;"X",$F98&lt;&gt;"Réalisé",$F98&lt;&gt;"Clôturé"),"RETARD",""))</f>
        <v/>
      </c>
      <c r="L98">
        <f>IF(OR($B98="",NOT(ISNUMBER($D98))),"",IF(AND($D98&gt;=$D$2,$D98&lt;=$H$2,$G98&lt;&gt;"X",$F98&lt;&gt;"Réalisé",$F98&lt;&gt;"Clôturé"),"≤ 7 j",""))</f>
        <v/>
      </c>
      <c r="M98" s="29">
        <f>IF($B98="","",IFERROR(INDEX($T$4:$T$3183,MATCH(SMALL($V$4:$V$3183,95),$V$4:$V$3183,0)),""))</f>
        <v/>
      </c>
      <c r="O98">
        <f>IF(INDEX(Suivi!$B:$B,100)="","",INDEX(Suivi!$B:$B,100))</f>
        <v/>
      </c>
      <c r="P98">
        <f>IF($O98="","",IF(INDEX(Suivi!$D:$D,100)="",INDEX(Suivi!$C:$C,100),INDEX(Suivi!$D:$D,100)))</f>
        <v/>
      </c>
      <c r="Q98">
        <f>IF($O98="","",INDEX(Suivi!$E:$E,100))</f>
        <v/>
      </c>
      <c r="R98">
        <f>IF($O98="","",INDEX(Suivi!$F:$F,100))</f>
        <v/>
      </c>
      <c r="S98">
        <f>IF($O98="","",INDEX(Suivi!$G:$G,100))</f>
        <v/>
      </c>
      <c r="T98">
        <f>IF($O98="","",IF(INDEX(Dossiers!$F$4:$F$63,2)="","",INDEX(Dossiers!$F$4:$F$63,2)))</f>
        <v/>
      </c>
      <c r="U98">
        <f>IF($O98="","",IF(INDEX(Dossiers!$G$4:$G$63,2)="","",INDEX(Dossiers!$G$4:$G$63,2)))</f>
        <v/>
      </c>
      <c r="V98">
        <f>IF(OR($O98="",NOT(ISNUMBER($Q98))),"",$Q98*1000000+98)</f>
        <v/>
      </c>
      <c r="W98" s="29">
        <f>IF($B98="","",IFERROR(INDEX($U$4:$U$3183,MATCH(SMALL($V$4:$V$3183,95),$V$4:$V$3183,0)),""))</f>
        <v/>
      </c>
    </row>
    <row r="99">
      <c r="A99">
        <f>IFERROR(INDEX($N$4:$N$3183,MATCH(SMALL($V$4:$V$3183,96),$V$4:$V$3183,0)),"")</f>
        <v/>
      </c>
      <c r="B99">
        <f>IFERROR(INDEX($O$4:$O$3183,MATCH(SMALL($V$4:$V$3183,96),$V$4:$V$3183,0)),"")</f>
        <v/>
      </c>
      <c r="C99">
        <f>IFERROR(INDEX($P$4:$P$3183,MATCH(SMALL($V$4:$V$3183,96),$V$4:$V$3183,0)),"")</f>
        <v/>
      </c>
      <c r="D99" s="29">
        <f>IFERROR(INDEX($Q$4:$Q$3183,MATCH(SMALL($V$4:$V$3183,96),$V$4:$V$3183,0)),"")</f>
        <v/>
      </c>
      <c r="E99" s="29">
        <f>IFERROR(INDEX($R$4:$R$3183,MATCH(SMALL($V$4:$V$3183,96),$V$4:$V$3183,0)),"")</f>
        <v/>
      </c>
      <c r="F99">
        <f>IFERROR(INDEX($S$4:$S$3183,MATCH(SMALL($V$4:$V$3183,96),$V$4:$V$3183,0)),"")</f>
        <v/>
      </c>
      <c r="I99" s="29">
        <f>IF($B99="","",IFERROR(INDEX($U$4:$U$3183,MATCH(SMALL($V$4:$V$3183,96),$V$4:$V$3183,0)),""))</f>
        <v/>
      </c>
      <c r="J99">
        <f>IF($B99="","",IF($D99&gt;$F$2,"À venir",IF($E99&lt;$D$2,"Passé","Dans la période")))</f>
        <v/>
      </c>
      <c r="K99">
        <f>IF(OR($B99="",NOT(ISNUMBER($D99))),"",IF(AND($E99&lt;$D$2,$G99&lt;&gt;"X",$F99&lt;&gt;"Réalisé",$F99&lt;&gt;"Clôturé"),"RETARD",""))</f>
        <v/>
      </c>
      <c r="L99">
        <f>IF(OR($B99="",NOT(ISNUMBER($D99))),"",IF(AND($D99&gt;=$D$2,$D99&lt;=$H$2,$G99&lt;&gt;"X",$F99&lt;&gt;"Réalisé",$F99&lt;&gt;"Clôturé"),"≤ 7 j",""))</f>
        <v/>
      </c>
      <c r="M99" s="29">
        <f>IF($B99="","",IFERROR(INDEX($T$4:$T$3183,MATCH(SMALL($V$4:$V$3183,96),$V$4:$V$3183,0)),""))</f>
        <v/>
      </c>
      <c r="O99">
        <f>IF(INDEX(Suivi!$B:$B,101)="","",INDEX(Suivi!$B:$B,101))</f>
        <v/>
      </c>
      <c r="P99">
        <f>IF($O99="","",IF(INDEX(Suivi!$D:$D,101)="",INDEX(Suivi!$C:$C,101),INDEX(Suivi!$D:$D,101)))</f>
        <v/>
      </c>
      <c r="Q99">
        <f>IF($O99="","",INDEX(Suivi!$E:$E,101))</f>
        <v/>
      </c>
      <c r="R99">
        <f>IF($O99="","",INDEX(Suivi!$F:$F,101))</f>
        <v/>
      </c>
      <c r="S99">
        <f>IF($O99="","",INDEX(Suivi!$G:$G,101))</f>
        <v/>
      </c>
      <c r="T99">
        <f>IF($O99="","",IF(INDEX(Dossiers!$F$4:$F$63,2)="","",INDEX(Dossiers!$F$4:$F$63,2)))</f>
        <v/>
      </c>
      <c r="U99">
        <f>IF($O99="","",IF(INDEX(Dossiers!$G$4:$G$63,2)="","",INDEX(Dossiers!$G$4:$G$63,2)))</f>
        <v/>
      </c>
      <c r="V99">
        <f>IF(OR($O99="",NOT(ISNUMBER($Q99))),"",$Q99*1000000+99)</f>
        <v/>
      </c>
      <c r="W99" s="29">
        <f>IF($B99="","",IFERROR(INDEX($U$4:$U$3183,MATCH(SMALL($V$4:$V$3183,96),$V$4:$V$3183,0)),""))</f>
        <v/>
      </c>
    </row>
    <row r="100">
      <c r="A100">
        <f>IFERROR(INDEX($N$4:$N$3183,MATCH(SMALL($V$4:$V$3183,97),$V$4:$V$3183,0)),"")</f>
        <v/>
      </c>
      <c r="B100">
        <f>IFERROR(INDEX($O$4:$O$3183,MATCH(SMALL($V$4:$V$3183,97),$V$4:$V$3183,0)),"")</f>
        <v/>
      </c>
      <c r="C100">
        <f>IFERROR(INDEX($P$4:$P$3183,MATCH(SMALL($V$4:$V$3183,97),$V$4:$V$3183,0)),"")</f>
        <v/>
      </c>
      <c r="D100" s="29">
        <f>IFERROR(INDEX($Q$4:$Q$3183,MATCH(SMALL($V$4:$V$3183,97),$V$4:$V$3183,0)),"")</f>
        <v/>
      </c>
      <c r="E100" s="29">
        <f>IFERROR(INDEX($R$4:$R$3183,MATCH(SMALL($V$4:$V$3183,97),$V$4:$V$3183,0)),"")</f>
        <v/>
      </c>
      <c r="F100">
        <f>IFERROR(INDEX($S$4:$S$3183,MATCH(SMALL($V$4:$V$3183,97),$V$4:$V$3183,0)),"")</f>
        <v/>
      </c>
      <c r="I100" s="29">
        <f>IF($B100="","",IFERROR(INDEX($U$4:$U$3183,MATCH(SMALL($V$4:$V$3183,97),$V$4:$V$3183,0)),""))</f>
        <v/>
      </c>
      <c r="J100">
        <f>IF($B100="","",IF($D100&gt;$F$2,"À venir",IF($E100&lt;$D$2,"Passé","Dans la période")))</f>
        <v/>
      </c>
      <c r="K100">
        <f>IF(OR($B100="",NOT(ISNUMBER($D100))),"",IF(AND($E100&lt;$D$2,$G100&lt;&gt;"X",$F100&lt;&gt;"Réalisé",$F100&lt;&gt;"Clôturé"),"RETARD",""))</f>
        <v/>
      </c>
      <c r="L100">
        <f>IF(OR($B100="",NOT(ISNUMBER($D100))),"",IF(AND($D100&gt;=$D$2,$D100&lt;=$H$2,$G100&lt;&gt;"X",$F100&lt;&gt;"Réalisé",$F100&lt;&gt;"Clôturé"),"≤ 7 j",""))</f>
        <v/>
      </c>
      <c r="M100" s="29">
        <f>IF($B100="","",IFERROR(INDEX($T$4:$T$3183,MATCH(SMALL($V$4:$V$3183,97),$V$4:$V$3183,0)),""))</f>
        <v/>
      </c>
      <c r="O100">
        <f>IF(INDEX(Suivi!$B:$B,102)="","",INDEX(Suivi!$B:$B,102))</f>
        <v/>
      </c>
      <c r="P100">
        <f>IF($O100="","",IF(INDEX(Suivi!$D:$D,102)="",INDEX(Suivi!$C:$C,102),INDEX(Suivi!$D:$D,102)))</f>
        <v/>
      </c>
      <c r="Q100">
        <f>IF($O100="","",INDEX(Suivi!$E:$E,102))</f>
        <v/>
      </c>
      <c r="R100">
        <f>IF($O100="","",INDEX(Suivi!$F:$F,102))</f>
        <v/>
      </c>
      <c r="S100">
        <f>IF($O100="","",INDEX(Suivi!$G:$G,102))</f>
        <v/>
      </c>
      <c r="T100">
        <f>IF($O100="","",IF(INDEX(Dossiers!$F$4:$F$63,2)="","",INDEX(Dossiers!$F$4:$F$63,2)))</f>
        <v/>
      </c>
      <c r="U100">
        <f>IF($O100="","",IF(INDEX(Dossiers!$G$4:$G$63,2)="","",INDEX(Dossiers!$G$4:$G$63,2)))</f>
        <v/>
      </c>
      <c r="V100">
        <f>IF(OR($O100="",NOT(ISNUMBER($Q100))),"",$Q100*1000000+100)</f>
        <v/>
      </c>
      <c r="W100" s="29">
        <f>IF($B100="","",IFERROR(INDEX($U$4:$U$3183,MATCH(SMALL($V$4:$V$3183,97),$V$4:$V$3183,0)),""))</f>
        <v/>
      </c>
    </row>
    <row r="101">
      <c r="A101">
        <f>IFERROR(INDEX($N$4:$N$3183,MATCH(SMALL($V$4:$V$3183,98),$V$4:$V$3183,0)),"")</f>
        <v/>
      </c>
      <c r="B101">
        <f>IFERROR(INDEX($O$4:$O$3183,MATCH(SMALL($V$4:$V$3183,98),$V$4:$V$3183,0)),"")</f>
        <v/>
      </c>
      <c r="C101">
        <f>IFERROR(INDEX($P$4:$P$3183,MATCH(SMALL($V$4:$V$3183,98),$V$4:$V$3183,0)),"")</f>
        <v/>
      </c>
      <c r="D101" s="29">
        <f>IFERROR(INDEX($Q$4:$Q$3183,MATCH(SMALL($V$4:$V$3183,98),$V$4:$V$3183,0)),"")</f>
        <v/>
      </c>
      <c r="E101" s="29">
        <f>IFERROR(INDEX($R$4:$R$3183,MATCH(SMALL($V$4:$V$3183,98),$V$4:$V$3183,0)),"")</f>
        <v/>
      </c>
      <c r="F101">
        <f>IFERROR(INDEX($S$4:$S$3183,MATCH(SMALL($V$4:$V$3183,98),$V$4:$V$3183,0)),"")</f>
        <v/>
      </c>
      <c r="I101" s="29">
        <f>IF($B101="","",IFERROR(INDEX($U$4:$U$3183,MATCH(SMALL($V$4:$V$3183,98),$V$4:$V$3183,0)),""))</f>
        <v/>
      </c>
      <c r="J101">
        <f>IF($B101="","",IF($D101&gt;$F$2,"À venir",IF($E101&lt;$D$2,"Passé","Dans la période")))</f>
        <v/>
      </c>
      <c r="K101">
        <f>IF(OR($B101="",NOT(ISNUMBER($D101))),"",IF(AND($E101&lt;$D$2,$G101&lt;&gt;"X",$F101&lt;&gt;"Réalisé",$F101&lt;&gt;"Clôturé"),"RETARD",""))</f>
        <v/>
      </c>
      <c r="L101">
        <f>IF(OR($B101="",NOT(ISNUMBER($D101))),"",IF(AND($D101&gt;=$D$2,$D101&lt;=$H$2,$G101&lt;&gt;"X",$F101&lt;&gt;"Réalisé",$F101&lt;&gt;"Clôturé"),"≤ 7 j",""))</f>
        <v/>
      </c>
      <c r="M101" s="29">
        <f>IF($B101="","",IFERROR(INDEX($T$4:$T$3183,MATCH(SMALL($V$4:$V$3183,98),$V$4:$V$3183,0)),""))</f>
        <v/>
      </c>
      <c r="O101">
        <f>IF(INDEX(Suivi!$B:$B,103)="","",INDEX(Suivi!$B:$B,103))</f>
        <v/>
      </c>
      <c r="P101">
        <f>IF($O101="","",IF(INDEX(Suivi!$D:$D,103)="",INDEX(Suivi!$C:$C,103),INDEX(Suivi!$D:$D,103)))</f>
        <v/>
      </c>
      <c r="Q101">
        <f>IF($O101="","",INDEX(Suivi!$E:$E,103))</f>
        <v/>
      </c>
      <c r="R101">
        <f>IF($O101="","",INDEX(Suivi!$F:$F,103))</f>
        <v/>
      </c>
      <c r="S101">
        <f>IF($O101="","",INDEX(Suivi!$G:$G,103))</f>
        <v/>
      </c>
      <c r="T101">
        <f>IF($O101="","",IF(INDEX(Dossiers!$F$4:$F$63,2)="","",INDEX(Dossiers!$F$4:$F$63,2)))</f>
        <v/>
      </c>
      <c r="U101">
        <f>IF($O101="","",IF(INDEX(Dossiers!$G$4:$G$63,2)="","",INDEX(Dossiers!$G$4:$G$63,2)))</f>
        <v/>
      </c>
      <c r="V101">
        <f>IF(OR($O101="",NOT(ISNUMBER($Q101))),"",$Q101*1000000+101)</f>
        <v/>
      </c>
      <c r="W101" s="29">
        <f>IF($B101="","",IFERROR(INDEX($U$4:$U$3183,MATCH(SMALL($V$4:$V$3183,98),$V$4:$V$3183,0)),""))</f>
        <v/>
      </c>
    </row>
    <row r="102">
      <c r="A102">
        <f>IFERROR(INDEX($N$4:$N$3183,MATCH(SMALL($V$4:$V$3183,99),$V$4:$V$3183,0)),"")</f>
        <v/>
      </c>
      <c r="B102">
        <f>IFERROR(INDEX($O$4:$O$3183,MATCH(SMALL($V$4:$V$3183,99),$V$4:$V$3183,0)),"")</f>
        <v/>
      </c>
      <c r="C102">
        <f>IFERROR(INDEX($P$4:$P$3183,MATCH(SMALL($V$4:$V$3183,99),$V$4:$V$3183,0)),"")</f>
        <v/>
      </c>
      <c r="D102" s="29">
        <f>IFERROR(INDEX($Q$4:$Q$3183,MATCH(SMALL($V$4:$V$3183,99),$V$4:$V$3183,0)),"")</f>
        <v/>
      </c>
      <c r="E102" s="29">
        <f>IFERROR(INDEX($R$4:$R$3183,MATCH(SMALL($V$4:$V$3183,99),$V$4:$V$3183,0)),"")</f>
        <v/>
      </c>
      <c r="F102">
        <f>IFERROR(INDEX($S$4:$S$3183,MATCH(SMALL($V$4:$V$3183,99),$V$4:$V$3183,0)),"")</f>
        <v/>
      </c>
      <c r="I102" s="29">
        <f>IF($B102="","",IFERROR(INDEX($U$4:$U$3183,MATCH(SMALL($V$4:$V$3183,99),$V$4:$V$3183,0)),""))</f>
        <v/>
      </c>
      <c r="J102">
        <f>IF($B102="","",IF($D102&gt;$F$2,"À venir",IF($E102&lt;$D$2,"Passé","Dans la période")))</f>
        <v/>
      </c>
      <c r="K102">
        <f>IF(OR($B102="",NOT(ISNUMBER($D102))),"",IF(AND($E102&lt;$D$2,$G102&lt;&gt;"X",$F102&lt;&gt;"Réalisé",$F102&lt;&gt;"Clôturé"),"RETARD",""))</f>
        <v/>
      </c>
      <c r="L102">
        <f>IF(OR($B102="",NOT(ISNUMBER($D102))),"",IF(AND($D102&gt;=$D$2,$D102&lt;=$H$2,$G102&lt;&gt;"X",$F102&lt;&gt;"Réalisé",$F102&lt;&gt;"Clôturé"),"≤ 7 j",""))</f>
        <v/>
      </c>
      <c r="M102" s="29">
        <f>IF($B102="","",IFERROR(INDEX($T$4:$T$3183,MATCH(SMALL($V$4:$V$3183,99),$V$4:$V$3183,0)),""))</f>
        <v/>
      </c>
      <c r="O102">
        <f>IF(INDEX(Suivi!$B:$B,104)="","",INDEX(Suivi!$B:$B,104))</f>
        <v/>
      </c>
      <c r="P102">
        <f>IF($O102="","",IF(INDEX(Suivi!$D:$D,104)="",INDEX(Suivi!$C:$C,104),INDEX(Suivi!$D:$D,104)))</f>
        <v/>
      </c>
      <c r="Q102">
        <f>IF($O102="","",INDEX(Suivi!$E:$E,104))</f>
        <v/>
      </c>
      <c r="R102">
        <f>IF($O102="","",INDEX(Suivi!$F:$F,104))</f>
        <v/>
      </c>
      <c r="S102">
        <f>IF($O102="","",INDEX(Suivi!$G:$G,104))</f>
        <v/>
      </c>
      <c r="T102">
        <f>IF($O102="","",IF(INDEX(Dossiers!$F$4:$F$63,2)="","",INDEX(Dossiers!$F$4:$F$63,2)))</f>
        <v/>
      </c>
      <c r="U102">
        <f>IF($O102="","",IF(INDEX(Dossiers!$G$4:$G$63,2)="","",INDEX(Dossiers!$G$4:$G$63,2)))</f>
        <v/>
      </c>
      <c r="V102">
        <f>IF(OR($O102="",NOT(ISNUMBER($Q102))),"",$Q102*1000000+102)</f>
        <v/>
      </c>
      <c r="W102" s="29">
        <f>IF($B102="","",IFERROR(INDEX($U$4:$U$3183,MATCH(SMALL($V$4:$V$3183,99),$V$4:$V$3183,0)),""))</f>
        <v/>
      </c>
    </row>
    <row r="103">
      <c r="A103">
        <f>IFERROR(INDEX($N$4:$N$3183,MATCH(SMALL($V$4:$V$3183,100),$V$4:$V$3183,0)),"")</f>
        <v/>
      </c>
      <c r="B103">
        <f>IFERROR(INDEX($O$4:$O$3183,MATCH(SMALL($V$4:$V$3183,100),$V$4:$V$3183,0)),"")</f>
        <v/>
      </c>
      <c r="C103">
        <f>IFERROR(INDEX($P$4:$P$3183,MATCH(SMALL($V$4:$V$3183,100),$V$4:$V$3183,0)),"")</f>
        <v/>
      </c>
      <c r="D103" s="29">
        <f>IFERROR(INDEX($Q$4:$Q$3183,MATCH(SMALL($V$4:$V$3183,100),$V$4:$V$3183,0)),"")</f>
        <v/>
      </c>
      <c r="E103" s="29">
        <f>IFERROR(INDEX($R$4:$R$3183,MATCH(SMALL($V$4:$V$3183,100),$V$4:$V$3183,0)),"")</f>
        <v/>
      </c>
      <c r="F103">
        <f>IFERROR(INDEX($S$4:$S$3183,MATCH(SMALL($V$4:$V$3183,100),$V$4:$V$3183,0)),"")</f>
        <v/>
      </c>
      <c r="I103" s="29">
        <f>IF($B103="","",IFERROR(INDEX($U$4:$U$3183,MATCH(SMALL($V$4:$V$3183,100),$V$4:$V$3183,0)),""))</f>
        <v/>
      </c>
      <c r="J103">
        <f>IF($B103="","",IF($D103&gt;$F$2,"À venir",IF($E103&lt;$D$2,"Passé","Dans la période")))</f>
        <v/>
      </c>
      <c r="K103">
        <f>IF(OR($B103="",NOT(ISNUMBER($D103))),"",IF(AND($E103&lt;$D$2,$G103&lt;&gt;"X",$F103&lt;&gt;"Réalisé",$F103&lt;&gt;"Clôturé"),"RETARD",""))</f>
        <v/>
      </c>
      <c r="L103">
        <f>IF(OR($B103="",NOT(ISNUMBER($D103))),"",IF(AND($D103&gt;=$D$2,$D103&lt;=$H$2,$G103&lt;&gt;"X",$F103&lt;&gt;"Réalisé",$F103&lt;&gt;"Clôturé"),"≤ 7 j",""))</f>
        <v/>
      </c>
      <c r="M103" s="29">
        <f>IF($B103="","",IFERROR(INDEX($T$4:$T$3183,MATCH(SMALL($V$4:$V$3183,100),$V$4:$V$3183,0)),""))</f>
        <v/>
      </c>
      <c r="O103">
        <f>IF(INDEX(Suivi!$B:$B,105)="","",INDEX(Suivi!$B:$B,105))</f>
        <v/>
      </c>
      <c r="P103">
        <f>IF($O103="","",IF(INDEX(Suivi!$D:$D,105)="",INDEX(Suivi!$C:$C,105),INDEX(Suivi!$D:$D,105)))</f>
        <v/>
      </c>
      <c r="Q103">
        <f>IF($O103="","",INDEX(Suivi!$E:$E,105))</f>
        <v/>
      </c>
      <c r="R103">
        <f>IF($O103="","",INDEX(Suivi!$F:$F,105))</f>
        <v/>
      </c>
      <c r="S103">
        <f>IF($O103="","",INDEX(Suivi!$G:$G,105))</f>
        <v/>
      </c>
      <c r="T103">
        <f>IF($O103="","",IF(INDEX(Dossiers!$F$4:$F$63,2)="","",INDEX(Dossiers!$F$4:$F$63,2)))</f>
        <v/>
      </c>
      <c r="U103">
        <f>IF($O103="","",IF(INDEX(Dossiers!$G$4:$G$63,2)="","",INDEX(Dossiers!$G$4:$G$63,2)))</f>
        <v/>
      </c>
      <c r="V103">
        <f>IF(OR($O103="",NOT(ISNUMBER($Q103))),"",$Q103*1000000+103)</f>
        <v/>
      </c>
      <c r="W103" s="29">
        <f>IF($B103="","",IFERROR(INDEX($U$4:$U$3183,MATCH(SMALL($V$4:$V$3183,100),$V$4:$V$3183,0)),""))</f>
        <v/>
      </c>
    </row>
    <row r="104">
      <c r="A104">
        <f>IFERROR(INDEX($N$4:$N$3183,MATCH(SMALL($V$4:$V$3183,101),$V$4:$V$3183,0)),"")</f>
        <v/>
      </c>
      <c r="B104">
        <f>IFERROR(INDEX($O$4:$O$3183,MATCH(SMALL($V$4:$V$3183,101),$V$4:$V$3183,0)),"")</f>
        <v/>
      </c>
      <c r="C104">
        <f>IFERROR(INDEX($P$4:$P$3183,MATCH(SMALL($V$4:$V$3183,101),$V$4:$V$3183,0)),"")</f>
        <v/>
      </c>
      <c r="D104" s="29">
        <f>IFERROR(INDEX($Q$4:$Q$3183,MATCH(SMALL($V$4:$V$3183,101),$V$4:$V$3183,0)),"")</f>
        <v/>
      </c>
      <c r="E104" s="29">
        <f>IFERROR(INDEX($R$4:$R$3183,MATCH(SMALL($V$4:$V$3183,101),$V$4:$V$3183,0)),"")</f>
        <v/>
      </c>
      <c r="F104">
        <f>IFERROR(INDEX($S$4:$S$3183,MATCH(SMALL($V$4:$V$3183,101),$V$4:$V$3183,0)),"")</f>
        <v/>
      </c>
      <c r="I104" s="29">
        <f>IF($B104="","",IFERROR(INDEX($U$4:$U$3183,MATCH(SMALL($V$4:$V$3183,101),$V$4:$V$3183,0)),""))</f>
        <v/>
      </c>
      <c r="J104">
        <f>IF($B104="","",IF($D104&gt;$F$2,"À venir",IF($E104&lt;$D$2,"Passé","Dans la période")))</f>
        <v/>
      </c>
      <c r="K104">
        <f>IF(OR($B104="",NOT(ISNUMBER($D104))),"",IF(AND($E104&lt;$D$2,$G104&lt;&gt;"X",$F104&lt;&gt;"Réalisé",$F104&lt;&gt;"Clôturé"),"RETARD",""))</f>
        <v/>
      </c>
      <c r="L104">
        <f>IF(OR($B104="",NOT(ISNUMBER($D104))),"",IF(AND($D104&gt;=$D$2,$D104&lt;=$H$2,$G104&lt;&gt;"X",$F104&lt;&gt;"Réalisé",$F104&lt;&gt;"Clôturé"),"≤ 7 j",""))</f>
        <v/>
      </c>
      <c r="M104" s="29">
        <f>IF($B104="","",IFERROR(INDEX($T$4:$T$3183,MATCH(SMALL($V$4:$V$3183,101),$V$4:$V$3183,0)),""))</f>
        <v/>
      </c>
      <c r="O104">
        <f>IF(INDEX(Suivi!$B:$B,106)="","",INDEX(Suivi!$B:$B,106))</f>
        <v/>
      </c>
      <c r="P104">
        <f>IF($O104="","",IF(INDEX(Suivi!$D:$D,106)="",INDEX(Suivi!$C:$C,106),INDEX(Suivi!$D:$D,106)))</f>
        <v/>
      </c>
      <c r="Q104">
        <f>IF($O104="","",INDEX(Suivi!$E:$E,106))</f>
        <v/>
      </c>
      <c r="R104">
        <f>IF($O104="","",INDEX(Suivi!$F:$F,106))</f>
        <v/>
      </c>
      <c r="S104">
        <f>IF($O104="","",INDEX(Suivi!$G:$G,106))</f>
        <v/>
      </c>
      <c r="T104">
        <f>IF($O104="","",IF(INDEX(Dossiers!$F$4:$F$63,2)="","",INDEX(Dossiers!$F$4:$F$63,2)))</f>
        <v/>
      </c>
      <c r="U104">
        <f>IF($O104="","",IF(INDEX(Dossiers!$G$4:$G$63,2)="","",INDEX(Dossiers!$G$4:$G$63,2)))</f>
        <v/>
      </c>
      <c r="V104">
        <f>IF(OR($O104="",NOT(ISNUMBER($Q104))),"",$Q104*1000000+104)</f>
        <v/>
      </c>
      <c r="W104" s="29">
        <f>IF($B104="","",IFERROR(INDEX($U$4:$U$3183,MATCH(SMALL($V$4:$V$3183,101),$V$4:$V$3183,0)),""))</f>
        <v/>
      </c>
    </row>
    <row r="105">
      <c r="A105">
        <f>IFERROR(INDEX($N$4:$N$3183,MATCH(SMALL($V$4:$V$3183,102),$V$4:$V$3183,0)),"")</f>
        <v/>
      </c>
      <c r="B105">
        <f>IFERROR(INDEX($O$4:$O$3183,MATCH(SMALL($V$4:$V$3183,102),$V$4:$V$3183,0)),"")</f>
        <v/>
      </c>
      <c r="C105">
        <f>IFERROR(INDEX($P$4:$P$3183,MATCH(SMALL($V$4:$V$3183,102),$V$4:$V$3183,0)),"")</f>
        <v/>
      </c>
      <c r="D105" s="29">
        <f>IFERROR(INDEX($Q$4:$Q$3183,MATCH(SMALL($V$4:$V$3183,102),$V$4:$V$3183,0)),"")</f>
        <v/>
      </c>
      <c r="E105" s="29">
        <f>IFERROR(INDEX($R$4:$R$3183,MATCH(SMALL($V$4:$V$3183,102),$V$4:$V$3183,0)),"")</f>
        <v/>
      </c>
      <c r="F105">
        <f>IFERROR(INDEX($S$4:$S$3183,MATCH(SMALL($V$4:$V$3183,102),$V$4:$V$3183,0)),"")</f>
        <v/>
      </c>
      <c r="I105" s="29">
        <f>IF($B105="","",IFERROR(INDEX($U$4:$U$3183,MATCH(SMALL($V$4:$V$3183,102),$V$4:$V$3183,0)),""))</f>
        <v/>
      </c>
      <c r="J105">
        <f>IF($B105="","",IF($D105&gt;$F$2,"À venir",IF($E105&lt;$D$2,"Passé","Dans la période")))</f>
        <v/>
      </c>
      <c r="K105">
        <f>IF(OR($B105="",NOT(ISNUMBER($D105))),"",IF(AND($E105&lt;$D$2,$G105&lt;&gt;"X",$F105&lt;&gt;"Réalisé",$F105&lt;&gt;"Clôturé"),"RETARD",""))</f>
        <v/>
      </c>
      <c r="L105">
        <f>IF(OR($B105="",NOT(ISNUMBER($D105))),"",IF(AND($D105&gt;=$D$2,$D105&lt;=$H$2,$G105&lt;&gt;"X",$F105&lt;&gt;"Réalisé",$F105&lt;&gt;"Clôturé"),"≤ 7 j",""))</f>
        <v/>
      </c>
      <c r="M105" s="29">
        <f>IF($B105="","",IFERROR(INDEX($T$4:$T$3183,MATCH(SMALL($V$4:$V$3183,102),$V$4:$V$3183,0)),""))</f>
        <v/>
      </c>
      <c r="O105">
        <f>IF(INDEX(Suivi!$B:$B,107)="","",INDEX(Suivi!$B:$B,107))</f>
        <v/>
      </c>
      <c r="P105">
        <f>IF($O105="","",IF(INDEX(Suivi!$D:$D,107)="",INDEX(Suivi!$C:$C,107),INDEX(Suivi!$D:$D,107)))</f>
        <v/>
      </c>
      <c r="Q105">
        <f>IF($O105="","",INDEX(Suivi!$E:$E,107))</f>
        <v/>
      </c>
      <c r="R105">
        <f>IF($O105="","",INDEX(Suivi!$F:$F,107))</f>
        <v/>
      </c>
      <c r="S105">
        <f>IF($O105="","",INDEX(Suivi!$G:$G,107))</f>
        <v/>
      </c>
      <c r="T105">
        <f>IF($O105="","",IF(INDEX(Dossiers!$F$4:$F$63,2)="","",INDEX(Dossiers!$F$4:$F$63,2)))</f>
        <v/>
      </c>
      <c r="U105">
        <f>IF($O105="","",IF(INDEX(Dossiers!$G$4:$G$63,2)="","",INDEX(Dossiers!$G$4:$G$63,2)))</f>
        <v/>
      </c>
      <c r="V105">
        <f>IF(OR($O105="",NOT(ISNUMBER($Q105))),"",$Q105*1000000+105)</f>
        <v/>
      </c>
      <c r="W105" s="29">
        <f>IF($B105="","",IFERROR(INDEX($U$4:$U$3183,MATCH(SMALL($V$4:$V$3183,102),$V$4:$V$3183,0)),""))</f>
        <v/>
      </c>
    </row>
    <row r="106">
      <c r="A106">
        <f>IFERROR(INDEX($N$4:$N$3183,MATCH(SMALL($V$4:$V$3183,103),$V$4:$V$3183,0)),"")</f>
        <v/>
      </c>
      <c r="B106">
        <f>IFERROR(INDEX($O$4:$O$3183,MATCH(SMALL($V$4:$V$3183,103),$V$4:$V$3183,0)),"")</f>
        <v/>
      </c>
      <c r="C106">
        <f>IFERROR(INDEX($P$4:$P$3183,MATCH(SMALL($V$4:$V$3183,103),$V$4:$V$3183,0)),"")</f>
        <v/>
      </c>
      <c r="D106" s="29">
        <f>IFERROR(INDEX($Q$4:$Q$3183,MATCH(SMALL($V$4:$V$3183,103),$V$4:$V$3183,0)),"")</f>
        <v/>
      </c>
      <c r="E106" s="29">
        <f>IFERROR(INDEX($R$4:$R$3183,MATCH(SMALL($V$4:$V$3183,103),$V$4:$V$3183,0)),"")</f>
        <v/>
      </c>
      <c r="F106">
        <f>IFERROR(INDEX($S$4:$S$3183,MATCH(SMALL($V$4:$V$3183,103),$V$4:$V$3183,0)),"")</f>
        <v/>
      </c>
      <c r="I106" s="29">
        <f>IF($B106="","",IFERROR(INDEX($U$4:$U$3183,MATCH(SMALL($V$4:$V$3183,103),$V$4:$V$3183,0)),""))</f>
        <v/>
      </c>
      <c r="J106">
        <f>IF($B106="","",IF($D106&gt;$F$2,"À venir",IF($E106&lt;$D$2,"Passé","Dans la période")))</f>
        <v/>
      </c>
      <c r="K106">
        <f>IF(OR($B106="",NOT(ISNUMBER($D106))),"",IF(AND($E106&lt;$D$2,$G106&lt;&gt;"X",$F106&lt;&gt;"Réalisé",$F106&lt;&gt;"Clôturé"),"RETARD",""))</f>
        <v/>
      </c>
      <c r="L106">
        <f>IF(OR($B106="",NOT(ISNUMBER($D106))),"",IF(AND($D106&gt;=$D$2,$D106&lt;=$H$2,$G106&lt;&gt;"X",$F106&lt;&gt;"Réalisé",$F106&lt;&gt;"Clôturé"),"≤ 7 j",""))</f>
        <v/>
      </c>
      <c r="M106" s="29">
        <f>IF($B106="","",IFERROR(INDEX($T$4:$T$3183,MATCH(SMALL($V$4:$V$3183,103),$V$4:$V$3183,0)),""))</f>
        <v/>
      </c>
      <c r="O106">
        <f>IF(INDEX(Suivi!$B:$B,108)="","",INDEX(Suivi!$B:$B,108))</f>
        <v/>
      </c>
      <c r="P106">
        <f>IF($O106="","",IF(INDEX(Suivi!$D:$D,108)="",INDEX(Suivi!$C:$C,108),INDEX(Suivi!$D:$D,108)))</f>
        <v/>
      </c>
      <c r="Q106">
        <f>IF($O106="","",INDEX(Suivi!$E:$E,108))</f>
        <v/>
      </c>
      <c r="R106">
        <f>IF($O106="","",INDEX(Suivi!$F:$F,108))</f>
        <v/>
      </c>
      <c r="S106">
        <f>IF($O106="","",INDEX(Suivi!$G:$G,108))</f>
        <v/>
      </c>
      <c r="T106">
        <f>IF($O106="","",IF(INDEX(Dossiers!$F$4:$F$63,2)="","",INDEX(Dossiers!$F$4:$F$63,2)))</f>
        <v/>
      </c>
      <c r="U106">
        <f>IF($O106="","",IF(INDEX(Dossiers!$G$4:$G$63,2)="","",INDEX(Dossiers!$G$4:$G$63,2)))</f>
        <v/>
      </c>
      <c r="V106">
        <f>IF(OR($O106="",NOT(ISNUMBER($Q106))),"",$Q106*1000000+106)</f>
        <v/>
      </c>
      <c r="W106" s="29">
        <f>IF($B106="","",IFERROR(INDEX($U$4:$U$3183,MATCH(SMALL($V$4:$V$3183,103),$V$4:$V$3183,0)),""))</f>
        <v/>
      </c>
    </row>
    <row r="107">
      <c r="A107">
        <f>IFERROR(INDEX($N$4:$N$3183,MATCH(SMALL($V$4:$V$3183,104),$V$4:$V$3183,0)),"")</f>
        <v/>
      </c>
      <c r="B107">
        <f>IFERROR(INDEX($O$4:$O$3183,MATCH(SMALL($V$4:$V$3183,104),$V$4:$V$3183,0)),"")</f>
        <v/>
      </c>
      <c r="C107">
        <f>IFERROR(INDEX($P$4:$P$3183,MATCH(SMALL($V$4:$V$3183,104),$V$4:$V$3183,0)),"")</f>
        <v/>
      </c>
      <c r="D107" s="29">
        <f>IFERROR(INDEX($Q$4:$Q$3183,MATCH(SMALL($V$4:$V$3183,104),$V$4:$V$3183,0)),"")</f>
        <v/>
      </c>
      <c r="E107" s="29">
        <f>IFERROR(INDEX($R$4:$R$3183,MATCH(SMALL($V$4:$V$3183,104),$V$4:$V$3183,0)),"")</f>
        <v/>
      </c>
      <c r="F107">
        <f>IFERROR(INDEX($S$4:$S$3183,MATCH(SMALL($V$4:$V$3183,104),$V$4:$V$3183,0)),"")</f>
        <v/>
      </c>
      <c r="I107" s="29">
        <f>IF($B107="","",IFERROR(INDEX($U$4:$U$3183,MATCH(SMALL($V$4:$V$3183,104),$V$4:$V$3183,0)),""))</f>
        <v/>
      </c>
      <c r="J107">
        <f>IF($B107="","",IF($D107&gt;$F$2,"À venir",IF($E107&lt;$D$2,"Passé","Dans la période")))</f>
        <v/>
      </c>
      <c r="K107">
        <f>IF(OR($B107="",NOT(ISNUMBER($D107))),"",IF(AND($E107&lt;$D$2,$G107&lt;&gt;"X",$F107&lt;&gt;"Réalisé",$F107&lt;&gt;"Clôturé"),"RETARD",""))</f>
        <v/>
      </c>
      <c r="L107">
        <f>IF(OR($B107="",NOT(ISNUMBER($D107))),"",IF(AND($D107&gt;=$D$2,$D107&lt;=$H$2,$G107&lt;&gt;"X",$F107&lt;&gt;"Réalisé",$F107&lt;&gt;"Clôturé"),"≤ 7 j",""))</f>
        <v/>
      </c>
      <c r="M107" s="29">
        <f>IF($B107="","",IFERROR(INDEX($T$4:$T$3183,MATCH(SMALL($V$4:$V$3183,104),$V$4:$V$3183,0)),""))</f>
        <v/>
      </c>
      <c r="O107">
        <f>IF(INDEX(Suivi!$B:$B,109)="","",INDEX(Suivi!$B:$B,109))</f>
        <v/>
      </c>
      <c r="P107">
        <f>IF($O107="","",IF(INDEX(Suivi!$D:$D,109)="",INDEX(Suivi!$C:$C,109),INDEX(Suivi!$D:$D,109)))</f>
        <v/>
      </c>
      <c r="Q107">
        <f>IF($O107="","",INDEX(Suivi!$E:$E,109))</f>
        <v/>
      </c>
      <c r="R107">
        <f>IF($O107="","",INDEX(Suivi!$F:$F,109))</f>
        <v/>
      </c>
      <c r="S107">
        <f>IF($O107="","",INDEX(Suivi!$G:$G,109))</f>
        <v/>
      </c>
      <c r="T107">
        <f>IF($O107="","",IF(INDEX(Dossiers!$F$4:$F$63,2)="","",INDEX(Dossiers!$F$4:$F$63,2)))</f>
        <v/>
      </c>
      <c r="U107">
        <f>IF($O107="","",IF(INDEX(Dossiers!$G$4:$G$63,2)="","",INDEX(Dossiers!$G$4:$G$63,2)))</f>
        <v/>
      </c>
      <c r="V107">
        <f>IF(OR($O107="",NOT(ISNUMBER($Q107))),"",$Q107*1000000+107)</f>
        <v/>
      </c>
      <c r="W107" s="29">
        <f>IF($B107="","",IFERROR(INDEX($U$4:$U$3183,MATCH(SMALL($V$4:$V$3183,104),$V$4:$V$3183,0)),""))</f>
        <v/>
      </c>
    </row>
    <row r="108">
      <c r="A108">
        <f>IFERROR(INDEX($N$4:$N$3183,MATCH(SMALL($V$4:$V$3183,105),$V$4:$V$3183,0)),"")</f>
        <v/>
      </c>
      <c r="B108">
        <f>IFERROR(INDEX($O$4:$O$3183,MATCH(SMALL($V$4:$V$3183,105),$V$4:$V$3183,0)),"")</f>
        <v/>
      </c>
      <c r="C108">
        <f>IFERROR(INDEX($P$4:$P$3183,MATCH(SMALL($V$4:$V$3183,105),$V$4:$V$3183,0)),"")</f>
        <v/>
      </c>
      <c r="D108" s="29">
        <f>IFERROR(INDEX($Q$4:$Q$3183,MATCH(SMALL($V$4:$V$3183,105),$V$4:$V$3183,0)),"")</f>
        <v/>
      </c>
      <c r="E108" s="29">
        <f>IFERROR(INDEX($R$4:$R$3183,MATCH(SMALL($V$4:$V$3183,105),$V$4:$V$3183,0)),"")</f>
        <v/>
      </c>
      <c r="F108">
        <f>IFERROR(INDEX($S$4:$S$3183,MATCH(SMALL($V$4:$V$3183,105),$V$4:$V$3183,0)),"")</f>
        <v/>
      </c>
      <c r="I108" s="29">
        <f>IF($B108="","",IFERROR(INDEX($U$4:$U$3183,MATCH(SMALL($V$4:$V$3183,105),$V$4:$V$3183,0)),""))</f>
        <v/>
      </c>
      <c r="J108">
        <f>IF($B108="","",IF($D108&gt;$F$2,"À venir",IF($E108&lt;$D$2,"Passé","Dans la période")))</f>
        <v/>
      </c>
      <c r="K108">
        <f>IF(OR($B108="",NOT(ISNUMBER($D108))),"",IF(AND($E108&lt;$D$2,$G108&lt;&gt;"X",$F108&lt;&gt;"Réalisé",$F108&lt;&gt;"Clôturé"),"RETARD",""))</f>
        <v/>
      </c>
      <c r="L108">
        <f>IF(OR($B108="",NOT(ISNUMBER($D108))),"",IF(AND($D108&gt;=$D$2,$D108&lt;=$H$2,$G108&lt;&gt;"X",$F108&lt;&gt;"Réalisé",$F108&lt;&gt;"Clôturé"),"≤ 7 j",""))</f>
        <v/>
      </c>
      <c r="M108" s="29">
        <f>IF($B108="","",IFERROR(INDEX($T$4:$T$3183,MATCH(SMALL($V$4:$V$3183,105),$V$4:$V$3183,0)),""))</f>
        <v/>
      </c>
      <c r="O108">
        <f>IF(INDEX(Suivi!$B:$B,110)="","",INDEX(Suivi!$B:$B,110))</f>
        <v/>
      </c>
      <c r="P108">
        <f>IF($O108="","",IF(INDEX(Suivi!$D:$D,110)="",INDEX(Suivi!$C:$C,110),INDEX(Suivi!$D:$D,110)))</f>
        <v/>
      </c>
      <c r="Q108">
        <f>IF($O108="","",INDEX(Suivi!$E:$E,110))</f>
        <v/>
      </c>
      <c r="R108">
        <f>IF($O108="","",INDEX(Suivi!$F:$F,110))</f>
        <v/>
      </c>
      <c r="S108">
        <f>IF($O108="","",INDEX(Suivi!$G:$G,110))</f>
        <v/>
      </c>
      <c r="T108">
        <f>IF($O108="","",IF(INDEX(Dossiers!$F$4:$F$63,2)="","",INDEX(Dossiers!$F$4:$F$63,2)))</f>
        <v/>
      </c>
      <c r="U108">
        <f>IF($O108="","",IF(INDEX(Dossiers!$G$4:$G$63,2)="","",INDEX(Dossiers!$G$4:$G$63,2)))</f>
        <v/>
      </c>
      <c r="V108">
        <f>IF(OR($O108="",NOT(ISNUMBER($Q108))),"",$Q108*1000000+108)</f>
        <v/>
      </c>
      <c r="W108" s="29">
        <f>IF($B108="","",IFERROR(INDEX($U$4:$U$3183,MATCH(SMALL($V$4:$V$3183,105),$V$4:$V$3183,0)),""))</f>
        <v/>
      </c>
    </row>
    <row r="109">
      <c r="A109">
        <f>IFERROR(INDEX($N$4:$N$3183,MATCH(SMALL($V$4:$V$3183,106),$V$4:$V$3183,0)),"")</f>
        <v/>
      </c>
      <c r="B109">
        <f>IFERROR(INDEX($O$4:$O$3183,MATCH(SMALL($V$4:$V$3183,106),$V$4:$V$3183,0)),"")</f>
        <v/>
      </c>
      <c r="C109">
        <f>IFERROR(INDEX($P$4:$P$3183,MATCH(SMALL($V$4:$V$3183,106),$V$4:$V$3183,0)),"")</f>
        <v/>
      </c>
      <c r="D109" s="29">
        <f>IFERROR(INDEX($Q$4:$Q$3183,MATCH(SMALL($V$4:$V$3183,106),$V$4:$V$3183,0)),"")</f>
        <v/>
      </c>
      <c r="E109" s="29">
        <f>IFERROR(INDEX($R$4:$R$3183,MATCH(SMALL($V$4:$V$3183,106),$V$4:$V$3183,0)),"")</f>
        <v/>
      </c>
      <c r="F109">
        <f>IFERROR(INDEX($S$4:$S$3183,MATCH(SMALL($V$4:$V$3183,106),$V$4:$V$3183,0)),"")</f>
        <v/>
      </c>
      <c r="I109" s="29">
        <f>IF($B109="","",IFERROR(INDEX($U$4:$U$3183,MATCH(SMALL($V$4:$V$3183,106),$V$4:$V$3183,0)),""))</f>
        <v/>
      </c>
      <c r="J109">
        <f>IF($B109="","",IF($D109&gt;$F$2,"À venir",IF($E109&lt;$D$2,"Passé","Dans la période")))</f>
        <v/>
      </c>
      <c r="K109">
        <f>IF(OR($B109="",NOT(ISNUMBER($D109))),"",IF(AND($E109&lt;$D$2,$G109&lt;&gt;"X",$F109&lt;&gt;"Réalisé",$F109&lt;&gt;"Clôturé"),"RETARD",""))</f>
        <v/>
      </c>
      <c r="L109">
        <f>IF(OR($B109="",NOT(ISNUMBER($D109))),"",IF(AND($D109&gt;=$D$2,$D109&lt;=$H$2,$G109&lt;&gt;"X",$F109&lt;&gt;"Réalisé",$F109&lt;&gt;"Clôturé"),"≤ 7 j",""))</f>
        <v/>
      </c>
      <c r="M109" s="29">
        <f>IF($B109="","",IFERROR(INDEX($T$4:$T$3183,MATCH(SMALL($V$4:$V$3183,106),$V$4:$V$3183,0)),""))</f>
        <v/>
      </c>
      <c r="O109">
        <f>IF(INDEX(Suivi!$B:$B,111)="","",INDEX(Suivi!$B:$B,111))</f>
        <v/>
      </c>
      <c r="P109">
        <f>IF($O109="","",IF(INDEX(Suivi!$D:$D,111)="",INDEX(Suivi!$C:$C,111),INDEX(Suivi!$D:$D,111)))</f>
        <v/>
      </c>
      <c r="Q109">
        <f>IF($O109="","",INDEX(Suivi!$E:$E,111))</f>
        <v/>
      </c>
      <c r="R109">
        <f>IF($O109="","",INDEX(Suivi!$F:$F,111))</f>
        <v/>
      </c>
      <c r="S109">
        <f>IF($O109="","",INDEX(Suivi!$G:$G,111))</f>
        <v/>
      </c>
      <c r="T109">
        <f>IF($O109="","",IF(INDEX(Dossiers!$F$4:$F$63,2)="","",INDEX(Dossiers!$F$4:$F$63,2)))</f>
        <v/>
      </c>
      <c r="U109">
        <f>IF($O109="","",IF(INDEX(Dossiers!$G$4:$G$63,2)="","",INDEX(Dossiers!$G$4:$G$63,2)))</f>
        <v/>
      </c>
      <c r="V109">
        <f>IF(OR($O109="",NOT(ISNUMBER($Q109))),"",$Q109*1000000+109)</f>
        <v/>
      </c>
      <c r="W109" s="29">
        <f>IF($B109="","",IFERROR(INDEX($U$4:$U$3183,MATCH(SMALL($V$4:$V$3183,106),$V$4:$V$3183,0)),""))</f>
        <v/>
      </c>
    </row>
    <row r="110">
      <c r="A110">
        <f>IFERROR(INDEX($N$4:$N$3183,MATCH(SMALL($V$4:$V$3183,107),$V$4:$V$3183,0)),"")</f>
        <v/>
      </c>
      <c r="B110">
        <f>IFERROR(INDEX($O$4:$O$3183,MATCH(SMALL($V$4:$V$3183,107),$V$4:$V$3183,0)),"")</f>
        <v/>
      </c>
      <c r="C110">
        <f>IFERROR(INDEX($P$4:$P$3183,MATCH(SMALL($V$4:$V$3183,107),$V$4:$V$3183,0)),"")</f>
        <v/>
      </c>
      <c r="D110" s="29">
        <f>IFERROR(INDEX($Q$4:$Q$3183,MATCH(SMALL($V$4:$V$3183,107),$V$4:$V$3183,0)),"")</f>
        <v/>
      </c>
      <c r="E110" s="29">
        <f>IFERROR(INDEX($R$4:$R$3183,MATCH(SMALL($V$4:$V$3183,107),$V$4:$V$3183,0)),"")</f>
        <v/>
      </c>
      <c r="F110">
        <f>IFERROR(INDEX($S$4:$S$3183,MATCH(SMALL($V$4:$V$3183,107),$V$4:$V$3183,0)),"")</f>
        <v/>
      </c>
      <c r="I110" s="29">
        <f>IF($B110="","",IFERROR(INDEX($U$4:$U$3183,MATCH(SMALL($V$4:$V$3183,107),$V$4:$V$3183,0)),""))</f>
        <v/>
      </c>
      <c r="J110">
        <f>IF($B110="","",IF($D110&gt;$F$2,"À venir",IF($E110&lt;$D$2,"Passé","Dans la période")))</f>
        <v/>
      </c>
      <c r="K110">
        <f>IF(OR($B110="",NOT(ISNUMBER($D110))),"",IF(AND($E110&lt;$D$2,$G110&lt;&gt;"X",$F110&lt;&gt;"Réalisé",$F110&lt;&gt;"Clôturé"),"RETARD",""))</f>
        <v/>
      </c>
      <c r="L110">
        <f>IF(OR($B110="",NOT(ISNUMBER($D110))),"",IF(AND($D110&gt;=$D$2,$D110&lt;=$H$2,$G110&lt;&gt;"X",$F110&lt;&gt;"Réalisé",$F110&lt;&gt;"Clôturé"),"≤ 7 j",""))</f>
        <v/>
      </c>
      <c r="M110" s="29">
        <f>IF($B110="","",IFERROR(INDEX($T$4:$T$3183,MATCH(SMALL($V$4:$V$3183,107),$V$4:$V$3183,0)),""))</f>
        <v/>
      </c>
      <c r="O110">
        <f>IF(INDEX(Suivi!$B:$B,113)="","",INDEX(Suivi!$B:$B,113))</f>
        <v/>
      </c>
      <c r="P110">
        <f>IF($O110="","",IF(INDEX(Suivi!$D:$D,113)="",INDEX(Suivi!$C:$C,113),INDEX(Suivi!$D:$D,113)))</f>
        <v/>
      </c>
      <c r="Q110">
        <f>IF($O110="","",INDEX(Suivi!$E:$E,113))</f>
        <v/>
      </c>
      <c r="R110">
        <f>IF($O110="","",INDEX(Suivi!$F:$F,113))</f>
        <v/>
      </c>
      <c r="S110">
        <f>IF($O110="","",INDEX(Suivi!$G:$G,113))</f>
        <v/>
      </c>
      <c r="T110">
        <f>IF($O110="","",IF(INDEX(Dossiers!$F$4:$F$63,3)="","",INDEX(Dossiers!$F$4:$F$63,3)))</f>
        <v/>
      </c>
      <c r="U110">
        <f>IF($O110="","",IF(INDEX(Dossiers!$G$4:$G$63,3)="","",INDEX(Dossiers!$G$4:$G$63,3)))</f>
        <v/>
      </c>
      <c r="V110">
        <f>IF(OR($O110="",NOT(ISNUMBER($Q110))),"",$Q110*1000000+110)</f>
        <v/>
      </c>
      <c r="W110" s="29">
        <f>IF($B110="","",IFERROR(INDEX($U$4:$U$3183,MATCH(SMALL($V$4:$V$3183,107),$V$4:$V$3183,0)),""))</f>
        <v/>
      </c>
    </row>
    <row r="111">
      <c r="A111">
        <f>IFERROR(INDEX($N$4:$N$3183,MATCH(SMALL($V$4:$V$3183,108),$V$4:$V$3183,0)),"")</f>
        <v/>
      </c>
      <c r="B111">
        <f>IFERROR(INDEX($O$4:$O$3183,MATCH(SMALL($V$4:$V$3183,108),$V$4:$V$3183,0)),"")</f>
        <v/>
      </c>
      <c r="C111">
        <f>IFERROR(INDEX($P$4:$P$3183,MATCH(SMALL($V$4:$V$3183,108),$V$4:$V$3183,0)),"")</f>
        <v/>
      </c>
      <c r="D111" s="29">
        <f>IFERROR(INDEX($Q$4:$Q$3183,MATCH(SMALL($V$4:$V$3183,108),$V$4:$V$3183,0)),"")</f>
        <v/>
      </c>
      <c r="E111" s="29">
        <f>IFERROR(INDEX($R$4:$R$3183,MATCH(SMALL($V$4:$V$3183,108),$V$4:$V$3183,0)),"")</f>
        <v/>
      </c>
      <c r="F111">
        <f>IFERROR(INDEX($S$4:$S$3183,MATCH(SMALL($V$4:$V$3183,108),$V$4:$V$3183,0)),"")</f>
        <v/>
      </c>
      <c r="I111" s="29">
        <f>IF($B111="","",IFERROR(INDEX($U$4:$U$3183,MATCH(SMALL($V$4:$V$3183,108),$V$4:$V$3183,0)),""))</f>
        <v/>
      </c>
      <c r="J111">
        <f>IF($B111="","",IF($D111&gt;$F$2,"À venir",IF($E111&lt;$D$2,"Passé","Dans la période")))</f>
        <v/>
      </c>
      <c r="K111">
        <f>IF(OR($B111="",NOT(ISNUMBER($D111))),"",IF(AND($E111&lt;$D$2,$G111&lt;&gt;"X",$F111&lt;&gt;"Réalisé",$F111&lt;&gt;"Clôturé"),"RETARD",""))</f>
        <v/>
      </c>
      <c r="L111">
        <f>IF(OR($B111="",NOT(ISNUMBER($D111))),"",IF(AND($D111&gt;=$D$2,$D111&lt;=$H$2,$G111&lt;&gt;"X",$F111&lt;&gt;"Réalisé",$F111&lt;&gt;"Clôturé"),"≤ 7 j",""))</f>
        <v/>
      </c>
      <c r="M111" s="29">
        <f>IF($B111="","",IFERROR(INDEX($T$4:$T$3183,MATCH(SMALL($V$4:$V$3183,108),$V$4:$V$3183,0)),""))</f>
        <v/>
      </c>
      <c r="O111">
        <f>IF(INDEX(Suivi!$B:$B,114)="","",INDEX(Suivi!$B:$B,114))</f>
        <v/>
      </c>
      <c r="P111">
        <f>IF($O111="","",IF(INDEX(Suivi!$D:$D,114)="",INDEX(Suivi!$C:$C,114),INDEX(Suivi!$D:$D,114)))</f>
        <v/>
      </c>
      <c r="Q111">
        <f>IF($O111="","",INDEX(Suivi!$E:$E,114))</f>
        <v/>
      </c>
      <c r="R111">
        <f>IF($O111="","",INDEX(Suivi!$F:$F,114))</f>
        <v/>
      </c>
      <c r="S111">
        <f>IF($O111="","",INDEX(Suivi!$G:$G,114))</f>
        <v/>
      </c>
      <c r="T111">
        <f>IF($O111="","",IF(INDEX(Dossiers!$F$4:$F$63,3)="","",INDEX(Dossiers!$F$4:$F$63,3)))</f>
        <v/>
      </c>
      <c r="U111">
        <f>IF($O111="","",IF(INDEX(Dossiers!$G$4:$G$63,3)="","",INDEX(Dossiers!$G$4:$G$63,3)))</f>
        <v/>
      </c>
      <c r="V111">
        <f>IF(OR($O111="",NOT(ISNUMBER($Q111))),"",$Q111*1000000+111)</f>
        <v/>
      </c>
      <c r="W111" s="29">
        <f>IF($B111="","",IFERROR(INDEX($U$4:$U$3183,MATCH(SMALL($V$4:$V$3183,108),$V$4:$V$3183,0)),""))</f>
        <v/>
      </c>
    </row>
    <row r="112">
      <c r="A112">
        <f>IFERROR(INDEX($N$4:$N$3183,MATCH(SMALL($V$4:$V$3183,109),$V$4:$V$3183,0)),"")</f>
        <v/>
      </c>
      <c r="B112">
        <f>IFERROR(INDEX($O$4:$O$3183,MATCH(SMALL($V$4:$V$3183,109),$V$4:$V$3183,0)),"")</f>
        <v/>
      </c>
      <c r="C112">
        <f>IFERROR(INDEX($P$4:$P$3183,MATCH(SMALL($V$4:$V$3183,109),$V$4:$V$3183,0)),"")</f>
        <v/>
      </c>
      <c r="D112" s="29">
        <f>IFERROR(INDEX($Q$4:$Q$3183,MATCH(SMALL($V$4:$V$3183,109),$V$4:$V$3183,0)),"")</f>
        <v/>
      </c>
      <c r="E112" s="29">
        <f>IFERROR(INDEX($R$4:$R$3183,MATCH(SMALL($V$4:$V$3183,109),$V$4:$V$3183,0)),"")</f>
        <v/>
      </c>
      <c r="F112">
        <f>IFERROR(INDEX($S$4:$S$3183,MATCH(SMALL($V$4:$V$3183,109),$V$4:$V$3183,0)),"")</f>
        <v/>
      </c>
      <c r="I112" s="29">
        <f>IF($B112="","",IFERROR(INDEX($U$4:$U$3183,MATCH(SMALL($V$4:$V$3183,109),$V$4:$V$3183,0)),""))</f>
        <v/>
      </c>
      <c r="J112">
        <f>IF($B112="","",IF($D112&gt;$F$2,"À venir",IF($E112&lt;$D$2,"Passé","Dans la période")))</f>
        <v/>
      </c>
      <c r="K112">
        <f>IF(OR($B112="",NOT(ISNUMBER($D112))),"",IF(AND($E112&lt;$D$2,$G112&lt;&gt;"X",$F112&lt;&gt;"Réalisé",$F112&lt;&gt;"Clôturé"),"RETARD",""))</f>
        <v/>
      </c>
      <c r="L112">
        <f>IF(OR($B112="",NOT(ISNUMBER($D112))),"",IF(AND($D112&gt;=$D$2,$D112&lt;=$H$2,$G112&lt;&gt;"X",$F112&lt;&gt;"Réalisé",$F112&lt;&gt;"Clôturé"),"≤ 7 j",""))</f>
        <v/>
      </c>
      <c r="M112" s="29">
        <f>IF($B112="","",IFERROR(INDEX($T$4:$T$3183,MATCH(SMALL($V$4:$V$3183,109),$V$4:$V$3183,0)),""))</f>
        <v/>
      </c>
      <c r="O112">
        <f>IF(INDEX(Suivi!$B:$B,115)="","",INDEX(Suivi!$B:$B,115))</f>
        <v/>
      </c>
      <c r="P112">
        <f>IF($O112="","",IF(INDEX(Suivi!$D:$D,115)="",INDEX(Suivi!$C:$C,115),INDEX(Suivi!$D:$D,115)))</f>
        <v/>
      </c>
      <c r="Q112">
        <f>IF($O112="","",INDEX(Suivi!$E:$E,115))</f>
        <v/>
      </c>
      <c r="R112">
        <f>IF($O112="","",INDEX(Suivi!$F:$F,115))</f>
        <v/>
      </c>
      <c r="S112">
        <f>IF($O112="","",INDEX(Suivi!$G:$G,115))</f>
        <v/>
      </c>
      <c r="T112">
        <f>IF($O112="","",IF(INDEX(Dossiers!$F$4:$F$63,3)="","",INDEX(Dossiers!$F$4:$F$63,3)))</f>
        <v/>
      </c>
      <c r="U112">
        <f>IF($O112="","",IF(INDEX(Dossiers!$G$4:$G$63,3)="","",INDEX(Dossiers!$G$4:$G$63,3)))</f>
        <v/>
      </c>
      <c r="V112">
        <f>IF(OR($O112="",NOT(ISNUMBER($Q112))),"",$Q112*1000000+112)</f>
        <v/>
      </c>
      <c r="W112" s="29">
        <f>IF($B112="","",IFERROR(INDEX($U$4:$U$3183,MATCH(SMALL($V$4:$V$3183,109),$V$4:$V$3183,0)),""))</f>
        <v/>
      </c>
    </row>
    <row r="113">
      <c r="A113">
        <f>IFERROR(INDEX($N$4:$N$3183,MATCH(SMALL($V$4:$V$3183,110),$V$4:$V$3183,0)),"")</f>
        <v/>
      </c>
      <c r="B113">
        <f>IFERROR(INDEX($O$4:$O$3183,MATCH(SMALL($V$4:$V$3183,110),$V$4:$V$3183,0)),"")</f>
        <v/>
      </c>
      <c r="C113">
        <f>IFERROR(INDEX($P$4:$P$3183,MATCH(SMALL($V$4:$V$3183,110),$V$4:$V$3183,0)),"")</f>
        <v/>
      </c>
      <c r="D113" s="29">
        <f>IFERROR(INDEX($Q$4:$Q$3183,MATCH(SMALL($V$4:$V$3183,110),$V$4:$V$3183,0)),"")</f>
        <v/>
      </c>
      <c r="E113" s="29">
        <f>IFERROR(INDEX($R$4:$R$3183,MATCH(SMALL($V$4:$V$3183,110),$V$4:$V$3183,0)),"")</f>
        <v/>
      </c>
      <c r="F113">
        <f>IFERROR(INDEX($S$4:$S$3183,MATCH(SMALL($V$4:$V$3183,110),$V$4:$V$3183,0)),"")</f>
        <v/>
      </c>
      <c r="I113" s="29">
        <f>IF($B113="","",IFERROR(INDEX($U$4:$U$3183,MATCH(SMALL($V$4:$V$3183,110),$V$4:$V$3183,0)),""))</f>
        <v/>
      </c>
      <c r="J113">
        <f>IF($B113="","",IF($D113&gt;$F$2,"À venir",IF($E113&lt;$D$2,"Passé","Dans la période")))</f>
        <v/>
      </c>
      <c r="K113">
        <f>IF(OR($B113="",NOT(ISNUMBER($D113))),"",IF(AND($E113&lt;$D$2,$G113&lt;&gt;"X",$F113&lt;&gt;"Réalisé",$F113&lt;&gt;"Clôturé"),"RETARD",""))</f>
        <v/>
      </c>
      <c r="L113">
        <f>IF(OR($B113="",NOT(ISNUMBER($D113))),"",IF(AND($D113&gt;=$D$2,$D113&lt;=$H$2,$G113&lt;&gt;"X",$F113&lt;&gt;"Réalisé",$F113&lt;&gt;"Clôturé"),"≤ 7 j",""))</f>
        <v/>
      </c>
      <c r="M113" s="29">
        <f>IF($B113="","",IFERROR(INDEX($T$4:$T$3183,MATCH(SMALL($V$4:$V$3183,110),$V$4:$V$3183,0)),""))</f>
        <v/>
      </c>
      <c r="O113">
        <f>IF(INDEX(Suivi!$B:$B,116)="","",INDEX(Suivi!$B:$B,116))</f>
        <v/>
      </c>
      <c r="P113">
        <f>IF($O113="","",IF(INDEX(Suivi!$D:$D,116)="",INDEX(Suivi!$C:$C,116),INDEX(Suivi!$D:$D,116)))</f>
        <v/>
      </c>
      <c r="Q113">
        <f>IF($O113="","",INDEX(Suivi!$E:$E,116))</f>
        <v/>
      </c>
      <c r="R113">
        <f>IF($O113="","",INDEX(Suivi!$F:$F,116))</f>
        <v/>
      </c>
      <c r="S113">
        <f>IF($O113="","",INDEX(Suivi!$G:$G,116))</f>
        <v/>
      </c>
      <c r="T113">
        <f>IF($O113="","",IF(INDEX(Dossiers!$F$4:$F$63,3)="","",INDEX(Dossiers!$F$4:$F$63,3)))</f>
        <v/>
      </c>
      <c r="U113">
        <f>IF($O113="","",IF(INDEX(Dossiers!$G$4:$G$63,3)="","",INDEX(Dossiers!$G$4:$G$63,3)))</f>
        <v/>
      </c>
      <c r="V113">
        <f>IF(OR($O113="",NOT(ISNUMBER($Q113))),"",$Q113*1000000+113)</f>
        <v/>
      </c>
      <c r="W113" s="29">
        <f>IF($B113="","",IFERROR(INDEX($U$4:$U$3183,MATCH(SMALL($V$4:$V$3183,110),$V$4:$V$3183,0)),""))</f>
        <v/>
      </c>
    </row>
    <row r="114">
      <c r="A114">
        <f>IFERROR(INDEX($N$4:$N$3183,MATCH(SMALL($V$4:$V$3183,111),$V$4:$V$3183,0)),"")</f>
        <v/>
      </c>
      <c r="B114">
        <f>IFERROR(INDEX($O$4:$O$3183,MATCH(SMALL($V$4:$V$3183,111),$V$4:$V$3183,0)),"")</f>
        <v/>
      </c>
      <c r="C114">
        <f>IFERROR(INDEX($P$4:$P$3183,MATCH(SMALL($V$4:$V$3183,111),$V$4:$V$3183,0)),"")</f>
        <v/>
      </c>
      <c r="D114" s="29">
        <f>IFERROR(INDEX($Q$4:$Q$3183,MATCH(SMALL($V$4:$V$3183,111),$V$4:$V$3183,0)),"")</f>
        <v/>
      </c>
      <c r="E114" s="29">
        <f>IFERROR(INDEX($R$4:$R$3183,MATCH(SMALL($V$4:$V$3183,111),$V$4:$V$3183,0)),"")</f>
        <v/>
      </c>
      <c r="F114">
        <f>IFERROR(INDEX($S$4:$S$3183,MATCH(SMALL($V$4:$V$3183,111),$V$4:$V$3183,0)),"")</f>
        <v/>
      </c>
      <c r="I114" s="29">
        <f>IF($B114="","",IFERROR(INDEX($U$4:$U$3183,MATCH(SMALL($V$4:$V$3183,111),$V$4:$V$3183,0)),""))</f>
        <v/>
      </c>
      <c r="J114">
        <f>IF($B114="","",IF($D114&gt;$F$2,"À venir",IF($E114&lt;$D$2,"Passé","Dans la période")))</f>
        <v/>
      </c>
      <c r="K114">
        <f>IF(OR($B114="",NOT(ISNUMBER($D114))),"",IF(AND($E114&lt;$D$2,$G114&lt;&gt;"X",$F114&lt;&gt;"Réalisé",$F114&lt;&gt;"Clôturé"),"RETARD",""))</f>
        <v/>
      </c>
      <c r="L114">
        <f>IF(OR($B114="",NOT(ISNUMBER($D114))),"",IF(AND($D114&gt;=$D$2,$D114&lt;=$H$2,$G114&lt;&gt;"X",$F114&lt;&gt;"Réalisé",$F114&lt;&gt;"Clôturé"),"≤ 7 j",""))</f>
        <v/>
      </c>
      <c r="M114" s="29">
        <f>IF($B114="","",IFERROR(INDEX($T$4:$T$3183,MATCH(SMALL($V$4:$V$3183,111),$V$4:$V$3183,0)),""))</f>
        <v/>
      </c>
      <c r="O114">
        <f>IF(INDEX(Suivi!$B:$B,117)="","",INDEX(Suivi!$B:$B,117))</f>
        <v/>
      </c>
      <c r="P114">
        <f>IF($O114="","",IF(INDEX(Suivi!$D:$D,117)="",INDEX(Suivi!$C:$C,117),INDEX(Suivi!$D:$D,117)))</f>
        <v/>
      </c>
      <c r="Q114">
        <f>IF($O114="","",INDEX(Suivi!$E:$E,117))</f>
        <v/>
      </c>
      <c r="R114">
        <f>IF($O114="","",INDEX(Suivi!$F:$F,117))</f>
        <v/>
      </c>
      <c r="S114">
        <f>IF($O114="","",INDEX(Suivi!$G:$G,117))</f>
        <v/>
      </c>
      <c r="T114">
        <f>IF($O114="","",IF(INDEX(Dossiers!$F$4:$F$63,3)="","",INDEX(Dossiers!$F$4:$F$63,3)))</f>
        <v/>
      </c>
      <c r="U114">
        <f>IF($O114="","",IF(INDEX(Dossiers!$G$4:$G$63,3)="","",INDEX(Dossiers!$G$4:$G$63,3)))</f>
        <v/>
      </c>
      <c r="V114">
        <f>IF(OR($O114="",NOT(ISNUMBER($Q114))),"",$Q114*1000000+114)</f>
        <v/>
      </c>
      <c r="W114" s="29">
        <f>IF($B114="","",IFERROR(INDEX($U$4:$U$3183,MATCH(SMALL($V$4:$V$3183,111),$V$4:$V$3183,0)),""))</f>
        <v/>
      </c>
    </row>
    <row r="115">
      <c r="A115">
        <f>IFERROR(INDEX($N$4:$N$3183,MATCH(SMALL($V$4:$V$3183,112),$V$4:$V$3183,0)),"")</f>
        <v/>
      </c>
      <c r="B115">
        <f>IFERROR(INDEX($O$4:$O$3183,MATCH(SMALL($V$4:$V$3183,112),$V$4:$V$3183,0)),"")</f>
        <v/>
      </c>
      <c r="C115">
        <f>IFERROR(INDEX($P$4:$P$3183,MATCH(SMALL($V$4:$V$3183,112),$V$4:$V$3183,0)),"")</f>
        <v/>
      </c>
      <c r="D115" s="29">
        <f>IFERROR(INDEX($Q$4:$Q$3183,MATCH(SMALL($V$4:$V$3183,112),$V$4:$V$3183,0)),"")</f>
        <v/>
      </c>
      <c r="E115" s="29">
        <f>IFERROR(INDEX($R$4:$R$3183,MATCH(SMALL($V$4:$V$3183,112),$V$4:$V$3183,0)),"")</f>
        <v/>
      </c>
      <c r="F115">
        <f>IFERROR(INDEX($S$4:$S$3183,MATCH(SMALL($V$4:$V$3183,112),$V$4:$V$3183,0)),"")</f>
        <v/>
      </c>
      <c r="I115" s="29">
        <f>IF($B115="","",IFERROR(INDEX($U$4:$U$3183,MATCH(SMALL($V$4:$V$3183,112),$V$4:$V$3183,0)),""))</f>
        <v/>
      </c>
      <c r="J115">
        <f>IF($B115="","",IF($D115&gt;$F$2,"À venir",IF($E115&lt;$D$2,"Passé","Dans la période")))</f>
        <v/>
      </c>
      <c r="K115">
        <f>IF(OR($B115="",NOT(ISNUMBER($D115))),"",IF(AND($E115&lt;$D$2,$G115&lt;&gt;"X",$F115&lt;&gt;"Réalisé",$F115&lt;&gt;"Clôturé"),"RETARD",""))</f>
        <v/>
      </c>
      <c r="L115">
        <f>IF(OR($B115="",NOT(ISNUMBER($D115))),"",IF(AND($D115&gt;=$D$2,$D115&lt;=$H$2,$G115&lt;&gt;"X",$F115&lt;&gt;"Réalisé",$F115&lt;&gt;"Clôturé"),"≤ 7 j",""))</f>
        <v/>
      </c>
      <c r="M115" s="29">
        <f>IF($B115="","",IFERROR(INDEX($T$4:$T$3183,MATCH(SMALL($V$4:$V$3183,112),$V$4:$V$3183,0)),""))</f>
        <v/>
      </c>
      <c r="O115">
        <f>IF(INDEX(Suivi!$B:$B,118)="","",INDEX(Suivi!$B:$B,118))</f>
        <v/>
      </c>
      <c r="P115">
        <f>IF($O115="","",IF(INDEX(Suivi!$D:$D,118)="",INDEX(Suivi!$C:$C,118),INDEX(Suivi!$D:$D,118)))</f>
        <v/>
      </c>
      <c r="Q115">
        <f>IF($O115="","",INDEX(Suivi!$E:$E,118))</f>
        <v/>
      </c>
      <c r="R115">
        <f>IF($O115="","",INDEX(Suivi!$F:$F,118))</f>
        <v/>
      </c>
      <c r="S115">
        <f>IF($O115="","",INDEX(Suivi!$G:$G,118))</f>
        <v/>
      </c>
      <c r="T115">
        <f>IF($O115="","",IF(INDEX(Dossiers!$F$4:$F$63,3)="","",INDEX(Dossiers!$F$4:$F$63,3)))</f>
        <v/>
      </c>
      <c r="U115">
        <f>IF($O115="","",IF(INDEX(Dossiers!$G$4:$G$63,3)="","",INDEX(Dossiers!$G$4:$G$63,3)))</f>
        <v/>
      </c>
      <c r="V115">
        <f>IF(OR($O115="",NOT(ISNUMBER($Q115))),"",$Q115*1000000+115)</f>
        <v/>
      </c>
      <c r="W115" s="29">
        <f>IF($B115="","",IFERROR(INDEX($U$4:$U$3183,MATCH(SMALL($V$4:$V$3183,112),$V$4:$V$3183,0)),""))</f>
        <v/>
      </c>
    </row>
    <row r="116">
      <c r="A116">
        <f>IFERROR(INDEX($N$4:$N$3183,MATCH(SMALL($V$4:$V$3183,113),$V$4:$V$3183,0)),"")</f>
        <v/>
      </c>
      <c r="B116">
        <f>IFERROR(INDEX($O$4:$O$3183,MATCH(SMALL($V$4:$V$3183,113),$V$4:$V$3183,0)),"")</f>
        <v/>
      </c>
      <c r="C116">
        <f>IFERROR(INDEX($P$4:$P$3183,MATCH(SMALL($V$4:$V$3183,113),$V$4:$V$3183,0)),"")</f>
        <v/>
      </c>
      <c r="D116" s="29">
        <f>IFERROR(INDEX($Q$4:$Q$3183,MATCH(SMALL($V$4:$V$3183,113),$V$4:$V$3183,0)),"")</f>
        <v/>
      </c>
      <c r="E116" s="29">
        <f>IFERROR(INDEX($R$4:$R$3183,MATCH(SMALL($V$4:$V$3183,113),$V$4:$V$3183,0)),"")</f>
        <v/>
      </c>
      <c r="F116">
        <f>IFERROR(INDEX($S$4:$S$3183,MATCH(SMALL($V$4:$V$3183,113),$V$4:$V$3183,0)),"")</f>
        <v/>
      </c>
      <c r="I116" s="29">
        <f>IF($B116="","",IFERROR(INDEX($U$4:$U$3183,MATCH(SMALL($V$4:$V$3183,113),$V$4:$V$3183,0)),""))</f>
        <v/>
      </c>
      <c r="J116">
        <f>IF($B116="","",IF($D116&gt;$F$2,"À venir",IF($E116&lt;$D$2,"Passé","Dans la période")))</f>
        <v/>
      </c>
      <c r="K116">
        <f>IF(OR($B116="",NOT(ISNUMBER($D116))),"",IF(AND($E116&lt;$D$2,$G116&lt;&gt;"X",$F116&lt;&gt;"Réalisé",$F116&lt;&gt;"Clôturé"),"RETARD",""))</f>
        <v/>
      </c>
      <c r="L116">
        <f>IF(OR($B116="",NOT(ISNUMBER($D116))),"",IF(AND($D116&gt;=$D$2,$D116&lt;=$H$2,$G116&lt;&gt;"X",$F116&lt;&gt;"Réalisé",$F116&lt;&gt;"Clôturé"),"≤ 7 j",""))</f>
        <v/>
      </c>
      <c r="M116" s="29">
        <f>IF($B116="","",IFERROR(INDEX($T$4:$T$3183,MATCH(SMALL($V$4:$V$3183,113),$V$4:$V$3183,0)),""))</f>
        <v/>
      </c>
      <c r="O116">
        <f>IF(INDEX(Suivi!$B:$B,119)="","",INDEX(Suivi!$B:$B,119))</f>
        <v/>
      </c>
      <c r="P116">
        <f>IF($O116="","",IF(INDEX(Suivi!$D:$D,119)="",INDEX(Suivi!$C:$C,119),INDEX(Suivi!$D:$D,119)))</f>
        <v/>
      </c>
      <c r="Q116">
        <f>IF($O116="","",INDEX(Suivi!$E:$E,119))</f>
        <v/>
      </c>
      <c r="R116">
        <f>IF($O116="","",INDEX(Suivi!$F:$F,119))</f>
        <v/>
      </c>
      <c r="S116">
        <f>IF($O116="","",INDEX(Suivi!$G:$G,119))</f>
        <v/>
      </c>
      <c r="T116">
        <f>IF($O116="","",IF(INDEX(Dossiers!$F$4:$F$63,3)="","",INDEX(Dossiers!$F$4:$F$63,3)))</f>
        <v/>
      </c>
      <c r="U116">
        <f>IF($O116="","",IF(INDEX(Dossiers!$G$4:$G$63,3)="","",INDEX(Dossiers!$G$4:$G$63,3)))</f>
        <v/>
      </c>
      <c r="V116">
        <f>IF(OR($O116="",NOT(ISNUMBER($Q116))),"",$Q116*1000000+116)</f>
        <v/>
      </c>
      <c r="W116" s="29">
        <f>IF($B116="","",IFERROR(INDEX($U$4:$U$3183,MATCH(SMALL($V$4:$V$3183,113),$V$4:$V$3183,0)),""))</f>
        <v/>
      </c>
    </row>
    <row r="117">
      <c r="A117">
        <f>IFERROR(INDEX($N$4:$N$3183,MATCH(SMALL($V$4:$V$3183,114),$V$4:$V$3183,0)),"")</f>
        <v/>
      </c>
      <c r="B117">
        <f>IFERROR(INDEX($O$4:$O$3183,MATCH(SMALL($V$4:$V$3183,114),$V$4:$V$3183,0)),"")</f>
        <v/>
      </c>
      <c r="C117">
        <f>IFERROR(INDEX($P$4:$P$3183,MATCH(SMALL($V$4:$V$3183,114),$V$4:$V$3183,0)),"")</f>
        <v/>
      </c>
      <c r="D117" s="29">
        <f>IFERROR(INDEX($Q$4:$Q$3183,MATCH(SMALL($V$4:$V$3183,114),$V$4:$V$3183,0)),"")</f>
        <v/>
      </c>
      <c r="E117" s="29">
        <f>IFERROR(INDEX($R$4:$R$3183,MATCH(SMALL($V$4:$V$3183,114),$V$4:$V$3183,0)),"")</f>
        <v/>
      </c>
      <c r="F117">
        <f>IFERROR(INDEX($S$4:$S$3183,MATCH(SMALL($V$4:$V$3183,114),$V$4:$V$3183,0)),"")</f>
        <v/>
      </c>
      <c r="I117" s="29">
        <f>IF($B117="","",IFERROR(INDEX($U$4:$U$3183,MATCH(SMALL($V$4:$V$3183,114),$V$4:$V$3183,0)),""))</f>
        <v/>
      </c>
      <c r="J117">
        <f>IF($B117="","",IF($D117&gt;$F$2,"À venir",IF($E117&lt;$D$2,"Passé","Dans la période")))</f>
        <v/>
      </c>
      <c r="K117">
        <f>IF(OR($B117="",NOT(ISNUMBER($D117))),"",IF(AND($E117&lt;$D$2,$G117&lt;&gt;"X",$F117&lt;&gt;"Réalisé",$F117&lt;&gt;"Clôturé"),"RETARD",""))</f>
        <v/>
      </c>
      <c r="L117">
        <f>IF(OR($B117="",NOT(ISNUMBER($D117))),"",IF(AND($D117&gt;=$D$2,$D117&lt;=$H$2,$G117&lt;&gt;"X",$F117&lt;&gt;"Réalisé",$F117&lt;&gt;"Clôturé"),"≤ 7 j",""))</f>
        <v/>
      </c>
      <c r="M117" s="29">
        <f>IF($B117="","",IFERROR(INDEX($T$4:$T$3183,MATCH(SMALL($V$4:$V$3183,114),$V$4:$V$3183,0)),""))</f>
        <v/>
      </c>
      <c r="O117">
        <f>IF(INDEX(Suivi!$B:$B,120)="","",INDEX(Suivi!$B:$B,120))</f>
        <v/>
      </c>
      <c r="P117">
        <f>IF($O117="","",IF(INDEX(Suivi!$D:$D,120)="",INDEX(Suivi!$C:$C,120),INDEX(Suivi!$D:$D,120)))</f>
        <v/>
      </c>
      <c r="Q117">
        <f>IF($O117="","",INDEX(Suivi!$E:$E,120))</f>
        <v/>
      </c>
      <c r="R117">
        <f>IF($O117="","",INDEX(Suivi!$F:$F,120))</f>
        <v/>
      </c>
      <c r="S117">
        <f>IF($O117="","",INDEX(Suivi!$G:$G,120))</f>
        <v/>
      </c>
      <c r="T117">
        <f>IF($O117="","",IF(INDEX(Dossiers!$F$4:$F$63,3)="","",INDEX(Dossiers!$F$4:$F$63,3)))</f>
        <v/>
      </c>
      <c r="U117">
        <f>IF($O117="","",IF(INDEX(Dossiers!$G$4:$G$63,3)="","",INDEX(Dossiers!$G$4:$G$63,3)))</f>
        <v/>
      </c>
      <c r="V117">
        <f>IF(OR($O117="",NOT(ISNUMBER($Q117))),"",$Q117*1000000+117)</f>
        <v/>
      </c>
      <c r="W117" s="29">
        <f>IF($B117="","",IFERROR(INDEX($U$4:$U$3183,MATCH(SMALL($V$4:$V$3183,114),$V$4:$V$3183,0)),""))</f>
        <v/>
      </c>
    </row>
    <row r="118">
      <c r="A118">
        <f>IFERROR(INDEX($N$4:$N$3183,MATCH(SMALL($V$4:$V$3183,115),$V$4:$V$3183,0)),"")</f>
        <v/>
      </c>
      <c r="B118">
        <f>IFERROR(INDEX($O$4:$O$3183,MATCH(SMALL($V$4:$V$3183,115),$V$4:$V$3183,0)),"")</f>
        <v/>
      </c>
      <c r="C118">
        <f>IFERROR(INDEX($P$4:$P$3183,MATCH(SMALL($V$4:$V$3183,115),$V$4:$V$3183,0)),"")</f>
        <v/>
      </c>
      <c r="D118" s="29">
        <f>IFERROR(INDEX($Q$4:$Q$3183,MATCH(SMALL($V$4:$V$3183,115),$V$4:$V$3183,0)),"")</f>
        <v/>
      </c>
      <c r="E118" s="29">
        <f>IFERROR(INDEX($R$4:$R$3183,MATCH(SMALL($V$4:$V$3183,115),$V$4:$V$3183,0)),"")</f>
        <v/>
      </c>
      <c r="F118">
        <f>IFERROR(INDEX($S$4:$S$3183,MATCH(SMALL($V$4:$V$3183,115),$V$4:$V$3183,0)),"")</f>
        <v/>
      </c>
      <c r="I118" s="29">
        <f>IF($B118="","",IFERROR(INDEX($U$4:$U$3183,MATCH(SMALL($V$4:$V$3183,115),$V$4:$V$3183,0)),""))</f>
        <v/>
      </c>
      <c r="J118">
        <f>IF($B118="","",IF($D118&gt;$F$2,"À venir",IF($E118&lt;$D$2,"Passé","Dans la période")))</f>
        <v/>
      </c>
      <c r="K118">
        <f>IF(OR($B118="",NOT(ISNUMBER($D118))),"",IF(AND($E118&lt;$D$2,$G118&lt;&gt;"X",$F118&lt;&gt;"Réalisé",$F118&lt;&gt;"Clôturé"),"RETARD",""))</f>
        <v/>
      </c>
      <c r="L118">
        <f>IF(OR($B118="",NOT(ISNUMBER($D118))),"",IF(AND($D118&gt;=$D$2,$D118&lt;=$H$2,$G118&lt;&gt;"X",$F118&lt;&gt;"Réalisé",$F118&lt;&gt;"Clôturé"),"≤ 7 j",""))</f>
        <v/>
      </c>
      <c r="M118" s="29">
        <f>IF($B118="","",IFERROR(INDEX($T$4:$T$3183,MATCH(SMALL($V$4:$V$3183,115),$V$4:$V$3183,0)),""))</f>
        <v/>
      </c>
      <c r="O118">
        <f>IF(INDEX(Suivi!$B:$B,121)="","",INDEX(Suivi!$B:$B,121))</f>
        <v/>
      </c>
      <c r="P118">
        <f>IF($O118="","",IF(INDEX(Suivi!$D:$D,121)="",INDEX(Suivi!$C:$C,121),INDEX(Suivi!$D:$D,121)))</f>
        <v/>
      </c>
      <c r="Q118">
        <f>IF($O118="","",INDEX(Suivi!$E:$E,121))</f>
        <v/>
      </c>
      <c r="R118">
        <f>IF($O118="","",INDEX(Suivi!$F:$F,121))</f>
        <v/>
      </c>
      <c r="S118">
        <f>IF($O118="","",INDEX(Suivi!$G:$G,121))</f>
        <v/>
      </c>
      <c r="T118">
        <f>IF($O118="","",IF(INDEX(Dossiers!$F$4:$F$63,3)="","",INDEX(Dossiers!$F$4:$F$63,3)))</f>
        <v/>
      </c>
      <c r="U118">
        <f>IF($O118="","",IF(INDEX(Dossiers!$G$4:$G$63,3)="","",INDEX(Dossiers!$G$4:$G$63,3)))</f>
        <v/>
      </c>
      <c r="V118">
        <f>IF(OR($O118="",NOT(ISNUMBER($Q118))),"",$Q118*1000000+118)</f>
        <v/>
      </c>
      <c r="W118" s="29">
        <f>IF($B118="","",IFERROR(INDEX($U$4:$U$3183,MATCH(SMALL($V$4:$V$3183,115),$V$4:$V$3183,0)),""))</f>
        <v/>
      </c>
    </row>
    <row r="119">
      <c r="A119">
        <f>IFERROR(INDEX($N$4:$N$3183,MATCH(SMALL($V$4:$V$3183,116),$V$4:$V$3183,0)),"")</f>
        <v/>
      </c>
      <c r="B119">
        <f>IFERROR(INDEX($O$4:$O$3183,MATCH(SMALL($V$4:$V$3183,116),$V$4:$V$3183,0)),"")</f>
        <v/>
      </c>
      <c r="C119">
        <f>IFERROR(INDEX($P$4:$P$3183,MATCH(SMALL($V$4:$V$3183,116),$V$4:$V$3183,0)),"")</f>
        <v/>
      </c>
      <c r="D119" s="29">
        <f>IFERROR(INDEX($Q$4:$Q$3183,MATCH(SMALL($V$4:$V$3183,116),$V$4:$V$3183,0)),"")</f>
        <v/>
      </c>
      <c r="E119" s="29">
        <f>IFERROR(INDEX($R$4:$R$3183,MATCH(SMALL($V$4:$V$3183,116),$V$4:$V$3183,0)),"")</f>
        <v/>
      </c>
      <c r="F119">
        <f>IFERROR(INDEX($S$4:$S$3183,MATCH(SMALL($V$4:$V$3183,116),$V$4:$V$3183,0)),"")</f>
        <v/>
      </c>
      <c r="I119" s="29">
        <f>IF($B119="","",IFERROR(INDEX($U$4:$U$3183,MATCH(SMALL($V$4:$V$3183,116),$V$4:$V$3183,0)),""))</f>
        <v/>
      </c>
      <c r="J119">
        <f>IF($B119="","",IF($D119&gt;$F$2,"À venir",IF($E119&lt;$D$2,"Passé","Dans la période")))</f>
        <v/>
      </c>
      <c r="K119">
        <f>IF(OR($B119="",NOT(ISNUMBER($D119))),"",IF(AND($E119&lt;$D$2,$G119&lt;&gt;"X",$F119&lt;&gt;"Réalisé",$F119&lt;&gt;"Clôturé"),"RETARD",""))</f>
        <v/>
      </c>
      <c r="L119">
        <f>IF(OR($B119="",NOT(ISNUMBER($D119))),"",IF(AND($D119&gt;=$D$2,$D119&lt;=$H$2,$G119&lt;&gt;"X",$F119&lt;&gt;"Réalisé",$F119&lt;&gt;"Clôturé"),"≤ 7 j",""))</f>
        <v/>
      </c>
      <c r="M119" s="29">
        <f>IF($B119="","",IFERROR(INDEX($T$4:$T$3183,MATCH(SMALL($V$4:$V$3183,116),$V$4:$V$3183,0)),""))</f>
        <v/>
      </c>
      <c r="O119">
        <f>IF(INDEX(Suivi!$B:$B,122)="","",INDEX(Suivi!$B:$B,122))</f>
        <v/>
      </c>
      <c r="P119">
        <f>IF($O119="","",IF(INDEX(Suivi!$D:$D,122)="",INDEX(Suivi!$C:$C,122),INDEX(Suivi!$D:$D,122)))</f>
        <v/>
      </c>
      <c r="Q119">
        <f>IF($O119="","",INDEX(Suivi!$E:$E,122))</f>
        <v/>
      </c>
      <c r="R119">
        <f>IF($O119="","",INDEX(Suivi!$F:$F,122))</f>
        <v/>
      </c>
      <c r="S119">
        <f>IF($O119="","",INDEX(Suivi!$G:$G,122))</f>
        <v/>
      </c>
      <c r="T119">
        <f>IF($O119="","",IF(INDEX(Dossiers!$F$4:$F$63,3)="","",INDEX(Dossiers!$F$4:$F$63,3)))</f>
        <v/>
      </c>
      <c r="U119">
        <f>IF($O119="","",IF(INDEX(Dossiers!$G$4:$G$63,3)="","",INDEX(Dossiers!$G$4:$G$63,3)))</f>
        <v/>
      </c>
      <c r="V119">
        <f>IF(OR($O119="",NOT(ISNUMBER($Q119))),"",$Q119*1000000+119)</f>
        <v/>
      </c>
      <c r="W119" s="29">
        <f>IF($B119="","",IFERROR(INDEX($U$4:$U$3183,MATCH(SMALL($V$4:$V$3183,116),$V$4:$V$3183,0)),""))</f>
        <v/>
      </c>
    </row>
    <row r="120">
      <c r="A120">
        <f>IFERROR(INDEX($N$4:$N$3183,MATCH(SMALL($V$4:$V$3183,117),$V$4:$V$3183,0)),"")</f>
        <v/>
      </c>
      <c r="B120">
        <f>IFERROR(INDEX($O$4:$O$3183,MATCH(SMALL($V$4:$V$3183,117),$V$4:$V$3183,0)),"")</f>
        <v/>
      </c>
      <c r="C120">
        <f>IFERROR(INDEX($P$4:$P$3183,MATCH(SMALL($V$4:$V$3183,117),$V$4:$V$3183,0)),"")</f>
        <v/>
      </c>
      <c r="D120" s="29">
        <f>IFERROR(INDEX($Q$4:$Q$3183,MATCH(SMALL($V$4:$V$3183,117),$V$4:$V$3183,0)),"")</f>
        <v/>
      </c>
      <c r="E120" s="29">
        <f>IFERROR(INDEX($R$4:$R$3183,MATCH(SMALL($V$4:$V$3183,117),$V$4:$V$3183,0)),"")</f>
        <v/>
      </c>
      <c r="F120">
        <f>IFERROR(INDEX($S$4:$S$3183,MATCH(SMALL($V$4:$V$3183,117),$V$4:$V$3183,0)),"")</f>
        <v/>
      </c>
      <c r="I120" s="29">
        <f>IF($B120="","",IFERROR(INDEX($U$4:$U$3183,MATCH(SMALL($V$4:$V$3183,117),$V$4:$V$3183,0)),""))</f>
        <v/>
      </c>
      <c r="J120">
        <f>IF($B120="","",IF($D120&gt;$F$2,"À venir",IF($E120&lt;$D$2,"Passé","Dans la période")))</f>
        <v/>
      </c>
      <c r="K120">
        <f>IF(OR($B120="",NOT(ISNUMBER($D120))),"",IF(AND($E120&lt;$D$2,$G120&lt;&gt;"X",$F120&lt;&gt;"Réalisé",$F120&lt;&gt;"Clôturé"),"RETARD",""))</f>
        <v/>
      </c>
      <c r="L120">
        <f>IF(OR($B120="",NOT(ISNUMBER($D120))),"",IF(AND($D120&gt;=$D$2,$D120&lt;=$H$2,$G120&lt;&gt;"X",$F120&lt;&gt;"Réalisé",$F120&lt;&gt;"Clôturé"),"≤ 7 j",""))</f>
        <v/>
      </c>
      <c r="M120" s="29">
        <f>IF($B120="","",IFERROR(INDEX($T$4:$T$3183,MATCH(SMALL($V$4:$V$3183,117),$V$4:$V$3183,0)),""))</f>
        <v/>
      </c>
      <c r="O120">
        <f>IF(INDEX(Suivi!$B:$B,123)="","",INDEX(Suivi!$B:$B,123))</f>
        <v/>
      </c>
      <c r="P120">
        <f>IF($O120="","",IF(INDEX(Suivi!$D:$D,123)="",INDEX(Suivi!$C:$C,123),INDEX(Suivi!$D:$D,123)))</f>
        <v/>
      </c>
      <c r="Q120">
        <f>IF($O120="","",INDEX(Suivi!$E:$E,123))</f>
        <v/>
      </c>
      <c r="R120">
        <f>IF($O120="","",INDEX(Suivi!$F:$F,123))</f>
        <v/>
      </c>
      <c r="S120">
        <f>IF($O120="","",INDEX(Suivi!$G:$G,123))</f>
        <v/>
      </c>
      <c r="T120">
        <f>IF($O120="","",IF(INDEX(Dossiers!$F$4:$F$63,3)="","",INDEX(Dossiers!$F$4:$F$63,3)))</f>
        <v/>
      </c>
      <c r="U120">
        <f>IF($O120="","",IF(INDEX(Dossiers!$G$4:$G$63,3)="","",INDEX(Dossiers!$G$4:$G$63,3)))</f>
        <v/>
      </c>
      <c r="V120">
        <f>IF(OR($O120="",NOT(ISNUMBER($Q120))),"",$Q120*1000000+120)</f>
        <v/>
      </c>
      <c r="W120" s="29">
        <f>IF($B120="","",IFERROR(INDEX($U$4:$U$3183,MATCH(SMALL($V$4:$V$3183,117),$V$4:$V$3183,0)),""))</f>
        <v/>
      </c>
    </row>
    <row r="121">
      <c r="A121">
        <f>IFERROR(INDEX($N$4:$N$3183,MATCH(SMALL($V$4:$V$3183,118),$V$4:$V$3183,0)),"")</f>
        <v/>
      </c>
      <c r="B121">
        <f>IFERROR(INDEX($O$4:$O$3183,MATCH(SMALL($V$4:$V$3183,118),$V$4:$V$3183,0)),"")</f>
        <v/>
      </c>
      <c r="C121">
        <f>IFERROR(INDEX($P$4:$P$3183,MATCH(SMALL($V$4:$V$3183,118),$V$4:$V$3183,0)),"")</f>
        <v/>
      </c>
      <c r="D121" s="29">
        <f>IFERROR(INDEX($Q$4:$Q$3183,MATCH(SMALL($V$4:$V$3183,118),$V$4:$V$3183,0)),"")</f>
        <v/>
      </c>
      <c r="E121" s="29">
        <f>IFERROR(INDEX($R$4:$R$3183,MATCH(SMALL($V$4:$V$3183,118),$V$4:$V$3183,0)),"")</f>
        <v/>
      </c>
      <c r="F121">
        <f>IFERROR(INDEX($S$4:$S$3183,MATCH(SMALL($V$4:$V$3183,118),$V$4:$V$3183,0)),"")</f>
        <v/>
      </c>
      <c r="I121" s="29">
        <f>IF($B121="","",IFERROR(INDEX($U$4:$U$3183,MATCH(SMALL($V$4:$V$3183,118),$V$4:$V$3183,0)),""))</f>
        <v/>
      </c>
      <c r="J121">
        <f>IF($B121="","",IF($D121&gt;$F$2,"À venir",IF($E121&lt;$D$2,"Passé","Dans la période")))</f>
        <v/>
      </c>
      <c r="K121">
        <f>IF(OR($B121="",NOT(ISNUMBER($D121))),"",IF(AND($E121&lt;$D$2,$G121&lt;&gt;"X",$F121&lt;&gt;"Réalisé",$F121&lt;&gt;"Clôturé"),"RETARD",""))</f>
        <v/>
      </c>
      <c r="L121">
        <f>IF(OR($B121="",NOT(ISNUMBER($D121))),"",IF(AND($D121&gt;=$D$2,$D121&lt;=$H$2,$G121&lt;&gt;"X",$F121&lt;&gt;"Réalisé",$F121&lt;&gt;"Clôturé"),"≤ 7 j",""))</f>
        <v/>
      </c>
      <c r="M121" s="29">
        <f>IF($B121="","",IFERROR(INDEX($T$4:$T$3183,MATCH(SMALL($V$4:$V$3183,118),$V$4:$V$3183,0)),""))</f>
        <v/>
      </c>
      <c r="O121">
        <f>IF(INDEX(Suivi!$B:$B,124)="","",INDEX(Suivi!$B:$B,124))</f>
        <v/>
      </c>
      <c r="P121">
        <f>IF($O121="","",IF(INDEX(Suivi!$D:$D,124)="",INDEX(Suivi!$C:$C,124),INDEX(Suivi!$D:$D,124)))</f>
        <v/>
      </c>
      <c r="Q121">
        <f>IF($O121="","",INDEX(Suivi!$E:$E,124))</f>
        <v/>
      </c>
      <c r="R121">
        <f>IF($O121="","",INDEX(Suivi!$F:$F,124))</f>
        <v/>
      </c>
      <c r="S121">
        <f>IF($O121="","",INDEX(Suivi!$G:$G,124))</f>
        <v/>
      </c>
      <c r="T121">
        <f>IF($O121="","",IF(INDEX(Dossiers!$F$4:$F$63,3)="","",INDEX(Dossiers!$F$4:$F$63,3)))</f>
        <v/>
      </c>
      <c r="U121">
        <f>IF($O121="","",IF(INDEX(Dossiers!$G$4:$G$63,3)="","",INDEX(Dossiers!$G$4:$G$63,3)))</f>
        <v/>
      </c>
      <c r="V121">
        <f>IF(OR($O121="",NOT(ISNUMBER($Q121))),"",$Q121*1000000+121)</f>
        <v/>
      </c>
      <c r="W121" s="29">
        <f>IF($B121="","",IFERROR(INDEX($U$4:$U$3183,MATCH(SMALL($V$4:$V$3183,118),$V$4:$V$3183,0)),""))</f>
        <v/>
      </c>
    </row>
    <row r="122">
      <c r="A122">
        <f>IFERROR(INDEX($N$4:$N$3183,MATCH(SMALL($V$4:$V$3183,119),$V$4:$V$3183,0)),"")</f>
        <v/>
      </c>
      <c r="B122">
        <f>IFERROR(INDEX($O$4:$O$3183,MATCH(SMALL($V$4:$V$3183,119),$V$4:$V$3183,0)),"")</f>
        <v/>
      </c>
      <c r="C122">
        <f>IFERROR(INDEX($P$4:$P$3183,MATCH(SMALL($V$4:$V$3183,119),$V$4:$V$3183,0)),"")</f>
        <v/>
      </c>
      <c r="D122" s="29">
        <f>IFERROR(INDEX($Q$4:$Q$3183,MATCH(SMALL($V$4:$V$3183,119),$V$4:$V$3183,0)),"")</f>
        <v/>
      </c>
      <c r="E122" s="29">
        <f>IFERROR(INDEX($R$4:$R$3183,MATCH(SMALL($V$4:$V$3183,119),$V$4:$V$3183,0)),"")</f>
        <v/>
      </c>
      <c r="F122">
        <f>IFERROR(INDEX($S$4:$S$3183,MATCH(SMALL($V$4:$V$3183,119),$V$4:$V$3183,0)),"")</f>
        <v/>
      </c>
      <c r="I122" s="29">
        <f>IF($B122="","",IFERROR(INDEX($U$4:$U$3183,MATCH(SMALL($V$4:$V$3183,119),$V$4:$V$3183,0)),""))</f>
        <v/>
      </c>
      <c r="J122">
        <f>IF($B122="","",IF($D122&gt;$F$2,"À venir",IF($E122&lt;$D$2,"Passé","Dans la période")))</f>
        <v/>
      </c>
      <c r="K122">
        <f>IF(OR($B122="",NOT(ISNUMBER($D122))),"",IF(AND($E122&lt;$D$2,$G122&lt;&gt;"X",$F122&lt;&gt;"Réalisé",$F122&lt;&gt;"Clôturé"),"RETARD",""))</f>
        <v/>
      </c>
      <c r="L122">
        <f>IF(OR($B122="",NOT(ISNUMBER($D122))),"",IF(AND($D122&gt;=$D$2,$D122&lt;=$H$2,$G122&lt;&gt;"X",$F122&lt;&gt;"Réalisé",$F122&lt;&gt;"Clôturé"),"≤ 7 j",""))</f>
        <v/>
      </c>
      <c r="M122" s="29">
        <f>IF($B122="","",IFERROR(INDEX($T$4:$T$3183,MATCH(SMALL($V$4:$V$3183,119),$V$4:$V$3183,0)),""))</f>
        <v/>
      </c>
      <c r="O122">
        <f>IF(INDEX(Suivi!$B:$B,125)="","",INDEX(Suivi!$B:$B,125))</f>
        <v/>
      </c>
      <c r="P122">
        <f>IF($O122="","",IF(INDEX(Suivi!$D:$D,125)="",INDEX(Suivi!$C:$C,125),INDEX(Suivi!$D:$D,125)))</f>
        <v/>
      </c>
      <c r="Q122">
        <f>IF($O122="","",INDEX(Suivi!$E:$E,125))</f>
        <v/>
      </c>
      <c r="R122">
        <f>IF($O122="","",INDEX(Suivi!$F:$F,125))</f>
        <v/>
      </c>
      <c r="S122">
        <f>IF($O122="","",INDEX(Suivi!$G:$G,125))</f>
        <v/>
      </c>
      <c r="T122">
        <f>IF($O122="","",IF(INDEX(Dossiers!$F$4:$F$63,3)="","",INDEX(Dossiers!$F$4:$F$63,3)))</f>
        <v/>
      </c>
      <c r="U122">
        <f>IF($O122="","",IF(INDEX(Dossiers!$G$4:$G$63,3)="","",INDEX(Dossiers!$G$4:$G$63,3)))</f>
        <v/>
      </c>
      <c r="V122">
        <f>IF(OR($O122="",NOT(ISNUMBER($Q122))),"",$Q122*1000000+122)</f>
        <v/>
      </c>
      <c r="W122" s="29">
        <f>IF($B122="","",IFERROR(INDEX($U$4:$U$3183,MATCH(SMALL($V$4:$V$3183,119),$V$4:$V$3183,0)),""))</f>
        <v/>
      </c>
    </row>
    <row r="123">
      <c r="A123">
        <f>IFERROR(INDEX($N$4:$N$3183,MATCH(SMALL($V$4:$V$3183,120),$V$4:$V$3183,0)),"")</f>
        <v/>
      </c>
      <c r="B123">
        <f>IFERROR(INDEX($O$4:$O$3183,MATCH(SMALL($V$4:$V$3183,120),$V$4:$V$3183,0)),"")</f>
        <v/>
      </c>
      <c r="C123">
        <f>IFERROR(INDEX($P$4:$P$3183,MATCH(SMALL($V$4:$V$3183,120),$V$4:$V$3183,0)),"")</f>
        <v/>
      </c>
      <c r="D123" s="29">
        <f>IFERROR(INDEX($Q$4:$Q$3183,MATCH(SMALL($V$4:$V$3183,120),$V$4:$V$3183,0)),"")</f>
        <v/>
      </c>
      <c r="E123" s="29">
        <f>IFERROR(INDEX($R$4:$R$3183,MATCH(SMALL($V$4:$V$3183,120),$V$4:$V$3183,0)),"")</f>
        <v/>
      </c>
      <c r="F123">
        <f>IFERROR(INDEX($S$4:$S$3183,MATCH(SMALL($V$4:$V$3183,120),$V$4:$V$3183,0)),"")</f>
        <v/>
      </c>
      <c r="I123" s="29">
        <f>IF($B123="","",IFERROR(INDEX($U$4:$U$3183,MATCH(SMALL($V$4:$V$3183,120),$V$4:$V$3183,0)),""))</f>
        <v/>
      </c>
      <c r="J123">
        <f>IF($B123="","",IF($D123&gt;$F$2,"À venir",IF($E123&lt;$D$2,"Passé","Dans la période")))</f>
        <v/>
      </c>
      <c r="K123">
        <f>IF(OR($B123="",NOT(ISNUMBER($D123))),"",IF(AND($E123&lt;$D$2,$G123&lt;&gt;"X",$F123&lt;&gt;"Réalisé",$F123&lt;&gt;"Clôturé"),"RETARD",""))</f>
        <v/>
      </c>
      <c r="L123">
        <f>IF(OR($B123="",NOT(ISNUMBER($D123))),"",IF(AND($D123&gt;=$D$2,$D123&lt;=$H$2,$G123&lt;&gt;"X",$F123&lt;&gt;"Réalisé",$F123&lt;&gt;"Clôturé"),"≤ 7 j",""))</f>
        <v/>
      </c>
      <c r="M123" s="29">
        <f>IF($B123="","",IFERROR(INDEX($T$4:$T$3183,MATCH(SMALL($V$4:$V$3183,120),$V$4:$V$3183,0)),""))</f>
        <v/>
      </c>
      <c r="O123">
        <f>IF(INDEX(Suivi!$B:$B,126)="","",INDEX(Suivi!$B:$B,126))</f>
        <v/>
      </c>
      <c r="P123">
        <f>IF($O123="","",IF(INDEX(Suivi!$D:$D,126)="",INDEX(Suivi!$C:$C,126),INDEX(Suivi!$D:$D,126)))</f>
        <v/>
      </c>
      <c r="Q123">
        <f>IF($O123="","",INDEX(Suivi!$E:$E,126))</f>
        <v/>
      </c>
      <c r="R123">
        <f>IF($O123="","",INDEX(Suivi!$F:$F,126))</f>
        <v/>
      </c>
      <c r="S123">
        <f>IF($O123="","",INDEX(Suivi!$G:$G,126))</f>
        <v/>
      </c>
      <c r="T123">
        <f>IF($O123="","",IF(INDEX(Dossiers!$F$4:$F$63,3)="","",INDEX(Dossiers!$F$4:$F$63,3)))</f>
        <v/>
      </c>
      <c r="U123">
        <f>IF($O123="","",IF(INDEX(Dossiers!$G$4:$G$63,3)="","",INDEX(Dossiers!$G$4:$G$63,3)))</f>
        <v/>
      </c>
      <c r="V123">
        <f>IF(OR($O123="",NOT(ISNUMBER($Q123))),"",$Q123*1000000+123)</f>
        <v/>
      </c>
      <c r="W123" s="29">
        <f>IF($B123="","",IFERROR(INDEX($U$4:$U$3183,MATCH(SMALL($V$4:$V$3183,120),$V$4:$V$3183,0)),""))</f>
        <v/>
      </c>
    </row>
    <row r="124">
      <c r="A124">
        <f>IFERROR(INDEX($N$4:$N$3183,MATCH(SMALL($V$4:$V$3183,121),$V$4:$V$3183,0)),"")</f>
        <v/>
      </c>
      <c r="B124">
        <f>IFERROR(INDEX($O$4:$O$3183,MATCH(SMALL($V$4:$V$3183,121),$V$4:$V$3183,0)),"")</f>
        <v/>
      </c>
      <c r="C124">
        <f>IFERROR(INDEX($P$4:$P$3183,MATCH(SMALL($V$4:$V$3183,121),$V$4:$V$3183,0)),"")</f>
        <v/>
      </c>
      <c r="D124" s="29">
        <f>IFERROR(INDEX($Q$4:$Q$3183,MATCH(SMALL($V$4:$V$3183,121),$V$4:$V$3183,0)),"")</f>
        <v/>
      </c>
      <c r="E124" s="29">
        <f>IFERROR(INDEX($R$4:$R$3183,MATCH(SMALL($V$4:$V$3183,121),$V$4:$V$3183,0)),"")</f>
        <v/>
      </c>
      <c r="F124">
        <f>IFERROR(INDEX($S$4:$S$3183,MATCH(SMALL($V$4:$V$3183,121),$V$4:$V$3183,0)),"")</f>
        <v/>
      </c>
      <c r="I124" s="29">
        <f>IF($B124="","",IFERROR(INDEX($U$4:$U$3183,MATCH(SMALL($V$4:$V$3183,121),$V$4:$V$3183,0)),""))</f>
        <v/>
      </c>
      <c r="J124">
        <f>IF($B124="","",IF($D124&gt;$F$2,"À venir",IF($E124&lt;$D$2,"Passé","Dans la période")))</f>
        <v/>
      </c>
      <c r="K124">
        <f>IF(OR($B124="",NOT(ISNUMBER($D124))),"",IF(AND($E124&lt;$D$2,$G124&lt;&gt;"X",$F124&lt;&gt;"Réalisé",$F124&lt;&gt;"Clôturé"),"RETARD",""))</f>
        <v/>
      </c>
      <c r="L124">
        <f>IF(OR($B124="",NOT(ISNUMBER($D124))),"",IF(AND($D124&gt;=$D$2,$D124&lt;=$H$2,$G124&lt;&gt;"X",$F124&lt;&gt;"Réalisé",$F124&lt;&gt;"Clôturé"),"≤ 7 j",""))</f>
        <v/>
      </c>
      <c r="M124" s="29">
        <f>IF($B124="","",IFERROR(INDEX($T$4:$T$3183,MATCH(SMALL($V$4:$V$3183,121),$V$4:$V$3183,0)),""))</f>
        <v/>
      </c>
      <c r="O124">
        <f>IF(INDEX(Suivi!$B:$B,127)="","",INDEX(Suivi!$B:$B,127))</f>
        <v/>
      </c>
      <c r="P124">
        <f>IF($O124="","",IF(INDEX(Suivi!$D:$D,127)="",INDEX(Suivi!$C:$C,127),INDEX(Suivi!$D:$D,127)))</f>
        <v/>
      </c>
      <c r="Q124">
        <f>IF($O124="","",INDEX(Suivi!$E:$E,127))</f>
        <v/>
      </c>
      <c r="R124">
        <f>IF($O124="","",INDEX(Suivi!$F:$F,127))</f>
        <v/>
      </c>
      <c r="S124">
        <f>IF($O124="","",INDEX(Suivi!$G:$G,127))</f>
        <v/>
      </c>
      <c r="T124">
        <f>IF($O124="","",IF(INDEX(Dossiers!$F$4:$F$63,3)="","",INDEX(Dossiers!$F$4:$F$63,3)))</f>
        <v/>
      </c>
      <c r="U124">
        <f>IF($O124="","",IF(INDEX(Dossiers!$G$4:$G$63,3)="","",INDEX(Dossiers!$G$4:$G$63,3)))</f>
        <v/>
      </c>
      <c r="V124">
        <f>IF(OR($O124="",NOT(ISNUMBER($Q124))),"",$Q124*1000000+124)</f>
        <v/>
      </c>
      <c r="W124" s="29">
        <f>IF($B124="","",IFERROR(INDEX($U$4:$U$3183,MATCH(SMALL($V$4:$V$3183,121),$V$4:$V$3183,0)),""))</f>
        <v/>
      </c>
    </row>
    <row r="125">
      <c r="A125">
        <f>IFERROR(INDEX($N$4:$N$3183,MATCH(SMALL($V$4:$V$3183,122),$V$4:$V$3183,0)),"")</f>
        <v/>
      </c>
      <c r="B125">
        <f>IFERROR(INDEX($O$4:$O$3183,MATCH(SMALL($V$4:$V$3183,122),$V$4:$V$3183,0)),"")</f>
        <v/>
      </c>
      <c r="C125">
        <f>IFERROR(INDEX($P$4:$P$3183,MATCH(SMALL($V$4:$V$3183,122),$V$4:$V$3183,0)),"")</f>
        <v/>
      </c>
      <c r="D125" s="29">
        <f>IFERROR(INDEX($Q$4:$Q$3183,MATCH(SMALL($V$4:$V$3183,122),$V$4:$V$3183,0)),"")</f>
        <v/>
      </c>
      <c r="E125" s="29">
        <f>IFERROR(INDEX($R$4:$R$3183,MATCH(SMALL($V$4:$V$3183,122),$V$4:$V$3183,0)),"")</f>
        <v/>
      </c>
      <c r="F125">
        <f>IFERROR(INDEX($S$4:$S$3183,MATCH(SMALL($V$4:$V$3183,122),$V$4:$V$3183,0)),"")</f>
        <v/>
      </c>
      <c r="I125" s="29">
        <f>IF($B125="","",IFERROR(INDEX($U$4:$U$3183,MATCH(SMALL($V$4:$V$3183,122),$V$4:$V$3183,0)),""))</f>
        <v/>
      </c>
      <c r="J125">
        <f>IF($B125="","",IF($D125&gt;$F$2,"À venir",IF($E125&lt;$D$2,"Passé","Dans la période")))</f>
        <v/>
      </c>
      <c r="K125">
        <f>IF(OR($B125="",NOT(ISNUMBER($D125))),"",IF(AND($E125&lt;$D$2,$G125&lt;&gt;"X",$F125&lt;&gt;"Réalisé",$F125&lt;&gt;"Clôturé"),"RETARD",""))</f>
        <v/>
      </c>
      <c r="L125">
        <f>IF(OR($B125="",NOT(ISNUMBER($D125))),"",IF(AND($D125&gt;=$D$2,$D125&lt;=$H$2,$G125&lt;&gt;"X",$F125&lt;&gt;"Réalisé",$F125&lt;&gt;"Clôturé"),"≤ 7 j",""))</f>
        <v/>
      </c>
      <c r="M125" s="29">
        <f>IF($B125="","",IFERROR(INDEX($T$4:$T$3183,MATCH(SMALL($V$4:$V$3183,122),$V$4:$V$3183,0)),""))</f>
        <v/>
      </c>
      <c r="O125">
        <f>IF(INDEX(Suivi!$B:$B,128)="","",INDEX(Suivi!$B:$B,128))</f>
        <v/>
      </c>
      <c r="P125">
        <f>IF($O125="","",IF(INDEX(Suivi!$D:$D,128)="",INDEX(Suivi!$C:$C,128),INDEX(Suivi!$D:$D,128)))</f>
        <v/>
      </c>
      <c r="Q125">
        <f>IF($O125="","",INDEX(Suivi!$E:$E,128))</f>
        <v/>
      </c>
      <c r="R125">
        <f>IF($O125="","",INDEX(Suivi!$F:$F,128))</f>
        <v/>
      </c>
      <c r="S125">
        <f>IF($O125="","",INDEX(Suivi!$G:$G,128))</f>
        <v/>
      </c>
      <c r="T125">
        <f>IF($O125="","",IF(INDEX(Dossiers!$F$4:$F$63,3)="","",INDEX(Dossiers!$F$4:$F$63,3)))</f>
        <v/>
      </c>
      <c r="U125">
        <f>IF($O125="","",IF(INDEX(Dossiers!$G$4:$G$63,3)="","",INDEX(Dossiers!$G$4:$G$63,3)))</f>
        <v/>
      </c>
      <c r="V125">
        <f>IF(OR($O125="",NOT(ISNUMBER($Q125))),"",$Q125*1000000+125)</f>
        <v/>
      </c>
      <c r="W125" s="29">
        <f>IF($B125="","",IFERROR(INDEX($U$4:$U$3183,MATCH(SMALL($V$4:$V$3183,122),$V$4:$V$3183,0)),""))</f>
        <v/>
      </c>
    </row>
    <row r="126">
      <c r="A126">
        <f>IFERROR(INDEX($N$4:$N$3183,MATCH(SMALL($V$4:$V$3183,123),$V$4:$V$3183,0)),"")</f>
        <v/>
      </c>
      <c r="B126">
        <f>IFERROR(INDEX($O$4:$O$3183,MATCH(SMALL($V$4:$V$3183,123),$V$4:$V$3183,0)),"")</f>
        <v/>
      </c>
      <c r="C126">
        <f>IFERROR(INDEX($P$4:$P$3183,MATCH(SMALL($V$4:$V$3183,123),$V$4:$V$3183,0)),"")</f>
        <v/>
      </c>
      <c r="D126" s="29">
        <f>IFERROR(INDEX($Q$4:$Q$3183,MATCH(SMALL($V$4:$V$3183,123),$V$4:$V$3183,0)),"")</f>
        <v/>
      </c>
      <c r="E126" s="29">
        <f>IFERROR(INDEX($R$4:$R$3183,MATCH(SMALL($V$4:$V$3183,123),$V$4:$V$3183,0)),"")</f>
        <v/>
      </c>
      <c r="F126">
        <f>IFERROR(INDEX($S$4:$S$3183,MATCH(SMALL($V$4:$V$3183,123),$V$4:$V$3183,0)),"")</f>
        <v/>
      </c>
      <c r="I126" s="29">
        <f>IF($B126="","",IFERROR(INDEX($U$4:$U$3183,MATCH(SMALL($V$4:$V$3183,123),$V$4:$V$3183,0)),""))</f>
        <v/>
      </c>
      <c r="J126">
        <f>IF($B126="","",IF($D126&gt;$F$2,"À venir",IF($E126&lt;$D$2,"Passé","Dans la période")))</f>
        <v/>
      </c>
      <c r="K126">
        <f>IF(OR($B126="",NOT(ISNUMBER($D126))),"",IF(AND($E126&lt;$D$2,$G126&lt;&gt;"X",$F126&lt;&gt;"Réalisé",$F126&lt;&gt;"Clôturé"),"RETARD",""))</f>
        <v/>
      </c>
      <c r="L126">
        <f>IF(OR($B126="",NOT(ISNUMBER($D126))),"",IF(AND($D126&gt;=$D$2,$D126&lt;=$H$2,$G126&lt;&gt;"X",$F126&lt;&gt;"Réalisé",$F126&lt;&gt;"Clôturé"),"≤ 7 j",""))</f>
        <v/>
      </c>
      <c r="M126" s="29">
        <f>IF($B126="","",IFERROR(INDEX($T$4:$T$3183,MATCH(SMALL($V$4:$V$3183,123),$V$4:$V$3183,0)),""))</f>
        <v/>
      </c>
      <c r="O126">
        <f>IF(INDEX(Suivi!$B:$B,129)="","",INDEX(Suivi!$B:$B,129))</f>
        <v/>
      </c>
      <c r="P126">
        <f>IF($O126="","",IF(INDEX(Suivi!$D:$D,129)="",INDEX(Suivi!$C:$C,129),INDEX(Suivi!$D:$D,129)))</f>
        <v/>
      </c>
      <c r="Q126">
        <f>IF($O126="","",INDEX(Suivi!$E:$E,129))</f>
        <v/>
      </c>
      <c r="R126">
        <f>IF($O126="","",INDEX(Suivi!$F:$F,129))</f>
        <v/>
      </c>
      <c r="S126">
        <f>IF($O126="","",INDEX(Suivi!$G:$G,129))</f>
        <v/>
      </c>
      <c r="T126">
        <f>IF($O126="","",IF(INDEX(Dossiers!$F$4:$F$63,3)="","",INDEX(Dossiers!$F$4:$F$63,3)))</f>
        <v/>
      </c>
      <c r="U126">
        <f>IF($O126="","",IF(INDEX(Dossiers!$G$4:$G$63,3)="","",INDEX(Dossiers!$G$4:$G$63,3)))</f>
        <v/>
      </c>
      <c r="V126">
        <f>IF(OR($O126="",NOT(ISNUMBER($Q126))),"",$Q126*1000000+126)</f>
        <v/>
      </c>
      <c r="W126" s="29">
        <f>IF($B126="","",IFERROR(INDEX($U$4:$U$3183,MATCH(SMALL($V$4:$V$3183,123),$V$4:$V$3183,0)),""))</f>
        <v/>
      </c>
    </row>
    <row r="127">
      <c r="A127">
        <f>IFERROR(INDEX($N$4:$N$3183,MATCH(SMALL($V$4:$V$3183,124),$V$4:$V$3183,0)),"")</f>
        <v/>
      </c>
      <c r="B127">
        <f>IFERROR(INDEX($O$4:$O$3183,MATCH(SMALL($V$4:$V$3183,124),$V$4:$V$3183,0)),"")</f>
        <v/>
      </c>
      <c r="C127">
        <f>IFERROR(INDEX($P$4:$P$3183,MATCH(SMALL($V$4:$V$3183,124),$V$4:$V$3183,0)),"")</f>
        <v/>
      </c>
      <c r="D127" s="29">
        <f>IFERROR(INDEX($Q$4:$Q$3183,MATCH(SMALL($V$4:$V$3183,124),$V$4:$V$3183,0)),"")</f>
        <v/>
      </c>
      <c r="E127" s="29">
        <f>IFERROR(INDEX($R$4:$R$3183,MATCH(SMALL($V$4:$V$3183,124),$V$4:$V$3183,0)),"")</f>
        <v/>
      </c>
      <c r="F127">
        <f>IFERROR(INDEX($S$4:$S$3183,MATCH(SMALL($V$4:$V$3183,124),$V$4:$V$3183,0)),"")</f>
        <v/>
      </c>
      <c r="I127" s="29">
        <f>IF($B127="","",IFERROR(INDEX($U$4:$U$3183,MATCH(SMALL($V$4:$V$3183,124),$V$4:$V$3183,0)),""))</f>
        <v/>
      </c>
      <c r="J127">
        <f>IF($B127="","",IF($D127&gt;$F$2,"À venir",IF($E127&lt;$D$2,"Passé","Dans la période")))</f>
        <v/>
      </c>
      <c r="K127">
        <f>IF(OR($B127="",NOT(ISNUMBER($D127))),"",IF(AND($E127&lt;$D$2,$G127&lt;&gt;"X",$F127&lt;&gt;"Réalisé",$F127&lt;&gt;"Clôturé"),"RETARD",""))</f>
        <v/>
      </c>
      <c r="L127">
        <f>IF(OR($B127="",NOT(ISNUMBER($D127))),"",IF(AND($D127&gt;=$D$2,$D127&lt;=$H$2,$G127&lt;&gt;"X",$F127&lt;&gt;"Réalisé",$F127&lt;&gt;"Clôturé"),"≤ 7 j",""))</f>
        <v/>
      </c>
      <c r="M127" s="29">
        <f>IF($B127="","",IFERROR(INDEX($T$4:$T$3183,MATCH(SMALL($V$4:$V$3183,124),$V$4:$V$3183,0)),""))</f>
        <v/>
      </c>
      <c r="O127">
        <f>IF(INDEX(Suivi!$B:$B,130)="","",INDEX(Suivi!$B:$B,130))</f>
        <v/>
      </c>
      <c r="P127">
        <f>IF($O127="","",IF(INDEX(Suivi!$D:$D,130)="",INDEX(Suivi!$C:$C,130),INDEX(Suivi!$D:$D,130)))</f>
        <v/>
      </c>
      <c r="Q127">
        <f>IF($O127="","",INDEX(Suivi!$E:$E,130))</f>
        <v/>
      </c>
      <c r="R127">
        <f>IF($O127="","",INDEX(Suivi!$F:$F,130))</f>
        <v/>
      </c>
      <c r="S127">
        <f>IF($O127="","",INDEX(Suivi!$G:$G,130))</f>
        <v/>
      </c>
      <c r="T127">
        <f>IF($O127="","",IF(INDEX(Dossiers!$F$4:$F$63,3)="","",INDEX(Dossiers!$F$4:$F$63,3)))</f>
        <v/>
      </c>
      <c r="U127">
        <f>IF($O127="","",IF(INDEX(Dossiers!$G$4:$G$63,3)="","",INDEX(Dossiers!$G$4:$G$63,3)))</f>
        <v/>
      </c>
      <c r="V127">
        <f>IF(OR($O127="",NOT(ISNUMBER($Q127))),"",$Q127*1000000+127)</f>
        <v/>
      </c>
      <c r="W127" s="29">
        <f>IF($B127="","",IFERROR(INDEX($U$4:$U$3183,MATCH(SMALL($V$4:$V$3183,124),$V$4:$V$3183,0)),""))</f>
        <v/>
      </c>
    </row>
    <row r="128">
      <c r="A128">
        <f>IFERROR(INDEX($N$4:$N$3183,MATCH(SMALL($V$4:$V$3183,125),$V$4:$V$3183,0)),"")</f>
        <v/>
      </c>
      <c r="B128">
        <f>IFERROR(INDEX($O$4:$O$3183,MATCH(SMALL($V$4:$V$3183,125),$V$4:$V$3183,0)),"")</f>
        <v/>
      </c>
      <c r="C128">
        <f>IFERROR(INDEX($P$4:$P$3183,MATCH(SMALL($V$4:$V$3183,125),$V$4:$V$3183,0)),"")</f>
        <v/>
      </c>
      <c r="D128" s="29">
        <f>IFERROR(INDEX($Q$4:$Q$3183,MATCH(SMALL($V$4:$V$3183,125),$V$4:$V$3183,0)),"")</f>
        <v/>
      </c>
      <c r="E128" s="29">
        <f>IFERROR(INDEX($R$4:$R$3183,MATCH(SMALL($V$4:$V$3183,125),$V$4:$V$3183,0)),"")</f>
        <v/>
      </c>
      <c r="F128">
        <f>IFERROR(INDEX($S$4:$S$3183,MATCH(SMALL($V$4:$V$3183,125),$V$4:$V$3183,0)),"")</f>
        <v/>
      </c>
      <c r="I128" s="29">
        <f>IF($B128="","",IFERROR(INDEX($U$4:$U$3183,MATCH(SMALL($V$4:$V$3183,125),$V$4:$V$3183,0)),""))</f>
        <v/>
      </c>
      <c r="J128">
        <f>IF($B128="","",IF($D128&gt;$F$2,"À venir",IF($E128&lt;$D$2,"Passé","Dans la période")))</f>
        <v/>
      </c>
      <c r="K128">
        <f>IF(OR($B128="",NOT(ISNUMBER($D128))),"",IF(AND($E128&lt;$D$2,$G128&lt;&gt;"X",$F128&lt;&gt;"Réalisé",$F128&lt;&gt;"Clôturé"),"RETARD",""))</f>
        <v/>
      </c>
      <c r="L128">
        <f>IF(OR($B128="",NOT(ISNUMBER($D128))),"",IF(AND($D128&gt;=$D$2,$D128&lt;=$H$2,$G128&lt;&gt;"X",$F128&lt;&gt;"Réalisé",$F128&lt;&gt;"Clôturé"),"≤ 7 j",""))</f>
        <v/>
      </c>
      <c r="M128" s="29">
        <f>IF($B128="","",IFERROR(INDEX($T$4:$T$3183,MATCH(SMALL($V$4:$V$3183,125),$V$4:$V$3183,0)),""))</f>
        <v/>
      </c>
      <c r="O128">
        <f>IF(INDEX(Suivi!$B:$B,131)="","",INDEX(Suivi!$B:$B,131))</f>
        <v/>
      </c>
      <c r="P128">
        <f>IF($O128="","",IF(INDEX(Suivi!$D:$D,131)="",INDEX(Suivi!$C:$C,131),INDEX(Suivi!$D:$D,131)))</f>
        <v/>
      </c>
      <c r="Q128">
        <f>IF($O128="","",INDEX(Suivi!$E:$E,131))</f>
        <v/>
      </c>
      <c r="R128">
        <f>IF($O128="","",INDEX(Suivi!$F:$F,131))</f>
        <v/>
      </c>
      <c r="S128">
        <f>IF($O128="","",INDEX(Suivi!$G:$G,131))</f>
        <v/>
      </c>
      <c r="T128">
        <f>IF($O128="","",IF(INDEX(Dossiers!$F$4:$F$63,3)="","",INDEX(Dossiers!$F$4:$F$63,3)))</f>
        <v/>
      </c>
      <c r="U128">
        <f>IF($O128="","",IF(INDEX(Dossiers!$G$4:$G$63,3)="","",INDEX(Dossiers!$G$4:$G$63,3)))</f>
        <v/>
      </c>
      <c r="V128">
        <f>IF(OR($O128="",NOT(ISNUMBER($Q128))),"",$Q128*1000000+128)</f>
        <v/>
      </c>
      <c r="W128" s="29">
        <f>IF($B128="","",IFERROR(INDEX($U$4:$U$3183,MATCH(SMALL($V$4:$V$3183,125),$V$4:$V$3183,0)),""))</f>
        <v/>
      </c>
    </row>
    <row r="129">
      <c r="A129">
        <f>IFERROR(INDEX($N$4:$N$3183,MATCH(SMALL($V$4:$V$3183,126),$V$4:$V$3183,0)),"")</f>
        <v/>
      </c>
      <c r="B129">
        <f>IFERROR(INDEX($O$4:$O$3183,MATCH(SMALL($V$4:$V$3183,126),$V$4:$V$3183,0)),"")</f>
        <v/>
      </c>
      <c r="C129">
        <f>IFERROR(INDEX($P$4:$P$3183,MATCH(SMALL($V$4:$V$3183,126),$V$4:$V$3183,0)),"")</f>
        <v/>
      </c>
      <c r="D129" s="29">
        <f>IFERROR(INDEX($Q$4:$Q$3183,MATCH(SMALL($V$4:$V$3183,126),$V$4:$V$3183,0)),"")</f>
        <v/>
      </c>
      <c r="E129" s="29">
        <f>IFERROR(INDEX($R$4:$R$3183,MATCH(SMALL($V$4:$V$3183,126),$V$4:$V$3183,0)),"")</f>
        <v/>
      </c>
      <c r="F129">
        <f>IFERROR(INDEX($S$4:$S$3183,MATCH(SMALL($V$4:$V$3183,126),$V$4:$V$3183,0)),"")</f>
        <v/>
      </c>
      <c r="I129" s="29">
        <f>IF($B129="","",IFERROR(INDEX($U$4:$U$3183,MATCH(SMALL($V$4:$V$3183,126),$V$4:$V$3183,0)),""))</f>
        <v/>
      </c>
      <c r="J129">
        <f>IF($B129="","",IF($D129&gt;$F$2,"À venir",IF($E129&lt;$D$2,"Passé","Dans la période")))</f>
        <v/>
      </c>
      <c r="K129">
        <f>IF(OR($B129="",NOT(ISNUMBER($D129))),"",IF(AND($E129&lt;$D$2,$G129&lt;&gt;"X",$F129&lt;&gt;"Réalisé",$F129&lt;&gt;"Clôturé"),"RETARD",""))</f>
        <v/>
      </c>
      <c r="L129">
        <f>IF(OR($B129="",NOT(ISNUMBER($D129))),"",IF(AND($D129&gt;=$D$2,$D129&lt;=$H$2,$G129&lt;&gt;"X",$F129&lt;&gt;"Réalisé",$F129&lt;&gt;"Clôturé"),"≤ 7 j",""))</f>
        <v/>
      </c>
      <c r="M129" s="29">
        <f>IF($B129="","",IFERROR(INDEX($T$4:$T$3183,MATCH(SMALL($V$4:$V$3183,126),$V$4:$V$3183,0)),""))</f>
        <v/>
      </c>
      <c r="O129">
        <f>IF(INDEX(Suivi!$B:$B,132)="","",INDEX(Suivi!$B:$B,132))</f>
        <v/>
      </c>
      <c r="P129">
        <f>IF($O129="","",IF(INDEX(Suivi!$D:$D,132)="",INDEX(Suivi!$C:$C,132),INDEX(Suivi!$D:$D,132)))</f>
        <v/>
      </c>
      <c r="Q129">
        <f>IF($O129="","",INDEX(Suivi!$E:$E,132))</f>
        <v/>
      </c>
      <c r="R129">
        <f>IF($O129="","",INDEX(Suivi!$F:$F,132))</f>
        <v/>
      </c>
      <c r="S129">
        <f>IF($O129="","",INDEX(Suivi!$G:$G,132))</f>
        <v/>
      </c>
      <c r="T129">
        <f>IF($O129="","",IF(INDEX(Dossiers!$F$4:$F$63,3)="","",INDEX(Dossiers!$F$4:$F$63,3)))</f>
        <v/>
      </c>
      <c r="U129">
        <f>IF($O129="","",IF(INDEX(Dossiers!$G$4:$G$63,3)="","",INDEX(Dossiers!$G$4:$G$63,3)))</f>
        <v/>
      </c>
      <c r="V129">
        <f>IF(OR($O129="",NOT(ISNUMBER($Q129))),"",$Q129*1000000+129)</f>
        <v/>
      </c>
      <c r="W129" s="29">
        <f>IF($B129="","",IFERROR(INDEX($U$4:$U$3183,MATCH(SMALL($V$4:$V$3183,126),$V$4:$V$3183,0)),""))</f>
        <v/>
      </c>
    </row>
    <row r="130">
      <c r="A130">
        <f>IFERROR(INDEX($N$4:$N$3183,MATCH(SMALL($V$4:$V$3183,127),$V$4:$V$3183,0)),"")</f>
        <v/>
      </c>
      <c r="B130">
        <f>IFERROR(INDEX($O$4:$O$3183,MATCH(SMALL($V$4:$V$3183,127),$V$4:$V$3183,0)),"")</f>
        <v/>
      </c>
      <c r="C130">
        <f>IFERROR(INDEX($P$4:$P$3183,MATCH(SMALL($V$4:$V$3183,127),$V$4:$V$3183,0)),"")</f>
        <v/>
      </c>
      <c r="D130" s="29">
        <f>IFERROR(INDEX($Q$4:$Q$3183,MATCH(SMALL($V$4:$V$3183,127),$V$4:$V$3183,0)),"")</f>
        <v/>
      </c>
      <c r="E130" s="29">
        <f>IFERROR(INDEX($R$4:$R$3183,MATCH(SMALL($V$4:$V$3183,127),$V$4:$V$3183,0)),"")</f>
        <v/>
      </c>
      <c r="F130">
        <f>IFERROR(INDEX($S$4:$S$3183,MATCH(SMALL($V$4:$V$3183,127),$V$4:$V$3183,0)),"")</f>
        <v/>
      </c>
      <c r="I130" s="29">
        <f>IF($B130="","",IFERROR(INDEX($U$4:$U$3183,MATCH(SMALL($V$4:$V$3183,127),$V$4:$V$3183,0)),""))</f>
        <v/>
      </c>
      <c r="J130">
        <f>IF($B130="","",IF($D130&gt;$F$2,"À venir",IF($E130&lt;$D$2,"Passé","Dans la période")))</f>
        <v/>
      </c>
      <c r="K130">
        <f>IF(OR($B130="",NOT(ISNUMBER($D130))),"",IF(AND($E130&lt;$D$2,$G130&lt;&gt;"X",$F130&lt;&gt;"Réalisé",$F130&lt;&gt;"Clôturé"),"RETARD",""))</f>
        <v/>
      </c>
      <c r="L130">
        <f>IF(OR($B130="",NOT(ISNUMBER($D130))),"",IF(AND($D130&gt;=$D$2,$D130&lt;=$H$2,$G130&lt;&gt;"X",$F130&lt;&gt;"Réalisé",$F130&lt;&gt;"Clôturé"),"≤ 7 j",""))</f>
        <v/>
      </c>
      <c r="M130" s="29">
        <f>IF($B130="","",IFERROR(INDEX($T$4:$T$3183,MATCH(SMALL($V$4:$V$3183,127),$V$4:$V$3183,0)),""))</f>
        <v/>
      </c>
      <c r="O130">
        <f>IF(INDEX(Suivi!$B:$B,133)="","",INDEX(Suivi!$B:$B,133))</f>
        <v/>
      </c>
      <c r="P130">
        <f>IF($O130="","",IF(INDEX(Suivi!$D:$D,133)="",INDEX(Suivi!$C:$C,133),INDEX(Suivi!$D:$D,133)))</f>
        <v/>
      </c>
      <c r="Q130">
        <f>IF($O130="","",INDEX(Suivi!$E:$E,133))</f>
        <v/>
      </c>
      <c r="R130">
        <f>IF($O130="","",INDEX(Suivi!$F:$F,133))</f>
        <v/>
      </c>
      <c r="S130">
        <f>IF($O130="","",INDEX(Suivi!$G:$G,133))</f>
        <v/>
      </c>
      <c r="T130">
        <f>IF($O130="","",IF(INDEX(Dossiers!$F$4:$F$63,3)="","",INDEX(Dossiers!$F$4:$F$63,3)))</f>
        <v/>
      </c>
      <c r="U130">
        <f>IF($O130="","",IF(INDEX(Dossiers!$G$4:$G$63,3)="","",INDEX(Dossiers!$G$4:$G$63,3)))</f>
        <v/>
      </c>
      <c r="V130">
        <f>IF(OR($O130="",NOT(ISNUMBER($Q130))),"",$Q130*1000000+130)</f>
        <v/>
      </c>
      <c r="W130" s="29">
        <f>IF($B130="","",IFERROR(INDEX($U$4:$U$3183,MATCH(SMALL($V$4:$V$3183,127),$V$4:$V$3183,0)),""))</f>
        <v/>
      </c>
    </row>
    <row r="131">
      <c r="A131">
        <f>IFERROR(INDEX($N$4:$N$3183,MATCH(SMALL($V$4:$V$3183,128),$V$4:$V$3183,0)),"")</f>
        <v/>
      </c>
      <c r="B131">
        <f>IFERROR(INDEX($O$4:$O$3183,MATCH(SMALL($V$4:$V$3183,128),$V$4:$V$3183,0)),"")</f>
        <v/>
      </c>
      <c r="C131">
        <f>IFERROR(INDEX($P$4:$P$3183,MATCH(SMALL($V$4:$V$3183,128),$V$4:$V$3183,0)),"")</f>
        <v/>
      </c>
      <c r="D131" s="29">
        <f>IFERROR(INDEX($Q$4:$Q$3183,MATCH(SMALL($V$4:$V$3183,128),$V$4:$V$3183,0)),"")</f>
        <v/>
      </c>
      <c r="E131" s="29">
        <f>IFERROR(INDEX($R$4:$R$3183,MATCH(SMALL($V$4:$V$3183,128),$V$4:$V$3183,0)),"")</f>
        <v/>
      </c>
      <c r="F131">
        <f>IFERROR(INDEX($S$4:$S$3183,MATCH(SMALL($V$4:$V$3183,128),$V$4:$V$3183,0)),"")</f>
        <v/>
      </c>
      <c r="I131" s="29">
        <f>IF($B131="","",IFERROR(INDEX($U$4:$U$3183,MATCH(SMALL($V$4:$V$3183,128),$V$4:$V$3183,0)),""))</f>
        <v/>
      </c>
      <c r="J131">
        <f>IF($B131="","",IF($D131&gt;$F$2,"À venir",IF($E131&lt;$D$2,"Passé","Dans la période")))</f>
        <v/>
      </c>
      <c r="K131">
        <f>IF(OR($B131="",NOT(ISNUMBER($D131))),"",IF(AND($E131&lt;$D$2,$G131&lt;&gt;"X",$F131&lt;&gt;"Réalisé",$F131&lt;&gt;"Clôturé"),"RETARD",""))</f>
        <v/>
      </c>
      <c r="L131">
        <f>IF(OR($B131="",NOT(ISNUMBER($D131))),"",IF(AND($D131&gt;=$D$2,$D131&lt;=$H$2,$G131&lt;&gt;"X",$F131&lt;&gt;"Réalisé",$F131&lt;&gt;"Clôturé"),"≤ 7 j",""))</f>
        <v/>
      </c>
      <c r="M131" s="29">
        <f>IF($B131="","",IFERROR(INDEX($T$4:$T$3183,MATCH(SMALL($V$4:$V$3183,128),$V$4:$V$3183,0)),""))</f>
        <v/>
      </c>
      <c r="O131">
        <f>IF(INDEX(Suivi!$B:$B,134)="","",INDEX(Suivi!$B:$B,134))</f>
        <v/>
      </c>
      <c r="P131">
        <f>IF($O131="","",IF(INDEX(Suivi!$D:$D,134)="",INDEX(Suivi!$C:$C,134),INDEX(Suivi!$D:$D,134)))</f>
        <v/>
      </c>
      <c r="Q131">
        <f>IF($O131="","",INDEX(Suivi!$E:$E,134))</f>
        <v/>
      </c>
      <c r="R131">
        <f>IF($O131="","",INDEX(Suivi!$F:$F,134))</f>
        <v/>
      </c>
      <c r="S131">
        <f>IF($O131="","",INDEX(Suivi!$G:$G,134))</f>
        <v/>
      </c>
      <c r="T131">
        <f>IF($O131="","",IF(INDEX(Dossiers!$F$4:$F$63,3)="","",INDEX(Dossiers!$F$4:$F$63,3)))</f>
        <v/>
      </c>
      <c r="U131">
        <f>IF($O131="","",IF(INDEX(Dossiers!$G$4:$G$63,3)="","",INDEX(Dossiers!$G$4:$G$63,3)))</f>
        <v/>
      </c>
      <c r="V131">
        <f>IF(OR($O131="",NOT(ISNUMBER($Q131))),"",$Q131*1000000+131)</f>
        <v/>
      </c>
      <c r="W131" s="29">
        <f>IF($B131="","",IFERROR(INDEX($U$4:$U$3183,MATCH(SMALL($V$4:$V$3183,128),$V$4:$V$3183,0)),""))</f>
        <v/>
      </c>
    </row>
    <row r="132">
      <c r="A132">
        <f>IFERROR(INDEX($N$4:$N$3183,MATCH(SMALL($V$4:$V$3183,129),$V$4:$V$3183,0)),"")</f>
        <v/>
      </c>
      <c r="B132">
        <f>IFERROR(INDEX($O$4:$O$3183,MATCH(SMALL($V$4:$V$3183,129),$V$4:$V$3183,0)),"")</f>
        <v/>
      </c>
      <c r="C132">
        <f>IFERROR(INDEX($P$4:$P$3183,MATCH(SMALL($V$4:$V$3183,129),$V$4:$V$3183,0)),"")</f>
        <v/>
      </c>
      <c r="D132" s="29">
        <f>IFERROR(INDEX($Q$4:$Q$3183,MATCH(SMALL($V$4:$V$3183,129),$V$4:$V$3183,0)),"")</f>
        <v/>
      </c>
      <c r="E132" s="29">
        <f>IFERROR(INDEX($R$4:$R$3183,MATCH(SMALL($V$4:$V$3183,129),$V$4:$V$3183,0)),"")</f>
        <v/>
      </c>
      <c r="F132">
        <f>IFERROR(INDEX($S$4:$S$3183,MATCH(SMALL($V$4:$V$3183,129),$V$4:$V$3183,0)),"")</f>
        <v/>
      </c>
      <c r="I132" s="29">
        <f>IF($B132="","",IFERROR(INDEX($U$4:$U$3183,MATCH(SMALL($V$4:$V$3183,129),$V$4:$V$3183,0)),""))</f>
        <v/>
      </c>
      <c r="J132">
        <f>IF($B132="","",IF($D132&gt;$F$2,"À venir",IF($E132&lt;$D$2,"Passé","Dans la période")))</f>
        <v/>
      </c>
      <c r="K132">
        <f>IF(OR($B132="",NOT(ISNUMBER($D132))),"",IF(AND($E132&lt;$D$2,$G132&lt;&gt;"X",$F132&lt;&gt;"Réalisé",$F132&lt;&gt;"Clôturé"),"RETARD",""))</f>
        <v/>
      </c>
      <c r="L132">
        <f>IF(OR($B132="",NOT(ISNUMBER($D132))),"",IF(AND($D132&gt;=$D$2,$D132&lt;=$H$2,$G132&lt;&gt;"X",$F132&lt;&gt;"Réalisé",$F132&lt;&gt;"Clôturé"),"≤ 7 j",""))</f>
        <v/>
      </c>
      <c r="M132" s="29">
        <f>IF($B132="","",IFERROR(INDEX($T$4:$T$3183,MATCH(SMALL($V$4:$V$3183,129),$V$4:$V$3183,0)),""))</f>
        <v/>
      </c>
      <c r="O132">
        <f>IF(INDEX(Suivi!$B:$B,135)="","",INDEX(Suivi!$B:$B,135))</f>
        <v/>
      </c>
      <c r="P132">
        <f>IF($O132="","",IF(INDEX(Suivi!$D:$D,135)="",INDEX(Suivi!$C:$C,135),INDEX(Suivi!$D:$D,135)))</f>
        <v/>
      </c>
      <c r="Q132">
        <f>IF($O132="","",INDEX(Suivi!$E:$E,135))</f>
        <v/>
      </c>
      <c r="R132">
        <f>IF($O132="","",INDEX(Suivi!$F:$F,135))</f>
        <v/>
      </c>
      <c r="S132">
        <f>IF($O132="","",INDEX(Suivi!$G:$G,135))</f>
        <v/>
      </c>
      <c r="T132">
        <f>IF($O132="","",IF(INDEX(Dossiers!$F$4:$F$63,3)="","",INDEX(Dossiers!$F$4:$F$63,3)))</f>
        <v/>
      </c>
      <c r="U132">
        <f>IF($O132="","",IF(INDEX(Dossiers!$G$4:$G$63,3)="","",INDEX(Dossiers!$G$4:$G$63,3)))</f>
        <v/>
      </c>
      <c r="V132">
        <f>IF(OR($O132="",NOT(ISNUMBER($Q132))),"",$Q132*1000000+132)</f>
        <v/>
      </c>
      <c r="W132" s="29">
        <f>IF($B132="","",IFERROR(INDEX($U$4:$U$3183,MATCH(SMALL($V$4:$V$3183,129),$V$4:$V$3183,0)),""))</f>
        <v/>
      </c>
    </row>
    <row r="133">
      <c r="A133">
        <f>IFERROR(INDEX($N$4:$N$3183,MATCH(SMALL($V$4:$V$3183,130),$V$4:$V$3183,0)),"")</f>
        <v/>
      </c>
      <c r="B133">
        <f>IFERROR(INDEX($O$4:$O$3183,MATCH(SMALL($V$4:$V$3183,130),$V$4:$V$3183,0)),"")</f>
        <v/>
      </c>
      <c r="C133">
        <f>IFERROR(INDEX($P$4:$P$3183,MATCH(SMALL($V$4:$V$3183,130),$V$4:$V$3183,0)),"")</f>
        <v/>
      </c>
      <c r="D133" s="29">
        <f>IFERROR(INDEX($Q$4:$Q$3183,MATCH(SMALL($V$4:$V$3183,130),$V$4:$V$3183,0)),"")</f>
        <v/>
      </c>
      <c r="E133" s="29">
        <f>IFERROR(INDEX($R$4:$R$3183,MATCH(SMALL($V$4:$V$3183,130),$V$4:$V$3183,0)),"")</f>
        <v/>
      </c>
      <c r="F133">
        <f>IFERROR(INDEX($S$4:$S$3183,MATCH(SMALL($V$4:$V$3183,130),$V$4:$V$3183,0)),"")</f>
        <v/>
      </c>
      <c r="I133" s="29">
        <f>IF($B133="","",IFERROR(INDEX($U$4:$U$3183,MATCH(SMALL($V$4:$V$3183,130),$V$4:$V$3183,0)),""))</f>
        <v/>
      </c>
      <c r="J133">
        <f>IF($B133="","",IF($D133&gt;$F$2,"À venir",IF($E133&lt;$D$2,"Passé","Dans la période")))</f>
        <v/>
      </c>
      <c r="K133">
        <f>IF(OR($B133="",NOT(ISNUMBER($D133))),"",IF(AND($E133&lt;$D$2,$G133&lt;&gt;"X",$F133&lt;&gt;"Réalisé",$F133&lt;&gt;"Clôturé"),"RETARD",""))</f>
        <v/>
      </c>
      <c r="L133">
        <f>IF(OR($B133="",NOT(ISNUMBER($D133))),"",IF(AND($D133&gt;=$D$2,$D133&lt;=$H$2,$G133&lt;&gt;"X",$F133&lt;&gt;"Réalisé",$F133&lt;&gt;"Clôturé"),"≤ 7 j",""))</f>
        <v/>
      </c>
      <c r="M133" s="29">
        <f>IF($B133="","",IFERROR(INDEX($T$4:$T$3183,MATCH(SMALL($V$4:$V$3183,130),$V$4:$V$3183,0)),""))</f>
        <v/>
      </c>
      <c r="O133">
        <f>IF(INDEX(Suivi!$B:$B,136)="","",INDEX(Suivi!$B:$B,136))</f>
        <v/>
      </c>
      <c r="P133">
        <f>IF($O133="","",IF(INDEX(Suivi!$D:$D,136)="",INDEX(Suivi!$C:$C,136),INDEX(Suivi!$D:$D,136)))</f>
        <v/>
      </c>
      <c r="Q133">
        <f>IF($O133="","",INDEX(Suivi!$E:$E,136))</f>
        <v/>
      </c>
      <c r="R133">
        <f>IF($O133="","",INDEX(Suivi!$F:$F,136))</f>
        <v/>
      </c>
      <c r="S133">
        <f>IF($O133="","",INDEX(Suivi!$G:$G,136))</f>
        <v/>
      </c>
      <c r="T133">
        <f>IF($O133="","",IF(INDEX(Dossiers!$F$4:$F$63,3)="","",INDEX(Dossiers!$F$4:$F$63,3)))</f>
        <v/>
      </c>
      <c r="U133">
        <f>IF($O133="","",IF(INDEX(Dossiers!$G$4:$G$63,3)="","",INDEX(Dossiers!$G$4:$G$63,3)))</f>
        <v/>
      </c>
      <c r="V133">
        <f>IF(OR($O133="",NOT(ISNUMBER($Q133))),"",$Q133*1000000+133)</f>
        <v/>
      </c>
      <c r="W133" s="29">
        <f>IF($B133="","",IFERROR(INDEX($U$4:$U$3183,MATCH(SMALL($V$4:$V$3183,130),$V$4:$V$3183,0)),""))</f>
        <v/>
      </c>
    </row>
    <row r="134">
      <c r="A134">
        <f>IFERROR(INDEX($N$4:$N$3183,MATCH(SMALL($V$4:$V$3183,131),$V$4:$V$3183,0)),"")</f>
        <v/>
      </c>
      <c r="B134">
        <f>IFERROR(INDEX($O$4:$O$3183,MATCH(SMALL($V$4:$V$3183,131),$V$4:$V$3183,0)),"")</f>
        <v/>
      </c>
      <c r="C134">
        <f>IFERROR(INDEX($P$4:$P$3183,MATCH(SMALL($V$4:$V$3183,131),$V$4:$V$3183,0)),"")</f>
        <v/>
      </c>
      <c r="D134" s="29">
        <f>IFERROR(INDEX($Q$4:$Q$3183,MATCH(SMALL($V$4:$V$3183,131),$V$4:$V$3183,0)),"")</f>
        <v/>
      </c>
      <c r="E134" s="29">
        <f>IFERROR(INDEX($R$4:$R$3183,MATCH(SMALL($V$4:$V$3183,131),$V$4:$V$3183,0)),"")</f>
        <v/>
      </c>
      <c r="F134">
        <f>IFERROR(INDEX($S$4:$S$3183,MATCH(SMALL($V$4:$V$3183,131),$V$4:$V$3183,0)),"")</f>
        <v/>
      </c>
      <c r="I134" s="29">
        <f>IF($B134="","",IFERROR(INDEX($U$4:$U$3183,MATCH(SMALL($V$4:$V$3183,131),$V$4:$V$3183,0)),""))</f>
        <v/>
      </c>
      <c r="J134">
        <f>IF($B134="","",IF($D134&gt;$F$2,"À venir",IF($E134&lt;$D$2,"Passé","Dans la période")))</f>
        <v/>
      </c>
      <c r="K134">
        <f>IF(OR($B134="",NOT(ISNUMBER($D134))),"",IF(AND($E134&lt;$D$2,$G134&lt;&gt;"X",$F134&lt;&gt;"Réalisé",$F134&lt;&gt;"Clôturé"),"RETARD",""))</f>
        <v/>
      </c>
      <c r="L134">
        <f>IF(OR($B134="",NOT(ISNUMBER($D134))),"",IF(AND($D134&gt;=$D$2,$D134&lt;=$H$2,$G134&lt;&gt;"X",$F134&lt;&gt;"Réalisé",$F134&lt;&gt;"Clôturé"),"≤ 7 j",""))</f>
        <v/>
      </c>
      <c r="M134" s="29">
        <f>IF($B134="","",IFERROR(INDEX($T$4:$T$3183,MATCH(SMALL($V$4:$V$3183,131),$V$4:$V$3183,0)),""))</f>
        <v/>
      </c>
      <c r="O134">
        <f>IF(INDEX(Suivi!$B:$B,137)="","",INDEX(Suivi!$B:$B,137))</f>
        <v/>
      </c>
      <c r="P134">
        <f>IF($O134="","",IF(INDEX(Suivi!$D:$D,137)="",INDEX(Suivi!$C:$C,137),INDEX(Suivi!$D:$D,137)))</f>
        <v/>
      </c>
      <c r="Q134">
        <f>IF($O134="","",INDEX(Suivi!$E:$E,137))</f>
        <v/>
      </c>
      <c r="R134">
        <f>IF($O134="","",INDEX(Suivi!$F:$F,137))</f>
        <v/>
      </c>
      <c r="S134">
        <f>IF($O134="","",INDEX(Suivi!$G:$G,137))</f>
        <v/>
      </c>
      <c r="T134">
        <f>IF($O134="","",IF(INDEX(Dossiers!$F$4:$F$63,3)="","",INDEX(Dossiers!$F$4:$F$63,3)))</f>
        <v/>
      </c>
      <c r="U134">
        <f>IF($O134="","",IF(INDEX(Dossiers!$G$4:$G$63,3)="","",INDEX(Dossiers!$G$4:$G$63,3)))</f>
        <v/>
      </c>
      <c r="V134">
        <f>IF(OR($O134="",NOT(ISNUMBER($Q134))),"",$Q134*1000000+134)</f>
        <v/>
      </c>
      <c r="W134" s="29">
        <f>IF($B134="","",IFERROR(INDEX($U$4:$U$3183,MATCH(SMALL($V$4:$V$3183,131),$V$4:$V$3183,0)),""))</f>
        <v/>
      </c>
    </row>
    <row r="135">
      <c r="A135">
        <f>IFERROR(INDEX($N$4:$N$3183,MATCH(SMALL($V$4:$V$3183,132),$V$4:$V$3183,0)),"")</f>
        <v/>
      </c>
      <c r="B135">
        <f>IFERROR(INDEX($O$4:$O$3183,MATCH(SMALL($V$4:$V$3183,132),$V$4:$V$3183,0)),"")</f>
        <v/>
      </c>
      <c r="C135">
        <f>IFERROR(INDEX($P$4:$P$3183,MATCH(SMALL($V$4:$V$3183,132),$V$4:$V$3183,0)),"")</f>
        <v/>
      </c>
      <c r="D135" s="29">
        <f>IFERROR(INDEX($Q$4:$Q$3183,MATCH(SMALL($V$4:$V$3183,132),$V$4:$V$3183,0)),"")</f>
        <v/>
      </c>
      <c r="E135" s="29">
        <f>IFERROR(INDEX($R$4:$R$3183,MATCH(SMALL($V$4:$V$3183,132),$V$4:$V$3183,0)),"")</f>
        <v/>
      </c>
      <c r="F135">
        <f>IFERROR(INDEX($S$4:$S$3183,MATCH(SMALL($V$4:$V$3183,132),$V$4:$V$3183,0)),"")</f>
        <v/>
      </c>
      <c r="I135" s="29">
        <f>IF($B135="","",IFERROR(INDEX($U$4:$U$3183,MATCH(SMALL($V$4:$V$3183,132),$V$4:$V$3183,0)),""))</f>
        <v/>
      </c>
      <c r="J135">
        <f>IF($B135="","",IF($D135&gt;$F$2,"À venir",IF($E135&lt;$D$2,"Passé","Dans la période")))</f>
        <v/>
      </c>
      <c r="K135">
        <f>IF(OR($B135="",NOT(ISNUMBER($D135))),"",IF(AND($E135&lt;$D$2,$G135&lt;&gt;"X",$F135&lt;&gt;"Réalisé",$F135&lt;&gt;"Clôturé"),"RETARD",""))</f>
        <v/>
      </c>
      <c r="L135">
        <f>IF(OR($B135="",NOT(ISNUMBER($D135))),"",IF(AND($D135&gt;=$D$2,$D135&lt;=$H$2,$G135&lt;&gt;"X",$F135&lt;&gt;"Réalisé",$F135&lt;&gt;"Clôturé"),"≤ 7 j",""))</f>
        <v/>
      </c>
      <c r="M135" s="29">
        <f>IF($B135="","",IFERROR(INDEX($T$4:$T$3183,MATCH(SMALL($V$4:$V$3183,132),$V$4:$V$3183,0)),""))</f>
        <v/>
      </c>
      <c r="O135">
        <f>IF(INDEX(Suivi!$B:$B,138)="","",INDEX(Suivi!$B:$B,138))</f>
        <v/>
      </c>
      <c r="P135">
        <f>IF($O135="","",IF(INDEX(Suivi!$D:$D,138)="",INDEX(Suivi!$C:$C,138),INDEX(Suivi!$D:$D,138)))</f>
        <v/>
      </c>
      <c r="Q135">
        <f>IF($O135="","",INDEX(Suivi!$E:$E,138))</f>
        <v/>
      </c>
      <c r="R135">
        <f>IF($O135="","",INDEX(Suivi!$F:$F,138))</f>
        <v/>
      </c>
      <c r="S135">
        <f>IF($O135="","",INDEX(Suivi!$G:$G,138))</f>
        <v/>
      </c>
      <c r="T135">
        <f>IF($O135="","",IF(INDEX(Dossiers!$F$4:$F$63,3)="","",INDEX(Dossiers!$F$4:$F$63,3)))</f>
        <v/>
      </c>
      <c r="U135">
        <f>IF($O135="","",IF(INDEX(Dossiers!$G$4:$G$63,3)="","",INDEX(Dossiers!$G$4:$G$63,3)))</f>
        <v/>
      </c>
      <c r="V135">
        <f>IF(OR($O135="",NOT(ISNUMBER($Q135))),"",$Q135*1000000+135)</f>
        <v/>
      </c>
      <c r="W135" s="29">
        <f>IF($B135="","",IFERROR(INDEX($U$4:$U$3183,MATCH(SMALL($V$4:$V$3183,132),$V$4:$V$3183,0)),""))</f>
        <v/>
      </c>
    </row>
    <row r="136">
      <c r="A136">
        <f>IFERROR(INDEX($N$4:$N$3183,MATCH(SMALL($V$4:$V$3183,133),$V$4:$V$3183,0)),"")</f>
        <v/>
      </c>
      <c r="B136">
        <f>IFERROR(INDEX($O$4:$O$3183,MATCH(SMALL($V$4:$V$3183,133),$V$4:$V$3183,0)),"")</f>
        <v/>
      </c>
      <c r="C136">
        <f>IFERROR(INDEX($P$4:$P$3183,MATCH(SMALL($V$4:$V$3183,133),$V$4:$V$3183,0)),"")</f>
        <v/>
      </c>
      <c r="D136" s="29">
        <f>IFERROR(INDEX($Q$4:$Q$3183,MATCH(SMALL($V$4:$V$3183,133),$V$4:$V$3183,0)),"")</f>
        <v/>
      </c>
      <c r="E136" s="29">
        <f>IFERROR(INDEX($R$4:$R$3183,MATCH(SMALL($V$4:$V$3183,133),$V$4:$V$3183,0)),"")</f>
        <v/>
      </c>
      <c r="F136">
        <f>IFERROR(INDEX($S$4:$S$3183,MATCH(SMALL($V$4:$V$3183,133),$V$4:$V$3183,0)),"")</f>
        <v/>
      </c>
      <c r="I136" s="29">
        <f>IF($B136="","",IFERROR(INDEX($U$4:$U$3183,MATCH(SMALL($V$4:$V$3183,133),$V$4:$V$3183,0)),""))</f>
        <v/>
      </c>
      <c r="J136">
        <f>IF($B136="","",IF($D136&gt;$F$2,"À venir",IF($E136&lt;$D$2,"Passé","Dans la période")))</f>
        <v/>
      </c>
      <c r="K136">
        <f>IF(OR($B136="",NOT(ISNUMBER($D136))),"",IF(AND($E136&lt;$D$2,$G136&lt;&gt;"X",$F136&lt;&gt;"Réalisé",$F136&lt;&gt;"Clôturé"),"RETARD",""))</f>
        <v/>
      </c>
      <c r="L136">
        <f>IF(OR($B136="",NOT(ISNUMBER($D136))),"",IF(AND($D136&gt;=$D$2,$D136&lt;=$H$2,$G136&lt;&gt;"X",$F136&lt;&gt;"Réalisé",$F136&lt;&gt;"Clôturé"),"≤ 7 j",""))</f>
        <v/>
      </c>
      <c r="M136" s="29">
        <f>IF($B136="","",IFERROR(INDEX($T$4:$T$3183,MATCH(SMALL($V$4:$V$3183,133),$V$4:$V$3183,0)),""))</f>
        <v/>
      </c>
      <c r="O136">
        <f>IF(INDEX(Suivi!$B:$B,139)="","",INDEX(Suivi!$B:$B,139))</f>
        <v/>
      </c>
      <c r="P136">
        <f>IF($O136="","",IF(INDEX(Suivi!$D:$D,139)="",INDEX(Suivi!$C:$C,139),INDEX(Suivi!$D:$D,139)))</f>
        <v/>
      </c>
      <c r="Q136">
        <f>IF($O136="","",INDEX(Suivi!$E:$E,139))</f>
        <v/>
      </c>
      <c r="R136">
        <f>IF($O136="","",INDEX(Suivi!$F:$F,139))</f>
        <v/>
      </c>
      <c r="S136">
        <f>IF($O136="","",INDEX(Suivi!$G:$G,139))</f>
        <v/>
      </c>
      <c r="T136">
        <f>IF($O136="","",IF(INDEX(Dossiers!$F$4:$F$63,3)="","",INDEX(Dossiers!$F$4:$F$63,3)))</f>
        <v/>
      </c>
      <c r="U136">
        <f>IF($O136="","",IF(INDEX(Dossiers!$G$4:$G$63,3)="","",INDEX(Dossiers!$G$4:$G$63,3)))</f>
        <v/>
      </c>
      <c r="V136">
        <f>IF(OR($O136="",NOT(ISNUMBER($Q136))),"",$Q136*1000000+136)</f>
        <v/>
      </c>
      <c r="W136" s="29">
        <f>IF($B136="","",IFERROR(INDEX($U$4:$U$3183,MATCH(SMALL($V$4:$V$3183,133),$V$4:$V$3183,0)),""))</f>
        <v/>
      </c>
    </row>
    <row r="137">
      <c r="A137">
        <f>IFERROR(INDEX($N$4:$N$3183,MATCH(SMALL($V$4:$V$3183,134),$V$4:$V$3183,0)),"")</f>
        <v/>
      </c>
      <c r="B137">
        <f>IFERROR(INDEX($O$4:$O$3183,MATCH(SMALL($V$4:$V$3183,134),$V$4:$V$3183,0)),"")</f>
        <v/>
      </c>
      <c r="C137">
        <f>IFERROR(INDEX($P$4:$P$3183,MATCH(SMALL($V$4:$V$3183,134),$V$4:$V$3183,0)),"")</f>
        <v/>
      </c>
      <c r="D137" s="29">
        <f>IFERROR(INDEX($Q$4:$Q$3183,MATCH(SMALL($V$4:$V$3183,134),$V$4:$V$3183,0)),"")</f>
        <v/>
      </c>
      <c r="E137" s="29">
        <f>IFERROR(INDEX($R$4:$R$3183,MATCH(SMALL($V$4:$V$3183,134),$V$4:$V$3183,0)),"")</f>
        <v/>
      </c>
      <c r="F137">
        <f>IFERROR(INDEX($S$4:$S$3183,MATCH(SMALL($V$4:$V$3183,134),$V$4:$V$3183,0)),"")</f>
        <v/>
      </c>
      <c r="I137" s="29">
        <f>IF($B137="","",IFERROR(INDEX($U$4:$U$3183,MATCH(SMALL($V$4:$V$3183,134),$V$4:$V$3183,0)),""))</f>
        <v/>
      </c>
      <c r="J137">
        <f>IF($B137="","",IF($D137&gt;$F$2,"À venir",IF($E137&lt;$D$2,"Passé","Dans la période")))</f>
        <v/>
      </c>
      <c r="K137">
        <f>IF(OR($B137="",NOT(ISNUMBER($D137))),"",IF(AND($E137&lt;$D$2,$G137&lt;&gt;"X",$F137&lt;&gt;"Réalisé",$F137&lt;&gt;"Clôturé"),"RETARD",""))</f>
        <v/>
      </c>
      <c r="L137">
        <f>IF(OR($B137="",NOT(ISNUMBER($D137))),"",IF(AND($D137&gt;=$D$2,$D137&lt;=$H$2,$G137&lt;&gt;"X",$F137&lt;&gt;"Réalisé",$F137&lt;&gt;"Clôturé"),"≤ 7 j",""))</f>
        <v/>
      </c>
      <c r="M137" s="29">
        <f>IF($B137="","",IFERROR(INDEX($T$4:$T$3183,MATCH(SMALL($V$4:$V$3183,134),$V$4:$V$3183,0)),""))</f>
        <v/>
      </c>
      <c r="O137">
        <f>IF(INDEX(Suivi!$B:$B,140)="","",INDEX(Suivi!$B:$B,140))</f>
        <v/>
      </c>
      <c r="P137">
        <f>IF($O137="","",IF(INDEX(Suivi!$D:$D,140)="",INDEX(Suivi!$C:$C,140),INDEX(Suivi!$D:$D,140)))</f>
        <v/>
      </c>
      <c r="Q137">
        <f>IF($O137="","",INDEX(Suivi!$E:$E,140))</f>
        <v/>
      </c>
      <c r="R137">
        <f>IF($O137="","",INDEX(Suivi!$F:$F,140))</f>
        <v/>
      </c>
      <c r="S137">
        <f>IF($O137="","",INDEX(Suivi!$G:$G,140))</f>
        <v/>
      </c>
      <c r="T137">
        <f>IF($O137="","",IF(INDEX(Dossiers!$F$4:$F$63,3)="","",INDEX(Dossiers!$F$4:$F$63,3)))</f>
        <v/>
      </c>
      <c r="U137">
        <f>IF($O137="","",IF(INDEX(Dossiers!$G$4:$G$63,3)="","",INDEX(Dossiers!$G$4:$G$63,3)))</f>
        <v/>
      </c>
      <c r="V137">
        <f>IF(OR($O137="",NOT(ISNUMBER($Q137))),"",$Q137*1000000+137)</f>
        <v/>
      </c>
      <c r="W137" s="29">
        <f>IF($B137="","",IFERROR(INDEX($U$4:$U$3183,MATCH(SMALL($V$4:$V$3183,134),$V$4:$V$3183,0)),""))</f>
        <v/>
      </c>
    </row>
    <row r="138">
      <c r="A138">
        <f>IFERROR(INDEX($N$4:$N$3183,MATCH(SMALL($V$4:$V$3183,135),$V$4:$V$3183,0)),"")</f>
        <v/>
      </c>
      <c r="B138">
        <f>IFERROR(INDEX($O$4:$O$3183,MATCH(SMALL($V$4:$V$3183,135),$V$4:$V$3183,0)),"")</f>
        <v/>
      </c>
      <c r="C138">
        <f>IFERROR(INDEX($P$4:$P$3183,MATCH(SMALL($V$4:$V$3183,135),$V$4:$V$3183,0)),"")</f>
        <v/>
      </c>
      <c r="D138" s="29">
        <f>IFERROR(INDEX($Q$4:$Q$3183,MATCH(SMALL($V$4:$V$3183,135),$V$4:$V$3183,0)),"")</f>
        <v/>
      </c>
      <c r="E138" s="29">
        <f>IFERROR(INDEX($R$4:$R$3183,MATCH(SMALL($V$4:$V$3183,135),$V$4:$V$3183,0)),"")</f>
        <v/>
      </c>
      <c r="F138">
        <f>IFERROR(INDEX($S$4:$S$3183,MATCH(SMALL($V$4:$V$3183,135),$V$4:$V$3183,0)),"")</f>
        <v/>
      </c>
      <c r="I138" s="29">
        <f>IF($B138="","",IFERROR(INDEX($U$4:$U$3183,MATCH(SMALL($V$4:$V$3183,135),$V$4:$V$3183,0)),""))</f>
        <v/>
      </c>
      <c r="J138">
        <f>IF($B138="","",IF($D138&gt;$F$2,"À venir",IF($E138&lt;$D$2,"Passé","Dans la période")))</f>
        <v/>
      </c>
      <c r="K138">
        <f>IF(OR($B138="",NOT(ISNUMBER($D138))),"",IF(AND($E138&lt;$D$2,$G138&lt;&gt;"X",$F138&lt;&gt;"Réalisé",$F138&lt;&gt;"Clôturé"),"RETARD",""))</f>
        <v/>
      </c>
      <c r="L138">
        <f>IF(OR($B138="",NOT(ISNUMBER($D138))),"",IF(AND($D138&gt;=$D$2,$D138&lt;=$H$2,$G138&lt;&gt;"X",$F138&lt;&gt;"Réalisé",$F138&lt;&gt;"Clôturé"),"≤ 7 j",""))</f>
        <v/>
      </c>
      <c r="M138" s="29">
        <f>IF($B138="","",IFERROR(INDEX($T$4:$T$3183,MATCH(SMALL($V$4:$V$3183,135),$V$4:$V$3183,0)),""))</f>
        <v/>
      </c>
      <c r="O138">
        <f>IF(INDEX(Suivi!$B:$B,141)="","",INDEX(Suivi!$B:$B,141))</f>
        <v/>
      </c>
      <c r="P138">
        <f>IF($O138="","",IF(INDEX(Suivi!$D:$D,141)="",INDEX(Suivi!$C:$C,141),INDEX(Suivi!$D:$D,141)))</f>
        <v/>
      </c>
      <c r="Q138">
        <f>IF($O138="","",INDEX(Suivi!$E:$E,141))</f>
        <v/>
      </c>
      <c r="R138">
        <f>IF($O138="","",INDEX(Suivi!$F:$F,141))</f>
        <v/>
      </c>
      <c r="S138">
        <f>IF($O138="","",INDEX(Suivi!$G:$G,141))</f>
        <v/>
      </c>
      <c r="T138">
        <f>IF($O138="","",IF(INDEX(Dossiers!$F$4:$F$63,3)="","",INDEX(Dossiers!$F$4:$F$63,3)))</f>
        <v/>
      </c>
      <c r="U138">
        <f>IF($O138="","",IF(INDEX(Dossiers!$G$4:$G$63,3)="","",INDEX(Dossiers!$G$4:$G$63,3)))</f>
        <v/>
      </c>
      <c r="V138">
        <f>IF(OR($O138="",NOT(ISNUMBER($Q138))),"",$Q138*1000000+138)</f>
        <v/>
      </c>
      <c r="W138" s="29">
        <f>IF($B138="","",IFERROR(INDEX($U$4:$U$3183,MATCH(SMALL($V$4:$V$3183,135),$V$4:$V$3183,0)),""))</f>
        <v/>
      </c>
    </row>
    <row r="139">
      <c r="A139">
        <f>IFERROR(INDEX($N$4:$N$3183,MATCH(SMALL($V$4:$V$3183,136),$V$4:$V$3183,0)),"")</f>
        <v/>
      </c>
      <c r="B139">
        <f>IFERROR(INDEX($O$4:$O$3183,MATCH(SMALL($V$4:$V$3183,136),$V$4:$V$3183,0)),"")</f>
        <v/>
      </c>
      <c r="C139">
        <f>IFERROR(INDEX($P$4:$P$3183,MATCH(SMALL($V$4:$V$3183,136),$V$4:$V$3183,0)),"")</f>
        <v/>
      </c>
      <c r="D139" s="29">
        <f>IFERROR(INDEX($Q$4:$Q$3183,MATCH(SMALL($V$4:$V$3183,136),$V$4:$V$3183,0)),"")</f>
        <v/>
      </c>
      <c r="E139" s="29">
        <f>IFERROR(INDEX($R$4:$R$3183,MATCH(SMALL($V$4:$V$3183,136),$V$4:$V$3183,0)),"")</f>
        <v/>
      </c>
      <c r="F139">
        <f>IFERROR(INDEX($S$4:$S$3183,MATCH(SMALL($V$4:$V$3183,136),$V$4:$V$3183,0)),"")</f>
        <v/>
      </c>
      <c r="I139" s="29">
        <f>IF($B139="","",IFERROR(INDEX($U$4:$U$3183,MATCH(SMALL($V$4:$V$3183,136),$V$4:$V$3183,0)),""))</f>
        <v/>
      </c>
      <c r="J139">
        <f>IF($B139="","",IF($D139&gt;$F$2,"À venir",IF($E139&lt;$D$2,"Passé","Dans la période")))</f>
        <v/>
      </c>
      <c r="K139">
        <f>IF(OR($B139="",NOT(ISNUMBER($D139))),"",IF(AND($E139&lt;$D$2,$G139&lt;&gt;"X",$F139&lt;&gt;"Réalisé",$F139&lt;&gt;"Clôturé"),"RETARD",""))</f>
        <v/>
      </c>
      <c r="L139">
        <f>IF(OR($B139="",NOT(ISNUMBER($D139))),"",IF(AND($D139&gt;=$D$2,$D139&lt;=$H$2,$G139&lt;&gt;"X",$F139&lt;&gt;"Réalisé",$F139&lt;&gt;"Clôturé"),"≤ 7 j",""))</f>
        <v/>
      </c>
      <c r="M139" s="29">
        <f>IF($B139="","",IFERROR(INDEX($T$4:$T$3183,MATCH(SMALL($V$4:$V$3183,136),$V$4:$V$3183,0)),""))</f>
        <v/>
      </c>
      <c r="O139">
        <f>IF(INDEX(Suivi!$B:$B,142)="","",INDEX(Suivi!$B:$B,142))</f>
        <v/>
      </c>
      <c r="P139">
        <f>IF($O139="","",IF(INDEX(Suivi!$D:$D,142)="",INDEX(Suivi!$C:$C,142),INDEX(Suivi!$D:$D,142)))</f>
        <v/>
      </c>
      <c r="Q139">
        <f>IF($O139="","",INDEX(Suivi!$E:$E,142))</f>
        <v/>
      </c>
      <c r="R139">
        <f>IF($O139="","",INDEX(Suivi!$F:$F,142))</f>
        <v/>
      </c>
      <c r="S139">
        <f>IF($O139="","",INDEX(Suivi!$G:$G,142))</f>
        <v/>
      </c>
      <c r="T139">
        <f>IF($O139="","",IF(INDEX(Dossiers!$F$4:$F$63,3)="","",INDEX(Dossiers!$F$4:$F$63,3)))</f>
        <v/>
      </c>
      <c r="U139">
        <f>IF($O139="","",IF(INDEX(Dossiers!$G$4:$G$63,3)="","",INDEX(Dossiers!$G$4:$G$63,3)))</f>
        <v/>
      </c>
      <c r="V139">
        <f>IF(OR($O139="",NOT(ISNUMBER($Q139))),"",$Q139*1000000+139)</f>
        <v/>
      </c>
      <c r="W139" s="29">
        <f>IF($B139="","",IFERROR(INDEX($U$4:$U$3183,MATCH(SMALL($V$4:$V$3183,136),$V$4:$V$3183,0)),""))</f>
        <v/>
      </c>
    </row>
    <row r="140">
      <c r="A140">
        <f>IFERROR(INDEX($N$4:$N$3183,MATCH(SMALL($V$4:$V$3183,137),$V$4:$V$3183,0)),"")</f>
        <v/>
      </c>
      <c r="B140">
        <f>IFERROR(INDEX($O$4:$O$3183,MATCH(SMALL($V$4:$V$3183,137),$V$4:$V$3183,0)),"")</f>
        <v/>
      </c>
      <c r="C140">
        <f>IFERROR(INDEX($P$4:$P$3183,MATCH(SMALL($V$4:$V$3183,137),$V$4:$V$3183,0)),"")</f>
        <v/>
      </c>
      <c r="D140" s="29">
        <f>IFERROR(INDEX($Q$4:$Q$3183,MATCH(SMALL($V$4:$V$3183,137),$V$4:$V$3183,0)),"")</f>
        <v/>
      </c>
      <c r="E140" s="29">
        <f>IFERROR(INDEX($R$4:$R$3183,MATCH(SMALL($V$4:$V$3183,137),$V$4:$V$3183,0)),"")</f>
        <v/>
      </c>
      <c r="F140">
        <f>IFERROR(INDEX($S$4:$S$3183,MATCH(SMALL($V$4:$V$3183,137),$V$4:$V$3183,0)),"")</f>
        <v/>
      </c>
      <c r="I140" s="29">
        <f>IF($B140="","",IFERROR(INDEX($U$4:$U$3183,MATCH(SMALL($V$4:$V$3183,137),$V$4:$V$3183,0)),""))</f>
        <v/>
      </c>
      <c r="J140">
        <f>IF($B140="","",IF($D140&gt;$F$2,"À venir",IF($E140&lt;$D$2,"Passé","Dans la période")))</f>
        <v/>
      </c>
      <c r="K140">
        <f>IF(OR($B140="",NOT(ISNUMBER($D140))),"",IF(AND($E140&lt;$D$2,$G140&lt;&gt;"X",$F140&lt;&gt;"Réalisé",$F140&lt;&gt;"Clôturé"),"RETARD",""))</f>
        <v/>
      </c>
      <c r="L140">
        <f>IF(OR($B140="",NOT(ISNUMBER($D140))),"",IF(AND($D140&gt;=$D$2,$D140&lt;=$H$2,$G140&lt;&gt;"X",$F140&lt;&gt;"Réalisé",$F140&lt;&gt;"Clôturé"),"≤ 7 j",""))</f>
        <v/>
      </c>
      <c r="M140" s="29">
        <f>IF($B140="","",IFERROR(INDEX($T$4:$T$3183,MATCH(SMALL($V$4:$V$3183,137),$V$4:$V$3183,0)),""))</f>
        <v/>
      </c>
      <c r="O140">
        <f>IF(INDEX(Suivi!$B:$B,143)="","",INDEX(Suivi!$B:$B,143))</f>
        <v/>
      </c>
      <c r="P140">
        <f>IF($O140="","",IF(INDEX(Suivi!$D:$D,143)="",INDEX(Suivi!$C:$C,143),INDEX(Suivi!$D:$D,143)))</f>
        <v/>
      </c>
      <c r="Q140">
        <f>IF($O140="","",INDEX(Suivi!$E:$E,143))</f>
        <v/>
      </c>
      <c r="R140">
        <f>IF($O140="","",INDEX(Suivi!$F:$F,143))</f>
        <v/>
      </c>
      <c r="S140">
        <f>IF($O140="","",INDEX(Suivi!$G:$G,143))</f>
        <v/>
      </c>
      <c r="T140">
        <f>IF($O140="","",IF(INDEX(Dossiers!$F$4:$F$63,3)="","",INDEX(Dossiers!$F$4:$F$63,3)))</f>
        <v/>
      </c>
      <c r="U140">
        <f>IF($O140="","",IF(INDEX(Dossiers!$G$4:$G$63,3)="","",INDEX(Dossiers!$G$4:$G$63,3)))</f>
        <v/>
      </c>
      <c r="V140">
        <f>IF(OR($O140="",NOT(ISNUMBER($Q140))),"",$Q140*1000000+140)</f>
        <v/>
      </c>
      <c r="W140" s="29">
        <f>IF($B140="","",IFERROR(INDEX($U$4:$U$3183,MATCH(SMALL($V$4:$V$3183,137),$V$4:$V$3183,0)),""))</f>
        <v/>
      </c>
    </row>
    <row r="141">
      <c r="A141">
        <f>IFERROR(INDEX($N$4:$N$3183,MATCH(SMALL($V$4:$V$3183,138),$V$4:$V$3183,0)),"")</f>
        <v/>
      </c>
      <c r="B141">
        <f>IFERROR(INDEX($O$4:$O$3183,MATCH(SMALL($V$4:$V$3183,138),$V$4:$V$3183,0)),"")</f>
        <v/>
      </c>
      <c r="C141">
        <f>IFERROR(INDEX($P$4:$P$3183,MATCH(SMALL($V$4:$V$3183,138),$V$4:$V$3183,0)),"")</f>
        <v/>
      </c>
      <c r="D141" s="29">
        <f>IFERROR(INDEX($Q$4:$Q$3183,MATCH(SMALL($V$4:$V$3183,138),$V$4:$V$3183,0)),"")</f>
        <v/>
      </c>
      <c r="E141" s="29">
        <f>IFERROR(INDEX($R$4:$R$3183,MATCH(SMALL($V$4:$V$3183,138),$V$4:$V$3183,0)),"")</f>
        <v/>
      </c>
      <c r="F141">
        <f>IFERROR(INDEX($S$4:$S$3183,MATCH(SMALL($V$4:$V$3183,138),$V$4:$V$3183,0)),"")</f>
        <v/>
      </c>
      <c r="I141" s="29">
        <f>IF($B141="","",IFERROR(INDEX($U$4:$U$3183,MATCH(SMALL($V$4:$V$3183,138),$V$4:$V$3183,0)),""))</f>
        <v/>
      </c>
      <c r="J141">
        <f>IF($B141="","",IF($D141&gt;$F$2,"À venir",IF($E141&lt;$D$2,"Passé","Dans la période")))</f>
        <v/>
      </c>
      <c r="K141">
        <f>IF(OR($B141="",NOT(ISNUMBER($D141))),"",IF(AND($E141&lt;$D$2,$G141&lt;&gt;"X",$F141&lt;&gt;"Réalisé",$F141&lt;&gt;"Clôturé"),"RETARD",""))</f>
        <v/>
      </c>
      <c r="L141">
        <f>IF(OR($B141="",NOT(ISNUMBER($D141))),"",IF(AND($D141&gt;=$D$2,$D141&lt;=$H$2,$G141&lt;&gt;"X",$F141&lt;&gt;"Réalisé",$F141&lt;&gt;"Clôturé"),"≤ 7 j",""))</f>
        <v/>
      </c>
      <c r="M141" s="29">
        <f>IF($B141="","",IFERROR(INDEX($T$4:$T$3183,MATCH(SMALL($V$4:$V$3183,138),$V$4:$V$3183,0)),""))</f>
        <v/>
      </c>
      <c r="O141">
        <f>IF(INDEX(Suivi!$B:$B,144)="","",INDEX(Suivi!$B:$B,144))</f>
        <v/>
      </c>
      <c r="P141">
        <f>IF($O141="","",IF(INDEX(Suivi!$D:$D,144)="",INDEX(Suivi!$C:$C,144),INDEX(Suivi!$D:$D,144)))</f>
        <v/>
      </c>
      <c r="Q141">
        <f>IF($O141="","",INDEX(Suivi!$E:$E,144))</f>
        <v/>
      </c>
      <c r="R141">
        <f>IF($O141="","",INDEX(Suivi!$F:$F,144))</f>
        <v/>
      </c>
      <c r="S141">
        <f>IF($O141="","",INDEX(Suivi!$G:$G,144))</f>
        <v/>
      </c>
      <c r="T141">
        <f>IF($O141="","",IF(INDEX(Dossiers!$F$4:$F$63,3)="","",INDEX(Dossiers!$F$4:$F$63,3)))</f>
        <v/>
      </c>
      <c r="U141">
        <f>IF($O141="","",IF(INDEX(Dossiers!$G$4:$G$63,3)="","",INDEX(Dossiers!$G$4:$G$63,3)))</f>
        <v/>
      </c>
      <c r="V141">
        <f>IF(OR($O141="",NOT(ISNUMBER($Q141))),"",$Q141*1000000+141)</f>
        <v/>
      </c>
      <c r="W141" s="29">
        <f>IF($B141="","",IFERROR(INDEX($U$4:$U$3183,MATCH(SMALL($V$4:$V$3183,138),$V$4:$V$3183,0)),""))</f>
        <v/>
      </c>
    </row>
    <row r="142">
      <c r="A142">
        <f>IFERROR(INDEX($N$4:$N$3183,MATCH(SMALL($V$4:$V$3183,139),$V$4:$V$3183,0)),"")</f>
        <v/>
      </c>
      <c r="B142">
        <f>IFERROR(INDEX($O$4:$O$3183,MATCH(SMALL($V$4:$V$3183,139),$V$4:$V$3183,0)),"")</f>
        <v/>
      </c>
      <c r="C142">
        <f>IFERROR(INDEX($P$4:$P$3183,MATCH(SMALL($V$4:$V$3183,139),$V$4:$V$3183,0)),"")</f>
        <v/>
      </c>
      <c r="D142" s="29">
        <f>IFERROR(INDEX($Q$4:$Q$3183,MATCH(SMALL($V$4:$V$3183,139),$V$4:$V$3183,0)),"")</f>
        <v/>
      </c>
      <c r="E142" s="29">
        <f>IFERROR(INDEX($R$4:$R$3183,MATCH(SMALL($V$4:$V$3183,139),$V$4:$V$3183,0)),"")</f>
        <v/>
      </c>
      <c r="F142">
        <f>IFERROR(INDEX($S$4:$S$3183,MATCH(SMALL($V$4:$V$3183,139),$V$4:$V$3183,0)),"")</f>
        <v/>
      </c>
      <c r="I142" s="29">
        <f>IF($B142="","",IFERROR(INDEX($U$4:$U$3183,MATCH(SMALL($V$4:$V$3183,139),$V$4:$V$3183,0)),""))</f>
        <v/>
      </c>
      <c r="J142">
        <f>IF($B142="","",IF($D142&gt;$F$2,"À venir",IF($E142&lt;$D$2,"Passé","Dans la période")))</f>
        <v/>
      </c>
      <c r="K142">
        <f>IF(OR($B142="",NOT(ISNUMBER($D142))),"",IF(AND($E142&lt;$D$2,$G142&lt;&gt;"X",$F142&lt;&gt;"Réalisé",$F142&lt;&gt;"Clôturé"),"RETARD",""))</f>
        <v/>
      </c>
      <c r="L142">
        <f>IF(OR($B142="",NOT(ISNUMBER($D142))),"",IF(AND($D142&gt;=$D$2,$D142&lt;=$H$2,$G142&lt;&gt;"X",$F142&lt;&gt;"Réalisé",$F142&lt;&gt;"Clôturé"),"≤ 7 j",""))</f>
        <v/>
      </c>
      <c r="M142" s="29">
        <f>IF($B142="","",IFERROR(INDEX($T$4:$T$3183,MATCH(SMALL($V$4:$V$3183,139),$V$4:$V$3183,0)),""))</f>
        <v/>
      </c>
      <c r="O142">
        <f>IF(INDEX(Suivi!$B:$B,145)="","",INDEX(Suivi!$B:$B,145))</f>
        <v/>
      </c>
      <c r="P142">
        <f>IF($O142="","",IF(INDEX(Suivi!$D:$D,145)="",INDEX(Suivi!$C:$C,145),INDEX(Suivi!$D:$D,145)))</f>
        <v/>
      </c>
      <c r="Q142">
        <f>IF($O142="","",INDEX(Suivi!$E:$E,145))</f>
        <v/>
      </c>
      <c r="R142">
        <f>IF($O142="","",INDEX(Suivi!$F:$F,145))</f>
        <v/>
      </c>
      <c r="S142">
        <f>IF($O142="","",INDEX(Suivi!$G:$G,145))</f>
        <v/>
      </c>
      <c r="T142">
        <f>IF($O142="","",IF(INDEX(Dossiers!$F$4:$F$63,3)="","",INDEX(Dossiers!$F$4:$F$63,3)))</f>
        <v/>
      </c>
      <c r="U142">
        <f>IF($O142="","",IF(INDEX(Dossiers!$G$4:$G$63,3)="","",INDEX(Dossiers!$G$4:$G$63,3)))</f>
        <v/>
      </c>
      <c r="V142">
        <f>IF(OR($O142="",NOT(ISNUMBER($Q142))),"",$Q142*1000000+142)</f>
        <v/>
      </c>
      <c r="W142" s="29">
        <f>IF($B142="","",IFERROR(INDEX($U$4:$U$3183,MATCH(SMALL($V$4:$V$3183,139),$V$4:$V$3183,0)),""))</f>
        <v/>
      </c>
    </row>
    <row r="143">
      <c r="A143">
        <f>IFERROR(INDEX($N$4:$N$3183,MATCH(SMALL($V$4:$V$3183,140),$V$4:$V$3183,0)),"")</f>
        <v/>
      </c>
      <c r="B143">
        <f>IFERROR(INDEX($O$4:$O$3183,MATCH(SMALL($V$4:$V$3183,140),$V$4:$V$3183,0)),"")</f>
        <v/>
      </c>
      <c r="C143">
        <f>IFERROR(INDEX($P$4:$P$3183,MATCH(SMALL($V$4:$V$3183,140),$V$4:$V$3183,0)),"")</f>
        <v/>
      </c>
      <c r="D143" s="29">
        <f>IFERROR(INDEX($Q$4:$Q$3183,MATCH(SMALL($V$4:$V$3183,140),$V$4:$V$3183,0)),"")</f>
        <v/>
      </c>
      <c r="E143" s="29">
        <f>IFERROR(INDEX($R$4:$R$3183,MATCH(SMALL($V$4:$V$3183,140),$V$4:$V$3183,0)),"")</f>
        <v/>
      </c>
      <c r="F143">
        <f>IFERROR(INDEX($S$4:$S$3183,MATCH(SMALL($V$4:$V$3183,140),$V$4:$V$3183,0)),"")</f>
        <v/>
      </c>
      <c r="I143" s="29">
        <f>IF($B143="","",IFERROR(INDEX($U$4:$U$3183,MATCH(SMALL($V$4:$V$3183,140),$V$4:$V$3183,0)),""))</f>
        <v/>
      </c>
      <c r="J143">
        <f>IF($B143="","",IF($D143&gt;$F$2,"À venir",IF($E143&lt;$D$2,"Passé","Dans la période")))</f>
        <v/>
      </c>
      <c r="K143">
        <f>IF(OR($B143="",NOT(ISNUMBER($D143))),"",IF(AND($E143&lt;$D$2,$G143&lt;&gt;"X",$F143&lt;&gt;"Réalisé",$F143&lt;&gt;"Clôturé"),"RETARD",""))</f>
        <v/>
      </c>
      <c r="L143">
        <f>IF(OR($B143="",NOT(ISNUMBER($D143))),"",IF(AND($D143&gt;=$D$2,$D143&lt;=$H$2,$G143&lt;&gt;"X",$F143&lt;&gt;"Réalisé",$F143&lt;&gt;"Clôturé"),"≤ 7 j",""))</f>
        <v/>
      </c>
      <c r="M143" s="29">
        <f>IF($B143="","",IFERROR(INDEX($T$4:$T$3183,MATCH(SMALL($V$4:$V$3183,140),$V$4:$V$3183,0)),""))</f>
        <v/>
      </c>
      <c r="O143">
        <f>IF(INDEX(Suivi!$B:$B,146)="","",INDEX(Suivi!$B:$B,146))</f>
        <v/>
      </c>
      <c r="P143">
        <f>IF($O143="","",IF(INDEX(Suivi!$D:$D,146)="",INDEX(Suivi!$C:$C,146),INDEX(Suivi!$D:$D,146)))</f>
        <v/>
      </c>
      <c r="Q143">
        <f>IF($O143="","",INDEX(Suivi!$E:$E,146))</f>
        <v/>
      </c>
      <c r="R143">
        <f>IF($O143="","",INDEX(Suivi!$F:$F,146))</f>
        <v/>
      </c>
      <c r="S143">
        <f>IF($O143="","",INDEX(Suivi!$G:$G,146))</f>
        <v/>
      </c>
      <c r="T143">
        <f>IF($O143="","",IF(INDEX(Dossiers!$F$4:$F$63,3)="","",INDEX(Dossiers!$F$4:$F$63,3)))</f>
        <v/>
      </c>
      <c r="U143">
        <f>IF($O143="","",IF(INDEX(Dossiers!$G$4:$G$63,3)="","",INDEX(Dossiers!$G$4:$G$63,3)))</f>
        <v/>
      </c>
      <c r="V143">
        <f>IF(OR($O143="",NOT(ISNUMBER($Q143))),"",$Q143*1000000+143)</f>
        <v/>
      </c>
      <c r="W143" s="29">
        <f>IF($B143="","",IFERROR(INDEX($U$4:$U$3183,MATCH(SMALL($V$4:$V$3183,140),$V$4:$V$3183,0)),""))</f>
        <v/>
      </c>
    </row>
    <row r="144">
      <c r="A144">
        <f>IFERROR(INDEX($N$4:$N$3183,MATCH(SMALL($V$4:$V$3183,141),$V$4:$V$3183,0)),"")</f>
        <v/>
      </c>
      <c r="B144">
        <f>IFERROR(INDEX($O$4:$O$3183,MATCH(SMALL($V$4:$V$3183,141),$V$4:$V$3183,0)),"")</f>
        <v/>
      </c>
      <c r="C144">
        <f>IFERROR(INDEX($P$4:$P$3183,MATCH(SMALL($V$4:$V$3183,141),$V$4:$V$3183,0)),"")</f>
        <v/>
      </c>
      <c r="D144" s="29">
        <f>IFERROR(INDEX($Q$4:$Q$3183,MATCH(SMALL($V$4:$V$3183,141),$V$4:$V$3183,0)),"")</f>
        <v/>
      </c>
      <c r="E144" s="29">
        <f>IFERROR(INDEX($R$4:$R$3183,MATCH(SMALL($V$4:$V$3183,141),$V$4:$V$3183,0)),"")</f>
        <v/>
      </c>
      <c r="F144">
        <f>IFERROR(INDEX($S$4:$S$3183,MATCH(SMALL($V$4:$V$3183,141),$V$4:$V$3183,0)),"")</f>
        <v/>
      </c>
      <c r="I144" s="29">
        <f>IF($B144="","",IFERROR(INDEX($U$4:$U$3183,MATCH(SMALL($V$4:$V$3183,141),$V$4:$V$3183,0)),""))</f>
        <v/>
      </c>
      <c r="J144">
        <f>IF($B144="","",IF($D144&gt;$F$2,"À venir",IF($E144&lt;$D$2,"Passé","Dans la période")))</f>
        <v/>
      </c>
      <c r="K144">
        <f>IF(OR($B144="",NOT(ISNUMBER($D144))),"",IF(AND($E144&lt;$D$2,$G144&lt;&gt;"X",$F144&lt;&gt;"Réalisé",$F144&lt;&gt;"Clôturé"),"RETARD",""))</f>
        <v/>
      </c>
      <c r="L144">
        <f>IF(OR($B144="",NOT(ISNUMBER($D144))),"",IF(AND($D144&gt;=$D$2,$D144&lt;=$H$2,$G144&lt;&gt;"X",$F144&lt;&gt;"Réalisé",$F144&lt;&gt;"Clôturé"),"≤ 7 j",""))</f>
        <v/>
      </c>
      <c r="M144" s="29">
        <f>IF($B144="","",IFERROR(INDEX($T$4:$T$3183,MATCH(SMALL($V$4:$V$3183,141),$V$4:$V$3183,0)),""))</f>
        <v/>
      </c>
      <c r="O144">
        <f>IF(INDEX(Suivi!$B:$B,147)="","",INDEX(Suivi!$B:$B,147))</f>
        <v/>
      </c>
      <c r="P144">
        <f>IF($O144="","",IF(INDEX(Suivi!$D:$D,147)="",INDEX(Suivi!$C:$C,147),INDEX(Suivi!$D:$D,147)))</f>
        <v/>
      </c>
      <c r="Q144">
        <f>IF($O144="","",INDEX(Suivi!$E:$E,147))</f>
        <v/>
      </c>
      <c r="R144">
        <f>IF($O144="","",INDEX(Suivi!$F:$F,147))</f>
        <v/>
      </c>
      <c r="S144">
        <f>IF($O144="","",INDEX(Suivi!$G:$G,147))</f>
        <v/>
      </c>
      <c r="T144">
        <f>IF($O144="","",IF(INDEX(Dossiers!$F$4:$F$63,3)="","",INDEX(Dossiers!$F$4:$F$63,3)))</f>
        <v/>
      </c>
      <c r="U144">
        <f>IF($O144="","",IF(INDEX(Dossiers!$G$4:$G$63,3)="","",INDEX(Dossiers!$G$4:$G$63,3)))</f>
        <v/>
      </c>
      <c r="V144">
        <f>IF(OR($O144="",NOT(ISNUMBER($Q144))),"",$Q144*1000000+144)</f>
        <v/>
      </c>
      <c r="W144" s="29">
        <f>IF($B144="","",IFERROR(INDEX($U$4:$U$3183,MATCH(SMALL($V$4:$V$3183,141),$V$4:$V$3183,0)),""))</f>
        <v/>
      </c>
    </row>
    <row r="145">
      <c r="A145">
        <f>IFERROR(INDEX($N$4:$N$3183,MATCH(SMALL($V$4:$V$3183,142),$V$4:$V$3183,0)),"")</f>
        <v/>
      </c>
      <c r="B145">
        <f>IFERROR(INDEX($O$4:$O$3183,MATCH(SMALL($V$4:$V$3183,142),$V$4:$V$3183,0)),"")</f>
        <v/>
      </c>
      <c r="C145">
        <f>IFERROR(INDEX($P$4:$P$3183,MATCH(SMALL($V$4:$V$3183,142),$V$4:$V$3183,0)),"")</f>
        <v/>
      </c>
      <c r="D145" s="29">
        <f>IFERROR(INDEX($Q$4:$Q$3183,MATCH(SMALL($V$4:$V$3183,142),$V$4:$V$3183,0)),"")</f>
        <v/>
      </c>
      <c r="E145" s="29">
        <f>IFERROR(INDEX($R$4:$R$3183,MATCH(SMALL($V$4:$V$3183,142),$V$4:$V$3183,0)),"")</f>
        <v/>
      </c>
      <c r="F145">
        <f>IFERROR(INDEX($S$4:$S$3183,MATCH(SMALL($V$4:$V$3183,142),$V$4:$V$3183,0)),"")</f>
        <v/>
      </c>
      <c r="I145" s="29">
        <f>IF($B145="","",IFERROR(INDEX($U$4:$U$3183,MATCH(SMALL($V$4:$V$3183,142),$V$4:$V$3183,0)),""))</f>
        <v/>
      </c>
      <c r="J145">
        <f>IF($B145="","",IF($D145&gt;$F$2,"À venir",IF($E145&lt;$D$2,"Passé","Dans la période")))</f>
        <v/>
      </c>
      <c r="K145">
        <f>IF(OR($B145="",NOT(ISNUMBER($D145))),"",IF(AND($E145&lt;$D$2,$G145&lt;&gt;"X",$F145&lt;&gt;"Réalisé",$F145&lt;&gt;"Clôturé"),"RETARD",""))</f>
        <v/>
      </c>
      <c r="L145">
        <f>IF(OR($B145="",NOT(ISNUMBER($D145))),"",IF(AND($D145&gt;=$D$2,$D145&lt;=$H$2,$G145&lt;&gt;"X",$F145&lt;&gt;"Réalisé",$F145&lt;&gt;"Clôturé"),"≤ 7 j",""))</f>
        <v/>
      </c>
      <c r="M145" s="29">
        <f>IF($B145="","",IFERROR(INDEX($T$4:$T$3183,MATCH(SMALL($V$4:$V$3183,142),$V$4:$V$3183,0)),""))</f>
        <v/>
      </c>
      <c r="O145">
        <f>IF(INDEX(Suivi!$B:$B,148)="","",INDEX(Suivi!$B:$B,148))</f>
        <v/>
      </c>
      <c r="P145">
        <f>IF($O145="","",IF(INDEX(Suivi!$D:$D,148)="",INDEX(Suivi!$C:$C,148),INDEX(Suivi!$D:$D,148)))</f>
        <v/>
      </c>
      <c r="Q145">
        <f>IF($O145="","",INDEX(Suivi!$E:$E,148))</f>
        <v/>
      </c>
      <c r="R145">
        <f>IF($O145="","",INDEX(Suivi!$F:$F,148))</f>
        <v/>
      </c>
      <c r="S145">
        <f>IF($O145="","",INDEX(Suivi!$G:$G,148))</f>
        <v/>
      </c>
      <c r="T145">
        <f>IF($O145="","",IF(INDEX(Dossiers!$F$4:$F$63,3)="","",INDEX(Dossiers!$F$4:$F$63,3)))</f>
        <v/>
      </c>
      <c r="U145">
        <f>IF($O145="","",IF(INDEX(Dossiers!$G$4:$G$63,3)="","",INDEX(Dossiers!$G$4:$G$63,3)))</f>
        <v/>
      </c>
      <c r="V145">
        <f>IF(OR($O145="",NOT(ISNUMBER($Q145))),"",$Q145*1000000+145)</f>
        <v/>
      </c>
      <c r="W145" s="29">
        <f>IF($B145="","",IFERROR(INDEX($U$4:$U$3183,MATCH(SMALL($V$4:$V$3183,142),$V$4:$V$3183,0)),""))</f>
        <v/>
      </c>
    </row>
    <row r="146">
      <c r="A146">
        <f>IFERROR(INDEX($N$4:$N$3183,MATCH(SMALL($V$4:$V$3183,143),$V$4:$V$3183,0)),"")</f>
        <v/>
      </c>
      <c r="B146">
        <f>IFERROR(INDEX($O$4:$O$3183,MATCH(SMALL($V$4:$V$3183,143),$V$4:$V$3183,0)),"")</f>
        <v/>
      </c>
      <c r="C146">
        <f>IFERROR(INDEX($P$4:$P$3183,MATCH(SMALL($V$4:$V$3183,143),$V$4:$V$3183,0)),"")</f>
        <v/>
      </c>
      <c r="D146" s="29">
        <f>IFERROR(INDEX($Q$4:$Q$3183,MATCH(SMALL($V$4:$V$3183,143),$V$4:$V$3183,0)),"")</f>
        <v/>
      </c>
      <c r="E146" s="29">
        <f>IFERROR(INDEX($R$4:$R$3183,MATCH(SMALL($V$4:$V$3183,143),$V$4:$V$3183,0)),"")</f>
        <v/>
      </c>
      <c r="F146">
        <f>IFERROR(INDEX($S$4:$S$3183,MATCH(SMALL($V$4:$V$3183,143),$V$4:$V$3183,0)),"")</f>
        <v/>
      </c>
      <c r="I146" s="29">
        <f>IF($B146="","",IFERROR(INDEX($U$4:$U$3183,MATCH(SMALL($V$4:$V$3183,143),$V$4:$V$3183,0)),""))</f>
        <v/>
      </c>
      <c r="J146">
        <f>IF($B146="","",IF($D146&gt;$F$2,"À venir",IF($E146&lt;$D$2,"Passé","Dans la période")))</f>
        <v/>
      </c>
      <c r="K146">
        <f>IF(OR($B146="",NOT(ISNUMBER($D146))),"",IF(AND($E146&lt;$D$2,$G146&lt;&gt;"X",$F146&lt;&gt;"Réalisé",$F146&lt;&gt;"Clôturé"),"RETARD",""))</f>
        <v/>
      </c>
      <c r="L146">
        <f>IF(OR($B146="",NOT(ISNUMBER($D146))),"",IF(AND($D146&gt;=$D$2,$D146&lt;=$H$2,$G146&lt;&gt;"X",$F146&lt;&gt;"Réalisé",$F146&lt;&gt;"Clôturé"),"≤ 7 j",""))</f>
        <v/>
      </c>
      <c r="M146" s="29">
        <f>IF($B146="","",IFERROR(INDEX($T$4:$T$3183,MATCH(SMALL($V$4:$V$3183,143),$V$4:$V$3183,0)),""))</f>
        <v/>
      </c>
      <c r="O146">
        <f>IF(INDEX(Suivi!$B:$B,149)="","",INDEX(Suivi!$B:$B,149))</f>
        <v/>
      </c>
      <c r="P146">
        <f>IF($O146="","",IF(INDEX(Suivi!$D:$D,149)="",INDEX(Suivi!$C:$C,149),INDEX(Suivi!$D:$D,149)))</f>
        <v/>
      </c>
      <c r="Q146">
        <f>IF($O146="","",INDEX(Suivi!$E:$E,149))</f>
        <v/>
      </c>
      <c r="R146">
        <f>IF($O146="","",INDEX(Suivi!$F:$F,149))</f>
        <v/>
      </c>
      <c r="S146">
        <f>IF($O146="","",INDEX(Suivi!$G:$G,149))</f>
        <v/>
      </c>
      <c r="T146">
        <f>IF($O146="","",IF(INDEX(Dossiers!$F$4:$F$63,3)="","",INDEX(Dossiers!$F$4:$F$63,3)))</f>
        <v/>
      </c>
      <c r="U146">
        <f>IF($O146="","",IF(INDEX(Dossiers!$G$4:$G$63,3)="","",INDEX(Dossiers!$G$4:$G$63,3)))</f>
        <v/>
      </c>
      <c r="V146">
        <f>IF(OR($O146="",NOT(ISNUMBER($Q146))),"",$Q146*1000000+146)</f>
        <v/>
      </c>
      <c r="W146" s="29">
        <f>IF($B146="","",IFERROR(INDEX($U$4:$U$3183,MATCH(SMALL($V$4:$V$3183,143),$V$4:$V$3183,0)),""))</f>
        <v/>
      </c>
    </row>
    <row r="147">
      <c r="A147">
        <f>IFERROR(INDEX($N$4:$N$3183,MATCH(SMALL($V$4:$V$3183,144),$V$4:$V$3183,0)),"")</f>
        <v/>
      </c>
      <c r="B147">
        <f>IFERROR(INDEX($O$4:$O$3183,MATCH(SMALL($V$4:$V$3183,144),$V$4:$V$3183,0)),"")</f>
        <v/>
      </c>
      <c r="C147">
        <f>IFERROR(INDEX($P$4:$P$3183,MATCH(SMALL($V$4:$V$3183,144),$V$4:$V$3183,0)),"")</f>
        <v/>
      </c>
      <c r="D147" s="29">
        <f>IFERROR(INDEX($Q$4:$Q$3183,MATCH(SMALL($V$4:$V$3183,144),$V$4:$V$3183,0)),"")</f>
        <v/>
      </c>
      <c r="E147" s="29">
        <f>IFERROR(INDEX($R$4:$R$3183,MATCH(SMALL($V$4:$V$3183,144),$V$4:$V$3183,0)),"")</f>
        <v/>
      </c>
      <c r="F147">
        <f>IFERROR(INDEX($S$4:$S$3183,MATCH(SMALL($V$4:$V$3183,144),$V$4:$V$3183,0)),"")</f>
        <v/>
      </c>
      <c r="I147" s="29">
        <f>IF($B147="","",IFERROR(INDEX($U$4:$U$3183,MATCH(SMALL($V$4:$V$3183,144),$V$4:$V$3183,0)),""))</f>
        <v/>
      </c>
      <c r="J147">
        <f>IF($B147="","",IF($D147&gt;$F$2,"À venir",IF($E147&lt;$D$2,"Passé","Dans la période")))</f>
        <v/>
      </c>
      <c r="K147">
        <f>IF(OR($B147="",NOT(ISNUMBER($D147))),"",IF(AND($E147&lt;$D$2,$G147&lt;&gt;"X",$F147&lt;&gt;"Réalisé",$F147&lt;&gt;"Clôturé"),"RETARD",""))</f>
        <v/>
      </c>
      <c r="L147">
        <f>IF(OR($B147="",NOT(ISNUMBER($D147))),"",IF(AND($D147&gt;=$D$2,$D147&lt;=$H$2,$G147&lt;&gt;"X",$F147&lt;&gt;"Réalisé",$F147&lt;&gt;"Clôturé"),"≤ 7 j",""))</f>
        <v/>
      </c>
      <c r="M147" s="29">
        <f>IF($B147="","",IFERROR(INDEX($T$4:$T$3183,MATCH(SMALL($V$4:$V$3183,144),$V$4:$V$3183,0)),""))</f>
        <v/>
      </c>
      <c r="O147">
        <f>IF(INDEX(Suivi!$B:$B,150)="","",INDEX(Suivi!$B:$B,150))</f>
        <v/>
      </c>
      <c r="P147">
        <f>IF($O147="","",IF(INDEX(Suivi!$D:$D,150)="",INDEX(Suivi!$C:$C,150),INDEX(Suivi!$D:$D,150)))</f>
        <v/>
      </c>
      <c r="Q147">
        <f>IF($O147="","",INDEX(Suivi!$E:$E,150))</f>
        <v/>
      </c>
      <c r="R147">
        <f>IF($O147="","",INDEX(Suivi!$F:$F,150))</f>
        <v/>
      </c>
      <c r="S147">
        <f>IF($O147="","",INDEX(Suivi!$G:$G,150))</f>
        <v/>
      </c>
      <c r="T147">
        <f>IF($O147="","",IF(INDEX(Dossiers!$F$4:$F$63,3)="","",INDEX(Dossiers!$F$4:$F$63,3)))</f>
        <v/>
      </c>
      <c r="U147">
        <f>IF($O147="","",IF(INDEX(Dossiers!$G$4:$G$63,3)="","",INDEX(Dossiers!$G$4:$G$63,3)))</f>
        <v/>
      </c>
      <c r="V147">
        <f>IF(OR($O147="",NOT(ISNUMBER($Q147))),"",$Q147*1000000+147)</f>
        <v/>
      </c>
      <c r="W147" s="29">
        <f>IF($B147="","",IFERROR(INDEX($U$4:$U$3183,MATCH(SMALL($V$4:$V$3183,144),$V$4:$V$3183,0)),""))</f>
        <v/>
      </c>
    </row>
    <row r="148">
      <c r="A148">
        <f>IFERROR(INDEX($N$4:$N$3183,MATCH(SMALL($V$4:$V$3183,145),$V$4:$V$3183,0)),"")</f>
        <v/>
      </c>
      <c r="B148">
        <f>IFERROR(INDEX($O$4:$O$3183,MATCH(SMALL($V$4:$V$3183,145),$V$4:$V$3183,0)),"")</f>
        <v/>
      </c>
      <c r="C148">
        <f>IFERROR(INDEX($P$4:$P$3183,MATCH(SMALL($V$4:$V$3183,145),$V$4:$V$3183,0)),"")</f>
        <v/>
      </c>
      <c r="D148" s="29">
        <f>IFERROR(INDEX($Q$4:$Q$3183,MATCH(SMALL($V$4:$V$3183,145),$V$4:$V$3183,0)),"")</f>
        <v/>
      </c>
      <c r="E148" s="29">
        <f>IFERROR(INDEX($R$4:$R$3183,MATCH(SMALL($V$4:$V$3183,145),$V$4:$V$3183,0)),"")</f>
        <v/>
      </c>
      <c r="F148">
        <f>IFERROR(INDEX($S$4:$S$3183,MATCH(SMALL($V$4:$V$3183,145),$V$4:$V$3183,0)),"")</f>
        <v/>
      </c>
      <c r="I148" s="29">
        <f>IF($B148="","",IFERROR(INDEX($U$4:$U$3183,MATCH(SMALL($V$4:$V$3183,145),$V$4:$V$3183,0)),""))</f>
        <v/>
      </c>
      <c r="J148">
        <f>IF($B148="","",IF($D148&gt;$F$2,"À venir",IF($E148&lt;$D$2,"Passé","Dans la période")))</f>
        <v/>
      </c>
      <c r="K148">
        <f>IF(OR($B148="",NOT(ISNUMBER($D148))),"",IF(AND($E148&lt;$D$2,$G148&lt;&gt;"X",$F148&lt;&gt;"Réalisé",$F148&lt;&gt;"Clôturé"),"RETARD",""))</f>
        <v/>
      </c>
      <c r="L148">
        <f>IF(OR($B148="",NOT(ISNUMBER($D148))),"",IF(AND($D148&gt;=$D$2,$D148&lt;=$H$2,$G148&lt;&gt;"X",$F148&lt;&gt;"Réalisé",$F148&lt;&gt;"Clôturé"),"≤ 7 j",""))</f>
        <v/>
      </c>
      <c r="M148" s="29">
        <f>IF($B148="","",IFERROR(INDEX($T$4:$T$3183,MATCH(SMALL($V$4:$V$3183,145),$V$4:$V$3183,0)),""))</f>
        <v/>
      </c>
      <c r="O148">
        <f>IF(INDEX(Suivi!$B:$B,151)="","",INDEX(Suivi!$B:$B,151))</f>
        <v/>
      </c>
      <c r="P148">
        <f>IF($O148="","",IF(INDEX(Suivi!$D:$D,151)="",INDEX(Suivi!$C:$C,151),INDEX(Suivi!$D:$D,151)))</f>
        <v/>
      </c>
      <c r="Q148">
        <f>IF($O148="","",INDEX(Suivi!$E:$E,151))</f>
        <v/>
      </c>
      <c r="R148">
        <f>IF($O148="","",INDEX(Suivi!$F:$F,151))</f>
        <v/>
      </c>
      <c r="S148">
        <f>IF($O148="","",INDEX(Suivi!$G:$G,151))</f>
        <v/>
      </c>
      <c r="T148">
        <f>IF($O148="","",IF(INDEX(Dossiers!$F$4:$F$63,3)="","",INDEX(Dossiers!$F$4:$F$63,3)))</f>
        <v/>
      </c>
      <c r="U148">
        <f>IF($O148="","",IF(INDEX(Dossiers!$G$4:$G$63,3)="","",INDEX(Dossiers!$G$4:$G$63,3)))</f>
        <v/>
      </c>
      <c r="V148">
        <f>IF(OR($O148="",NOT(ISNUMBER($Q148))),"",$Q148*1000000+148)</f>
        <v/>
      </c>
      <c r="W148" s="29">
        <f>IF($B148="","",IFERROR(INDEX($U$4:$U$3183,MATCH(SMALL($V$4:$V$3183,145),$V$4:$V$3183,0)),""))</f>
        <v/>
      </c>
    </row>
    <row r="149">
      <c r="A149">
        <f>IFERROR(INDEX($N$4:$N$3183,MATCH(SMALL($V$4:$V$3183,146),$V$4:$V$3183,0)),"")</f>
        <v/>
      </c>
      <c r="B149">
        <f>IFERROR(INDEX($O$4:$O$3183,MATCH(SMALL($V$4:$V$3183,146),$V$4:$V$3183,0)),"")</f>
        <v/>
      </c>
      <c r="C149">
        <f>IFERROR(INDEX($P$4:$P$3183,MATCH(SMALL($V$4:$V$3183,146),$V$4:$V$3183,0)),"")</f>
        <v/>
      </c>
      <c r="D149" s="29">
        <f>IFERROR(INDEX($Q$4:$Q$3183,MATCH(SMALL($V$4:$V$3183,146),$V$4:$V$3183,0)),"")</f>
        <v/>
      </c>
      <c r="E149" s="29">
        <f>IFERROR(INDEX($R$4:$R$3183,MATCH(SMALL($V$4:$V$3183,146),$V$4:$V$3183,0)),"")</f>
        <v/>
      </c>
      <c r="F149">
        <f>IFERROR(INDEX($S$4:$S$3183,MATCH(SMALL($V$4:$V$3183,146),$V$4:$V$3183,0)),"")</f>
        <v/>
      </c>
      <c r="I149" s="29">
        <f>IF($B149="","",IFERROR(INDEX($U$4:$U$3183,MATCH(SMALL($V$4:$V$3183,146),$V$4:$V$3183,0)),""))</f>
        <v/>
      </c>
      <c r="J149">
        <f>IF($B149="","",IF($D149&gt;$F$2,"À venir",IF($E149&lt;$D$2,"Passé","Dans la période")))</f>
        <v/>
      </c>
      <c r="K149">
        <f>IF(OR($B149="",NOT(ISNUMBER($D149))),"",IF(AND($E149&lt;$D$2,$G149&lt;&gt;"X",$F149&lt;&gt;"Réalisé",$F149&lt;&gt;"Clôturé"),"RETARD",""))</f>
        <v/>
      </c>
      <c r="L149">
        <f>IF(OR($B149="",NOT(ISNUMBER($D149))),"",IF(AND($D149&gt;=$D$2,$D149&lt;=$H$2,$G149&lt;&gt;"X",$F149&lt;&gt;"Réalisé",$F149&lt;&gt;"Clôturé"),"≤ 7 j",""))</f>
        <v/>
      </c>
      <c r="M149" s="29">
        <f>IF($B149="","",IFERROR(INDEX($T$4:$T$3183,MATCH(SMALL($V$4:$V$3183,146),$V$4:$V$3183,0)),""))</f>
        <v/>
      </c>
      <c r="O149">
        <f>IF(INDEX(Suivi!$B:$B,152)="","",INDEX(Suivi!$B:$B,152))</f>
        <v/>
      </c>
      <c r="P149">
        <f>IF($O149="","",IF(INDEX(Suivi!$D:$D,152)="",INDEX(Suivi!$C:$C,152),INDEX(Suivi!$D:$D,152)))</f>
        <v/>
      </c>
      <c r="Q149">
        <f>IF($O149="","",INDEX(Suivi!$E:$E,152))</f>
        <v/>
      </c>
      <c r="R149">
        <f>IF($O149="","",INDEX(Suivi!$F:$F,152))</f>
        <v/>
      </c>
      <c r="S149">
        <f>IF($O149="","",INDEX(Suivi!$G:$G,152))</f>
        <v/>
      </c>
      <c r="T149">
        <f>IF($O149="","",IF(INDEX(Dossiers!$F$4:$F$63,3)="","",INDEX(Dossiers!$F$4:$F$63,3)))</f>
        <v/>
      </c>
      <c r="U149">
        <f>IF($O149="","",IF(INDEX(Dossiers!$G$4:$G$63,3)="","",INDEX(Dossiers!$G$4:$G$63,3)))</f>
        <v/>
      </c>
      <c r="V149">
        <f>IF(OR($O149="",NOT(ISNUMBER($Q149))),"",$Q149*1000000+149)</f>
        <v/>
      </c>
      <c r="W149" s="29">
        <f>IF($B149="","",IFERROR(INDEX($U$4:$U$3183,MATCH(SMALL($V$4:$V$3183,146),$V$4:$V$3183,0)),""))</f>
        <v/>
      </c>
    </row>
    <row r="150">
      <c r="A150">
        <f>IFERROR(INDEX($N$4:$N$3183,MATCH(SMALL($V$4:$V$3183,147),$V$4:$V$3183,0)),"")</f>
        <v/>
      </c>
      <c r="B150">
        <f>IFERROR(INDEX($O$4:$O$3183,MATCH(SMALL($V$4:$V$3183,147),$V$4:$V$3183,0)),"")</f>
        <v/>
      </c>
      <c r="C150">
        <f>IFERROR(INDEX($P$4:$P$3183,MATCH(SMALL($V$4:$V$3183,147),$V$4:$V$3183,0)),"")</f>
        <v/>
      </c>
      <c r="D150" s="29">
        <f>IFERROR(INDEX($Q$4:$Q$3183,MATCH(SMALL($V$4:$V$3183,147),$V$4:$V$3183,0)),"")</f>
        <v/>
      </c>
      <c r="E150" s="29">
        <f>IFERROR(INDEX($R$4:$R$3183,MATCH(SMALL($V$4:$V$3183,147),$V$4:$V$3183,0)),"")</f>
        <v/>
      </c>
      <c r="F150">
        <f>IFERROR(INDEX($S$4:$S$3183,MATCH(SMALL($V$4:$V$3183,147),$V$4:$V$3183,0)),"")</f>
        <v/>
      </c>
      <c r="I150" s="29">
        <f>IF($B150="","",IFERROR(INDEX($U$4:$U$3183,MATCH(SMALL($V$4:$V$3183,147),$V$4:$V$3183,0)),""))</f>
        <v/>
      </c>
      <c r="J150">
        <f>IF($B150="","",IF($D150&gt;$F$2,"À venir",IF($E150&lt;$D$2,"Passé","Dans la période")))</f>
        <v/>
      </c>
      <c r="K150">
        <f>IF(OR($B150="",NOT(ISNUMBER($D150))),"",IF(AND($E150&lt;$D$2,$G150&lt;&gt;"X",$F150&lt;&gt;"Réalisé",$F150&lt;&gt;"Clôturé"),"RETARD",""))</f>
        <v/>
      </c>
      <c r="L150">
        <f>IF(OR($B150="",NOT(ISNUMBER($D150))),"",IF(AND($D150&gt;=$D$2,$D150&lt;=$H$2,$G150&lt;&gt;"X",$F150&lt;&gt;"Réalisé",$F150&lt;&gt;"Clôturé"),"≤ 7 j",""))</f>
        <v/>
      </c>
      <c r="M150" s="29">
        <f>IF($B150="","",IFERROR(INDEX($T$4:$T$3183,MATCH(SMALL($V$4:$V$3183,147),$V$4:$V$3183,0)),""))</f>
        <v/>
      </c>
      <c r="O150">
        <f>IF(INDEX(Suivi!$B:$B,153)="","",INDEX(Suivi!$B:$B,153))</f>
        <v/>
      </c>
      <c r="P150">
        <f>IF($O150="","",IF(INDEX(Suivi!$D:$D,153)="",INDEX(Suivi!$C:$C,153),INDEX(Suivi!$D:$D,153)))</f>
        <v/>
      </c>
      <c r="Q150">
        <f>IF($O150="","",INDEX(Suivi!$E:$E,153))</f>
        <v/>
      </c>
      <c r="R150">
        <f>IF($O150="","",INDEX(Suivi!$F:$F,153))</f>
        <v/>
      </c>
      <c r="S150">
        <f>IF($O150="","",INDEX(Suivi!$G:$G,153))</f>
        <v/>
      </c>
      <c r="T150">
        <f>IF($O150="","",IF(INDEX(Dossiers!$F$4:$F$63,3)="","",INDEX(Dossiers!$F$4:$F$63,3)))</f>
        <v/>
      </c>
      <c r="U150">
        <f>IF($O150="","",IF(INDEX(Dossiers!$G$4:$G$63,3)="","",INDEX(Dossiers!$G$4:$G$63,3)))</f>
        <v/>
      </c>
      <c r="V150">
        <f>IF(OR($O150="",NOT(ISNUMBER($Q150))),"",$Q150*1000000+150)</f>
        <v/>
      </c>
      <c r="W150" s="29">
        <f>IF($B150="","",IFERROR(INDEX($U$4:$U$3183,MATCH(SMALL($V$4:$V$3183,147),$V$4:$V$3183,0)),""))</f>
        <v/>
      </c>
    </row>
    <row r="151">
      <c r="A151">
        <f>IFERROR(INDEX($N$4:$N$3183,MATCH(SMALL($V$4:$V$3183,148),$V$4:$V$3183,0)),"")</f>
        <v/>
      </c>
      <c r="B151">
        <f>IFERROR(INDEX($O$4:$O$3183,MATCH(SMALL($V$4:$V$3183,148),$V$4:$V$3183,0)),"")</f>
        <v/>
      </c>
      <c r="C151">
        <f>IFERROR(INDEX($P$4:$P$3183,MATCH(SMALL($V$4:$V$3183,148),$V$4:$V$3183,0)),"")</f>
        <v/>
      </c>
      <c r="D151" s="29">
        <f>IFERROR(INDEX($Q$4:$Q$3183,MATCH(SMALL($V$4:$V$3183,148),$V$4:$V$3183,0)),"")</f>
        <v/>
      </c>
      <c r="E151" s="29">
        <f>IFERROR(INDEX($R$4:$R$3183,MATCH(SMALL($V$4:$V$3183,148),$V$4:$V$3183,0)),"")</f>
        <v/>
      </c>
      <c r="F151">
        <f>IFERROR(INDEX($S$4:$S$3183,MATCH(SMALL($V$4:$V$3183,148),$V$4:$V$3183,0)),"")</f>
        <v/>
      </c>
      <c r="I151" s="29">
        <f>IF($B151="","",IFERROR(INDEX($U$4:$U$3183,MATCH(SMALL($V$4:$V$3183,148),$V$4:$V$3183,0)),""))</f>
        <v/>
      </c>
      <c r="J151">
        <f>IF($B151="","",IF($D151&gt;$F$2,"À venir",IF($E151&lt;$D$2,"Passé","Dans la période")))</f>
        <v/>
      </c>
      <c r="K151">
        <f>IF(OR($B151="",NOT(ISNUMBER($D151))),"",IF(AND($E151&lt;$D$2,$G151&lt;&gt;"X",$F151&lt;&gt;"Réalisé",$F151&lt;&gt;"Clôturé"),"RETARD",""))</f>
        <v/>
      </c>
      <c r="L151">
        <f>IF(OR($B151="",NOT(ISNUMBER($D151))),"",IF(AND($D151&gt;=$D$2,$D151&lt;=$H$2,$G151&lt;&gt;"X",$F151&lt;&gt;"Réalisé",$F151&lt;&gt;"Clôturé"),"≤ 7 j",""))</f>
        <v/>
      </c>
      <c r="M151" s="29">
        <f>IF($B151="","",IFERROR(INDEX($T$4:$T$3183,MATCH(SMALL($V$4:$V$3183,148),$V$4:$V$3183,0)),""))</f>
        <v/>
      </c>
      <c r="O151">
        <f>IF(INDEX(Suivi!$B:$B,154)="","",INDEX(Suivi!$B:$B,154))</f>
        <v/>
      </c>
      <c r="P151">
        <f>IF($O151="","",IF(INDEX(Suivi!$D:$D,154)="",INDEX(Suivi!$C:$C,154),INDEX(Suivi!$D:$D,154)))</f>
        <v/>
      </c>
      <c r="Q151">
        <f>IF($O151="","",INDEX(Suivi!$E:$E,154))</f>
        <v/>
      </c>
      <c r="R151">
        <f>IF($O151="","",INDEX(Suivi!$F:$F,154))</f>
        <v/>
      </c>
      <c r="S151">
        <f>IF($O151="","",INDEX(Suivi!$G:$G,154))</f>
        <v/>
      </c>
      <c r="T151">
        <f>IF($O151="","",IF(INDEX(Dossiers!$F$4:$F$63,3)="","",INDEX(Dossiers!$F$4:$F$63,3)))</f>
        <v/>
      </c>
      <c r="U151">
        <f>IF($O151="","",IF(INDEX(Dossiers!$G$4:$G$63,3)="","",INDEX(Dossiers!$G$4:$G$63,3)))</f>
        <v/>
      </c>
      <c r="V151">
        <f>IF(OR($O151="",NOT(ISNUMBER($Q151))),"",$Q151*1000000+151)</f>
        <v/>
      </c>
      <c r="W151" s="29">
        <f>IF($B151="","",IFERROR(INDEX($U$4:$U$3183,MATCH(SMALL($V$4:$V$3183,148),$V$4:$V$3183,0)),""))</f>
        <v/>
      </c>
    </row>
    <row r="152">
      <c r="A152">
        <f>IFERROR(INDEX($N$4:$N$3183,MATCH(SMALL($V$4:$V$3183,149),$V$4:$V$3183,0)),"")</f>
        <v/>
      </c>
      <c r="B152">
        <f>IFERROR(INDEX($O$4:$O$3183,MATCH(SMALL($V$4:$V$3183,149),$V$4:$V$3183,0)),"")</f>
        <v/>
      </c>
      <c r="C152">
        <f>IFERROR(INDEX($P$4:$P$3183,MATCH(SMALL($V$4:$V$3183,149),$V$4:$V$3183,0)),"")</f>
        <v/>
      </c>
      <c r="D152" s="29">
        <f>IFERROR(INDEX($Q$4:$Q$3183,MATCH(SMALL($V$4:$V$3183,149),$V$4:$V$3183,0)),"")</f>
        <v/>
      </c>
      <c r="E152" s="29">
        <f>IFERROR(INDEX($R$4:$R$3183,MATCH(SMALL($V$4:$V$3183,149),$V$4:$V$3183,0)),"")</f>
        <v/>
      </c>
      <c r="F152">
        <f>IFERROR(INDEX($S$4:$S$3183,MATCH(SMALL($V$4:$V$3183,149),$V$4:$V$3183,0)),"")</f>
        <v/>
      </c>
      <c r="I152" s="29">
        <f>IF($B152="","",IFERROR(INDEX($U$4:$U$3183,MATCH(SMALL($V$4:$V$3183,149),$V$4:$V$3183,0)),""))</f>
        <v/>
      </c>
      <c r="J152">
        <f>IF($B152="","",IF($D152&gt;$F$2,"À venir",IF($E152&lt;$D$2,"Passé","Dans la période")))</f>
        <v/>
      </c>
      <c r="K152">
        <f>IF(OR($B152="",NOT(ISNUMBER($D152))),"",IF(AND($E152&lt;$D$2,$G152&lt;&gt;"X",$F152&lt;&gt;"Réalisé",$F152&lt;&gt;"Clôturé"),"RETARD",""))</f>
        <v/>
      </c>
      <c r="L152">
        <f>IF(OR($B152="",NOT(ISNUMBER($D152))),"",IF(AND($D152&gt;=$D$2,$D152&lt;=$H$2,$G152&lt;&gt;"X",$F152&lt;&gt;"Réalisé",$F152&lt;&gt;"Clôturé"),"≤ 7 j",""))</f>
        <v/>
      </c>
      <c r="M152" s="29">
        <f>IF($B152="","",IFERROR(INDEX($T$4:$T$3183,MATCH(SMALL($V$4:$V$3183,149),$V$4:$V$3183,0)),""))</f>
        <v/>
      </c>
      <c r="O152">
        <f>IF(INDEX(Suivi!$B:$B,155)="","",INDEX(Suivi!$B:$B,155))</f>
        <v/>
      </c>
      <c r="P152">
        <f>IF($O152="","",IF(INDEX(Suivi!$D:$D,155)="",INDEX(Suivi!$C:$C,155),INDEX(Suivi!$D:$D,155)))</f>
        <v/>
      </c>
      <c r="Q152">
        <f>IF($O152="","",INDEX(Suivi!$E:$E,155))</f>
        <v/>
      </c>
      <c r="R152">
        <f>IF($O152="","",INDEX(Suivi!$F:$F,155))</f>
        <v/>
      </c>
      <c r="S152">
        <f>IF($O152="","",INDEX(Suivi!$G:$G,155))</f>
        <v/>
      </c>
      <c r="T152">
        <f>IF($O152="","",IF(INDEX(Dossiers!$F$4:$F$63,3)="","",INDEX(Dossiers!$F$4:$F$63,3)))</f>
        <v/>
      </c>
      <c r="U152">
        <f>IF($O152="","",IF(INDEX(Dossiers!$G$4:$G$63,3)="","",INDEX(Dossiers!$G$4:$G$63,3)))</f>
        <v/>
      </c>
      <c r="V152">
        <f>IF(OR($O152="",NOT(ISNUMBER($Q152))),"",$Q152*1000000+152)</f>
        <v/>
      </c>
      <c r="W152" s="29">
        <f>IF($B152="","",IFERROR(INDEX($U$4:$U$3183,MATCH(SMALL($V$4:$V$3183,149),$V$4:$V$3183,0)),""))</f>
        <v/>
      </c>
    </row>
    <row r="153">
      <c r="A153">
        <f>IFERROR(INDEX($N$4:$N$3183,MATCH(SMALL($V$4:$V$3183,150),$V$4:$V$3183,0)),"")</f>
        <v/>
      </c>
      <c r="B153">
        <f>IFERROR(INDEX($O$4:$O$3183,MATCH(SMALL($V$4:$V$3183,150),$V$4:$V$3183,0)),"")</f>
        <v/>
      </c>
      <c r="C153">
        <f>IFERROR(INDEX($P$4:$P$3183,MATCH(SMALL($V$4:$V$3183,150),$V$4:$V$3183,0)),"")</f>
        <v/>
      </c>
      <c r="D153" s="29">
        <f>IFERROR(INDEX($Q$4:$Q$3183,MATCH(SMALL($V$4:$V$3183,150),$V$4:$V$3183,0)),"")</f>
        <v/>
      </c>
      <c r="E153" s="29">
        <f>IFERROR(INDEX($R$4:$R$3183,MATCH(SMALL($V$4:$V$3183,150),$V$4:$V$3183,0)),"")</f>
        <v/>
      </c>
      <c r="F153">
        <f>IFERROR(INDEX($S$4:$S$3183,MATCH(SMALL($V$4:$V$3183,150),$V$4:$V$3183,0)),"")</f>
        <v/>
      </c>
      <c r="I153" s="29">
        <f>IF($B153="","",IFERROR(INDEX($U$4:$U$3183,MATCH(SMALL($V$4:$V$3183,150),$V$4:$V$3183,0)),""))</f>
        <v/>
      </c>
      <c r="J153">
        <f>IF($B153="","",IF($D153&gt;$F$2,"À venir",IF($E153&lt;$D$2,"Passé","Dans la période")))</f>
        <v/>
      </c>
      <c r="K153">
        <f>IF(OR($B153="",NOT(ISNUMBER($D153))),"",IF(AND($E153&lt;$D$2,$G153&lt;&gt;"X",$F153&lt;&gt;"Réalisé",$F153&lt;&gt;"Clôturé"),"RETARD",""))</f>
        <v/>
      </c>
      <c r="L153">
        <f>IF(OR($B153="",NOT(ISNUMBER($D153))),"",IF(AND($D153&gt;=$D$2,$D153&lt;=$H$2,$G153&lt;&gt;"X",$F153&lt;&gt;"Réalisé",$F153&lt;&gt;"Clôturé"),"≤ 7 j",""))</f>
        <v/>
      </c>
      <c r="M153" s="29">
        <f>IF($B153="","",IFERROR(INDEX($T$4:$T$3183,MATCH(SMALL($V$4:$V$3183,150),$V$4:$V$3183,0)),""))</f>
        <v/>
      </c>
      <c r="O153">
        <f>IF(INDEX(Suivi!$B:$B,156)="","",INDEX(Suivi!$B:$B,156))</f>
        <v/>
      </c>
      <c r="P153">
        <f>IF($O153="","",IF(INDEX(Suivi!$D:$D,156)="",INDEX(Suivi!$C:$C,156),INDEX(Suivi!$D:$D,156)))</f>
        <v/>
      </c>
      <c r="Q153">
        <f>IF($O153="","",INDEX(Suivi!$E:$E,156))</f>
        <v/>
      </c>
      <c r="R153">
        <f>IF($O153="","",INDEX(Suivi!$F:$F,156))</f>
        <v/>
      </c>
      <c r="S153">
        <f>IF($O153="","",INDEX(Suivi!$G:$G,156))</f>
        <v/>
      </c>
      <c r="T153">
        <f>IF($O153="","",IF(INDEX(Dossiers!$F$4:$F$63,3)="","",INDEX(Dossiers!$F$4:$F$63,3)))</f>
        <v/>
      </c>
      <c r="U153">
        <f>IF($O153="","",IF(INDEX(Dossiers!$G$4:$G$63,3)="","",INDEX(Dossiers!$G$4:$G$63,3)))</f>
        <v/>
      </c>
      <c r="V153">
        <f>IF(OR($O153="",NOT(ISNUMBER($Q153))),"",$Q153*1000000+153)</f>
        <v/>
      </c>
      <c r="W153" s="29">
        <f>IF($B153="","",IFERROR(INDEX($U$4:$U$3183,MATCH(SMALL($V$4:$V$3183,150),$V$4:$V$3183,0)),""))</f>
        <v/>
      </c>
    </row>
    <row r="154">
      <c r="A154">
        <f>IFERROR(INDEX($N$4:$N$3183,MATCH(SMALL($V$4:$V$3183,151),$V$4:$V$3183,0)),"")</f>
        <v/>
      </c>
      <c r="B154">
        <f>IFERROR(INDEX($O$4:$O$3183,MATCH(SMALL($V$4:$V$3183,151),$V$4:$V$3183,0)),"")</f>
        <v/>
      </c>
      <c r="C154">
        <f>IFERROR(INDEX($P$4:$P$3183,MATCH(SMALL($V$4:$V$3183,151),$V$4:$V$3183,0)),"")</f>
        <v/>
      </c>
      <c r="D154" s="29">
        <f>IFERROR(INDEX($Q$4:$Q$3183,MATCH(SMALL($V$4:$V$3183,151),$V$4:$V$3183,0)),"")</f>
        <v/>
      </c>
      <c r="E154" s="29">
        <f>IFERROR(INDEX($R$4:$R$3183,MATCH(SMALL($V$4:$V$3183,151),$V$4:$V$3183,0)),"")</f>
        <v/>
      </c>
      <c r="F154">
        <f>IFERROR(INDEX($S$4:$S$3183,MATCH(SMALL($V$4:$V$3183,151),$V$4:$V$3183,0)),"")</f>
        <v/>
      </c>
      <c r="I154" s="29">
        <f>IF($B154="","",IFERROR(INDEX($U$4:$U$3183,MATCH(SMALL($V$4:$V$3183,151),$V$4:$V$3183,0)),""))</f>
        <v/>
      </c>
      <c r="J154">
        <f>IF($B154="","",IF($D154&gt;$F$2,"À venir",IF($E154&lt;$D$2,"Passé","Dans la période")))</f>
        <v/>
      </c>
      <c r="K154">
        <f>IF(OR($B154="",NOT(ISNUMBER($D154))),"",IF(AND($E154&lt;$D$2,$G154&lt;&gt;"X",$F154&lt;&gt;"Réalisé",$F154&lt;&gt;"Clôturé"),"RETARD",""))</f>
        <v/>
      </c>
      <c r="L154">
        <f>IF(OR($B154="",NOT(ISNUMBER($D154))),"",IF(AND($D154&gt;=$D$2,$D154&lt;=$H$2,$G154&lt;&gt;"X",$F154&lt;&gt;"Réalisé",$F154&lt;&gt;"Clôturé"),"≤ 7 j",""))</f>
        <v/>
      </c>
      <c r="M154" s="29">
        <f>IF($B154="","",IFERROR(INDEX($T$4:$T$3183,MATCH(SMALL($V$4:$V$3183,151),$V$4:$V$3183,0)),""))</f>
        <v/>
      </c>
      <c r="O154">
        <f>IF(INDEX(Suivi!$B:$B,157)="","",INDEX(Suivi!$B:$B,157))</f>
        <v/>
      </c>
      <c r="P154">
        <f>IF($O154="","",IF(INDEX(Suivi!$D:$D,157)="",INDEX(Suivi!$C:$C,157),INDEX(Suivi!$D:$D,157)))</f>
        <v/>
      </c>
      <c r="Q154">
        <f>IF($O154="","",INDEX(Suivi!$E:$E,157))</f>
        <v/>
      </c>
      <c r="R154">
        <f>IF($O154="","",INDEX(Suivi!$F:$F,157))</f>
        <v/>
      </c>
      <c r="S154">
        <f>IF($O154="","",INDEX(Suivi!$G:$G,157))</f>
        <v/>
      </c>
      <c r="T154">
        <f>IF($O154="","",IF(INDEX(Dossiers!$F$4:$F$63,3)="","",INDEX(Dossiers!$F$4:$F$63,3)))</f>
        <v/>
      </c>
      <c r="U154">
        <f>IF($O154="","",IF(INDEX(Dossiers!$G$4:$G$63,3)="","",INDEX(Dossiers!$G$4:$G$63,3)))</f>
        <v/>
      </c>
      <c r="V154">
        <f>IF(OR($O154="",NOT(ISNUMBER($Q154))),"",$Q154*1000000+154)</f>
        <v/>
      </c>
      <c r="W154" s="29">
        <f>IF($B154="","",IFERROR(INDEX($U$4:$U$3183,MATCH(SMALL($V$4:$V$3183,151),$V$4:$V$3183,0)),""))</f>
        <v/>
      </c>
    </row>
    <row r="155">
      <c r="A155">
        <f>IFERROR(INDEX($N$4:$N$3183,MATCH(SMALL($V$4:$V$3183,152),$V$4:$V$3183,0)),"")</f>
        <v/>
      </c>
      <c r="B155">
        <f>IFERROR(INDEX($O$4:$O$3183,MATCH(SMALL($V$4:$V$3183,152),$V$4:$V$3183,0)),"")</f>
        <v/>
      </c>
      <c r="C155">
        <f>IFERROR(INDEX($P$4:$P$3183,MATCH(SMALL($V$4:$V$3183,152),$V$4:$V$3183,0)),"")</f>
        <v/>
      </c>
      <c r="D155" s="29">
        <f>IFERROR(INDEX($Q$4:$Q$3183,MATCH(SMALL($V$4:$V$3183,152),$V$4:$V$3183,0)),"")</f>
        <v/>
      </c>
      <c r="E155" s="29">
        <f>IFERROR(INDEX($R$4:$R$3183,MATCH(SMALL($V$4:$V$3183,152),$V$4:$V$3183,0)),"")</f>
        <v/>
      </c>
      <c r="F155">
        <f>IFERROR(INDEX($S$4:$S$3183,MATCH(SMALL($V$4:$V$3183,152),$V$4:$V$3183,0)),"")</f>
        <v/>
      </c>
      <c r="I155" s="29">
        <f>IF($B155="","",IFERROR(INDEX($U$4:$U$3183,MATCH(SMALL($V$4:$V$3183,152),$V$4:$V$3183,0)),""))</f>
        <v/>
      </c>
      <c r="J155">
        <f>IF($B155="","",IF($D155&gt;$F$2,"À venir",IF($E155&lt;$D$2,"Passé","Dans la période")))</f>
        <v/>
      </c>
      <c r="K155">
        <f>IF(OR($B155="",NOT(ISNUMBER($D155))),"",IF(AND($E155&lt;$D$2,$G155&lt;&gt;"X",$F155&lt;&gt;"Réalisé",$F155&lt;&gt;"Clôturé"),"RETARD",""))</f>
        <v/>
      </c>
      <c r="L155">
        <f>IF(OR($B155="",NOT(ISNUMBER($D155))),"",IF(AND($D155&gt;=$D$2,$D155&lt;=$H$2,$G155&lt;&gt;"X",$F155&lt;&gt;"Réalisé",$F155&lt;&gt;"Clôturé"),"≤ 7 j",""))</f>
        <v/>
      </c>
      <c r="M155" s="29">
        <f>IF($B155="","",IFERROR(INDEX($T$4:$T$3183,MATCH(SMALL($V$4:$V$3183,152),$V$4:$V$3183,0)),""))</f>
        <v/>
      </c>
      <c r="O155">
        <f>IF(INDEX(Suivi!$B:$B,158)="","",INDEX(Suivi!$B:$B,158))</f>
        <v/>
      </c>
      <c r="P155">
        <f>IF($O155="","",IF(INDEX(Suivi!$D:$D,158)="",INDEX(Suivi!$C:$C,158),INDEX(Suivi!$D:$D,158)))</f>
        <v/>
      </c>
      <c r="Q155">
        <f>IF($O155="","",INDEX(Suivi!$E:$E,158))</f>
        <v/>
      </c>
      <c r="R155">
        <f>IF($O155="","",INDEX(Suivi!$F:$F,158))</f>
        <v/>
      </c>
      <c r="S155">
        <f>IF($O155="","",INDEX(Suivi!$G:$G,158))</f>
        <v/>
      </c>
      <c r="T155">
        <f>IF($O155="","",IF(INDEX(Dossiers!$F$4:$F$63,3)="","",INDEX(Dossiers!$F$4:$F$63,3)))</f>
        <v/>
      </c>
      <c r="U155">
        <f>IF($O155="","",IF(INDEX(Dossiers!$G$4:$G$63,3)="","",INDEX(Dossiers!$G$4:$G$63,3)))</f>
        <v/>
      </c>
      <c r="V155">
        <f>IF(OR($O155="",NOT(ISNUMBER($Q155))),"",$Q155*1000000+155)</f>
        <v/>
      </c>
      <c r="W155" s="29">
        <f>IF($B155="","",IFERROR(INDEX($U$4:$U$3183,MATCH(SMALL($V$4:$V$3183,152),$V$4:$V$3183,0)),""))</f>
        <v/>
      </c>
    </row>
    <row r="156">
      <c r="A156">
        <f>IFERROR(INDEX($N$4:$N$3183,MATCH(SMALL($V$4:$V$3183,153),$V$4:$V$3183,0)),"")</f>
        <v/>
      </c>
      <c r="B156">
        <f>IFERROR(INDEX($O$4:$O$3183,MATCH(SMALL($V$4:$V$3183,153),$V$4:$V$3183,0)),"")</f>
        <v/>
      </c>
      <c r="C156">
        <f>IFERROR(INDEX($P$4:$P$3183,MATCH(SMALL($V$4:$V$3183,153),$V$4:$V$3183,0)),"")</f>
        <v/>
      </c>
      <c r="D156" s="29">
        <f>IFERROR(INDEX($Q$4:$Q$3183,MATCH(SMALL($V$4:$V$3183,153),$V$4:$V$3183,0)),"")</f>
        <v/>
      </c>
      <c r="E156" s="29">
        <f>IFERROR(INDEX($R$4:$R$3183,MATCH(SMALL($V$4:$V$3183,153),$V$4:$V$3183,0)),"")</f>
        <v/>
      </c>
      <c r="F156">
        <f>IFERROR(INDEX($S$4:$S$3183,MATCH(SMALL($V$4:$V$3183,153),$V$4:$V$3183,0)),"")</f>
        <v/>
      </c>
      <c r="I156" s="29">
        <f>IF($B156="","",IFERROR(INDEX($U$4:$U$3183,MATCH(SMALL($V$4:$V$3183,153),$V$4:$V$3183,0)),""))</f>
        <v/>
      </c>
      <c r="J156">
        <f>IF($B156="","",IF($D156&gt;$F$2,"À venir",IF($E156&lt;$D$2,"Passé","Dans la période")))</f>
        <v/>
      </c>
      <c r="K156">
        <f>IF(OR($B156="",NOT(ISNUMBER($D156))),"",IF(AND($E156&lt;$D$2,$G156&lt;&gt;"X",$F156&lt;&gt;"Réalisé",$F156&lt;&gt;"Clôturé"),"RETARD",""))</f>
        <v/>
      </c>
      <c r="L156">
        <f>IF(OR($B156="",NOT(ISNUMBER($D156))),"",IF(AND($D156&gt;=$D$2,$D156&lt;=$H$2,$G156&lt;&gt;"X",$F156&lt;&gt;"Réalisé",$F156&lt;&gt;"Clôturé"),"≤ 7 j",""))</f>
        <v/>
      </c>
      <c r="M156" s="29">
        <f>IF($B156="","",IFERROR(INDEX($T$4:$T$3183,MATCH(SMALL($V$4:$V$3183,153),$V$4:$V$3183,0)),""))</f>
        <v/>
      </c>
      <c r="O156">
        <f>IF(INDEX(Suivi!$B:$B,159)="","",INDEX(Suivi!$B:$B,159))</f>
        <v/>
      </c>
      <c r="P156">
        <f>IF($O156="","",IF(INDEX(Suivi!$D:$D,159)="",INDEX(Suivi!$C:$C,159),INDEX(Suivi!$D:$D,159)))</f>
        <v/>
      </c>
      <c r="Q156">
        <f>IF($O156="","",INDEX(Suivi!$E:$E,159))</f>
        <v/>
      </c>
      <c r="R156">
        <f>IF($O156="","",INDEX(Suivi!$F:$F,159))</f>
        <v/>
      </c>
      <c r="S156">
        <f>IF($O156="","",INDEX(Suivi!$G:$G,159))</f>
        <v/>
      </c>
      <c r="T156">
        <f>IF($O156="","",IF(INDEX(Dossiers!$F$4:$F$63,3)="","",INDEX(Dossiers!$F$4:$F$63,3)))</f>
        <v/>
      </c>
      <c r="U156">
        <f>IF($O156="","",IF(INDEX(Dossiers!$G$4:$G$63,3)="","",INDEX(Dossiers!$G$4:$G$63,3)))</f>
        <v/>
      </c>
      <c r="V156">
        <f>IF(OR($O156="",NOT(ISNUMBER($Q156))),"",$Q156*1000000+156)</f>
        <v/>
      </c>
      <c r="W156" s="29">
        <f>IF($B156="","",IFERROR(INDEX($U$4:$U$3183,MATCH(SMALL($V$4:$V$3183,153),$V$4:$V$3183,0)),""))</f>
        <v/>
      </c>
    </row>
    <row r="157">
      <c r="A157">
        <f>IFERROR(INDEX($N$4:$N$3183,MATCH(SMALL($V$4:$V$3183,154),$V$4:$V$3183,0)),"")</f>
        <v/>
      </c>
      <c r="B157">
        <f>IFERROR(INDEX($O$4:$O$3183,MATCH(SMALL($V$4:$V$3183,154),$V$4:$V$3183,0)),"")</f>
        <v/>
      </c>
      <c r="C157">
        <f>IFERROR(INDEX($P$4:$P$3183,MATCH(SMALL($V$4:$V$3183,154),$V$4:$V$3183,0)),"")</f>
        <v/>
      </c>
      <c r="D157" s="29">
        <f>IFERROR(INDEX($Q$4:$Q$3183,MATCH(SMALL($V$4:$V$3183,154),$V$4:$V$3183,0)),"")</f>
        <v/>
      </c>
      <c r="E157" s="29">
        <f>IFERROR(INDEX($R$4:$R$3183,MATCH(SMALL($V$4:$V$3183,154),$V$4:$V$3183,0)),"")</f>
        <v/>
      </c>
      <c r="F157">
        <f>IFERROR(INDEX($S$4:$S$3183,MATCH(SMALL($V$4:$V$3183,154),$V$4:$V$3183,0)),"")</f>
        <v/>
      </c>
      <c r="I157" s="29">
        <f>IF($B157="","",IFERROR(INDEX($U$4:$U$3183,MATCH(SMALL($V$4:$V$3183,154),$V$4:$V$3183,0)),""))</f>
        <v/>
      </c>
      <c r="J157">
        <f>IF($B157="","",IF($D157&gt;$F$2,"À venir",IF($E157&lt;$D$2,"Passé","Dans la période")))</f>
        <v/>
      </c>
      <c r="K157">
        <f>IF(OR($B157="",NOT(ISNUMBER($D157))),"",IF(AND($E157&lt;$D$2,$G157&lt;&gt;"X",$F157&lt;&gt;"Réalisé",$F157&lt;&gt;"Clôturé"),"RETARD",""))</f>
        <v/>
      </c>
      <c r="L157">
        <f>IF(OR($B157="",NOT(ISNUMBER($D157))),"",IF(AND($D157&gt;=$D$2,$D157&lt;=$H$2,$G157&lt;&gt;"X",$F157&lt;&gt;"Réalisé",$F157&lt;&gt;"Clôturé"),"≤ 7 j",""))</f>
        <v/>
      </c>
      <c r="M157" s="29">
        <f>IF($B157="","",IFERROR(INDEX($T$4:$T$3183,MATCH(SMALL($V$4:$V$3183,154),$V$4:$V$3183,0)),""))</f>
        <v/>
      </c>
      <c r="O157">
        <f>IF(INDEX(Suivi!$B:$B,160)="","",INDEX(Suivi!$B:$B,160))</f>
        <v/>
      </c>
      <c r="P157">
        <f>IF($O157="","",IF(INDEX(Suivi!$D:$D,160)="",INDEX(Suivi!$C:$C,160),INDEX(Suivi!$D:$D,160)))</f>
        <v/>
      </c>
      <c r="Q157">
        <f>IF($O157="","",INDEX(Suivi!$E:$E,160))</f>
        <v/>
      </c>
      <c r="R157">
        <f>IF($O157="","",INDEX(Suivi!$F:$F,160))</f>
        <v/>
      </c>
      <c r="S157">
        <f>IF($O157="","",INDEX(Suivi!$G:$G,160))</f>
        <v/>
      </c>
      <c r="T157">
        <f>IF($O157="","",IF(INDEX(Dossiers!$F$4:$F$63,3)="","",INDEX(Dossiers!$F$4:$F$63,3)))</f>
        <v/>
      </c>
      <c r="U157">
        <f>IF($O157="","",IF(INDEX(Dossiers!$G$4:$G$63,3)="","",INDEX(Dossiers!$G$4:$G$63,3)))</f>
        <v/>
      </c>
      <c r="V157">
        <f>IF(OR($O157="",NOT(ISNUMBER($Q157))),"",$Q157*1000000+157)</f>
        <v/>
      </c>
      <c r="W157" s="29">
        <f>IF($B157="","",IFERROR(INDEX($U$4:$U$3183,MATCH(SMALL($V$4:$V$3183,154),$V$4:$V$3183,0)),""))</f>
        <v/>
      </c>
    </row>
    <row r="158">
      <c r="A158">
        <f>IFERROR(INDEX($N$4:$N$3183,MATCH(SMALL($V$4:$V$3183,155),$V$4:$V$3183,0)),"")</f>
        <v/>
      </c>
      <c r="B158">
        <f>IFERROR(INDEX($O$4:$O$3183,MATCH(SMALL($V$4:$V$3183,155),$V$4:$V$3183,0)),"")</f>
        <v/>
      </c>
      <c r="C158">
        <f>IFERROR(INDEX($P$4:$P$3183,MATCH(SMALL($V$4:$V$3183,155),$V$4:$V$3183,0)),"")</f>
        <v/>
      </c>
      <c r="D158" s="29">
        <f>IFERROR(INDEX($Q$4:$Q$3183,MATCH(SMALL($V$4:$V$3183,155),$V$4:$V$3183,0)),"")</f>
        <v/>
      </c>
      <c r="E158" s="29">
        <f>IFERROR(INDEX($R$4:$R$3183,MATCH(SMALL($V$4:$V$3183,155),$V$4:$V$3183,0)),"")</f>
        <v/>
      </c>
      <c r="F158">
        <f>IFERROR(INDEX($S$4:$S$3183,MATCH(SMALL($V$4:$V$3183,155),$V$4:$V$3183,0)),"")</f>
        <v/>
      </c>
      <c r="I158" s="29">
        <f>IF($B158="","",IFERROR(INDEX($U$4:$U$3183,MATCH(SMALL($V$4:$V$3183,155),$V$4:$V$3183,0)),""))</f>
        <v/>
      </c>
      <c r="J158">
        <f>IF($B158="","",IF($D158&gt;$F$2,"À venir",IF($E158&lt;$D$2,"Passé","Dans la période")))</f>
        <v/>
      </c>
      <c r="K158">
        <f>IF(OR($B158="",NOT(ISNUMBER($D158))),"",IF(AND($E158&lt;$D$2,$G158&lt;&gt;"X",$F158&lt;&gt;"Réalisé",$F158&lt;&gt;"Clôturé"),"RETARD",""))</f>
        <v/>
      </c>
      <c r="L158">
        <f>IF(OR($B158="",NOT(ISNUMBER($D158))),"",IF(AND($D158&gt;=$D$2,$D158&lt;=$H$2,$G158&lt;&gt;"X",$F158&lt;&gt;"Réalisé",$F158&lt;&gt;"Clôturé"),"≤ 7 j",""))</f>
        <v/>
      </c>
      <c r="M158" s="29">
        <f>IF($B158="","",IFERROR(INDEX($T$4:$T$3183,MATCH(SMALL($V$4:$V$3183,155),$V$4:$V$3183,0)),""))</f>
        <v/>
      </c>
      <c r="O158">
        <f>IF(INDEX(Suivi!$B:$B,161)="","",INDEX(Suivi!$B:$B,161))</f>
        <v/>
      </c>
      <c r="P158">
        <f>IF($O158="","",IF(INDEX(Suivi!$D:$D,161)="",INDEX(Suivi!$C:$C,161),INDEX(Suivi!$D:$D,161)))</f>
        <v/>
      </c>
      <c r="Q158">
        <f>IF($O158="","",INDEX(Suivi!$E:$E,161))</f>
        <v/>
      </c>
      <c r="R158">
        <f>IF($O158="","",INDEX(Suivi!$F:$F,161))</f>
        <v/>
      </c>
      <c r="S158">
        <f>IF($O158="","",INDEX(Suivi!$G:$G,161))</f>
        <v/>
      </c>
      <c r="T158">
        <f>IF($O158="","",IF(INDEX(Dossiers!$F$4:$F$63,3)="","",INDEX(Dossiers!$F$4:$F$63,3)))</f>
        <v/>
      </c>
      <c r="U158">
        <f>IF($O158="","",IF(INDEX(Dossiers!$G$4:$G$63,3)="","",INDEX(Dossiers!$G$4:$G$63,3)))</f>
        <v/>
      </c>
      <c r="V158">
        <f>IF(OR($O158="",NOT(ISNUMBER($Q158))),"",$Q158*1000000+158)</f>
        <v/>
      </c>
      <c r="W158" s="29">
        <f>IF($B158="","",IFERROR(INDEX($U$4:$U$3183,MATCH(SMALL($V$4:$V$3183,155),$V$4:$V$3183,0)),""))</f>
        <v/>
      </c>
    </row>
    <row r="159">
      <c r="A159">
        <f>IFERROR(INDEX($N$4:$N$3183,MATCH(SMALL($V$4:$V$3183,156),$V$4:$V$3183,0)),"")</f>
        <v/>
      </c>
      <c r="B159">
        <f>IFERROR(INDEX($O$4:$O$3183,MATCH(SMALL($V$4:$V$3183,156),$V$4:$V$3183,0)),"")</f>
        <v/>
      </c>
      <c r="C159">
        <f>IFERROR(INDEX($P$4:$P$3183,MATCH(SMALL($V$4:$V$3183,156),$V$4:$V$3183,0)),"")</f>
        <v/>
      </c>
      <c r="D159" s="29">
        <f>IFERROR(INDEX($Q$4:$Q$3183,MATCH(SMALL($V$4:$V$3183,156),$V$4:$V$3183,0)),"")</f>
        <v/>
      </c>
      <c r="E159" s="29">
        <f>IFERROR(INDEX($R$4:$R$3183,MATCH(SMALL($V$4:$V$3183,156),$V$4:$V$3183,0)),"")</f>
        <v/>
      </c>
      <c r="F159">
        <f>IFERROR(INDEX($S$4:$S$3183,MATCH(SMALL($V$4:$V$3183,156),$V$4:$V$3183,0)),"")</f>
        <v/>
      </c>
      <c r="I159" s="29">
        <f>IF($B159="","",IFERROR(INDEX($U$4:$U$3183,MATCH(SMALL($V$4:$V$3183,156),$V$4:$V$3183,0)),""))</f>
        <v/>
      </c>
      <c r="J159">
        <f>IF($B159="","",IF($D159&gt;$F$2,"À venir",IF($E159&lt;$D$2,"Passé","Dans la période")))</f>
        <v/>
      </c>
      <c r="K159">
        <f>IF(OR($B159="",NOT(ISNUMBER($D159))),"",IF(AND($E159&lt;$D$2,$G159&lt;&gt;"X",$F159&lt;&gt;"Réalisé",$F159&lt;&gt;"Clôturé"),"RETARD",""))</f>
        <v/>
      </c>
      <c r="L159">
        <f>IF(OR($B159="",NOT(ISNUMBER($D159))),"",IF(AND($D159&gt;=$D$2,$D159&lt;=$H$2,$G159&lt;&gt;"X",$F159&lt;&gt;"Réalisé",$F159&lt;&gt;"Clôturé"),"≤ 7 j",""))</f>
        <v/>
      </c>
      <c r="M159" s="29">
        <f>IF($B159="","",IFERROR(INDEX($T$4:$T$3183,MATCH(SMALL($V$4:$V$3183,156),$V$4:$V$3183,0)),""))</f>
        <v/>
      </c>
      <c r="O159">
        <f>IF(INDEX(Suivi!$B:$B,162)="","",INDEX(Suivi!$B:$B,162))</f>
        <v/>
      </c>
      <c r="P159">
        <f>IF($O159="","",IF(INDEX(Suivi!$D:$D,162)="",INDEX(Suivi!$C:$C,162),INDEX(Suivi!$D:$D,162)))</f>
        <v/>
      </c>
      <c r="Q159">
        <f>IF($O159="","",INDEX(Suivi!$E:$E,162))</f>
        <v/>
      </c>
      <c r="R159">
        <f>IF($O159="","",INDEX(Suivi!$F:$F,162))</f>
        <v/>
      </c>
      <c r="S159">
        <f>IF($O159="","",INDEX(Suivi!$G:$G,162))</f>
        <v/>
      </c>
      <c r="T159">
        <f>IF($O159="","",IF(INDEX(Dossiers!$F$4:$F$63,3)="","",INDEX(Dossiers!$F$4:$F$63,3)))</f>
        <v/>
      </c>
      <c r="U159">
        <f>IF($O159="","",IF(INDEX(Dossiers!$G$4:$G$63,3)="","",INDEX(Dossiers!$G$4:$G$63,3)))</f>
        <v/>
      </c>
      <c r="V159">
        <f>IF(OR($O159="",NOT(ISNUMBER($Q159))),"",$Q159*1000000+159)</f>
        <v/>
      </c>
      <c r="W159" s="29">
        <f>IF($B159="","",IFERROR(INDEX($U$4:$U$3183,MATCH(SMALL($V$4:$V$3183,156),$V$4:$V$3183,0)),""))</f>
        <v/>
      </c>
    </row>
    <row r="160">
      <c r="A160">
        <f>IFERROR(INDEX($N$4:$N$3183,MATCH(SMALL($V$4:$V$3183,157),$V$4:$V$3183,0)),"")</f>
        <v/>
      </c>
      <c r="B160">
        <f>IFERROR(INDEX($O$4:$O$3183,MATCH(SMALL($V$4:$V$3183,157),$V$4:$V$3183,0)),"")</f>
        <v/>
      </c>
      <c r="C160">
        <f>IFERROR(INDEX($P$4:$P$3183,MATCH(SMALL($V$4:$V$3183,157),$V$4:$V$3183,0)),"")</f>
        <v/>
      </c>
      <c r="D160" s="29">
        <f>IFERROR(INDEX($Q$4:$Q$3183,MATCH(SMALL($V$4:$V$3183,157),$V$4:$V$3183,0)),"")</f>
        <v/>
      </c>
      <c r="E160" s="29">
        <f>IFERROR(INDEX($R$4:$R$3183,MATCH(SMALL($V$4:$V$3183,157),$V$4:$V$3183,0)),"")</f>
        <v/>
      </c>
      <c r="F160">
        <f>IFERROR(INDEX($S$4:$S$3183,MATCH(SMALL($V$4:$V$3183,157),$V$4:$V$3183,0)),"")</f>
        <v/>
      </c>
      <c r="I160" s="29">
        <f>IF($B160="","",IFERROR(INDEX($U$4:$U$3183,MATCH(SMALL($V$4:$V$3183,157),$V$4:$V$3183,0)),""))</f>
        <v/>
      </c>
      <c r="J160">
        <f>IF($B160="","",IF($D160&gt;$F$2,"À venir",IF($E160&lt;$D$2,"Passé","Dans la période")))</f>
        <v/>
      </c>
      <c r="K160">
        <f>IF(OR($B160="",NOT(ISNUMBER($D160))),"",IF(AND($E160&lt;$D$2,$G160&lt;&gt;"X",$F160&lt;&gt;"Réalisé",$F160&lt;&gt;"Clôturé"),"RETARD",""))</f>
        <v/>
      </c>
      <c r="L160">
        <f>IF(OR($B160="",NOT(ISNUMBER($D160))),"",IF(AND($D160&gt;=$D$2,$D160&lt;=$H$2,$G160&lt;&gt;"X",$F160&lt;&gt;"Réalisé",$F160&lt;&gt;"Clôturé"),"≤ 7 j",""))</f>
        <v/>
      </c>
      <c r="M160" s="29">
        <f>IF($B160="","",IFERROR(INDEX($T$4:$T$3183,MATCH(SMALL($V$4:$V$3183,157),$V$4:$V$3183,0)),""))</f>
        <v/>
      </c>
      <c r="O160">
        <f>IF(INDEX(Suivi!$B:$B,163)="","",INDEX(Suivi!$B:$B,163))</f>
        <v/>
      </c>
      <c r="P160">
        <f>IF($O160="","",IF(INDEX(Suivi!$D:$D,163)="",INDEX(Suivi!$C:$C,163),INDEX(Suivi!$D:$D,163)))</f>
        <v/>
      </c>
      <c r="Q160">
        <f>IF($O160="","",INDEX(Suivi!$E:$E,163))</f>
        <v/>
      </c>
      <c r="R160">
        <f>IF($O160="","",INDEX(Suivi!$F:$F,163))</f>
        <v/>
      </c>
      <c r="S160">
        <f>IF($O160="","",INDEX(Suivi!$G:$G,163))</f>
        <v/>
      </c>
      <c r="T160">
        <f>IF($O160="","",IF(INDEX(Dossiers!$F$4:$F$63,3)="","",INDEX(Dossiers!$F$4:$F$63,3)))</f>
        <v/>
      </c>
      <c r="U160">
        <f>IF($O160="","",IF(INDEX(Dossiers!$G$4:$G$63,3)="","",INDEX(Dossiers!$G$4:$G$63,3)))</f>
        <v/>
      </c>
      <c r="V160">
        <f>IF(OR($O160="",NOT(ISNUMBER($Q160))),"",$Q160*1000000+160)</f>
        <v/>
      </c>
      <c r="W160" s="29">
        <f>IF($B160="","",IFERROR(INDEX($U$4:$U$3183,MATCH(SMALL($V$4:$V$3183,157),$V$4:$V$3183,0)),""))</f>
        <v/>
      </c>
    </row>
    <row r="161">
      <c r="A161">
        <f>IFERROR(INDEX($N$4:$N$3183,MATCH(SMALL($V$4:$V$3183,158),$V$4:$V$3183,0)),"")</f>
        <v/>
      </c>
      <c r="B161">
        <f>IFERROR(INDEX($O$4:$O$3183,MATCH(SMALL($V$4:$V$3183,158),$V$4:$V$3183,0)),"")</f>
        <v/>
      </c>
      <c r="C161">
        <f>IFERROR(INDEX($P$4:$P$3183,MATCH(SMALL($V$4:$V$3183,158),$V$4:$V$3183,0)),"")</f>
        <v/>
      </c>
      <c r="D161" s="29">
        <f>IFERROR(INDEX($Q$4:$Q$3183,MATCH(SMALL($V$4:$V$3183,158),$V$4:$V$3183,0)),"")</f>
        <v/>
      </c>
      <c r="E161" s="29">
        <f>IFERROR(INDEX($R$4:$R$3183,MATCH(SMALL($V$4:$V$3183,158),$V$4:$V$3183,0)),"")</f>
        <v/>
      </c>
      <c r="F161">
        <f>IFERROR(INDEX($S$4:$S$3183,MATCH(SMALL($V$4:$V$3183,158),$V$4:$V$3183,0)),"")</f>
        <v/>
      </c>
      <c r="I161" s="29">
        <f>IF($B161="","",IFERROR(INDEX($U$4:$U$3183,MATCH(SMALL($V$4:$V$3183,158),$V$4:$V$3183,0)),""))</f>
        <v/>
      </c>
      <c r="J161">
        <f>IF($B161="","",IF($D161&gt;$F$2,"À venir",IF($E161&lt;$D$2,"Passé","Dans la période")))</f>
        <v/>
      </c>
      <c r="K161">
        <f>IF(OR($B161="",NOT(ISNUMBER($D161))),"",IF(AND($E161&lt;$D$2,$G161&lt;&gt;"X",$F161&lt;&gt;"Réalisé",$F161&lt;&gt;"Clôturé"),"RETARD",""))</f>
        <v/>
      </c>
      <c r="L161">
        <f>IF(OR($B161="",NOT(ISNUMBER($D161))),"",IF(AND($D161&gt;=$D$2,$D161&lt;=$H$2,$G161&lt;&gt;"X",$F161&lt;&gt;"Réalisé",$F161&lt;&gt;"Clôturé"),"≤ 7 j",""))</f>
        <v/>
      </c>
      <c r="M161" s="29">
        <f>IF($B161="","",IFERROR(INDEX($T$4:$T$3183,MATCH(SMALL($V$4:$V$3183,158),$V$4:$V$3183,0)),""))</f>
        <v/>
      </c>
      <c r="O161">
        <f>IF(INDEX(Suivi!$B:$B,164)="","",INDEX(Suivi!$B:$B,164))</f>
        <v/>
      </c>
      <c r="P161">
        <f>IF($O161="","",IF(INDEX(Suivi!$D:$D,164)="",INDEX(Suivi!$C:$C,164),INDEX(Suivi!$D:$D,164)))</f>
        <v/>
      </c>
      <c r="Q161">
        <f>IF($O161="","",INDEX(Suivi!$E:$E,164))</f>
        <v/>
      </c>
      <c r="R161">
        <f>IF($O161="","",INDEX(Suivi!$F:$F,164))</f>
        <v/>
      </c>
      <c r="S161">
        <f>IF($O161="","",INDEX(Suivi!$G:$G,164))</f>
        <v/>
      </c>
      <c r="T161">
        <f>IF($O161="","",IF(INDEX(Dossiers!$F$4:$F$63,3)="","",INDEX(Dossiers!$F$4:$F$63,3)))</f>
        <v/>
      </c>
      <c r="U161">
        <f>IF($O161="","",IF(INDEX(Dossiers!$G$4:$G$63,3)="","",INDEX(Dossiers!$G$4:$G$63,3)))</f>
        <v/>
      </c>
      <c r="V161">
        <f>IF(OR($O161="",NOT(ISNUMBER($Q161))),"",$Q161*1000000+161)</f>
        <v/>
      </c>
      <c r="W161" s="29">
        <f>IF($B161="","",IFERROR(INDEX($U$4:$U$3183,MATCH(SMALL($V$4:$V$3183,158),$V$4:$V$3183,0)),""))</f>
        <v/>
      </c>
    </row>
    <row r="162">
      <c r="A162">
        <f>IFERROR(INDEX($N$4:$N$3183,MATCH(SMALL($V$4:$V$3183,159),$V$4:$V$3183,0)),"")</f>
        <v/>
      </c>
      <c r="B162">
        <f>IFERROR(INDEX($O$4:$O$3183,MATCH(SMALL($V$4:$V$3183,159),$V$4:$V$3183,0)),"")</f>
        <v/>
      </c>
      <c r="C162">
        <f>IFERROR(INDEX($P$4:$P$3183,MATCH(SMALL($V$4:$V$3183,159),$V$4:$V$3183,0)),"")</f>
        <v/>
      </c>
      <c r="D162" s="29">
        <f>IFERROR(INDEX($Q$4:$Q$3183,MATCH(SMALL($V$4:$V$3183,159),$V$4:$V$3183,0)),"")</f>
        <v/>
      </c>
      <c r="E162" s="29">
        <f>IFERROR(INDEX($R$4:$R$3183,MATCH(SMALL($V$4:$V$3183,159),$V$4:$V$3183,0)),"")</f>
        <v/>
      </c>
      <c r="F162">
        <f>IFERROR(INDEX($S$4:$S$3183,MATCH(SMALL($V$4:$V$3183,159),$V$4:$V$3183,0)),"")</f>
        <v/>
      </c>
      <c r="I162" s="29">
        <f>IF($B162="","",IFERROR(INDEX($U$4:$U$3183,MATCH(SMALL($V$4:$V$3183,159),$V$4:$V$3183,0)),""))</f>
        <v/>
      </c>
      <c r="J162">
        <f>IF($B162="","",IF($D162&gt;$F$2,"À venir",IF($E162&lt;$D$2,"Passé","Dans la période")))</f>
        <v/>
      </c>
      <c r="K162">
        <f>IF(OR($B162="",NOT(ISNUMBER($D162))),"",IF(AND($E162&lt;$D$2,$G162&lt;&gt;"X",$F162&lt;&gt;"Réalisé",$F162&lt;&gt;"Clôturé"),"RETARD",""))</f>
        <v/>
      </c>
      <c r="L162">
        <f>IF(OR($B162="",NOT(ISNUMBER($D162))),"",IF(AND($D162&gt;=$D$2,$D162&lt;=$H$2,$G162&lt;&gt;"X",$F162&lt;&gt;"Réalisé",$F162&lt;&gt;"Clôturé"),"≤ 7 j",""))</f>
        <v/>
      </c>
      <c r="M162" s="29">
        <f>IF($B162="","",IFERROR(INDEX($T$4:$T$3183,MATCH(SMALL($V$4:$V$3183,159),$V$4:$V$3183,0)),""))</f>
        <v/>
      </c>
      <c r="O162">
        <f>IF(INDEX(Suivi!$B:$B,165)="","",INDEX(Suivi!$B:$B,165))</f>
        <v/>
      </c>
      <c r="P162">
        <f>IF($O162="","",IF(INDEX(Suivi!$D:$D,165)="",INDEX(Suivi!$C:$C,165),INDEX(Suivi!$D:$D,165)))</f>
        <v/>
      </c>
      <c r="Q162">
        <f>IF($O162="","",INDEX(Suivi!$E:$E,165))</f>
        <v/>
      </c>
      <c r="R162">
        <f>IF($O162="","",INDEX(Suivi!$F:$F,165))</f>
        <v/>
      </c>
      <c r="S162">
        <f>IF($O162="","",INDEX(Suivi!$G:$G,165))</f>
        <v/>
      </c>
      <c r="T162">
        <f>IF($O162="","",IF(INDEX(Dossiers!$F$4:$F$63,3)="","",INDEX(Dossiers!$F$4:$F$63,3)))</f>
        <v/>
      </c>
      <c r="U162">
        <f>IF($O162="","",IF(INDEX(Dossiers!$G$4:$G$63,3)="","",INDEX(Dossiers!$G$4:$G$63,3)))</f>
        <v/>
      </c>
      <c r="V162">
        <f>IF(OR($O162="",NOT(ISNUMBER($Q162))),"",$Q162*1000000+162)</f>
        <v/>
      </c>
      <c r="W162" s="29">
        <f>IF($B162="","",IFERROR(INDEX($U$4:$U$3183,MATCH(SMALL($V$4:$V$3183,159),$V$4:$V$3183,0)),""))</f>
        <v/>
      </c>
    </row>
    <row r="163">
      <c r="A163">
        <f>IFERROR(INDEX($N$4:$N$3183,MATCH(SMALL($V$4:$V$3183,160),$V$4:$V$3183,0)),"")</f>
        <v/>
      </c>
      <c r="B163">
        <f>IFERROR(INDEX($O$4:$O$3183,MATCH(SMALL($V$4:$V$3183,160),$V$4:$V$3183,0)),"")</f>
        <v/>
      </c>
      <c r="C163">
        <f>IFERROR(INDEX($P$4:$P$3183,MATCH(SMALL($V$4:$V$3183,160),$V$4:$V$3183,0)),"")</f>
        <v/>
      </c>
      <c r="D163" s="29">
        <f>IFERROR(INDEX($Q$4:$Q$3183,MATCH(SMALL($V$4:$V$3183,160),$V$4:$V$3183,0)),"")</f>
        <v/>
      </c>
      <c r="E163" s="29">
        <f>IFERROR(INDEX($R$4:$R$3183,MATCH(SMALL($V$4:$V$3183,160),$V$4:$V$3183,0)),"")</f>
        <v/>
      </c>
      <c r="F163">
        <f>IFERROR(INDEX($S$4:$S$3183,MATCH(SMALL($V$4:$V$3183,160),$V$4:$V$3183,0)),"")</f>
        <v/>
      </c>
      <c r="I163" s="29">
        <f>IF($B163="","",IFERROR(INDEX($U$4:$U$3183,MATCH(SMALL($V$4:$V$3183,160),$V$4:$V$3183,0)),""))</f>
        <v/>
      </c>
      <c r="J163">
        <f>IF($B163="","",IF($D163&gt;$F$2,"À venir",IF($E163&lt;$D$2,"Passé","Dans la période")))</f>
        <v/>
      </c>
      <c r="K163">
        <f>IF(OR($B163="",NOT(ISNUMBER($D163))),"",IF(AND($E163&lt;$D$2,$G163&lt;&gt;"X",$F163&lt;&gt;"Réalisé",$F163&lt;&gt;"Clôturé"),"RETARD",""))</f>
        <v/>
      </c>
      <c r="L163">
        <f>IF(OR($B163="",NOT(ISNUMBER($D163))),"",IF(AND($D163&gt;=$D$2,$D163&lt;=$H$2,$G163&lt;&gt;"X",$F163&lt;&gt;"Réalisé",$F163&lt;&gt;"Clôturé"),"≤ 7 j",""))</f>
        <v/>
      </c>
      <c r="M163" s="29">
        <f>IF($B163="","",IFERROR(INDEX($T$4:$T$3183,MATCH(SMALL($V$4:$V$3183,160),$V$4:$V$3183,0)),""))</f>
        <v/>
      </c>
      <c r="O163">
        <f>IF(INDEX(Suivi!$B:$B,167)="","",INDEX(Suivi!$B:$B,167))</f>
        <v/>
      </c>
      <c r="P163">
        <f>IF($O163="","",IF(INDEX(Suivi!$D:$D,167)="",INDEX(Suivi!$C:$C,167),INDEX(Suivi!$D:$D,167)))</f>
        <v/>
      </c>
      <c r="Q163">
        <f>IF($O163="","",INDEX(Suivi!$E:$E,167))</f>
        <v/>
      </c>
      <c r="R163">
        <f>IF($O163="","",INDEX(Suivi!$F:$F,167))</f>
        <v/>
      </c>
      <c r="S163">
        <f>IF($O163="","",INDEX(Suivi!$G:$G,167))</f>
        <v/>
      </c>
      <c r="T163">
        <f>IF($O163="","",IF(INDEX(Dossiers!$F$4:$F$63,4)="","",INDEX(Dossiers!$F$4:$F$63,4)))</f>
        <v/>
      </c>
      <c r="U163">
        <f>IF($O163="","",IF(INDEX(Dossiers!$G$4:$G$63,4)="","",INDEX(Dossiers!$G$4:$G$63,4)))</f>
        <v/>
      </c>
      <c r="V163">
        <f>IF(OR($O163="",NOT(ISNUMBER($Q163))),"",$Q163*1000000+163)</f>
        <v/>
      </c>
      <c r="W163" s="29">
        <f>IF($B163="","",IFERROR(INDEX($U$4:$U$3183,MATCH(SMALL($V$4:$V$3183,160),$V$4:$V$3183,0)),""))</f>
        <v/>
      </c>
    </row>
    <row r="164">
      <c r="A164">
        <f>IFERROR(INDEX($N$4:$N$3183,MATCH(SMALL($V$4:$V$3183,161),$V$4:$V$3183,0)),"")</f>
        <v/>
      </c>
      <c r="B164">
        <f>IFERROR(INDEX($O$4:$O$3183,MATCH(SMALL($V$4:$V$3183,161),$V$4:$V$3183,0)),"")</f>
        <v/>
      </c>
      <c r="C164">
        <f>IFERROR(INDEX($P$4:$P$3183,MATCH(SMALL($V$4:$V$3183,161),$V$4:$V$3183,0)),"")</f>
        <v/>
      </c>
      <c r="D164" s="29">
        <f>IFERROR(INDEX($Q$4:$Q$3183,MATCH(SMALL($V$4:$V$3183,161),$V$4:$V$3183,0)),"")</f>
        <v/>
      </c>
      <c r="E164" s="29">
        <f>IFERROR(INDEX($R$4:$R$3183,MATCH(SMALL($V$4:$V$3183,161),$V$4:$V$3183,0)),"")</f>
        <v/>
      </c>
      <c r="F164">
        <f>IFERROR(INDEX($S$4:$S$3183,MATCH(SMALL($V$4:$V$3183,161),$V$4:$V$3183,0)),"")</f>
        <v/>
      </c>
      <c r="I164" s="29">
        <f>IF($B164="","",IFERROR(INDEX($U$4:$U$3183,MATCH(SMALL($V$4:$V$3183,161),$V$4:$V$3183,0)),""))</f>
        <v/>
      </c>
      <c r="J164">
        <f>IF($B164="","",IF($D164&gt;$F$2,"À venir",IF($E164&lt;$D$2,"Passé","Dans la période")))</f>
        <v/>
      </c>
      <c r="K164">
        <f>IF(OR($B164="",NOT(ISNUMBER($D164))),"",IF(AND($E164&lt;$D$2,$G164&lt;&gt;"X",$F164&lt;&gt;"Réalisé",$F164&lt;&gt;"Clôturé"),"RETARD",""))</f>
        <v/>
      </c>
      <c r="L164">
        <f>IF(OR($B164="",NOT(ISNUMBER($D164))),"",IF(AND($D164&gt;=$D$2,$D164&lt;=$H$2,$G164&lt;&gt;"X",$F164&lt;&gt;"Réalisé",$F164&lt;&gt;"Clôturé"),"≤ 7 j",""))</f>
        <v/>
      </c>
      <c r="M164" s="29">
        <f>IF($B164="","",IFERROR(INDEX($T$4:$T$3183,MATCH(SMALL($V$4:$V$3183,161),$V$4:$V$3183,0)),""))</f>
        <v/>
      </c>
      <c r="O164">
        <f>IF(INDEX(Suivi!$B:$B,168)="","",INDEX(Suivi!$B:$B,168))</f>
        <v/>
      </c>
      <c r="P164">
        <f>IF($O164="","",IF(INDEX(Suivi!$D:$D,168)="",INDEX(Suivi!$C:$C,168),INDEX(Suivi!$D:$D,168)))</f>
        <v/>
      </c>
      <c r="Q164">
        <f>IF($O164="","",INDEX(Suivi!$E:$E,168))</f>
        <v/>
      </c>
      <c r="R164">
        <f>IF($O164="","",INDEX(Suivi!$F:$F,168))</f>
        <v/>
      </c>
      <c r="S164">
        <f>IF($O164="","",INDEX(Suivi!$G:$G,168))</f>
        <v/>
      </c>
      <c r="T164">
        <f>IF($O164="","",IF(INDEX(Dossiers!$F$4:$F$63,4)="","",INDEX(Dossiers!$F$4:$F$63,4)))</f>
        <v/>
      </c>
      <c r="U164">
        <f>IF($O164="","",IF(INDEX(Dossiers!$G$4:$G$63,4)="","",INDEX(Dossiers!$G$4:$G$63,4)))</f>
        <v/>
      </c>
      <c r="V164">
        <f>IF(OR($O164="",NOT(ISNUMBER($Q164))),"",$Q164*1000000+164)</f>
        <v/>
      </c>
      <c r="W164" s="29">
        <f>IF($B164="","",IFERROR(INDEX($U$4:$U$3183,MATCH(SMALL($V$4:$V$3183,161),$V$4:$V$3183,0)),""))</f>
        <v/>
      </c>
    </row>
    <row r="165">
      <c r="A165">
        <f>IFERROR(INDEX($N$4:$N$3183,MATCH(SMALL($V$4:$V$3183,162),$V$4:$V$3183,0)),"")</f>
        <v/>
      </c>
      <c r="B165">
        <f>IFERROR(INDEX($O$4:$O$3183,MATCH(SMALL($V$4:$V$3183,162),$V$4:$V$3183,0)),"")</f>
        <v/>
      </c>
      <c r="C165">
        <f>IFERROR(INDEX($P$4:$P$3183,MATCH(SMALL($V$4:$V$3183,162),$V$4:$V$3183,0)),"")</f>
        <v/>
      </c>
      <c r="D165" s="29">
        <f>IFERROR(INDEX($Q$4:$Q$3183,MATCH(SMALL($V$4:$V$3183,162),$V$4:$V$3183,0)),"")</f>
        <v/>
      </c>
      <c r="E165" s="29">
        <f>IFERROR(INDEX($R$4:$R$3183,MATCH(SMALL($V$4:$V$3183,162),$V$4:$V$3183,0)),"")</f>
        <v/>
      </c>
      <c r="F165">
        <f>IFERROR(INDEX($S$4:$S$3183,MATCH(SMALL($V$4:$V$3183,162),$V$4:$V$3183,0)),"")</f>
        <v/>
      </c>
      <c r="I165" s="29">
        <f>IF($B165="","",IFERROR(INDEX($U$4:$U$3183,MATCH(SMALL($V$4:$V$3183,162),$V$4:$V$3183,0)),""))</f>
        <v/>
      </c>
      <c r="J165">
        <f>IF($B165="","",IF($D165&gt;$F$2,"À venir",IF($E165&lt;$D$2,"Passé","Dans la période")))</f>
        <v/>
      </c>
      <c r="K165">
        <f>IF(OR($B165="",NOT(ISNUMBER($D165))),"",IF(AND($E165&lt;$D$2,$G165&lt;&gt;"X",$F165&lt;&gt;"Réalisé",$F165&lt;&gt;"Clôturé"),"RETARD",""))</f>
        <v/>
      </c>
      <c r="L165">
        <f>IF(OR($B165="",NOT(ISNUMBER($D165))),"",IF(AND($D165&gt;=$D$2,$D165&lt;=$H$2,$G165&lt;&gt;"X",$F165&lt;&gt;"Réalisé",$F165&lt;&gt;"Clôturé"),"≤ 7 j",""))</f>
        <v/>
      </c>
      <c r="M165" s="29">
        <f>IF($B165="","",IFERROR(INDEX($T$4:$T$3183,MATCH(SMALL($V$4:$V$3183,162),$V$4:$V$3183,0)),""))</f>
        <v/>
      </c>
      <c r="O165">
        <f>IF(INDEX(Suivi!$B:$B,169)="","",INDEX(Suivi!$B:$B,169))</f>
        <v/>
      </c>
      <c r="P165">
        <f>IF($O165="","",IF(INDEX(Suivi!$D:$D,169)="",INDEX(Suivi!$C:$C,169),INDEX(Suivi!$D:$D,169)))</f>
        <v/>
      </c>
      <c r="Q165">
        <f>IF($O165="","",INDEX(Suivi!$E:$E,169))</f>
        <v/>
      </c>
      <c r="R165">
        <f>IF($O165="","",INDEX(Suivi!$F:$F,169))</f>
        <v/>
      </c>
      <c r="S165">
        <f>IF($O165="","",INDEX(Suivi!$G:$G,169))</f>
        <v/>
      </c>
      <c r="T165">
        <f>IF($O165="","",IF(INDEX(Dossiers!$F$4:$F$63,4)="","",INDEX(Dossiers!$F$4:$F$63,4)))</f>
        <v/>
      </c>
      <c r="U165">
        <f>IF($O165="","",IF(INDEX(Dossiers!$G$4:$G$63,4)="","",INDEX(Dossiers!$G$4:$G$63,4)))</f>
        <v/>
      </c>
      <c r="V165">
        <f>IF(OR($O165="",NOT(ISNUMBER($Q165))),"",$Q165*1000000+165)</f>
        <v/>
      </c>
      <c r="W165" s="29">
        <f>IF($B165="","",IFERROR(INDEX($U$4:$U$3183,MATCH(SMALL($V$4:$V$3183,162),$V$4:$V$3183,0)),""))</f>
        <v/>
      </c>
    </row>
    <row r="166">
      <c r="A166">
        <f>IFERROR(INDEX($N$4:$N$3183,MATCH(SMALL($V$4:$V$3183,163),$V$4:$V$3183,0)),"")</f>
        <v/>
      </c>
      <c r="B166">
        <f>IFERROR(INDEX($O$4:$O$3183,MATCH(SMALL($V$4:$V$3183,163),$V$4:$V$3183,0)),"")</f>
        <v/>
      </c>
      <c r="C166">
        <f>IFERROR(INDEX($P$4:$P$3183,MATCH(SMALL($V$4:$V$3183,163),$V$4:$V$3183,0)),"")</f>
        <v/>
      </c>
      <c r="D166" s="29">
        <f>IFERROR(INDEX($Q$4:$Q$3183,MATCH(SMALL($V$4:$V$3183,163),$V$4:$V$3183,0)),"")</f>
        <v/>
      </c>
      <c r="E166" s="29">
        <f>IFERROR(INDEX($R$4:$R$3183,MATCH(SMALL($V$4:$V$3183,163),$V$4:$V$3183,0)),"")</f>
        <v/>
      </c>
      <c r="F166">
        <f>IFERROR(INDEX($S$4:$S$3183,MATCH(SMALL($V$4:$V$3183,163),$V$4:$V$3183,0)),"")</f>
        <v/>
      </c>
      <c r="I166" s="29">
        <f>IF($B166="","",IFERROR(INDEX($U$4:$U$3183,MATCH(SMALL($V$4:$V$3183,163),$V$4:$V$3183,0)),""))</f>
        <v/>
      </c>
      <c r="J166">
        <f>IF($B166="","",IF($D166&gt;$F$2,"À venir",IF($E166&lt;$D$2,"Passé","Dans la période")))</f>
        <v/>
      </c>
      <c r="K166">
        <f>IF(OR($B166="",NOT(ISNUMBER($D166))),"",IF(AND($E166&lt;$D$2,$G166&lt;&gt;"X",$F166&lt;&gt;"Réalisé",$F166&lt;&gt;"Clôturé"),"RETARD",""))</f>
        <v/>
      </c>
      <c r="L166">
        <f>IF(OR($B166="",NOT(ISNUMBER($D166))),"",IF(AND($D166&gt;=$D$2,$D166&lt;=$H$2,$G166&lt;&gt;"X",$F166&lt;&gt;"Réalisé",$F166&lt;&gt;"Clôturé"),"≤ 7 j",""))</f>
        <v/>
      </c>
      <c r="M166" s="29">
        <f>IF($B166="","",IFERROR(INDEX($T$4:$T$3183,MATCH(SMALL($V$4:$V$3183,163),$V$4:$V$3183,0)),""))</f>
        <v/>
      </c>
      <c r="O166">
        <f>IF(INDEX(Suivi!$B:$B,170)="","",INDEX(Suivi!$B:$B,170))</f>
        <v/>
      </c>
      <c r="P166">
        <f>IF($O166="","",IF(INDEX(Suivi!$D:$D,170)="",INDEX(Suivi!$C:$C,170),INDEX(Suivi!$D:$D,170)))</f>
        <v/>
      </c>
      <c r="Q166">
        <f>IF($O166="","",INDEX(Suivi!$E:$E,170))</f>
        <v/>
      </c>
      <c r="R166">
        <f>IF($O166="","",INDEX(Suivi!$F:$F,170))</f>
        <v/>
      </c>
      <c r="S166">
        <f>IF($O166="","",INDEX(Suivi!$G:$G,170))</f>
        <v/>
      </c>
      <c r="T166">
        <f>IF($O166="","",IF(INDEX(Dossiers!$F$4:$F$63,4)="","",INDEX(Dossiers!$F$4:$F$63,4)))</f>
        <v/>
      </c>
      <c r="U166">
        <f>IF($O166="","",IF(INDEX(Dossiers!$G$4:$G$63,4)="","",INDEX(Dossiers!$G$4:$G$63,4)))</f>
        <v/>
      </c>
      <c r="V166">
        <f>IF(OR($O166="",NOT(ISNUMBER($Q166))),"",$Q166*1000000+166)</f>
        <v/>
      </c>
      <c r="W166" s="29">
        <f>IF($B166="","",IFERROR(INDEX($U$4:$U$3183,MATCH(SMALL($V$4:$V$3183,163),$V$4:$V$3183,0)),""))</f>
        <v/>
      </c>
    </row>
    <row r="167">
      <c r="A167">
        <f>IFERROR(INDEX($N$4:$N$3183,MATCH(SMALL($V$4:$V$3183,164),$V$4:$V$3183,0)),"")</f>
        <v/>
      </c>
      <c r="B167">
        <f>IFERROR(INDEX($O$4:$O$3183,MATCH(SMALL($V$4:$V$3183,164),$V$4:$V$3183,0)),"")</f>
        <v/>
      </c>
      <c r="C167">
        <f>IFERROR(INDEX($P$4:$P$3183,MATCH(SMALL($V$4:$V$3183,164),$V$4:$V$3183,0)),"")</f>
        <v/>
      </c>
      <c r="D167" s="29">
        <f>IFERROR(INDEX($Q$4:$Q$3183,MATCH(SMALL($V$4:$V$3183,164),$V$4:$V$3183,0)),"")</f>
        <v/>
      </c>
      <c r="E167" s="29">
        <f>IFERROR(INDEX($R$4:$R$3183,MATCH(SMALL($V$4:$V$3183,164),$V$4:$V$3183,0)),"")</f>
        <v/>
      </c>
      <c r="F167">
        <f>IFERROR(INDEX($S$4:$S$3183,MATCH(SMALL($V$4:$V$3183,164),$V$4:$V$3183,0)),"")</f>
        <v/>
      </c>
      <c r="I167" s="29">
        <f>IF($B167="","",IFERROR(INDEX($U$4:$U$3183,MATCH(SMALL($V$4:$V$3183,164),$V$4:$V$3183,0)),""))</f>
        <v/>
      </c>
      <c r="J167">
        <f>IF($B167="","",IF($D167&gt;$F$2,"À venir",IF($E167&lt;$D$2,"Passé","Dans la période")))</f>
        <v/>
      </c>
      <c r="K167">
        <f>IF(OR($B167="",NOT(ISNUMBER($D167))),"",IF(AND($E167&lt;$D$2,$G167&lt;&gt;"X",$F167&lt;&gt;"Réalisé",$F167&lt;&gt;"Clôturé"),"RETARD",""))</f>
        <v/>
      </c>
      <c r="L167">
        <f>IF(OR($B167="",NOT(ISNUMBER($D167))),"",IF(AND($D167&gt;=$D$2,$D167&lt;=$H$2,$G167&lt;&gt;"X",$F167&lt;&gt;"Réalisé",$F167&lt;&gt;"Clôturé"),"≤ 7 j",""))</f>
        <v/>
      </c>
      <c r="M167" s="29">
        <f>IF($B167="","",IFERROR(INDEX($T$4:$T$3183,MATCH(SMALL($V$4:$V$3183,164),$V$4:$V$3183,0)),""))</f>
        <v/>
      </c>
      <c r="O167">
        <f>IF(INDEX(Suivi!$B:$B,171)="","",INDEX(Suivi!$B:$B,171))</f>
        <v/>
      </c>
      <c r="P167">
        <f>IF($O167="","",IF(INDEX(Suivi!$D:$D,171)="",INDEX(Suivi!$C:$C,171),INDEX(Suivi!$D:$D,171)))</f>
        <v/>
      </c>
      <c r="Q167">
        <f>IF($O167="","",INDEX(Suivi!$E:$E,171))</f>
        <v/>
      </c>
      <c r="R167">
        <f>IF($O167="","",INDEX(Suivi!$F:$F,171))</f>
        <v/>
      </c>
      <c r="S167">
        <f>IF($O167="","",INDEX(Suivi!$G:$G,171))</f>
        <v/>
      </c>
      <c r="T167">
        <f>IF($O167="","",IF(INDEX(Dossiers!$F$4:$F$63,4)="","",INDEX(Dossiers!$F$4:$F$63,4)))</f>
        <v/>
      </c>
      <c r="U167">
        <f>IF($O167="","",IF(INDEX(Dossiers!$G$4:$G$63,4)="","",INDEX(Dossiers!$G$4:$G$63,4)))</f>
        <v/>
      </c>
      <c r="V167">
        <f>IF(OR($O167="",NOT(ISNUMBER($Q167))),"",$Q167*1000000+167)</f>
        <v/>
      </c>
      <c r="W167" s="29">
        <f>IF($B167="","",IFERROR(INDEX($U$4:$U$3183,MATCH(SMALL($V$4:$V$3183,164),$V$4:$V$3183,0)),""))</f>
        <v/>
      </c>
    </row>
    <row r="168">
      <c r="A168">
        <f>IFERROR(INDEX($N$4:$N$3183,MATCH(SMALL($V$4:$V$3183,165),$V$4:$V$3183,0)),"")</f>
        <v/>
      </c>
      <c r="B168">
        <f>IFERROR(INDEX($O$4:$O$3183,MATCH(SMALL($V$4:$V$3183,165),$V$4:$V$3183,0)),"")</f>
        <v/>
      </c>
      <c r="C168">
        <f>IFERROR(INDEX($P$4:$P$3183,MATCH(SMALL($V$4:$V$3183,165),$V$4:$V$3183,0)),"")</f>
        <v/>
      </c>
      <c r="D168" s="29">
        <f>IFERROR(INDEX($Q$4:$Q$3183,MATCH(SMALL($V$4:$V$3183,165),$V$4:$V$3183,0)),"")</f>
        <v/>
      </c>
      <c r="E168" s="29">
        <f>IFERROR(INDEX($R$4:$R$3183,MATCH(SMALL($V$4:$V$3183,165),$V$4:$V$3183,0)),"")</f>
        <v/>
      </c>
      <c r="F168">
        <f>IFERROR(INDEX($S$4:$S$3183,MATCH(SMALL($V$4:$V$3183,165),$V$4:$V$3183,0)),"")</f>
        <v/>
      </c>
      <c r="I168" s="29">
        <f>IF($B168="","",IFERROR(INDEX($U$4:$U$3183,MATCH(SMALL($V$4:$V$3183,165),$V$4:$V$3183,0)),""))</f>
        <v/>
      </c>
      <c r="J168">
        <f>IF($B168="","",IF($D168&gt;$F$2,"À venir",IF($E168&lt;$D$2,"Passé","Dans la période")))</f>
        <v/>
      </c>
      <c r="K168">
        <f>IF(OR($B168="",NOT(ISNUMBER($D168))),"",IF(AND($E168&lt;$D$2,$G168&lt;&gt;"X",$F168&lt;&gt;"Réalisé",$F168&lt;&gt;"Clôturé"),"RETARD",""))</f>
        <v/>
      </c>
      <c r="L168">
        <f>IF(OR($B168="",NOT(ISNUMBER($D168))),"",IF(AND($D168&gt;=$D$2,$D168&lt;=$H$2,$G168&lt;&gt;"X",$F168&lt;&gt;"Réalisé",$F168&lt;&gt;"Clôturé"),"≤ 7 j",""))</f>
        <v/>
      </c>
      <c r="M168" s="29">
        <f>IF($B168="","",IFERROR(INDEX($T$4:$T$3183,MATCH(SMALL($V$4:$V$3183,165),$V$4:$V$3183,0)),""))</f>
        <v/>
      </c>
      <c r="O168">
        <f>IF(INDEX(Suivi!$B:$B,172)="","",INDEX(Suivi!$B:$B,172))</f>
        <v/>
      </c>
      <c r="P168">
        <f>IF($O168="","",IF(INDEX(Suivi!$D:$D,172)="",INDEX(Suivi!$C:$C,172),INDEX(Suivi!$D:$D,172)))</f>
        <v/>
      </c>
      <c r="Q168">
        <f>IF($O168="","",INDEX(Suivi!$E:$E,172))</f>
        <v/>
      </c>
      <c r="R168">
        <f>IF($O168="","",INDEX(Suivi!$F:$F,172))</f>
        <v/>
      </c>
      <c r="S168">
        <f>IF($O168="","",INDEX(Suivi!$G:$G,172))</f>
        <v/>
      </c>
      <c r="T168">
        <f>IF($O168="","",IF(INDEX(Dossiers!$F$4:$F$63,4)="","",INDEX(Dossiers!$F$4:$F$63,4)))</f>
        <v/>
      </c>
      <c r="U168">
        <f>IF($O168="","",IF(INDEX(Dossiers!$G$4:$G$63,4)="","",INDEX(Dossiers!$G$4:$G$63,4)))</f>
        <v/>
      </c>
      <c r="V168">
        <f>IF(OR($O168="",NOT(ISNUMBER($Q168))),"",$Q168*1000000+168)</f>
        <v/>
      </c>
      <c r="W168" s="29">
        <f>IF($B168="","",IFERROR(INDEX($U$4:$U$3183,MATCH(SMALL($V$4:$V$3183,165),$V$4:$V$3183,0)),""))</f>
        <v/>
      </c>
    </row>
    <row r="169">
      <c r="A169">
        <f>IFERROR(INDEX($N$4:$N$3183,MATCH(SMALL($V$4:$V$3183,166),$V$4:$V$3183,0)),"")</f>
        <v/>
      </c>
      <c r="B169">
        <f>IFERROR(INDEX($O$4:$O$3183,MATCH(SMALL($V$4:$V$3183,166),$V$4:$V$3183,0)),"")</f>
        <v/>
      </c>
      <c r="C169">
        <f>IFERROR(INDEX($P$4:$P$3183,MATCH(SMALL($V$4:$V$3183,166),$V$4:$V$3183,0)),"")</f>
        <v/>
      </c>
      <c r="D169" s="29">
        <f>IFERROR(INDEX($Q$4:$Q$3183,MATCH(SMALL($V$4:$V$3183,166),$V$4:$V$3183,0)),"")</f>
        <v/>
      </c>
      <c r="E169" s="29">
        <f>IFERROR(INDEX($R$4:$R$3183,MATCH(SMALL($V$4:$V$3183,166),$V$4:$V$3183,0)),"")</f>
        <v/>
      </c>
      <c r="F169">
        <f>IFERROR(INDEX($S$4:$S$3183,MATCH(SMALL($V$4:$V$3183,166),$V$4:$V$3183,0)),"")</f>
        <v/>
      </c>
      <c r="I169" s="29">
        <f>IF($B169="","",IFERROR(INDEX($U$4:$U$3183,MATCH(SMALL($V$4:$V$3183,166),$V$4:$V$3183,0)),""))</f>
        <v/>
      </c>
      <c r="J169">
        <f>IF($B169="","",IF($D169&gt;$F$2,"À venir",IF($E169&lt;$D$2,"Passé","Dans la période")))</f>
        <v/>
      </c>
      <c r="K169">
        <f>IF(OR($B169="",NOT(ISNUMBER($D169))),"",IF(AND($E169&lt;$D$2,$G169&lt;&gt;"X",$F169&lt;&gt;"Réalisé",$F169&lt;&gt;"Clôturé"),"RETARD",""))</f>
        <v/>
      </c>
      <c r="L169">
        <f>IF(OR($B169="",NOT(ISNUMBER($D169))),"",IF(AND($D169&gt;=$D$2,$D169&lt;=$H$2,$G169&lt;&gt;"X",$F169&lt;&gt;"Réalisé",$F169&lt;&gt;"Clôturé"),"≤ 7 j",""))</f>
        <v/>
      </c>
      <c r="M169" s="29">
        <f>IF($B169="","",IFERROR(INDEX($T$4:$T$3183,MATCH(SMALL($V$4:$V$3183,166),$V$4:$V$3183,0)),""))</f>
        <v/>
      </c>
      <c r="O169">
        <f>IF(INDEX(Suivi!$B:$B,173)="","",INDEX(Suivi!$B:$B,173))</f>
        <v/>
      </c>
      <c r="P169">
        <f>IF($O169="","",IF(INDEX(Suivi!$D:$D,173)="",INDEX(Suivi!$C:$C,173),INDEX(Suivi!$D:$D,173)))</f>
        <v/>
      </c>
      <c r="Q169">
        <f>IF($O169="","",INDEX(Suivi!$E:$E,173))</f>
        <v/>
      </c>
      <c r="R169">
        <f>IF($O169="","",INDEX(Suivi!$F:$F,173))</f>
        <v/>
      </c>
      <c r="S169">
        <f>IF($O169="","",INDEX(Suivi!$G:$G,173))</f>
        <v/>
      </c>
      <c r="T169">
        <f>IF($O169="","",IF(INDEX(Dossiers!$F$4:$F$63,4)="","",INDEX(Dossiers!$F$4:$F$63,4)))</f>
        <v/>
      </c>
      <c r="U169">
        <f>IF($O169="","",IF(INDEX(Dossiers!$G$4:$G$63,4)="","",INDEX(Dossiers!$G$4:$G$63,4)))</f>
        <v/>
      </c>
      <c r="V169">
        <f>IF(OR($O169="",NOT(ISNUMBER($Q169))),"",$Q169*1000000+169)</f>
        <v/>
      </c>
      <c r="W169" s="29">
        <f>IF($B169="","",IFERROR(INDEX($U$4:$U$3183,MATCH(SMALL($V$4:$V$3183,166),$V$4:$V$3183,0)),""))</f>
        <v/>
      </c>
    </row>
    <row r="170">
      <c r="A170">
        <f>IFERROR(INDEX($N$4:$N$3183,MATCH(SMALL($V$4:$V$3183,167),$V$4:$V$3183,0)),"")</f>
        <v/>
      </c>
      <c r="B170">
        <f>IFERROR(INDEX($O$4:$O$3183,MATCH(SMALL($V$4:$V$3183,167),$V$4:$V$3183,0)),"")</f>
        <v/>
      </c>
      <c r="C170">
        <f>IFERROR(INDEX($P$4:$P$3183,MATCH(SMALL($V$4:$V$3183,167),$V$4:$V$3183,0)),"")</f>
        <v/>
      </c>
      <c r="D170" s="29">
        <f>IFERROR(INDEX($Q$4:$Q$3183,MATCH(SMALL($V$4:$V$3183,167),$V$4:$V$3183,0)),"")</f>
        <v/>
      </c>
      <c r="E170" s="29">
        <f>IFERROR(INDEX($R$4:$R$3183,MATCH(SMALL($V$4:$V$3183,167),$V$4:$V$3183,0)),"")</f>
        <v/>
      </c>
      <c r="F170">
        <f>IFERROR(INDEX($S$4:$S$3183,MATCH(SMALL($V$4:$V$3183,167),$V$4:$V$3183,0)),"")</f>
        <v/>
      </c>
      <c r="I170" s="29">
        <f>IF($B170="","",IFERROR(INDEX($U$4:$U$3183,MATCH(SMALL($V$4:$V$3183,167),$V$4:$V$3183,0)),""))</f>
        <v/>
      </c>
      <c r="J170">
        <f>IF($B170="","",IF($D170&gt;$F$2,"À venir",IF($E170&lt;$D$2,"Passé","Dans la période")))</f>
        <v/>
      </c>
      <c r="K170">
        <f>IF(OR($B170="",NOT(ISNUMBER($D170))),"",IF(AND($E170&lt;$D$2,$G170&lt;&gt;"X",$F170&lt;&gt;"Réalisé",$F170&lt;&gt;"Clôturé"),"RETARD",""))</f>
        <v/>
      </c>
      <c r="L170">
        <f>IF(OR($B170="",NOT(ISNUMBER($D170))),"",IF(AND($D170&gt;=$D$2,$D170&lt;=$H$2,$G170&lt;&gt;"X",$F170&lt;&gt;"Réalisé",$F170&lt;&gt;"Clôturé"),"≤ 7 j",""))</f>
        <v/>
      </c>
      <c r="M170" s="29">
        <f>IF($B170="","",IFERROR(INDEX($T$4:$T$3183,MATCH(SMALL($V$4:$V$3183,167),$V$4:$V$3183,0)),""))</f>
        <v/>
      </c>
      <c r="O170">
        <f>IF(INDEX(Suivi!$B:$B,174)="","",INDEX(Suivi!$B:$B,174))</f>
        <v/>
      </c>
      <c r="P170">
        <f>IF($O170="","",IF(INDEX(Suivi!$D:$D,174)="",INDEX(Suivi!$C:$C,174),INDEX(Suivi!$D:$D,174)))</f>
        <v/>
      </c>
      <c r="Q170">
        <f>IF($O170="","",INDEX(Suivi!$E:$E,174))</f>
        <v/>
      </c>
      <c r="R170">
        <f>IF($O170="","",INDEX(Suivi!$F:$F,174))</f>
        <v/>
      </c>
      <c r="S170">
        <f>IF($O170="","",INDEX(Suivi!$G:$G,174))</f>
        <v/>
      </c>
      <c r="T170">
        <f>IF($O170="","",IF(INDEX(Dossiers!$F$4:$F$63,4)="","",INDEX(Dossiers!$F$4:$F$63,4)))</f>
        <v/>
      </c>
      <c r="U170">
        <f>IF($O170="","",IF(INDEX(Dossiers!$G$4:$G$63,4)="","",INDEX(Dossiers!$G$4:$G$63,4)))</f>
        <v/>
      </c>
      <c r="V170">
        <f>IF(OR($O170="",NOT(ISNUMBER($Q170))),"",$Q170*1000000+170)</f>
        <v/>
      </c>
      <c r="W170" s="29">
        <f>IF($B170="","",IFERROR(INDEX($U$4:$U$3183,MATCH(SMALL($V$4:$V$3183,167),$V$4:$V$3183,0)),""))</f>
        <v/>
      </c>
    </row>
    <row r="171">
      <c r="A171">
        <f>IFERROR(INDEX($N$4:$N$3183,MATCH(SMALL($V$4:$V$3183,168),$V$4:$V$3183,0)),"")</f>
        <v/>
      </c>
      <c r="B171">
        <f>IFERROR(INDEX($O$4:$O$3183,MATCH(SMALL($V$4:$V$3183,168),$V$4:$V$3183,0)),"")</f>
        <v/>
      </c>
      <c r="C171">
        <f>IFERROR(INDEX($P$4:$P$3183,MATCH(SMALL($V$4:$V$3183,168),$V$4:$V$3183,0)),"")</f>
        <v/>
      </c>
      <c r="D171" s="29">
        <f>IFERROR(INDEX($Q$4:$Q$3183,MATCH(SMALL($V$4:$V$3183,168),$V$4:$V$3183,0)),"")</f>
        <v/>
      </c>
      <c r="E171" s="29">
        <f>IFERROR(INDEX($R$4:$R$3183,MATCH(SMALL($V$4:$V$3183,168),$V$4:$V$3183,0)),"")</f>
        <v/>
      </c>
      <c r="F171">
        <f>IFERROR(INDEX($S$4:$S$3183,MATCH(SMALL($V$4:$V$3183,168),$V$4:$V$3183,0)),"")</f>
        <v/>
      </c>
      <c r="I171" s="29">
        <f>IF($B171="","",IFERROR(INDEX($U$4:$U$3183,MATCH(SMALL($V$4:$V$3183,168),$V$4:$V$3183,0)),""))</f>
        <v/>
      </c>
      <c r="J171">
        <f>IF($B171="","",IF($D171&gt;$F$2,"À venir",IF($E171&lt;$D$2,"Passé","Dans la période")))</f>
        <v/>
      </c>
      <c r="K171">
        <f>IF(OR($B171="",NOT(ISNUMBER($D171))),"",IF(AND($E171&lt;$D$2,$G171&lt;&gt;"X",$F171&lt;&gt;"Réalisé",$F171&lt;&gt;"Clôturé"),"RETARD",""))</f>
        <v/>
      </c>
      <c r="L171">
        <f>IF(OR($B171="",NOT(ISNUMBER($D171))),"",IF(AND($D171&gt;=$D$2,$D171&lt;=$H$2,$G171&lt;&gt;"X",$F171&lt;&gt;"Réalisé",$F171&lt;&gt;"Clôturé"),"≤ 7 j",""))</f>
        <v/>
      </c>
      <c r="M171" s="29">
        <f>IF($B171="","",IFERROR(INDEX($T$4:$T$3183,MATCH(SMALL($V$4:$V$3183,168),$V$4:$V$3183,0)),""))</f>
        <v/>
      </c>
      <c r="O171">
        <f>IF(INDEX(Suivi!$B:$B,175)="","",INDEX(Suivi!$B:$B,175))</f>
        <v/>
      </c>
      <c r="P171">
        <f>IF($O171="","",IF(INDEX(Suivi!$D:$D,175)="",INDEX(Suivi!$C:$C,175),INDEX(Suivi!$D:$D,175)))</f>
        <v/>
      </c>
      <c r="Q171">
        <f>IF($O171="","",INDEX(Suivi!$E:$E,175))</f>
        <v/>
      </c>
      <c r="R171">
        <f>IF($O171="","",INDEX(Suivi!$F:$F,175))</f>
        <v/>
      </c>
      <c r="S171">
        <f>IF($O171="","",INDEX(Suivi!$G:$G,175))</f>
        <v/>
      </c>
      <c r="T171">
        <f>IF($O171="","",IF(INDEX(Dossiers!$F$4:$F$63,4)="","",INDEX(Dossiers!$F$4:$F$63,4)))</f>
        <v/>
      </c>
      <c r="U171">
        <f>IF($O171="","",IF(INDEX(Dossiers!$G$4:$G$63,4)="","",INDEX(Dossiers!$G$4:$G$63,4)))</f>
        <v/>
      </c>
      <c r="V171">
        <f>IF(OR($O171="",NOT(ISNUMBER($Q171))),"",$Q171*1000000+171)</f>
        <v/>
      </c>
      <c r="W171" s="29">
        <f>IF($B171="","",IFERROR(INDEX($U$4:$U$3183,MATCH(SMALL($V$4:$V$3183,168),$V$4:$V$3183,0)),""))</f>
        <v/>
      </c>
    </row>
    <row r="172">
      <c r="A172">
        <f>IFERROR(INDEX($N$4:$N$3183,MATCH(SMALL($V$4:$V$3183,169),$V$4:$V$3183,0)),"")</f>
        <v/>
      </c>
      <c r="B172">
        <f>IFERROR(INDEX($O$4:$O$3183,MATCH(SMALL($V$4:$V$3183,169),$V$4:$V$3183,0)),"")</f>
        <v/>
      </c>
      <c r="C172">
        <f>IFERROR(INDEX($P$4:$P$3183,MATCH(SMALL($V$4:$V$3183,169),$V$4:$V$3183,0)),"")</f>
        <v/>
      </c>
      <c r="D172" s="29">
        <f>IFERROR(INDEX($Q$4:$Q$3183,MATCH(SMALL($V$4:$V$3183,169),$V$4:$V$3183,0)),"")</f>
        <v/>
      </c>
      <c r="E172" s="29">
        <f>IFERROR(INDEX($R$4:$R$3183,MATCH(SMALL($V$4:$V$3183,169),$V$4:$V$3183,0)),"")</f>
        <v/>
      </c>
      <c r="F172">
        <f>IFERROR(INDEX($S$4:$S$3183,MATCH(SMALL($V$4:$V$3183,169),$V$4:$V$3183,0)),"")</f>
        <v/>
      </c>
      <c r="I172" s="29">
        <f>IF($B172="","",IFERROR(INDEX($U$4:$U$3183,MATCH(SMALL($V$4:$V$3183,169),$V$4:$V$3183,0)),""))</f>
        <v/>
      </c>
      <c r="J172">
        <f>IF($B172="","",IF($D172&gt;$F$2,"À venir",IF($E172&lt;$D$2,"Passé","Dans la période")))</f>
        <v/>
      </c>
      <c r="K172">
        <f>IF(OR($B172="",NOT(ISNUMBER($D172))),"",IF(AND($E172&lt;$D$2,$G172&lt;&gt;"X",$F172&lt;&gt;"Réalisé",$F172&lt;&gt;"Clôturé"),"RETARD",""))</f>
        <v/>
      </c>
      <c r="L172">
        <f>IF(OR($B172="",NOT(ISNUMBER($D172))),"",IF(AND($D172&gt;=$D$2,$D172&lt;=$H$2,$G172&lt;&gt;"X",$F172&lt;&gt;"Réalisé",$F172&lt;&gt;"Clôturé"),"≤ 7 j",""))</f>
        <v/>
      </c>
      <c r="M172" s="29">
        <f>IF($B172="","",IFERROR(INDEX($T$4:$T$3183,MATCH(SMALL($V$4:$V$3183,169),$V$4:$V$3183,0)),""))</f>
        <v/>
      </c>
      <c r="O172">
        <f>IF(INDEX(Suivi!$B:$B,176)="","",INDEX(Suivi!$B:$B,176))</f>
        <v/>
      </c>
      <c r="P172">
        <f>IF($O172="","",IF(INDEX(Suivi!$D:$D,176)="",INDEX(Suivi!$C:$C,176),INDEX(Suivi!$D:$D,176)))</f>
        <v/>
      </c>
      <c r="Q172">
        <f>IF($O172="","",INDEX(Suivi!$E:$E,176))</f>
        <v/>
      </c>
      <c r="R172">
        <f>IF($O172="","",INDEX(Suivi!$F:$F,176))</f>
        <v/>
      </c>
      <c r="S172">
        <f>IF($O172="","",INDEX(Suivi!$G:$G,176))</f>
        <v/>
      </c>
      <c r="T172">
        <f>IF($O172="","",IF(INDEX(Dossiers!$F$4:$F$63,4)="","",INDEX(Dossiers!$F$4:$F$63,4)))</f>
        <v/>
      </c>
      <c r="U172">
        <f>IF($O172="","",IF(INDEX(Dossiers!$G$4:$G$63,4)="","",INDEX(Dossiers!$G$4:$G$63,4)))</f>
        <v/>
      </c>
      <c r="V172">
        <f>IF(OR($O172="",NOT(ISNUMBER($Q172))),"",$Q172*1000000+172)</f>
        <v/>
      </c>
      <c r="W172" s="29">
        <f>IF($B172="","",IFERROR(INDEX($U$4:$U$3183,MATCH(SMALL($V$4:$V$3183,169),$V$4:$V$3183,0)),""))</f>
        <v/>
      </c>
    </row>
    <row r="173">
      <c r="A173">
        <f>IFERROR(INDEX($N$4:$N$3183,MATCH(SMALL($V$4:$V$3183,170),$V$4:$V$3183,0)),"")</f>
        <v/>
      </c>
      <c r="B173">
        <f>IFERROR(INDEX($O$4:$O$3183,MATCH(SMALL($V$4:$V$3183,170),$V$4:$V$3183,0)),"")</f>
        <v/>
      </c>
      <c r="C173">
        <f>IFERROR(INDEX($P$4:$P$3183,MATCH(SMALL($V$4:$V$3183,170),$V$4:$V$3183,0)),"")</f>
        <v/>
      </c>
      <c r="D173" s="29">
        <f>IFERROR(INDEX($Q$4:$Q$3183,MATCH(SMALL($V$4:$V$3183,170),$V$4:$V$3183,0)),"")</f>
        <v/>
      </c>
      <c r="E173" s="29">
        <f>IFERROR(INDEX($R$4:$R$3183,MATCH(SMALL($V$4:$V$3183,170),$V$4:$V$3183,0)),"")</f>
        <v/>
      </c>
      <c r="F173">
        <f>IFERROR(INDEX($S$4:$S$3183,MATCH(SMALL($V$4:$V$3183,170),$V$4:$V$3183,0)),"")</f>
        <v/>
      </c>
      <c r="I173" s="29">
        <f>IF($B173="","",IFERROR(INDEX($U$4:$U$3183,MATCH(SMALL($V$4:$V$3183,170),$V$4:$V$3183,0)),""))</f>
        <v/>
      </c>
      <c r="J173">
        <f>IF($B173="","",IF($D173&gt;$F$2,"À venir",IF($E173&lt;$D$2,"Passé","Dans la période")))</f>
        <v/>
      </c>
      <c r="K173">
        <f>IF(OR($B173="",NOT(ISNUMBER($D173))),"",IF(AND($E173&lt;$D$2,$G173&lt;&gt;"X",$F173&lt;&gt;"Réalisé",$F173&lt;&gt;"Clôturé"),"RETARD",""))</f>
        <v/>
      </c>
      <c r="L173">
        <f>IF(OR($B173="",NOT(ISNUMBER($D173))),"",IF(AND($D173&gt;=$D$2,$D173&lt;=$H$2,$G173&lt;&gt;"X",$F173&lt;&gt;"Réalisé",$F173&lt;&gt;"Clôturé"),"≤ 7 j",""))</f>
        <v/>
      </c>
      <c r="M173" s="29">
        <f>IF($B173="","",IFERROR(INDEX($T$4:$T$3183,MATCH(SMALL($V$4:$V$3183,170),$V$4:$V$3183,0)),""))</f>
        <v/>
      </c>
      <c r="O173">
        <f>IF(INDEX(Suivi!$B:$B,177)="","",INDEX(Suivi!$B:$B,177))</f>
        <v/>
      </c>
      <c r="P173">
        <f>IF($O173="","",IF(INDEX(Suivi!$D:$D,177)="",INDEX(Suivi!$C:$C,177),INDEX(Suivi!$D:$D,177)))</f>
        <v/>
      </c>
      <c r="Q173">
        <f>IF($O173="","",INDEX(Suivi!$E:$E,177))</f>
        <v/>
      </c>
      <c r="R173">
        <f>IF($O173="","",INDEX(Suivi!$F:$F,177))</f>
        <v/>
      </c>
      <c r="S173">
        <f>IF($O173="","",INDEX(Suivi!$G:$G,177))</f>
        <v/>
      </c>
      <c r="T173">
        <f>IF($O173="","",IF(INDEX(Dossiers!$F$4:$F$63,4)="","",INDEX(Dossiers!$F$4:$F$63,4)))</f>
        <v/>
      </c>
      <c r="U173">
        <f>IF($O173="","",IF(INDEX(Dossiers!$G$4:$G$63,4)="","",INDEX(Dossiers!$G$4:$G$63,4)))</f>
        <v/>
      </c>
      <c r="V173">
        <f>IF(OR($O173="",NOT(ISNUMBER($Q173))),"",$Q173*1000000+173)</f>
        <v/>
      </c>
      <c r="W173" s="29">
        <f>IF($B173="","",IFERROR(INDEX($U$4:$U$3183,MATCH(SMALL($V$4:$V$3183,170),$V$4:$V$3183,0)),""))</f>
        <v/>
      </c>
    </row>
    <row r="174">
      <c r="A174">
        <f>IFERROR(INDEX($N$4:$N$3183,MATCH(SMALL($V$4:$V$3183,171),$V$4:$V$3183,0)),"")</f>
        <v/>
      </c>
      <c r="B174">
        <f>IFERROR(INDEX($O$4:$O$3183,MATCH(SMALL($V$4:$V$3183,171),$V$4:$V$3183,0)),"")</f>
        <v/>
      </c>
      <c r="C174">
        <f>IFERROR(INDEX($P$4:$P$3183,MATCH(SMALL($V$4:$V$3183,171),$V$4:$V$3183,0)),"")</f>
        <v/>
      </c>
      <c r="D174" s="29">
        <f>IFERROR(INDEX($Q$4:$Q$3183,MATCH(SMALL($V$4:$V$3183,171),$V$4:$V$3183,0)),"")</f>
        <v/>
      </c>
      <c r="E174" s="29">
        <f>IFERROR(INDEX($R$4:$R$3183,MATCH(SMALL($V$4:$V$3183,171),$V$4:$V$3183,0)),"")</f>
        <v/>
      </c>
      <c r="F174">
        <f>IFERROR(INDEX($S$4:$S$3183,MATCH(SMALL($V$4:$V$3183,171),$V$4:$V$3183,0)),"")</f>
        <v/>
      </c>
      <c r="I174" s="29">
        <f>IF($B174="","",IFERROR(INDEX($U$4:$U$3183,MATCH(SMALL($V$4:$V$3183,171),$V$4:$V$3183,0)),""))</f>
        <v/>
      </c>
      <c r="J174">
        <f>IF($B174="","",IF($D174&gt;$F$2,"À venir",IF($E174&lt;$D$2,"Passé","Dans la période")))</f>
        <v/>
      </c>
      <c r="K174">
        <f>IF(OR($B174="",NOT(ISNUMBER($D174))),"",IF(AND($E174&lt;$D$2,$G174&lt;&gt;"X",$F174&lt;&gt;"Réalisé",$F174&lt;&gt;"Clôturé"),"RETARD",""))</f>
        <v/>
      </c>
      <c r="L174">
        <f>IF(OR($B174="",NOT(ISNUMBER($D174))),"",IF(AND($D174&gt;=$D$2,$D174&lt;=$H$2,$G174&lt;&gt;"X",$F174&lt;&gt;"Réalisé",$F174&lt;&gt;"Clôturé"),"≤ 7 j",""))</f>
        <v/>
      </c>
      <c r="M174" s="29">
        <f>IF($B174="","",IFERROR(INDEX($T$4:$T$3183,MATCH(SMALL($V$4:$V$3183,171),$V$4:$V$3183,0)),""))</f>
        <v/>
      </c>
      <c r="O174">
        <f>IF(INDEX(Suivi!$B:$B,178)="","",INDEX(Suivi!$B:$B,178))</f>
        <v/>
      </c>
      <c r="P174">
        <f>IF($O174="","",IF(INDEX(Suivi!$D:$D,178)="",INDEX(Suivi!$C:$C,178),INDEX(Suivi!$D:$D,178)))</f>
        <v/>
      </c>
      <c r="Q174">
        <f>IF($O174="","",INDEX(Suivi!$E:$E,178))</f>
        <v/>
      </c>
      <c r="R174">
        <f>IF($O174="","",INDEX(Suivi!$F:$F,178))</f>
        <v/>
      </c>
      <c r="S174">
        <f>IF($O174="","",INDEX(Suivi!$G:$G,178))</f>
        <v/>
      </c>
      <c r="T174">
        <f>IF($O174="","",IF(INDEX(Dossiers!$F$4:$F$63,4)="","",INDEX(Dossiers!$F$4:$F$63,4)))</f>
        <v/>
      </c>
      <c r="U174">
        <f>IF($O174="","",IF(INDEX(Dossiers!$G$4:$G$63,4)="","",INDEX(Dossiers!$G$4:$G$63,4)))</f>
        <v/>
      </c>
      <c r="V174">
        <f>IF(OR($O174="",NOT(ISNUMBER($Q174))),"",$Q174*1000000+174)</f>
        <v/>
      </c>
      <c r="W174" s="29">
        <f>IF($B174="","",IFERROR(INDEX($U$4:$U$3183,MATCH(SMALL($V$4:$V$3183,171),$V$4:$V$3183,0)),""))</f>
        <v/>
      </c>
    </row>
    <row r="175">
      <c r="A175">
        <f>IFERROR(INDEX($N$4:$N$3183,MATCH(SMALL($V$4:$V$3183,172),$V$4:$V$3183,0)),"")</f>
        <v/>
      </c>
      <c r="B175">
        <f>IFERROR(INDEX($O$4:$O$3183,MATCH(SMALL($V$4:$V$3183,172),$V$4:$V$3183,0)),"")</f>
        <v/>
      </c>
      <c r="C175">
        <f>IFERROR(INDEX($P$4:$P$3183,MATCH(SMALL($V$4:$V$3183,172),$V$4:$V$3183,0)),"")</f>
        <v/>
      </c>
      <c r="D175" s="29">
        <f>IFERROR(INDEX($Q$4:$Q$3183,MATCH(SMALL($V$4:$V$3183,172),$V$4:$V$3183,0)),"")</f>
        <v/>
      </c>
      <c r="E175" s="29">
        <f>IFERROR(INDEX($R$4:$R$3183,MATCH(SMALL($V$4:$V$3183,172),$V$4:$V$3183,0)),"")</f>
        <v/>
      </c>
      <c r="F175">
        <f>IFERROR(INDEX($S$4:$S$3183,MATCH(SMALL($V$4:$V$3183,172),$V$4:$V$3183,0)),"")</f>
        <v/>
      </c>
      <c r="I175" s="29">
        <f>IF($B175="","",IFERROR(INDEX($U$4:$U$3183,MATCH(SMALL($V$4:$V$3183,172),$V$4:$V$3183,0)),""))</f>
        <v/>
      </c>
      <c r="J175">
        <f>IF($B175="","",IF($D175&gt;$F$2,"À venir",IF($E175&lt;$D$2,"Passé","Dans la période")))</f>
        <v/>
      </c>
      <c r="K175">
        <f>IF(OR($B175="",NOT(ISNUMBER($D175))),"",IF(AND($E175&lt;$D$2,$G175&lt;&gt;"X",$F175&lt;&gt;"Réalisé",$F175&lt;&gt;"Clôturé"),"RETARD",""))</f>
        <v/>
      </c>
      <c r="L175">
        <f>IF(OR($B175="",NOT(ISNUMBER($D175))),"",IF(AND($D175&gt;=$D$2,$D175&lt;=$H$2,$G175&lt;&gt;"X",$F175&lt;&gt;"Réalisé",$F175&lt;&gt;"Clôturé"),"≤ 7 j",""))</f>
        <v/>
      </c>
      <c r="M175" s="29">
        <f>IF($B175="","",IFERROR(INDEX($T$4:$T$3183,MATCH(SMALL($V$4:$V$3183,172),$V$4:$V$3183,0)),""))</f>
        <v/>
      </c>
      <c r="O175">
        <f>IF(INDEX(Suivi!$B:$B,179)="","",INDEX(Suivi!$B:$B,179))</f>
        <v/>
      </c>
      <c r="P175">
        <f>IF($O175="","",IF(INDEX(Suivi!$D:$D,179)="",INDEX(Suivi!$C:$C,179),INDEX(Suivi!$D:$D,179)))</f>
        <v/>
      </c>
      <c r="Q175">
        <f>IF($O175="","",INDEX(Suivi!$E:$E,179))</f>
        <v/>
      </c>
      <c r="R175">
        <f>IF($O175="","",INDEX(Suivi!$F:$F,179))</f>
        <v/>
      </c>
      <c r="S175">
        <f>IF($O175="","",INDEX(Suivi!$G:$G,179))</f>
        <v/>
      </c>
      <c r="T175">
        <f>IF($O175="","",IF(INDEX(Dossiers!$F$4:$F$63,4)="","",INDEX(Dossiers!$F$4:$F$63,4)))</f>
        <v/>
      </c>
      <c r="U175">
        <f>IF($O175="","",IF(INDEX(Dossiers!$G$4:$G$63,4)="","",INDEX(Dossiers!$G$4:$G$63,4)))</f>
        <v/>
      </c>
      <c r="V175">
        <f>IF(OR($O175="",NOT(ISNUMBER($Q175))),"",$Q175*1000000+175)</f>
        <v/>
      </c>
      <c r="W175" s="29">
        <f>IF($B175="","",IFERROR(INDEX($U$4:$U$3183,MATCH(SMALL($V$4:$V$3183,172),$V$4:$V$3183,0)),""))</f>
        <v/>
      </c>
    </row>
    <row r="176">
      <c r="A176">
        <f>IFERROR(INDEX($N$4:$N$3183,MATCH(SMALL($V$4:$V$3183,173),$V$4:$V$3183,0)),"")</f>
        <v/>
      </c>
      <c r="B176">
        <f>IFERROR(INDEX($O$4:$O$3183,MATCH(SMALL($V$4:$V$3183,173),$V$4:$V$3183,0)),"")</f>
        <v/>
      </c>
      <c r="C176">
        <f>IFERROR(INDEX($P$4:$P$3183,MATCH(SMALL($V$4:$V$3183,173),$V$4:$V$3183,0)),"")</f>
        <v/>
      </c>
      <c r="D176" s="29">
        <f>IFERROR(INDEX($Q$4:$Q$3183,MATCH(SMALL($V$4:$V$3183,173),$V$4:$V$3183,0)),"")</f>
        <v/>
      </c>
      <c r="E176" s="29">
        <f>IFERROR(INDEX($R$4:$R$3183,MATCH(SMALL($V$4:$V$3183,173),$V$4:$V$3183,0)),"")</f>
        <v/>
      </c>
      <c r="F176">
        <f>IFERROR(INDEX($S$4:$S$3183,MATCH(SMALL($V$4:$V$3183,173),$V$4:$V$3183,0)),"")</f>
        <v/>
      </c>
      <c r="I176" s="29">
        <f>IF($B176="","",IFERROR(INDEX($U$4:$U$3183,MATCH(SMALL($V$4:$V$3183,173),$V$4:$V$3183,0)),""))</f>
        <v/>
      </c>
      <c r="J176">
        <f>IF($B176="","",IF($D176&gt;$F$2,"À venir",IF($E176&lt;$D$2,"Passé","Dans la période")))</f>
        <v/>
      </c>
      <c r="K176">
        <f>IF(OR($B176="",NOT(ISNUMBER($D176))),"",IF(AND($E176&lt;$D$2,$G176&lt;&gt;"X",$F176&lt;&gt;"Réalisé",$F176&lt;&gt;"Clôturé"),"RETARD",""))</f>
        <v/>
      </c>
      <c r="L176">
        <f>IF(OR($B176="",NOT(ISNUMBER($D176))),"",IF(AND($D176&gt;=$D$2,$D176&lt;=$H$2,$G176&lt;&gt;"X",$F176&lt;&gt;"Réalisé",$F176&lt;&gt;"Clôturé"),"≤ 7 j",""))</f>
        <v/>
      </c>
      <c r="M176" s="29">
        <f>IF($B176="","",IFERROR(INDEX($T$4:$T$3183,MATCH(SMALL($V$4:$V$3183,173),$V$4:$V$3183,0)),""))</f>
        <v/>
      </c>
      <c r="O176">
        <f>IF(INDEX(Suivi!$B:$B,180)="","",INDEX(Suivi!$B:$B,180))</f>
        <v/>
      </c>
      <c r="P176">
        <f>IF($O176="","",IF(INDEX(Suivi!$D:$D,180)="",INDEX(Suivi!$C:$C,180),INDEX(Suivi!$D:$D,180)))</f>
        <v/>
      </c>
      <c r="Q176">
        <f>IF($O176="","",INDEX(Suivi!$E:$E,180))</f>
        <v/>
      </c>
      <c r="R176">
        <f>IF($O176="","",INDEX(Suivi!$F:$F,180))</f>
        <v/>
      </c>
      <c r="S176">
        <f>IF($O176="","",INDEX(Suivi!$G:$G,180))</f>
        <v/>
      </c>
      <c r="T176">
        <f>IF($O176="","",IF(INDEX(Dossiers!$F$4:$F$63,4)="","",INDEX(Dossiers!$F$4:$F$63,4)))</f>
        <v/>
      </c>
      <c r="U176">
        <f>IF($O176="","",IF(INDEX(Dossiers!$G$4:$G$63,4)="","",INDEX(Dossiers!$G$4:$G$63,4)))</f>
        <v/>
      </c>
      <c r="V176">
        <f>IF(OR($O176="",NOT(ISNUMBER($Q176))),"",$Q176*1000000+176)</f>
        <v/>
      </c>
      <c r="W176" s="29">
        <f>IF($B176="","",IFERROR(INDEX($U$4:$U$3183,MATCH(SMALL($V$4:$V$3183,173),$V$4:$V$3183,0)),""))</f>
        <v/>
      </c>
    </row>
    <row r="177">
      <c r="A177">
        <f>IFERROR(INDEX($N$4:$N$3183,MATCH(SMALL($V$4:$V$3183,174),$V$4:$V$3183,0)),"")</f>
        <v/>
      </c>
      <c r="B177">
        <f>IFERROR(INDEX($O$4:$O$3183,MATCH(SMALL($V$4:$V$3183,174),$V$4:$V$3183,0)),"")</f>
        <v/>
      </c>
      <c r="C177">
        <f>IFERROR(INDEX($P$4:$P$3183,MATCH(SMALL($V$4:$V$3183,174),$V$4:$V$3183,0)),"")</f>
        <v/>
      </c>
      <c r="D177" s="29">
        <f>IFERROR(INDEX($Q$4:$Q$3183,MATCH(SMALL($V$4:$V$3183,174),$V$4:$V$3183,0)),"")</f>
        <v/>
      </c>
      <c r="E177" s="29">
        <f>IFERROR(INDEX($R$4:$R$3183,MATCH(SMALL($V$4:$V$3183,174),$V$4:$V$3183,0)),"")</f>
        <v/>
      </c>
      <c r="F177">
        <f>IFERROR(INDEX($S$4:$S$3183,MATCH(SMALL($V$4:$V$3183,174),$V$4:$V$3183,0)),"")</f>
        <v/>
      </c>
      <c r="I177" s="29">
        <f>IF($B177="","",IFERROR(INDEX($U$4:$U$3183,MATCH(SMALL($V$4:$V$3183,174),$V$4:$V$3183,0)),""))</f>
        <v/>
      </c>
      <c r="J177">
        <f>IF($B177="","",IF($D177&gt;$F$2,"À venir",IF($E177&lt;$D$2,"Passé","Dans la période")))</f>
        <v/>
      </c>
      <c r="K177">
        <f>IF(OR($B177="",NOT(ISNUMBER($D177))),"",IF(AND($E177&lt;$D$2,$G177&lt;&gt;"X",$F177&lt;&gt;"Réalisé",$F177&lt;&gt;"Clôturé"),"RETARD",""))</f>
        <v/>
      </c>
      <c r="L177">
        <f>IF(OR($B177="",NOT(ISNUMBER($D177))),"",IF(AND($D177&gt;=$D$2,$D177&lt;=$H$2,$G177&lt;&gt;"X",$F177&lt;&gt;"Réalisé",$F177&lt;&gt;"Clôturé"),"≤ 7 j",""))</f>
        <v/>
      </c>
      <c r="M177" s="29">
        <f>IF($B177="","",IFERROR(INDEX($T$4:$T$3183,MATCH(SMALL($V$4:$V$3183,174),$V$4:$V$3183,0)),""))</f>
        <v/>
      </c>
      <c r="O177">
        <f>IF(INDEX(Suivi!$B:$B,181)="","",INDEX(Suivi!$B:$B,181))</f>
        <v/>
      </c>
      <c r="P177">
        <f>IF($O177="","",IF(INDEX(Suivi!$D:$D,181)="",INDEX(Suivi!$C:$C,181),INDEX(Suivi!$D:$D,181)))</f>
        <v/>
      </c>
      <c r="Q177">
        <f>IF($O177="","",INDEX(Suivi!$E:$E,181))</f>
        <v/>
      </c>
      <c r="R177">
        <f>IF($O177="","",INDEX(Suivi!$F:$F,181))</f>
        <v/>
      </c>
      <c r="S177">
        <f>IF($O177="","",INDEX(Suivi!$G:$G,181))</f>
        <v/>
      </c>
      <c r="T177">
        <f>IF($O177="","",IF(INDEX(Dossiers!$F$4:$F$63,4)="","",INDEX(Dossiers!$F$4:$F$63,4)))</f>
        <v/>
      </c>
      <c r="U177">
        <f>IF($O177="","",IF(INDEX(Dossiers!$G$4:$G$63,4)="","",INDEX(Dossiers!$G$4:$G$63,4)))</f>
        <v/>
      </c>
      <c r="V177">
        <f>IF(OR($O177="",NOT(ISNUMBER($Q177))),"",$Q177*1000000+177)</f>
        <v/>
      </c>
      <c r="W177" s="29">
        <f>IF($B177="","",IFERROR(INDEX($U$4:$U$3183,MATCH(SMALL($V$4:$V$3183,174),$V$4:$V$3183,0)),""))</f>
        <v/>
      </c>
    </row>
    <row r="178">
      <c r="A178">
        <f>IFERROR(INDEX($N$4:$N$3183,MATCH(SMALL($V$4:$V$3183,175),$V$4:$V$3183,0)),"")</f>
        <v/>
      </c>
      <c r="B178">
        <f>IFERROR(INDEX($O$4:$O$3183,MATCH(SMALL($V$4:$V$3183,175),$V$4:$V$3183,0)),"")</f>
        <v/>
      </c>
      <c r="C178">
        <f>IFERROR(INDEX($P$4:$P$3183,MATCH(SMALL($V$4:$V$3183,175),$V$4:$V$3183,0)),"")</f>
        <v/>
      </c>
      <c r="D178" s="29">
        <f>IFERROR(INDEX($Q$4:$Q$3183,MATCH(SMALL($V$4:$V$3183,175),$V$4:$V$3183,0)),"")</f>
        <v/>
      </c>
      <c r="E178" s="29">
        <f>IFERROR(INDEX($R$4:$R$3183,MATCH(SMALL($V$4:$V$3183,175),$V$4:$V$3183,0)),"")</f>
        <v/>
      </c>
      <c r="F178">
        <f>IFERROR(INDEX($S$4:$S$3183,MATCH(SMALL($V$4:$V$3183,175),$V$4:$V$3183,0)),"")</f>
        <v/>
      </c>
      <c r="I178" s="29">
        <f>IF($B178="","",IFERROR(INDEX($U$4:$U$3183,MATCH(SMALL($V$4:$V$3183,175),$V$4:$V$3183,0)),""))</f>
        <v/>
      </c>
      <c r="J178">
        <f>IF($B178="","",IF($D178&gt;$F$2,"À venir",IF($E178&lt;$D$2,"Passé","Dans la période")))</f>
        <v/>
      </c>
      <c r="K178">
        <f>IF(OR($B178="",NOT(ISNUMBER($D178))),"",IF(AND($E178&lt;$D$2,$G178&lt;&gt;"X",$F178&lt;&gt;"Réalisé",$F178&lt;&gt;"Clôturé"),"RETARD",""))</f>
        <v/>
      </c>
      <c r="L178">
        <f>IF(OR($B178="",NOT(ISNUMBER($D178))),"",IF(AND($D178&gt;=$D$2,$D178&lt;=$H$2,$G178&lt;&gt;"X",$F178&lt;&gt;"Réalisé",$F178&lt;&gt;"Clôturé"),"≤ 7 j",""))</f>
        <v/>
      </c>
      <c r="M178" s="29">
        <f>IF($B178="","",IFERROR(INDEX($T$4:$T$3183,MATCH(SMALL($V$4:$V$3183,175),$V$4:$V$3183,0)),""))</f>
        <v/>
      </c>
      <c r="O178">
        <f>IF(INDEX(Suivi!$B:$B,182)="","",INDEX(Suivi!$B:$B,182))</f>
        <v/>
      </c>
      <c r="P178">
        <f>IF($O178="","",IF(INDEX(Suivi!$D:$D,182)="",INDEX(Suivi!$C:$C,182),INDEX(Suivi!$D:$D,182)))</f>
        <v/>
      </c>
      <c r="Q178">
        <f>IF($O178="","",INDEX(Suivi!$E:$E,182))</f>
        <v/>
      </c>
      <c r="R178">
        <f>IF($O178="","",INDEX(Suivi!$F:$F,182))</f>
        <v/>
      </c>
      <c r="S178">
        <f>IF($O178="","",INDEX(Suivi!$G:$G,182))</f>
        <v/>
      </c>
      <c r="T178">
        <f>IF($O178="","",IF(INDEX(Dossiers!$F$4:$F$63,4)="","",INDEX(Dossiers!$F$4:$F$63,4)))</f>
        <v/>
      </c>
      <c r="U178">
        <f>IF($O178="","",IF(INDEX(Dossiers!$G$4:$G$63,4)="","",INDEX(Dossiers!$G$4:$G$63,4)))</f>
        <v/>
      </c>
      <c r="V178">
        <f>IF(OR($O178="",NOT(ISNUMBER($Q178))),"",$Q178*1000000+178)</f>
        <v/>
      </c>
      <c r="W178" s="29">
        <f>IF($B178="","",IFERROR(INDEX($U$4:$U$3183,MATCH(SMALL($V$4:$V$3183,175),$V$4:$V$3183,0)),""))</f>
        <v/>
      </c>
    </row>
    <row r="179">
      <c r="A179">
        <f>IFERROR(INDEX($N$4:$N$3183,MATCH(SMALL($V$4:$V$3183,176),$V$4:$V$3183,0)),"")</f>
        <v/>
      </c>
      <c r="B179">
        <f>IFERROR(INDEX($O$4:$O$3183,MATCH(SMALL($V$4:$V$3183,176),$V$4:$V$3183,0)),"")</f>
        <v/>
      </c>
      <c r="C179">
        <f>IFERROR(INDEX($P$4:$P$3183,MATCH(SMALL($V$4:$V$3183,176),$V$4:$V$3183,0)),"")</f>
        <v/>
      </c>
      <c r="D179" s="29">
        <f>IFERROR(INDEX($Q$4:$Q$3183,MATCH(SMALL($V$4:$V$3183,176),$V$4:$V$3183,0)),"")</f>
        <v/>
      </c>
      <c r="E179" s="29">
        <f>IFERROR(INDEX($R$4:$R$3183,MATCH(SMALL($V$4:$V$3183,176),$V$4:$V$3183,0)),"")</f>
        <v/>
      </c>
      <c r="F179">
        <f>IFERROR(INDEX($S$4:$S$3183,MATCH(SMALL($V$4:$V$3183,176),$V$4:$V$3183,0)),"")</f>
        <v/>
      </c>
      <c r="I179" s="29">
        <f>IF($B179="","",IFERROR(INDEX($U$4:$U$3183,MATCH(SMALL($V$4:$V$3183,176),$V$4:$V$3183,0)),""))</f>
        <v/>
      </c>
      <c r="J179">
        <f>IF($B179="","",IF($D179&gt;$F$2,"À venir",IF($E179&lt;$D$2,"Passé","Dans la période")))</f>
        <v/>
      </c>
      <c r="K179">
        <f>IF(OR($B179="",NOT(ISNUMBER($D179))),"",IF(AND($E179&lt;$D$2,$G179&lt;&gt;"X",$F179&lt;&gt;"Réalisé",$F179&lt;&gt;"Clôturé"),"RETARD",""))</f>
        <v/>
      </c>
      <c r="L179">
        <f>IF(OR($B179="",NOT(ISNUMBER($D179))),"",IF(AND($D179&gt;=$D$2,$D179&lt;=$H$2,$G179&lt;&gt;"X",$F179&lt;&gt;"Réalisé",$F179&lt;&gt;"Clôturé"),"≤ 7 j",""))</f>
        <v/>
      </c>
      <c r="M179" s="29">
        <f>IF($B179="","",IFERROR(INDEX($T$4:$T$3183,MATCH(SMALL($V$4:$V$3183,176),$V$4:$V$3183,0)),""))</f>
        <v/>
      </c>
      <c r="O179">
        <f>IF(INDEX(Suivi!$B:$B,183)="","",INDEX(Suivi!$B:$B,183))</f>
        <v/>
      </c>
      <c r="P179">
        <f>IF($O179="","",IF(INDEX(Suivi!$D:$D,183)="",INDEX(Suivi!$C:$C,183),INDEX(Suivi!$D:$D,183)))</f>
        <v/>
      </c>
      <c r="Q179">
        <f>IF($O179="","",INDEX(Suivi!$E:$E,183))</f>
        <v/>
      </c>
      <c r="R179">
        <f>IF($O179="","",INDEX(Suivi!$F:$F,183))</f>
        <v/>
      </c>
      <c r="S179">
        <f>IF($O179="","",INDEX(Suivi!$G:$G,183))</f>
        <v/>
      </c>
      <c r="T179">
        <f>IF($O179="","",IF(INDEX(Dossiers!$F$4:$F$63,4)="","",INDEX(Dossiers!$F$4:$F$63,4)))</f>
        <v/>
      </c>
      <c r="U179">
        <f>IF($O179="","",IF(INDEX(Dossiers!$G$4:$G$63,4)="","",INDEX(Dossiers!$G$4:$G$63,4)))</f>
        <v/>
      </c>
      <c r="V179">
        <f>IF(OR($O179="",NOT(ISNUMBER($Q179))),"",$Q179*1000000+179)</f>
        <v/>
      </c>
      <c r="W179" s="29">
        <f>IF($B179="","",IFERROR(INDEX($U$4:$U$3183,MATCH(SMALL($V$4:$V$3183,176),$V$4:$V$3183,0)),""))</f>
        <v/>
      </c>
    </row>
    <row r="180">
      <c r="A180">
        <f>IFERROR(INDEX($N$4:$N$3183,MATCH(SMALL($V$4:$V$3183,177),$V$4:$V$3183,0)),"")</f>
        <v/>
      </c>
      <c r="B180">
        <f>IFERROR(INDEX($O$4:$O$3183,MATCH(SMALL($V$4:$V$3183,177),$V$4:$V$3183,0)),"")</f>
        <v/>
      </c>
      <c r="C180">
        <f>IFERROR(INDEX($P$4:$P$3183,MATCH(SMALL($V$4:$V$3183,177),$V$4:$V$3183,0)),"")</f>
        <v/>
      </c>
      <c r="D180" s="29">
        <f>IFERROR(INDEX($Q$4:$Q$3183,MATCH(SMALL($V$4:$V$3183,177),$V$4:$V$3183,0)),"")</f>
        <v/>
      </c>
      <c r="E180" s="29">
        <f>IFERROR(INDEX($R$4:$R$3183,MATCH(SMALL($V$4:$V$3183,177),$V$4:$V$3183,0)),"")</f>
        <v/>
      </c>
      <c r="F180">
        <f>IFERROR(INDEX($S$4:$S$3183,MATCH(SMALL($V$4:$V$3183,177),$V$4:$V$3183,0)),"")</f>
        <v/>
      </c>
      <c r="I180" s="29">
        <f>IF($B180="","",IFERROR(INDEX($U$4:$U$3183,MATCH(SMALL($V$4:$V$3183,177),$V$4:$V$3183,0)),""))</f>
        <v/>
      </c>
      <c r="J180">
        <f>IF($B180="","",IF($D180&gt;$F$2,"À venir",IF($E180&lt;$D$2,"Passé","Dans la période")))</f>
        <v/>
      </c>
      <c r="K180">
        <f>IF(OR($B180="",NOT(ISNUMBER($D180))),"",IF(AND($E180&lt;$D$2,$G180&lt;&gt;"X",$F180&lt;&gt;"Réalisé",$F180&lt;&gt;"Clôturé"),"RETARD",""))</f>
        <v/>
      </c>
      <c r="L180">
        <f>IF(OR($B180="",NOT(ISNUMBER($D180))),"",IF(AND($D180&gt;=$D$2,$D180&lt;=$H$2,$G180&lt;&gt;"X",$F180&lt;&gt;"Réalisé",$F180&lt;&gt;"Clôturé"),"≤ 7 j",""))</f>
        <v/>
      </c>
      <c r="M180" s="29">
        <f>IF($B180="","",IFERROR(INDEX($T$4:$T$3183,MATCH(SMALL($V$4:$V$3183,177),$V$4:$V$3183,0)),""))</f>
        <v/>
      </c>
      <c r="O180">
        <f>IF(INDEX(Suivi!$B:$B,184)="","",INDEX(Suivi!$B:$B,184))</f>
        <v/>
      </c>
      <c r="P180">
        <f>IF($O180="","",IF(INDEX(Suivi!$D:$D,184)="",INDEX(Suivi!$C:$C,184),INDEX(Suivi!$D:$D,184)))</f>
        <v/>
      </c>
      <c r="Q180">
        <f>IF($O180="","",INDEX(Suivi!$E:$E,184))</f>
        <v/>
      </c>
      <c r="R180">
        <f>IF($O180="","",INDEX(Suivi!$F:$F,184))</f>
        <v/>
      </c>
      <c r="S180">
        <f>IF($O180="","",INDEX(Suivi!$G:$G,184))</f>
        <v/>
      </c>
      <c r="T180">
        <f>IF($O180="","",IF(INDEX(Dossiers!$F$4:$F$63,4)="","",INDEX(Dossiers!$F$4:$F$63,4)))</f>
        <v/>
      </c>
      <c r="U180">
        <f>IF($O180="","",IF(INDEX(Dossiers!$G$4:$G$63,4)="","",INDEX(Dossiers!$G$4:$G$63,4)))</f>
        <v/>
      </c>
      <c r="V180">
        <f>IF(OR($O180="",NOT(ISNUMBER($Q180))),"",$Q180*1000000+180)</f>
        <v/>
      </c>
      <c r="W180" s="29">
        <f>IF($B180="","",IFERROR(INDEX($U$4:$U$3183,MATCH(SMALL($V$4:$V$3183,177),$V$4:$V$3183,0)),""))</f>
        <v/>
      </c>
    </row>
    <row r="181">
      <c r="A181">
        <f>IFERROR(INDEX($N$4:$N$3183,MATCH(SMALL($V$4:$V$3183,178),$V$4:$V$3183,0)),"")</f>
        <v/>
      </c>
      <c r="B181">
        <f>IFERROR(INDEX($O$4:$O$3183,MATCH(SMALL($V$4:$V$3183,178),$V$4:$V$3183,0)),"")</f>
        <v/>
      </c>
      <c r="C181">
        <f>IFERROR(INDEX($P$4:$P$3183,MATCH(SMALL($V$4:$V$3183,178),$V$4:$V$3183,0)),"")</f>
        <v/>
      </c>
      <c r="D181" s="29">
        <f>IFERROR(INDEX($Q$4:$Q$3183,MATCH(SMALL($V$4:$V$3183,178),$V$4:$V$3183,0)),"")</f>
        <v/>
      </c>
      <c r="E181" s="29">
        <f>IFERROR(INDEX($R$4:$R$3183,MATCH(SMALL($V$4:$V$3183,178),$V$4:$V$3183,0)),"")</f>
        <v/>
      </c>
      <c r="F181">
        <f>IFERROR(INDEX($S$4:$S$3183,MATCH(SMALL($V$4:$V$3183,178),$V$4:$V$3183,0)),"")</f>
        <v/>
      </c>
      <c r="I181" s="29">
        <f>IF($B181="","",IFERROR(INDEX($U$4:$U$3183,MATCH(SMALL($V$4:$V$3183,178),$V$4:$V$3183,0)),""))</f>
        <v/>
      </c>
      <c r="J181">
        <f>IF($B181="","",IF($D181&gt;$F$2,"À venir",IF($E181&lt;$D$2,"Passé","Dans la période")))</f>
        <v/>
      </c>
      <c r="K181">
        <f>IF(OR($B181="",NOT(ISNUMBER($D181))),"",IF(AND($E181&lt;$D$2,$G181&lt;&gt;"X",$F181&lt;&gt;"Réalisé",$F181&lt;&gt;"Clôturé"),"RETARD",""))</f>
        <v/>
      </c>
      <c r="L181">
        <f>IF(OR($B181="",NOT(ISNUMBER($D181))),"",IF(AND($D181&gt;=$D$2,$D181&lt;=$H$2,$G181&lt;&gt;"X",$F181&lt;&gt;"Réalisé",$F181&lt;&gt;"Clôturé"),"≤ 7 j",""))</f>
        <v/>
      </c>
      <c r="M181" s="29">
        <f>IF($B181="","",IFERROR(INDEX($T$4:$T$3183,MATCH(SMALL($V$4:$V$3183,178),$V$4:$V$3183,0)),""))</f>
        <v/>
      </c>
      <c r="O181">
        <f>IF(INDEX(Suivi!$B:$B,185)="","",INDEX(Suivi!$B:$B,185))</f>
        <v/>
      </c>
      <c r="P181">
        <f>IF($O181="","",IF(INDEX(Suivi!$D:$D,185)="",INDEX(Suivi!$C:$C,185),INDEX(Suivi!$D:$D,185)))</f>
        <v/>
      </c>
      <c r="Q181">
        <f>IF($O181="","",INDEX(Suivi!$E:$E,185))</f>
        <v/>
      </c>
      <c r="R181">
        <f>IF($O181="","",INDEX(Suivi!$F:$F,185))</f>
        <v/>
      </c>
      <c r="S181">
        <f>IF($O181="","",INDEX(Suivi!$G:$G,185))</f>
        <v/>
      </c>
      <c r="T181">
        <f>IF($O181="","",IF(INDEX(Dossiers!$F$4:$F$63,4)="","",INDEX(Dossiers!$F$4:$F$63,4)))</f>
        <v/>
      </c>
      <c r="U181">
        <f>IF($O181="","",IF(INDEX(Dossiers!$G$4:$G$63,4)="","",INDEX(Dossiers!$G$4:$G$63,4)))</f>
        <v/>
      </c>
      <c r="V181">
        <f>IF(OR($O181="",NOT(ISNUMBER($Q181))),"",$Q181*1000000+181)</f>
        <v/>
      </c>
      <c r="W181" s="29">
        <f>IF($B181="","",IFERROR(INDEX($U$4:$U$3183,MATCH(SMALL($V$4:$V$3183,178),$V$4:$V$3183,0)),""))</f>
        <v/>
      </c>
    </row>
    <row r="182">
      <c r="A182">
        <f>IFERROR(INDEX($N$4:$N$3183,MATCH(SMALL($V$4:$V$3183,179),$V$4:$V$3183,0)),"")</f>
        <v/>
      </c>
      <c r="B182">
        <f>IFERROR(INDEX($O$4:$O$3183,MATCH(SMALL($V$4:$V$3183,179),$V$4:$V$3183,0)),"")</f>
        <v/>
      </c>
      <c r="C182">
        <f>IFERROR(INDEX($P$4:$P$3183,MATCH(SMALL($V$4:$V$3183,179),$V$4:$V$3183,0)),"")</f>
        <v/>
      </c>
      <c r="D182" s="29">
        <f>IFERROR(INDEX($Q$4:$Q$3183,MATCH(SMALL($V$4:$V$3183,179),$V$4:$V$3183,0)),"")</f>
        <v/>
      </c>
      <c r="E182" s="29">
        <f>IFERROR(INDEX($R$4:$R$3183,MATCH(SMALL($V$4:$V$3183,179),$V$4:$V$3183,0)),"")</f>
        <v/>
      </c>
      <c r="F182">
        <f>IFERROR(INDEX($S$4:$S$3183,MATCH(SMALL($V$4:$V$3183,179),$V$4:$V$3183,0)),"")</f>
        <v/>
      </c>
      <c r="I182" s="29">
        <f>IF($B182="","",IFERROR(INDEX($U$4:$U$3183,MATCH(SMALL($V$4:$V$3183,179),$V$4:$V$3183,0)),""))</f>
        <v/>
      </c>
      <c r="J182">
        <f>IF($B182="","",IF($D182&gt;$F$2,"À venir",IF($E182&lt;$D$2,"Passé","Dans la période")))</f>
        <v/>
      </c>
      <c r="K182">
        <f>IF(OR($B182="",NOT(ISNUMBER($D182))),"",IF(AND($E182&lt;$D$2,$G182&lt;&gt;"X",$F182&lt;&gt;"Réalisé",$F182&lt;&gt;"Clôturé"),"RETARD",""))</f>
        <v/>
      </c>
      <c r="L182">
        <f>IF(OR($B182="",NOT(ISNUMBER($D182))),"",IF(AND($D182&gt;=$D$2,$D182&lt;=$H$2,$G182&lt;&gt;"X",$F182&lt;&gt;"Réalisé",$F182&lt;&gt;"Clôturé"),"≤ 7 j",""))</f>
        <v/>
      </c>
      <c r="M182" s="29">
        <f>IF($B182="","",IFERROR(INDEX($T$4:$T$3183,MATCH(SMALL($V$4:$V$3183,179),$V$4:$V$3183,0)),""))</f>
        <v/>
      </c>
      <c r="O182">
        <f>IF(INDEX(Suivi!$B:$B,186)="","",INDEX(Suivi!$B:$B,186))</f>
        <v/>
      </c>
      <c r="P182">
        <f>IF($O182="","",IF(INDEX(Suivi!$D:$D,186)="",INDEX(Suivi!$C:$C,186),INDEX(Suivi!$D:$D,186)))</f>
        <v/>
      </c>
      <c r="Q182">
        <f>IF($O182="","",INDEX(Suivi!$E:$E,186))</f>
        <v/>
      </c>
      <c r="R182">
        <f>IF($O182="","",INDEX(Suivi!$F:$F,186))</f>
        <v/>
      </c>
      <c r="S182">
        <f>IF($O182="","",INDEX(Suivi!$G:$G,186))</f>
        <v/>
      </c>
      <c r="T182">
        <f>IF($O182="","",IF(INDEX(Dossiers!$F$4:$F$63,4)="","",INDEX(Dossiers!$F$4:$F$63,4)))</f>
        <v/>
      </c>
      <c r="U182">
        <f>IF($O182="","",IF(INDEX(Dossiers!$G$4:$G$63,4)="","",INDEX(Dossiers!$G$4:$G$63,4)))</f>
        <v/>
      </c>
      <c r="V182">
        <f>IF(OR($O182="",NOT(ISNUMBER($Q182))),"",$Q182*1000000+182)</f>
        <v/>
      </c>
      <c r="W182" s="29">
        <f>IF($B182="","",IFERROR(INDEX($U$4:$U$3183,MATCH(SMALL($V$4:$V$3183,179),$V$4:$V$3183,0)),""))</f>
        <v/>
      </c>
    </row>
    <row r="183">
      <c r="A183">
        <f>IFERROR(INDEX($N$4:$N$3183,MATCH(SMALL($V$4:$V$3183,180),$V$4:$V$3183,0)),"")</f>
        <v/>
      </c>
      <c r="B183">
        <f>IFERROR(INDEX($O$4:$O$3183,MATCH(SMALL($V$4:$V$3183,180),$V$4:$V$3183,0)),"")</f>
        <v/>
      </c>
      <c r="C183">
        <f>IFERROR(INDEX($P$4:$P$3183,MATCH(SMALL($V$4:$V$3183,180),$V$4:$V$3183,0)),"")</f>
        <v/>
      </c>
      <c r="D183" s="29">
        <f>IFERROR(INDEX($Q$4:$Q$3183,MATCH(SMALL($V$4:$V$3183,180),$V$4:$V$3183,0)),"")</f>
        <v/>
      </c>
      <c r="E183" s="29">
        <f>IFERROR(INDEX($R$4:$R$3183,MATCH(SMALL($V$4:$V$3183,180),$V$4:$V$3183,0)),"")</f>
        <v/>
      </c>
      <c r="F183">
        <f>IFERROR(INDEX($S$4:$S$3183,MATCH(SMALL($V$4:$V$3183,180),$V$4:$V$3183,0)),"")</f>
        <v/>
      </c>
      <c r="I183" s="29">
        <f>IF($B183="","",IFERROR(INDEX($U$4:$U$3183,MATCH(SMALL($V$4:$V$3183,180),$V$4:$V$3183,0)),""))</f>
        <v/>
      </c>
      <c r="J183">
        <f>IF($B183="","",IF($D183&gt;$F$2,"À venir",IF($E183&lt;$D$2,"Passé","Dans la période")))</f>
        <v/>
      </c>
      <c r="K183">
        <f>IF(OR($B183="",NOT(ISNUMBER($D183))),"",IF(AND($E183&lt;$D$2,$G183&lt;&gt;"X",$F183&lt;&gt;"Réalisé",$F183&lt;&gt;"Clôturé"),"RETARD",""))</f>
        <v/>
      </c>
      <c r="L183">
        <f>IF(OR($B183="",NOT(ISNUMBER($D183))),"",IF(AND($D183&gt;=$D$2,$D183&lt;=$H$2,$G183&lt;&gt;"X",$F183&lt;&gt;"Réalisé",$F183&lt;&gt;"Clôturé"),"≤ 7 j",""))</f>
        <v/>
      </c>
      <c r="M183" s="29">
        <f>IF($B183="","",IFERROR(INDEX($T$4:$T$3183,MATCH(SMALL($V$4:$V$3183,180),$V$4:$V$3183,0)),""))</f>
        <v/>
      </c>
      <c r="O183">
        <f>IF(INDEX(Suivi!$B:$B,187)="","",INDEX(Suivi!$B:$B,187))</f>
        <v/>
      </c>
      <c r="P183">
        <f>IF($O183="","",IF(INDEX(Suivi!$D:$D,187)="",INDEX(Suivi!$C:$C,187),INDEX(Suivi!$D:$D,187)))</f>
        <v/>
      </c>
      <c r="Q183">
        <f>IF($O183="","",INDEX(Suivi!$E:$E,187))</f>
        <v/>
      </c>
      <c r="R183">
        <f>IF($O183="","",INDEX(Suivi!$F:$F,187))</f>
        <v/>
      </c>
      <c r="S183">
        <f>IF($O183="","",INDEX(Suivi!$G:$G,187))</f>
        <v/>
      </c>
      <c r="T183">
        <f>IF($O183="","",IF(INDEX(Dossiers!$F$4:$F$63,4)="","",INDEX(Dossiers!$F$4:$F$63,4)))</f>
        <v/>
      </c>
      <c r="U183">
        <f>IF($O183="","",IF(INDEX(Dossiers!$G$4:$G$63,4)="","",INDEX(Dossiers!$G$4:$G$63,4)))</f>
        <v/>
      </c>
      <c r="V183">
        <f>IF(OR($O183="",NOT(ISNUMBER($Q183))),"",$Q183*1000000+183)</f>
        <v/>
      </c>
      <c r="W183" s="29">
        <f>IF($B183="","",IFERROR(INDEX($U$4:$U$3183,MATCH(SMALL($V$4:$V$3183,180),$V$4:$V$3183,0)),""))</f>
        <v/>
      </c>
    </row>
    <row r="184">
      <c r="A184">
        <f>IFERROR(INDEX($N$4:$N$3183,MATCH(SMALL($V$4:$V$3183,181),$V$4:$V$3183,0)),"")</f>
        <v/>
      </c>
      <c r="B184">
        <f>IFERROR(INDEX($O$4:$O$3183,MATCH(SMALL($V$4:$V$3183,181),$V$4:$V$3183,0)),"")</f>
        <v/>
      </c>
      <c r="C184">
        <f>IFERROR(INDEX($P$4:$P$3183,MATCH(SMALL($V$4:$V$3183,181),$V$4:$V$3183,0)),"")</f>
        <v/>
      </c>
      <c r="D184" s="29">
        <f>IFERROR(INDEX($Q$4:$Q$3183,MATCH(SMALL($V$4:$V$3183,181),$V$4:$V$3183,0)),"")</f>
        <v/>
      </c>
      <c r="E184" s="29">
        <f>IFERROR(INDEX($R$4:$R$3183,MATCH(SMALL($V$4:$V$3183,181),$V$4:$V$3183,0)),"")</f>
        <v/>
      </c>
      <c r="F184">
        <f>IFERROR(INDEX($S$4:$S$3183,MATCH(SMALL($V$4:$V$3183,181),$V$4:$V$3183,0)),"")</f>
        <v/>
      </c>
      <c r="I184" s="29">
        <f>IF($B184="","",IFERROR(INDEX($U$4:$U$3183,MATCH(SMALL($V$4:$V$3183,181),$V$4:$V$3183,0)),""))</f>
        <v/>
      </c>
      <c r="J184">
        <f>IF($B184="","",IF($D184&gt;$F$2,"À venir",IF($E184&lt;$D$2,"Passé","Dans la période")))</f>
        <v/>
      </c>
      <c r="K184">
        <f>IF(OR($B184="",NOT(ISNUMBER($D184))),"",IF(AND($E184&lt;$D$2,$G184&lt;&gt;"X",$F184&lt;&gt;"Réalisé",$F184&lt;&gt;"Clôturé"),"RETARD",""))</f>
        <v/>
      </c>
      <c r="L184">
        <f>IF(OR($B184="",NOT(ISNUMBER($D184))),"",IF(AND($D184&gt;=$D$2,$D184&lt;=$H$2,$G184&lt;&gt;"X",$F184&lt;&gt;"Réalisé",$F184&lt;&gt;"Clôturé"),"≤ 7 j",""))</f>
        <v/>
      </c>
      <c r="M184" s="29">
        <f>IF($B184="","",IFERROR(INDEX($T$4:$T$3183,MATCH(SMALL($V$4:$V$3183,181),$V$4:$V$3183,0)),""))</f>
        <v/>
      </c>
      <c r="O184">
        <f>IF(INDEX(Suivi!$B:$B,188)="","",INDEX(Suivi!$B:$B,188))</f>
        <v/>
      </c>
      <c r="P184">
        <f>IF($O184="","",IF(INDEX(Suivi!$D:$D,188)="",INDEX(Suivi!$C:$C,188),INDEX(Suivi!$D:$D,188)))</f>
        <v/>
      </c>
      <c r="Q184">
        <f>IF($O184="","",INDEX(Suivi!$E:$E,188))</f>
        <v/>
      </c>
      <c r="R184">
        <f>IF($O184="","",INDEX(Suivi!$F:$F,188))</f>
        <v/>
      </c>
      <c r="S184">
        <f>IF($O184="","",INDEX(Suivi!$G:$G,188))</f>
        <v/>
      </c>
      <c r="T184">
        <f>IF($O184="","",IF(INDEX(Dossiers!$F$4:$F$63,4)="","",INDEX(Dossiers!$F$4:$F$63,4)))</f>
        <v/>
      </c>
      <c r="U184">
        <f>IF($O184="","",IF(INDEX(Dossiers!$G$4:$G$63,4)="","",INDEX(Dossiers!$G$4:$G$63,4)))</f>
        <v/>
      </c>
      <c r="V184">
        <f>IF(OR($O184="",NOT(ISNUMBER($Q184))),"",$Q184*1000000+184)</f>
        <v/>
      </c>
      <c r="W184" s="29">
        <f>IF($B184="","",IFERROR(INDEX($U$4:$U$3183,MATCH(SMALL($V$4:$V$3183,181),$V$4:$V$3183,0)),""))</f>
        <v/>
      </c>
    </row>
    <row r="185">
      <c r="A185">
        <f>IFERROR(INDEX($N$4:$N$3183,MATCH(SMALL($V$4:$V$3183,182),$V$4:$V$3183,0)),"")</f>
        <v/>
      </c>
      <c r="B185">
        <f>IFERROR(INDEX($O$4:$O$3183,MATCH(SMALL($V$4:$V$3183,182),$V$4:$V$3183,0)),"")</f>
        <v/>
      </c>
      <c r="C185">
        <f>IFERROR(INDEX($P$4:$P$3183,MATCH(SMALL($V$4:$V$3183,182),$V$4:$V$3183,0)),"")</f>
        <v/>
      </c>
      <c r="D185" s="29">
        <f>IFERROR(INDEX($Q$4:$Q$3183,MATCH(SMALL($V$4:$V$3183,182),$V$4:$V$3183,0)),"")</f>
        <v/>
      </c>
      <c r="E185" s="29">
        <f>IFERROR(INDEX($R$4:$R$3183,MATCH(SMALL($V$4:$V$3183,182),$V$4:$V$3183,0)),"")</f>
        <v/>
      </c>
      <c r="F185">
        <f>IFERROR(INDEX($S$4:$S$3183,MATCH(SMALL($V$4:$V$3183,182),$V$4:$V$3183,0)),"")</f>
        <v/>
      </c>
      <c r="I185" s="29">
        <f>IF($B185="","",IFERROR(INDEX($U$4:$U$3183,MATCH(SMALL($V$4:$V$3183,182),$V$4:$V$3183,0)),""))</f>
        <v/>
      </c>
      <c r="J185">
        <f>IF($B185="","",IF($D185&gt;$F$2,"À venir",IF($E185&lt;$D$2,"Passé","Dans la période")))</f>
        <v/>
      </c>
      <c r="K185">
        <f>IF(OR($B185="",NOT(ISNUMBER($D185))),"",IF(AND($E185&lt;$D$2,$G185&lt;&gt;"X",$F185&lt;&gt;"Réalisé",$F185&lt;&gt;"Clôturé"),"RETARD",""))</f>
        <v/>
      </c>
      <c r="L185">
        <f>IF(OR($B185="",NOT(ISNUMBER($D185))),"",IF(AND($D185&gt;=$D$2,$D185&lt;=$H$2,$G185&lt;&gt;"X",$F185&lt;&gt;"Réalisé",$F185&lt;&gt;"Clôturé"),"≤ 7 j",""))</f>
        <v/>
      </c>
      <c r="M185" s="29">
        <f>IF($B185="","",IFERROR(INDEX($T$4:$T$3183,MATCH(SMALL($V$4:$V$3183,182),$V$4:$V$3183,0)),""))</f>
        <v/>
      </c>
      <c r="O185">
        <f>IF(INDEX(Suivi!$B:$B,189)="","",INDEX(Suivi!$B:$B,189))</f>
        <v/>
      </c>
      <c r="P185">
        <f>IF($O185="","",IF(INDEX(Suivi!$D:$D,189)="",INDEX(Suivi!$C:$C,189),INDEX(Suivi!$D:$D,189)))</f>
        <v/>
      </c>
      <c r="Q185">
        <f>IF($O185="","",INDEX(Suivi!$E:$E,189))</f>
        <v/>
      </c>
      <c r="R185">
        <f>IF($O185="","",INDEX(Suivi!$F:$F,189))</f>
        <v/>
      </c>
      <c r="S185">
        <f>IF($O185="","",INDEX(Suivi!$G:$G,189))</f>
        <v/>
      </c>
      <c r="T185">
        <f>IF($O185="","",IF(INDEX(Dossiers!$F$4:$F$63,4)="","",INDEX(Dossiers!$F$4:$F$63,4)))</f>
        <v/>
      </c>
      <c r="U185">
        <f>IF($O185="","",IF(INDEX(Dossiers!$G$4:$G$63,4)="","",INDEX(Dossiers!$G$4:$G$63,4)))</f>
        <v/>
      </c>
      <c r="V185">
        <f>IF(OR($O185="",NOT(ISNUMBER($Q185))),"",$Q185*1000000+185)</f>
        <v/>
      </c>
      <c r="W185" s="29">
        <f>IF($B185="","",IFERROR(INDEX($U$4:$U$3183,MATCH(SMALL($V$4:$V$3183,182),$V$4:$V$3183,0)),""))</f>
        <v/>
      </c>
    </row>
    <row r="186">
      <c r="A186">
        <f>IFERROR(INDEX($N$4:$N$3183,MATCH(SMALL($V$4:$V$3183,183),$V$4:$V$3183,0)),"")</f>
        <v/>
      </c>
      <c r="B186">
        <f>IFERROR(INDEX($O$4:$O$3183,MATCH(SMALL($V$4:$V$3183,183),$V$4:$V$3183,0)),"")</f>
        <v/>
      </c>
      <c r="C186">
        <f>IFERROR(INDEX($P$4:$P$3183,MATCH(SMALL($V$4:$V$3183,183),$V$4:$V$3183,0)),"")</f>
        <v/>
      </c>
      <c r="D186" s="29">
        <f>IFERROR(INDEX($Q$4:$Q$3183,MATCH(SMALL($V$4:$V$3183,183),$V$4:$V$3183,0)),"")</f>
        <v/>
      </c>
      <c r="E186" s="29">
        <f>IFERROR(INDEX($R$4:$R$3183,MATCH(SMALL($V$4:$V$3183,183),$V$4:$V$3183,0)),"")</f>
        <v/>
      </c>
      <c r="F186">
        <f>IFERROR(INDEX($S$4:$S$3183,MATCH(SMALL($V$4:$V$3183,183),$V$4:$V$3183,0)),"")</f>
        <v/>
      </c>
      <c r="I186" s="29">
        <f>IF($B186="","",IFERROR(INDEX($U$4:$U$3183,MATCH(SMALL($V$4:$V$3183,183),$V$4:$V$3183,0)),""))</f>
        <v/>
      </c>
      <c r="J186">
        <f>IF($B186="","",IF($D186&gt;$F$2,"À venir",IF($E186&lt;$D$2,"Passé","Dans la période")))</f>
        <v/>
      </c>
      <c r="K186">
        <f>IF(OR($B186="",NOT(ISNUMBER($D186))),"",IF(AND($E186&lt;$D$2,$G186&lt;&gt;"X",$F186&lt;&gt;"Réalisé",$F186&lt;&gt;"Clôturé"),"RETARD",""))</f>
        <v/>
      </c>
      <c r="L186">
        <f>IF(OR($B186="",NOT(ISNUMBER($D186))),"",IF(AND($D186&gt;=$D$2,$D186&lt;=$H$2,$G186&lt;&gt;"X",$F186&lt;&gt;"Réalisé",$F186&lt;&gt;"Clôturé"),"≤ 7 j",""))</f>
        <v/>
      </c>
      <c r="M186" s="29">
        <f>IF($B186="","",IFERROR(INDEX($T$4:$T$3183,MATCH(SMALL($V$4:$V$3183,183),$V$4:$V$3183,0)),""))</f>
        <v/>
      </c>
      <c r="O186">
        <f>IF(INDEX(Suivi!$B:$B,190)="","",INDEX(Suivi!$B:$B,190))</f>
        <v/>
      </c>
      <c r="P186">
        <f>IF($O186="","",IF(INDEX(Suivi!$D:$D,190)="",INDEX(Suivi!$C:$C,190),INDEX(Suivi!$D:$D,190)))</f>
        <v/>
      </c>
      <c r="Q186">
        <f>IF($O186="","",INDEX(Suivi!$E:$E,190))</f>
        <v/>
      </c>
      <c r="R186">
        <f>IF($O186="","",INDEX(Suivi!$F:$F,190))</f>
        <v/>
      </c>
      <c r="S186">
        <f>IF($O186="","",INDEX(Suivi!$G:$G,190))</f>
        <v/>
      </c>
      <c r="T186">
        <f>IF($O186="","",IF(INDEX(Dossiers!$F$4:$F$63,4)="","",INDEX(Dossiers!$F$4:$F$63,4)))</f>
        <v/>
      </c>
      <c r="U186">
        <f>IF($O186="","",IF(INDEX(Dossiers!$G$4:$G$63,4)="","",INDEX(Dossiers!$G$4:$G$63,4)))</f>
        <v/>
      </c>
      <c r="V186">
        <f>IF(OR($O186="",NOT(ISNUMBER($Q186))),"",$Q186*1000000+186)</f>
        <v/>
      </c>
      <c r="W186" s="29">
        <f>IF($B186="","",IFERROR(INDEX($U$4:$U$3183,MATCH(SMALL($V$4:$V$3183,183),$V$4:$V$3183,0)),""))</f>
        <v/>
      </c>
    </row>
    <row r="187">
      <c r="A187">
        <f>IFERROR(INDEX($N$4:$N$3183,MATCH(SMALL($V$4:$V$3183,184),$V$4:$V$3183,0)),"")</f>
        <v/>
      </c>
      <c r="B187">
        <f>IFERROR(INDEX($O$4:$O$3183,MATCH(SMALL($V$4:$V$3183,184),$V$4:$V$3183,0)),"")</f>
        <v/>
      </c>
      <c r="C187">
        <f>IFERROR(INDEX($P$4:$P$3183,MATCH(SMALL($V$4:$V$3183,184),$V$4:$V$3183,0)),"")</f>
        <v/>
      </c>
      <c r="D187" s="29">
        <f>IFERROR(INDEX($Q$4:$Q$3183,MATCH(SMALL($V$4:$V$3183,184),$V$4:$V$3183,0)),"")</f>
        <v/>
      </c>
      <c r="E187" s="29">
        <f>IFERROR(INDEX($R$4:$R$3183,MATCH(SMALL($V$4:$V$3183,184),$V$4:$V$3183,0)),"")</f>
        <v/>
      </c>
      <c r="F187">
        <f>IFERROR(INDEX($S$4:$S$3183,MATCH(SMALL($V$4:$V$3183,184),$V$4:$V$3183,0)),"")</f>
        <v/>
      </c>
      <c r="I187" s="29">
        <f>IF($B187="","",IFERROR(INDEX($U$4:$U$3183,MATCH(SMALL($V$4:$V$3183,184),$V$4:$V$3183,0)),""))</f>
        <v/>
      </c>
      <c r="J187">
        <f>IF($B187="","",IF($D187&gt;$F$2,"À venir",IF($E187&lt;$D$2,"Passé","Dans la période")))</f>
        <v/>
      </c>
      <c r="K187">
        <f>IF(OR($B187="",NOT(ISNUMBER($D187))),"",IF(AND($E187&lt;$D$2,$G187&lt;&gt;"X",$F187&lt;&gt;"Réalisé",$F187&lt;&gt;"Clôturé"),"RETARD",""))</f>
        <v/>
      </c>
      <c r="L187">
        <f>IF(OR($B187="",NOT(ISNUMBER($D187))),"",IF(AND($D187&gt;=$D$2,$D187&lt;=$H$2,$G187&lt;&gt;"X",$F187&lt;&gt;"Réalisé",$F187&lt;&gt;"Clôturé"),"≤ 7 j",""))</f>
        <v/>
      </c>
      <c r="M187" s="29">
        <f>IF($B187="","",IFERROR(INDEX($T$4:$T$3183,MATCH(SMALL($V$4:$V$3183,184),$V$4:$V$3183,0)),""))</f>
        <v/>
      </c>
      <c r="O187">
        <f>IF(INDEX(Suivi!$B:$B,191)="","",INDEX(Suivi!$B:$B,191))</f>
        <v/>
      </c>
      <c r="P187">
        <f>IF($O187="","",IF(INDEX(Suivi!$D:$D,191)="",INDEX(Suivi!$C:$C,191),INDEX(Suivi!$D:$D,191)))</f>
        <v/>
      </c>
      <c r="Q187">
        <f>IF($O187="","",INDEX(Suivi!$E:$E,191))</f>
        <v/>
      </c>
      <c r="R187">
        <f>IF($O187="","",INDEX(Suivi!$F:$F,191))</f>
        <v/>
      </c>
      <c r="S187">
        <f>IF($O187="","",INDEX(Suivi!$G:$G,191))</f>
        <v/>
      </c>
      <c r="T187">
        <f>IF($O187="","",IF(INDEX(Dossiers!$F$4:$F$63,4)="","",INDEX(Dossiers!$F$4:$F$63,4)))</f>
        <v/>
      </c>
      <c r="U187">
        <f>IF($O187="","",IF(INDEX(Dossiers!$G$4:$G$63,4)="","",INDEX(Dossiers!$G$4:$G$63,4)))</f>
        <v/>
      </c>
      <c r="V187">
        <f>IF(OR($O187="",NOT(ISNUMBER($Q187))),"",$Q187*1000000+187)</f>
        <v/>
      </c>
      <c r="W187" s="29">
        <f>IF($B187="","",IFERROR(INDEX($U$4:$U$3183,MATCH(SMALL($V$4:$V$3183,184),$V$4:$V$3183,0)),""))</f>
        <v/>
      </c>
    </row>
    <row r="188">
      <c r="A188">
        <f>IFERROR(INDEX($N$4:$N$3183,MATCH(SMALL($V$4:$V$3183,185),$V$4:$V$3183,0)),"")</f>
        <v/>
      </c>
      <c r="B188">
        <f>IFERROR(INDEX($O$4:$O$3183,MATCH(SMALL($V$4:$V$3183,185),$V$4:$V$3183,0)),"")</f>
        <v/>
      </c>
      <c r="C188">
        <f>IFERROR(INDEX($P$4:$P$3183,MATCH(SMALL($V$4:$V$3183,185),$V$4:$V$3183,0)),"")</f>
        <v/>
      </c>
      <c r="D188" s="29">
        <f>IFERROR(INDEX($Q$4:$Q$3183,MATCH(SMALL($V$4:$V$3183,185),$V$4:$V$3183,0)),"")</f>
        <v/>
      </c>
      <c r="E188" s="29">
        <f>IFERROR(INDEX($R$4:$R$3183,MATCH(SMALL($V$4:$V$3183,185),$V$4:$V$3183,0)),"")</f>
        <v/>
      </c>
      <c r="F188">
        <f>IFERROR(INDEX($S$4:$S$3183,MATCH(SMALL($V$4:$V$3183,185),$V$4:$V$3183,0)),"")</f>
        <v/>
      </c>
      <c r="I188" s="29">
        <f>IF($B188="","",IFERROR(INDEX($U$4:$U$3183,MATCH(SMALL($V$4:$V$3183,185),$V$4:$V$3183,0)),""))</f>
        <v/>
      </c>
      <c r="J188">
        <f>IF($B188="","",IF($D188&gt;$F$2,"À venir",IF($E188&lt;$D$2,"Passé","Dans la période")))</f>
        <v/>
      </c>
      <c r="K188">
        <f>IF(OR($B188="",NOT(ISNUMBER($D188))),"",IF(AND($E188&lt;$D$2,$G188&lt;&gt;"X",$F188&lt;&gt;"Réalisé",$F188&lt;&gt;"Clôturé"),"RETARD",""))</f>
        <v/>
      </c>
      <c r="L188">
        <f>IF(OR($B188="",NOT(ISNUMBER($D188))),"",IF(AND($D188&gt;=$D$2,$D188&lt;=$H$2,$G188&lt;&gt;"X",$F188&lt;&gt;"Réalisé",$F188&lt;&gt;"Clôturé"),"≤ 7 j",""))</f>
        <v/>
      </c>
      <c r="M188" s="29">
        <f>IF($B188="","",IFERROR(INDEX($T$4:$T$3183,MATCH(SMALL($V$4:$V$3183,185),$V$4:$V$3183,0)),""))</f>
        <v/>
      </c>
      <c r="O188">
        <f>IF(INDEX(Suivi!$B:$B,192)="","",INDEX(Suivi!$B:$B,192))</f>
        <v/>
      </c>
      <c r="P188">
        <f>IF($O188="","",IF(INDEX(Suivi!$D:$D,192)="",INDEX(Suivi!$C:$C,192),INDEX(Suivi!$D:$D,192)))</f>
        <v/>
      </c>
      <c r="Q188">
        <f>IF($O188="","",INDEX(Suivi!$E:$E,192))</f>
        <v/>
      </c>
      <c r="R188">
        <f>IF($O188="","",INDEX(Suivi!$F:$F,192))</f>
        <v/>
      </c>
      <c r="S188">
        <f>IF($O188="","",INDEX(Suivi!$G:$G,192))</f>
        <v/>
      </c>
      <c r="T188">
        <f>IF($O188="","",IF(INDEX(Dossiers!$F$4:$F$63,4)="","",INDEX(Dossiers!$F$4:$F$63,4)))</f>
        <v/>
      </c>
      <c r="U188">
        <f>IF($O188="","",IF(INDEX(Dossiers!$G$4:$G$63,4)="","",INDEX(Dossiers!$G$4:$G$63,4)))</f>
        <v/>
      </c>
      <c r="V188">
        <f>IF(OR($O188="",NOT(ISNUMBER($Q188))),"",$Q188*1000000+188)</f>
        <v/>
      </c>
      <c r="W188" s="29">
        <f>IF($B188="","",IFERROR(INDEX($U$4:$U$3183,MATCH(SMALL($V$4:$V$3183,185),$V$4:$V$3183,0)),""))</f>
        <v/>
      </c>
    </row>
    <row r="189">
      <c r="A189">
        <f>IFERROR(INDEX($N$4:$N$3183,MATCH(SMALL($V$4:$V$3183,186),$V$4:$V$3183,0)),"")</f>
        <v/>
      </c>
      <c r="B189">
        <f>IFERROR(INDEX($O$4:$O$3183,MATCH(SMALL($V$4:$V$3183,186),$V$4:$V$3183,0)),"")</f>
        <v/>
      </c>
      <c r="C189">
        <f>IFERROR(INDEX($P$4:$P$3183,MATCH(SMALL($V$4:$V$3183,186),$V$4:$V$3183,0)),"")</f>
        <v/>
      </c>
      <c r="D189" s="29">
        <f>IFERROR(INDEX($Q$4:$Q$3183,MATCH(SMALL($V$4:$V$3183,186),$V$4:$V$3183,0)),"")</f>
        <v/>
      </c>
      <c r="E189" s="29">
        <f>IFERROR(INDEX($R$4:$R$3183,MATCH(SMALL($V$4:$V$3183,186),$V$4:$V$3183,0)),"")</f>
        <v/>
      </c>
      <c r="F189">
        <f>IFERROR(INDEX($S$4:$S$3183,MATCH(SMALL($V$4:$V$3183,186),$V$4:$V$3183,0)),"")</f>
        <v/>
      </c>
      <c r="I189" s="29">
        <f>IF($B189="","",IFERROR(INDEX($U$4:$U$3183,MATCH(SMALL($V$4:$V$3183,186),$V$4:$V$3183,0)),""))</f>
        <v/>
      </c>
      <c r="J189">
        <f>IF($B189="","",IF($D189&gt;$F$2,"À venir",IF($E189&lt;$D$2,"Passé","Dans la période")))</f>
        <v/>
      </c>
      <c r="K189">
        <f>IF(OR($B189="",NOT(ISNUMBER($D189))),"",IF(AND($E189&lt;$D$2,$G189&lt;&gt;"X",$F189&lt;&gt;"Réalisé",$F189&lt;&gt;"Clôturé"),"RETARD",""))</f>
        <v/>
      </c>
      <c r="L189">
        <f>IF(OR($B189="",NOT(ISNUMBER($D189))),"",IF(AND($D189&gt;=$D$2,$D189&lt;=$H$2,$G189&lt;&gt;"X",$F189&lt;&gt;"Réalisé",$F189&lt;&gt;"Clôturé"),"≤ 7 j",""))</f>
        <v/>
      </c>
      <c r="M189" s="29">
        <f>IF($B189="","",IFERROR(INDEX($T$4:$T$3183,MATCH(SMALL($V$4:$V$3183,186),$V$4:$V$3183,0)),""))</f>
        <v/>
      </c>
      <c r="O189">
        <f>IF(INDEX(Suivi!$B:$B,193)="","",INDEX(Suivi!$B:$B,193))</f>
        <v/>
      </c>
      <c r="P189">
        <f>IF($O189="","",IF(INDEX(Suivi!$D:$D,193)="",INDEX(Suivi!$C:$C,193),INDEX(Suivi!$D:$D,193)))</f>
        <v/>
      </c>
      <c r="Q189">
        <f>IF($O189="","",INDEX(Suivi!$E:$E,193))</f>
        <v/>
      </c>
      <c r="R189">
        <f>IF($O189="","",INDEX(Suivi!$F:$F,193))</f>
        <v/>
      </c>
      <c r="S189">
        <f>IF($O189="","",INDEX(Suivi!$G:$G,193))</f>
        <v/>
      </c>
      <c r="T189">
        <f>IF($O189="","",IF(INDEX(Dossiers!$F$4:$F$63,4)="","",INDEX(Dossiers!$F$4:$F$63,4)))</f>
        <v/>
      </c>
      <c r="U189">
        <f>IF($O189="","",IF(INDEX(Dossiers!$G$4:$G$63,4)="","",INDEX(Dossiers!$G$4:$G$63,4)))</f>
        <v/>
      </c>
      <c r="V189">
        <f>IF(OR($O189="",NOT(ISNUMBER($Q189))),"",$Q189*1000000+189)</f>
        <v/>
      </c>
      <c r="W189" s="29">
        <f>IF($B189="","",IFERROR(INDEX($U$4:$U$3183,MATCH(SMALL($V$4:$V$3183,186),$V$4:$V$3183,0)),""))</f>
        <v/>
      </c>
    </row>
    <row r="190">
      <c r="A190">
        <f>IFERROR(INDEX($N$4:$N$3183,MATCH(SMALL($V$4:$V$3183,187),$V$4:$V$3183,0)),"")</f>
        <v/>
      </c>
      <c r="B190">
        <f>IFERROR(INDEX($O$4:$O$3183,MATCH(SMALL($V$4:$V$3183,187),$V$4:$V$3183,0)),"")</f>
        <v/>
      </c>
      <c r="C190">
        <f>IFERROR(INDEX($P$4:$P$3183,MATCH(SMALL($V$4:$V$3183,187),$V$4:$V$3183,0)),"")</f>
        <v/>
      </c>
      <c r="D190" s="29">
        <f>IFERROR(INDEX($Q$4:$Q$3183,MATCH(SMALL($V$4:$V$3183,187),$V$4:$V$3183,0)),"")</f>
        <v/>
      </c>
      <c r="E190" s="29">
        <f>IFERROR(INDEX($R$4:$R$3183,MATCH(SMALL($V$4:$V$3183,187),$V$4:$V$3183,0)),"")</f>
        <v/>
      </c>
      <c r="F190">
        <f>IFERROR(INDEX($S$4:$S$3183,MATCH(SMALL($V$4:$V$3183,187),$V$4:$V$3183,0)),"")</f>
        <v/>
      </c>
      <c r="I190" s="29">
        <f>IF($B190="","",IFERROR(INDEX($U$4:$U$3183,MATCH(SMALL($V$4:$V$3183,187),$V$4:$V$3183,0)),""))</f>
        <v/>
      </c>
      <c r="J190">
        <f>IF($B190="","",IF($D190&gt;$F$2,"À venir",IF($E190&lt;$D$2,"Passé","Dans la période")))</f>
        <v/>
      </c>
      <c r="K190">
        <f>IF(OR($B190="",NOT(ISNUMBER($D190))),"",IF(AND($E190&lt;$D$2,$G190&lt;&gt;"X",$F190&lt;&gt;"Réalisé",$F190&lt;&gt;"Clôturé"),"RETARD",""))</f>
        <v/>
      </c>
      <c r="L190">
        <f>IF(OR($B190="",NOT(ISNUMBER($D190))),"",IF(AND($D190&gt;=$D$2,$D190&lt;=$H$2,$G190&lt;&gt;"X",$F190&lt;&gt;"Réalisé",$F190&lt;&gt;"Clôturé"),"≤ 7 j",""))</f>
        <v/>
      </c>
      <c r="M190" s="29">
        <f>IF($B190="","",IFERROR(INDEX($T$4:$T$3183,MATCH(SMALL($V$4:$V$3183,187),$V$4:$V$3183,0)),""))</f>
        <v/>
      </c>
      <c r="O190">
        <f>IF(INDEX(Suivi!$B:$B,194)="","",INDEX(Suivi!$B:$B,194))</f>
        <v/>
      </c>
      <c r="P190">
        <f>IF($O190="","",IF(INDEX(Suivi!$D:$D,194)="",INDEX(Suivi!$C:$C,194),INDEX(Suivi!$D:$D,194)))</f>
        <v/>
      </c>
      <c r="Q190">
        <f>IF($O190="","",INDEX(Suivi!$E:$E,194))</f>
        <v/>
      </c>
      <c r="R190">
        <f>IF($O190="","",INDEX(Suivi!$F:$F,194))</f>
        <v/>
      </c>
      <c r="S190">
        <f>IF($O190="","",INDEX(Suivi!$G:$G,194))</f>
        <v/>
      </c>
      <c r="T190">
        <f>IF($O190="","",IF(INDEX(Dossiers!$F$4:$F$63,4)="","",INDEX(Dossiers!$F$4:$F$63,4)))</f>
        <v/>
      </c>
      <c r="U190">
        <f>IF($O190="","",IF(INDEX(Dossiers!$G$4:$G$63,4)="","",INDEX(Dossiers!$G$4:$G$63,4)))</f>
        <v/>
      </c>
      <c r="V190">
        <f>IF(OR($O190="",NOT(ISNUMBER($Q190))),"",$Q190*1000000+190)</f>
        <v/>
      </c>
      <c r="W190" s="29">
        <f>IF($B190="","",IFERROR(INDEX($U$4:$U$3183,MATCH(SMALL($V$4:$V$3183,187),$V$4:$V$3183,0)),""))</f>
        <v/>
      </c>
    </row>
    <row r="191">
      <c r="A191">
        <f>IFERROR(INDEX($N$4:$N$3183,MATCH(SMALL($V$4:$V$3183,188),$V$4:$V$3183,0)),"")</f>
        <v/>
      </c>
      <c r="B191">
        <f>IFERROR(INDEX($O$4:$O$3183,MATCH(SMALL($V$4:$V$3183,188),$V$4:$V$3183,0)),"")</f>
        <v/>
      </c>
      <c r="C191">
        <f>IFERROR(INDEX($P$4:$P$3183,MATCH(SMALL($V$4:$V$3183,188),$V$4:$V$3183,0)),"")</f>
        <v/>
      </c>
      <c r="D191" s="29">
        <f>IFERROR(INDEX($Q$4:$Q$3183,MATCH(SMALL($V$4:$V$3183,188),$V$4:$V$3183,0)),"")</f>
        <v/>
      </c>
      <c r="E191" s="29">
        <f>IFERROR(INDEX($R$4:$R$3183,MATCH(SMALL($V$4:$V$3183,188),$V$4:$V$3183,0)),"")</f>
        <v/>
      </c>
      <c r="F191">
        <f>IFERROR(INDEX($S$4:$S$3183,MATCH(SMALL($V$4:$V$3183,188),$V$4:$V$3183,0)),"")</f>
        <v/>
      </c>
      <c r="I191" s="29">
        <f>IF($B191="","",IFERROR(INDEX($U$4:$U$3183,MATCH(SMALL($V$4:$V$3183,188),$V$4:$V$3183,0)),""))</f>
        <v/>
      </c>
      <c r="J191">
        <f>IF($B191="","",IF($D191&gt;$F$2,"À venir",IF($E191&lt;$D$2,"Passé","Dans la période")))</f>
        <v/>
      </c>
      <c r="K191">
        <f>IF(OR($B191="",NOT(ISNUMBER($D191))),"",IF(AND($E191&lt;$D$2,$G191&lt;&gt;"X",$F191&lt;&gt;"Réalisé",$F191&lt;&gt;"Clôturé"),"RETARD",""))</f>
        <v/>
      </c>
      <c r="L191">
        <f>IF(OR($B191="",NOT(ISNUMBER($D191))),"",IF(AND($D191&gt;=$D$2,$D191&lt;=$H$2,$G191&lt;&gt;"X",$F191&lt;&gt;"Réalisé",$F191&lt;&gt;"Clôturé"),"≤ 7 j",""))</f>
        <v/>
      </c>
      <c r="M191" s="29">
        <f>IF($B191="","",IFERROR(INDEX($T$4:$T$3183,MATCH(SMALL($V$4:$V$3183,188),$V$4:$V$3183,0)),""))</f>
        <v/>
      </c>
      <c r="O191">
        <f>IF(INDEX(Suivi!$B:$B,195)="","",INDEX(Suivi!$B:$B,195))</f>
        <v/>
      </c>
      <c r="P191">
        <f>IF($O191="","",IF(INDEX(Suivi!$D:$D,195)="",INDEX(Suivi!$C:$C,195),INDEX(Suivi!$D:$D,195)))</f>
        <v/>
      </c>
      <c r="Q191">
        <f>IF($O191="","",INDEX(Suivi!$E:$E,195))</f>
        <v/>
      </c>
      <c r="R191">
        <f>IF($O191="","",INDEX(Suivi!$F:$F,195))</f>
        <v/>
      </c>
      <c r="S191">
        <f>IF($O191="","",INDEX(Suivi!$G:$G,195))</f>
        <v/>
      </c>
      <c r="T191">
        <f>IF($O191="","",IF(INDEX(Dossiers!$F$4:$F$63,4)="","",INDEX(Dossiers!$F$4:$F$63,4)))</f>
        <v/>
      </c>
      <c r="U191">
        <f>IF($O191="","",IF(INDEX(Dossiers!$G$4:$G$63,4)="","",INDEX(Dossiers!$G$4:$G$63,4)))</f>
        <v/>
      </c>
      <c r="V191">
        <f>IF(OR($O191="",NOT(ISNUMBER($Q191))),"",$Q191*1000000+191)</f>
        <v/>
      </c>
      <c r="W191" s="29">
        <f>IF($B191="","",IFERROR(INDEX($U$4:$U$3183,MATCH(SMALL($V$4:$V$3183,188),$V$4:$V$3183,0)),""))</f>
        <v/>
      </c>
    </row>
    <row r="192">
      <c r="A192">
        <f>IFERROR(INDEX($N$4:$N$3183,MATCH(SMALL($V$4:$V$3183,189),$V$4:$V$3183,0)),"")</f>
        <v/>
      </c>
      <c r="B192">
        <f>IFERROR(INDEX($O$4:$O$3183,MATCH(SMALL($V$4:$V$3183,189),$V$4:$V$3183,0)),"")</f>
        <v/>
      </c>
      <c r="C192">
        <f>IFERROR(INDEX($P$4:$P$3183,MATCH(SMALL($V$4:$V$3183,189),$V$4:$V$3183,0)),"")</f>
        <v/>
      </c>
      <c r="D192" s="29">
        <f>IFERROR(INDEX($Q$4:$Q$3183,MATCH(SMALL($V$4:$V$3183,189),$V$4:$V$3183,0)),"")</f>
        <v/>
      </c>
      <c r="E192" s="29">
        <f>IFERROR(INDEX($R$4:$R$3183,MATCH(SMALL($V$4:$V$3183,189),$V$4:$V$3183,0)),"")</f>
        <v/>
      </c>
      <c r="F192">
        <f>IFERROR(INDEX($S$4:$S$3183,MATCH(SMALL($V$4:$V$3183,189),$V$4:$V$3183,0)),"")</f>
        <v/>
      </c>
      <c r="I192" s="29">
        <f>IF($B192="","",IFERROR(INDEX($U$4:$U$3183,MATCH(SMALL($V$4:$V$3183,189),$V$4:$V$3183,0)),""))</f>
        <v/>
      </c>
      <c r="J192">
        <f>IF($B192="","",IF($D192&gt;$F$2,"À venir",IF($E192&lt;$D$2,"Passé","Dans la période")))</f>
        <v/>
      </c>
      <c r="K192">
        <f>IF(OR($B192="",NOT(ISNUMBER($D192))),"",IF(AND($E192&lt;$D$2,$G192&lt;&gt;"X",$F192&lt;&gt;"Réalisé",$F192&lt;&gt;"Clôturé"),"RETARD",""))</f>
        <v/>
      </c>
      <c r="L192">
        <f>IF(OR($B192="",NOT(ISNUMBER($D192))),"",IF(AND($D192&gt;=$D$2,$D192&lt;=$H$2,$G192&lt;&gt;"X",$F192&lt;&gt;"Réalisé",$F192&lt;&gt;"Clôturé"),"≤ 7 j",""))</f>
        <v/>
      </c>
      <c r="M192" s="29">
        <f>IF($B192="","",IFERROR(INDEX($T$4:$T$3183,MATCH(SMALL($V$4:$V$3183,189),$V$4:$V$3183,0)),""))</f>
        <v/>
      </c>
      <c r="O192">
        <f>IF(INDEX(Suivi!$B:$B,196)="","",INDEX(Suivi!$B:$B,196))</f>
        <v/>
      </c>
      <c r="P192">
        <f>IF($O192="","",IF(INDEX(Suivi!$D:$D,196)="",INDEX(Suivi!$C:$C,196),INDEX(Suivi!$D:$D,196)))</f>
        <v/>
      </c>
      <c r="Q192">
        <f>IF($O192="","",INDEX(Suivi!$E:$E,196))</f>
        <v/>
      </c>
      <c r="R192">
        <f>IF($O192="","",INDEX(Suivi!$F:$F,196))</f>
        <v/>
      </c>
      <c r="S192">
        <f>IF($O192="","",INDEX(Suivi!$G:$G,196))</f>
        <v/>
      </c>
      <c r="T192">
        <f>IF($O192="","",IF(INDEX(Dossiers!$F$4:$F$63,4)="","",INDEX(Dossiers!$F$4:$F$63,4)))</f>
        <v/>
      </c>
      <c r="U192">
        <f>IF($O192="","",IF(INDEX(Dossiers!$G$4:$G$63,4)="","",INDEX(Dossiers!$G$4:$G$63,4)))</f>
        <v/>
      </c>
      <c r="V192">
        <f>IF(OR($O192="",NOT(ISNUMBER($Q192))),"",$Q192*1000000+192)</f>
        <v/>
      </c>
      <c r="W192" s="29">
        <f>IF($B192="","",IFERROR(INDEX($U$4:$U$3183,MATCH(SMALL($V$4:$V$3183,189),$V$4:$V$3183,0)),""))</f>
        <v/>
      </c>
    </row>
    <row r="193">
      <c r="A193">
        <f>IFERROR(INDEX($N$4:$N$3183,MATCH(SMALL($V$4:$V$3183,190),$V$4:$V$3183,0)),"")</f>
        <v/>
      </c>
      <c r="B193">
        <f>IFERROR(INDEX($O$4:$O$3183,MATCH(SMALL($V$4:$V$3183,190),$V$4:$V$3183,0)),"")</f>
        <v/>
      </c>
      <c r="C193">
        <f>IFERROR(INDEX($P$4:$P$3183,MATCH(SMALL($V$4:$V$3183,190),$V$4:$V$3183,0)),"")</f>
        <v/>
      </c>
      <c r="D193" s="29">
        <f>IFERROR(INDEX($Q$4:$Q$3183,MATCH(SMALL($V$4:$V$3183,190),$V$4:$V$3183,0)),"")</f>
        <v/>
      </c>
      <c r="E193" s="29">
        <f>IFERROR(INDEX($R$4:$R$3183,MATCH(SMALL($V$4:$V$3183,190),$V$4:$V$3183,0)),"")</f>
        <v/>
      </c>
      <c r="F193">
        <f>IFERROR(INDEX($S$4:$S$3183,MATCH(SMALL($V$4:$V$3183,190),$V$4:$V$3183,0)),"")</f>
        <v/>
      </c>
      <c r="I193" s="29">
        <f>IF($B193="","",IFERROR(INDEX($U$4:$U$3183,MATCH(SMALL($V$4:$V$3183,190),$V$4:$V$3183,0)),""))</f>
        <v/>
      </c>
      <c r="J193">
        <f>IF($B193="","",IF($D193&gt;$F$2,"À venir",IF($E193&lt;$D$2,"Passé","Dans la période")))</f>
        <v/>
      </c>
      <c r="K193">
        <f>IF(OR($B193="",NOT(ISNUMBER($D193))),"",IF(AND($E193&lt;$D$2,$G193&lt;&gt;"X",$F193&lt;&gt;"Réalisé",$F193&lt;&gt;"Clôturé"),"RETARD",""))</f>
        <v/>
      </c>
      <c r="L193">
        <f>IF(OR($B193="",NOT(ISNUMBER($D193))),"",IF(AND($D193&gt;=$D$2,$D193&lt;=$H$2,$G193&lt;&gt;"X",$F193&lt;&gt;"Réalisé",$F193&lt;&gt;"Clôturé"),"≤ 7 j",""))</f>
        <v/>
      </c>
      <c r="M193" s="29">
        <f>IF($B193="","",IFERROR(INDEX($T$4:$T$3183,MATCH(SMALL($V$4:$V$3183,190),$V$4:$V$3183,0)),""))</f>
        <v/>
      </c>
      <c r="O193">
        <f>IF(INDEX(Suivi!$B:$B,197)="","",INDEX(Suivi!$B:$B,197))</f>
        <v/>
      </c>
      <c r="P193">
        <f>IF($O193="","",IF(INDEX(Suivi!$D:$D,197)="",INDEX(Suivi!$C:$C,197),INDEX(Suivi!$D:$D,197)))</f>
        <v/>
      </c>
      <c r="Q193">
        <f>IF($O193="","",INDEX(Suivi!$E:$E,197))</f>
        <v/>
      </c>
      <c r="R193">
        <f>IF($O193="","",INDEX(Suivi!$F:$F,197))</f>
        <v/>
      </c>
      <c r="S193">
        <f>IF($O193="","",INDEX(Suivi!$G:$G,197))</f>
        <v/>
      </c>
      <c r="T193">
        <f>IF($O193="","",IF(INDEX(Dossiers!$F$4:$F$63,4)="","",INDEX(Dossiers!$F$4:$F$63,4)))</f>
        <v/>
      </c>
      <c r="U193">
        <f>IF($O193="","",IF(INDEX(Dossiers!$G$4:$G$63,4)="","",INDEX(Dossiers!$G$4:$G$63,4)))</f>
        <v/>
      </c>
      <c r="V193">
        <f>IF(OR($O193="",NOT(ISNUMBER($Q193))),"",$Q193*1000000+193)</f>
        <v/>
      </c>
      <c r="W193" s="29">
        <f>IF($B193="","",IFERROR(INDEX($U$4:$U$3183,MATCH(SMALL($V$4:$V$3183,190),$V$4:$V$3183,0)),""))</f>
        <v/>
      </c>
    </row>
    <row r="194">
      <c r="A194">
        <f>IFERROR(INDEX($N$4:$N$3183,MATCH(SMALL($V$4:$V$3183,191),$V$4:$V$3183,0)),"")</f>
        <v/>
      </c>
      <c r="B194">
        <f>IFERROR(INDEX($O$4:$O$3183,MATCH(SMALL($V$4:$V$3183,191),$V$4:$V$3183,0)),"")</f>
        <v/>
      </c>
      <c r="C194">
        <f>IFERROR(INDEX($P$4:$P$3183,MATCH(SMALL($V$4:$V$3183,191),$V$4:$V$3183,0)),"")</f>
        <v/>
      </c>
      <c r="D194" s="29">
        <f>IFERROR(INDEX($Q$4:$Q$3183,MATCH(SMALL($V$4:$V$3183,191),$V$4:$V$3183,0)),"")</f>
        <v/>
      </c>
      <c r="E194" s="29">
        <f>IFERROR(INDEX($R$4:$R$3183,MATCH(SMALL($V$4:$V$3183,191),$V$4:$V$3183,0)),"")</f>
        <v/>
      </c>
      <c r="F194">
        <f>IFERROR(INDEX($S$4:$S$3183,MATCH(SMALL($V$4:$V$3183,191),$V$4:$V$3183,0)),"")</f>
        <v/>
      </c>
      <c r="I194" s="29">
        <f>IF($B194="","",IFERROR(INDEX($U$4:$U$3183,MATCH(SMALL($V$4:$V$3183,191),$V$4:$V$3183,0)),""))</f>
        <v/>
      </c>
      <c r="J194">
        <f>IF($B194="","",IF($D194&gt;$F$2,"À venir",IF($E194&lt;$D$2,"Passé","Dans la période")))</f>
        <v/>
      </c>
      <c r="K194">
        <f>IF(OR($B194="",NOT(ISNUMBER($D194))),"",IF(AND($E194&lt;$D$2,$G194&lt;&gt;"X",$F194&lt;&gt;"Réalisé",$F194&lt;&gt;"Clôturé"),"RETARD",""))</f>
        <v/>
      </c>
      <c r="L194">
        <f>IF(OR($B194="",NOT(ISNUMBER($D194))),"",IF(AND($D194&gt;=$D$2,$D194&lt;=$H$2,$G194&lt;&gt;"X",$F194&lt;&gt;"Réalisé",$F194&lt;&gt;"Clôturé"),"≤ 7 j",""))</f>
        <v/>
      </c>
      <c r="M194" s="29">
        <f>IF($B194="","",IFERROR(INDEX($T$4:$T$3183,MATCH(SMALL($V$4:$V$3183,191),$V$4:$V$3183,0)),""))</f>
        <v/>
      </c>
      <c r="O194">
        <f>IF(INDEX(Suivi!$B:$B,198)="","",INDEX(Suivi!$B:$B,198))</f>
        <v/>
      </c>
      <c r="P194">
        <f>IF($O194="","",IF(INDEX(Suivi!$D:$D,198)="",INDEX(Suivi!$C:$C,198),INDEX(Suivi!$D:$D,198)))</f>
        <v/>
      </c>
      <c r="Q194">
        <f>IF($O194="","",INDEX(Suivi!$E:$E,198))</f>
        <v/>
      </c>
      <c r="R194">
        <f>IF($O194="","",INDEX(Suivi!$F:$F,198))</f>
        <v/>
      </c>
      <c r="S194">
        <f>IF($O194="","",INDEX(Suivi!$G:$G,198))</f>
        <v/>
      </c>
      <c r="T194">
        <f>IF($O194="","",IF(INDEX(Dossiers!$F$4:$F$63,4)="","",INDEX(Dossiers!$F$4:$F$63,4)))</f>
        <v/>
      </c>
      <c r="U194">
        <f>IF($O194="","",IF(INDEX(Dossiers!$G$4:$G$63,4)="","",INDEX(Dossiers!$G$4:$G$63,4)))</f>
        <v/>
      </c>
      <c r="V194">
        <f>IF(OR($O194="",NOT(ISNUMBER($Q194))),"",$Q194*1000000+194)</f>
        <v/>
      </c>
      <c r="W194" s="29">
        <f>IF($B194="","",IFERROR(INDEX($U$4:$U$3183,MATCH(SMALL($V$4:$V$3183,191),$V$4:$V$3183,0)),""))</f>
        <v/>
      </c>
    </row>
    <row r="195">
      <c r="A195">
        <f>IFERROR(INDEX($N$4:$N$3183,MATCH(SMALL($V$4:$V$3183,192),$V$4:$V$3183,0)),"")</f>
        <v/>
      </c>
      <c r="B195">
        <f>IFERROR(INDEX($O$4:$O$3183,MATCH(SMALL($V$4:$V$3183,192),$V$4:$V$3183,0)),"")</f>
        <v/>
      </c>
      <c r="C195">
        <f>IFERROR(INDEX($P$4:$P$3183,MATCH(SMALL($V$4:$V$3183,192),$V$4:$V$3183,0)),"")</f>
        <v/>
      </c>
      <c r="D195" s="29">
        <f>IFERROR(INDEX($Q$4:$Q$3183,MATCH(SMALL($V$4:$V$3183,192),$V$4:$V$3183,0)),"")</f>
        <v/>
      </c>
      <c r="E195" s="29">
        <f>IFERROR(INDEX($R$4:$R$3183,MATCH(SMALL($V$4:$V$3183,192),$V$4:$V$3183,0)),"")</f>
        <v/>
      </c>
      <c r="F195">
        <f>IFERROR(INDEX($S$4:$S$3183,MATCH(SMALL($V$4:$V$3183,192),$V$4:$V$3183,0)),"")</f>
        <v/>
      </c>
      <c r="I195" s="29">
        <f>IF($B195="","",IFERROR(INDEX($U$4:$U$3183,MATCH(SMALL($V$4:$V$3183,192),$V$4:$V$3183,0)),""))</f>
        <v/>
      </c>
      <c r="J195">
        <f>IF($B195="","",IF($D195&gt;$F$2,"À venir",IF($E195&lt;$D$2,"Passé","Dans la période")))</f>
        <v/>
      </c>
      <c r="K195">
        <f>IF(OR($B195="",NOT(ISNUMBER($D195))),"",IF(AND($E195&lt;$D$2,$G195&lt;&gt;"X",$F195&lt;&gt;"Réalisé",$F195&lt;&gt;"Clôturé"),"RETARD",""))</f>
        <v/>
      </c>
      <c r="L195">
        <f>IF(OR($B195="",NOT(ISNUMBER($D195))),"",IF(AND($D195&gt;=$D$2,$D195&lt;=$H$2,$G195&lt;&gt;"X",$F195&lt;&gt;"Réalisé",$F195&lt;&gt;"Clôturé"),"≤ 7 j",""))</f>
        <v/>
      </c>
      <c r="M195" s="29">
        <f>IF($B195="","",IFERROR(INDEX($T$4:$T$3183,MATCH(SMALL($V$4:$V$3183,192),$V$4:$V$3183,0)),""))</f>
        <v/>
      </c>
      <c r="O195">
        <f>IF(INDEX(Suivi!$B:$B,199)="","",INDEX(Suivi!$B:$B,199))</f>
        <v/>
      </c>
      <c r="P195">
        <f>IF($O195="","",IF(INDEX(Suivi!$D:$D,199)="",INDEX(Suivi!$C:$C,199),INDEX(Suivi!$D:$D,199)))</f>
        <v/>
      </c>
      <c r="Q195">
        <f>IF($O195="","",INDEX(Suivi!$E:$E,199))</f>
        <v/>
      </c>
      <c r="R195">
        <f>IF($O195="","",INDEX(Suivi!$F:$F,199))</f>
        <v/>
      </c>
      <c r="S195">
        <f>IF($O195="","",INDEX(Suivi!$G:$G,199))</f>
        <v/>
      </c>
      <c r="T195">
        <f>IF($O195="","",IF(INDEX(Dossiers!$F$4:$F$63,4)="","",INDEX(Dossiers!$F$4:$F$63,4)))</f>
        <v/>
      </c>
      <c r="U195">
        <f>IF($O195="","",IF(INDEX(Dossiers!$G$4:$G$63,4)="","",INDEX(Dossiers!$G$4:$G$63,4)))</f>
        <v/>
      </c>
      <c r="V195">
        <f>IF(OR($O195="",NOT(ISNUMBER($Q195))),"",$Q195*1000000+195)</f>
        <v/>
      </c>
      <c r="W195" s="29">
        <f>IF($B195="","",IFERROR(INDEX($U$4:$U$3183,MATCH(SMALL($V$4:$V$3183,192),$V$4:$V$3183,0)),""))</f>
        <v/>
      </c>
    </row>
    <row r="196">
      <c r="A196">
        <f>IFERROR(INDEX($N$4:$N$3183,MATCH(SMALL($V$4:$V$3183,193),$V$4:$V$3183,0)),"")</f>
        <v/>
      </c>
      <c r="B196">
        <f>IFERROR(INDEX($O$4:$O$3183,MATCH(SMALL($V$4:$V$3183,193),$V$4:$V$3183,0)),"")</f>
        <v/>
      </c>
      <c r="C196">
        <f>IFERROR(INDEX($P$4:$P$3183,MATCH(SMALL($V$4:$V$3183,193),$V$4:$V$3183,0)),"")</f>
        <v/>
      </c>
      <c r="D196" s="29">
        <f>IFERROR(INDEX($Q$4:$Q$3183,MATCH(SMALL($V$4:$V$3183,193),$V$4:$V$3183,0)),"")</f>
        <v/>
      </c>
      <c r="E196" s="29">
        <f>IFERROR(INDEX($R$4:$R$3183,MATCH(SMALL($V$4:$V$3183,193),$V$4:$V$3183,0)),"")</f>
        <v/>
      </c>
      <c r="F196">
        <f>IFERROR(INDEX($S$4:$S$3183,MATCH(SMALL($V$4:$V$3183,193),$V$4:$V$3183,0)),"")</f>
        <v/>
      </c>
      <c r="I196" s="29">
        <f>IF($B196="","",IFERROR(INDEX($U$4:$U$3183,MATCH(SMALL($V$4:$V$3183,193),$V$4:$V$3183,0)),""))</f>
        <v/>
      </c>
      <c r="J196">
        <f>IF($B196="","",IF($D196&gt;$F$2,"À venir",IF($E196&lt;$D$2,"Passé","Dans la période")))</f>
        <v/>
      </c>
      <c r="K196">
        <f>IF(OR($B196="",NOT(ISNUMBER($D196))),"",IF(AND($E196&lt;$D$2,$G196&lt;&gt;"X",$F196&lt;&gt;"Réalisé",$F196&lt;&gt;"Clôturé"),"RETARD",""))</f>
        <v/>
      </c>
      <c r="L196">
        <f>IF(OR($B196="",NOT(ISNUMBER($D196))),"",IF(AND($D196&gt;=$D$2,$D196&lt;=$H$2,$G196&lt;&gt;"X",$F196&lt;&gt;"Réalisé",$F196&lt;&gt;"Clôturé"),"≤ 7 j",""))</f>
        <v/>
      </c>
      <c r="M196" s="29">
        <f>IF($B196="","",IFERROR(INDEX($T$4:$T$3183,MATCH(SMALL($V$4:$V$3183,193),$V$4:$V$3183,0)),""))</f>
        <v/>
      </c>
      <c r="O196">
        <f>IF(INDEX(Suivi!$B:$B,200)="","",INDEX(Suivi!$B:$B,200))</f>
        <v/>
      </c>
      <c r="P196">
        <f>IF($O196="","",IF(INDEX(Suivi!$D:$D,200)="",INDEX(Suivi!$C:$C,200),INDEX(Suivi!$D:$D,200)))</f>
        <v/>
      </c>
      <c r="Q196">
        <f>IF($O196="","",INDEX(Suivi!$E:$E,200))</f>
        <v/>
      </c>
      <c r="R196">
        <f>IF($O196="","",INDEX(Suivi!$F:$F,200))</f>
        <v/>
      </c>
      <c r="S196">
        <f>IF($O196="","",INDEX(Suivi!$G:$G,200))</f>
        <v/>
      </c>
      <c r="T196">
        <f>IF($O196="","",IF(INDEX(Dossiers!$F$4:$F$63,4)="","",INDEX(Dossiers!$F$4:$F$63,4)))</f>
        <v/>
      </c>
      <c r="U196">
        <f>IF($O196="","",IF(INDEX(Dossiers!$G$4:$G$63,4)="","",INDEX(Dossiers!$G$4:$G$63,4)))</f>
        <v/>
      </c>
      <c r="V196">
        <f>IF(OR($O196="",NOT(ISNUMBER($Q196))),"",$Q196*1000000+196)</f>
        <v/>
      </c>
      <c r="W196" s="29">
        <f>IF($B196="","",IFERROR(INDEX($U$4:$U$3183,MATCH(SMALL($V$4:$V$3183,193),$V$4:$V$3183,0)),""))</f>
        <v/>
      </c>
    </row>
    <row r="197">
      <c r="A197">
        <f>IFERROR(INDEX($N$4:$N$3183,MATCH(SMALL($V$4:$V$3183,194),$V$4:$V$3183,0)),"")</f>
        <v/>
      </c>
      <c r="B197">
        <f>IFERROR(INDEX($O$4:$O$3183,MATCH(SMALL($V$4:$V$3183,194),$V$4:$V$3183,0)),"")</f>
        <v/>
      </c>
      <c r="C197">
        <f>IFERROR(INDEX($P$4:$P$3183,MATCH(SMALL($V$4:$V$3183,194),$V$4:$V$3183,0)),"")</f>
        <v/>
      </c>
      <c r="D197" s="29">
        <f>IFERROR(INDEX($Q$4:$Q$3183,MATCH(SMALL($V$4:$V$3183,194),$V$4:$V$3183,0)),"")</f>
        <v/>
      </c>
      <c r="E197" s="29">
        <f>IFERROR(INDEX($R$4:$R$3183,MATCH(SMALL($V$4:$V$3183,194),$V$4:$V$3183,0)),"")</f>
        <v/>
      </c>
      <c r="F197">
        <f>IFERROR(INDEX($S$4:$S$3183,MATCH(SMALL($V$4:$V$3183,194),$V$4:$V$3183,0)),"")</f>
        <v/>
      </c>
      <c r="I197" s="29">
        <f>IF($B197="","",IFERROR(INDEX($U$4:$U$3183,MATCH(SMALL($V$4:$V$3183,194),$V$4:$V$3183,0)),""))</f>
        <v/>
      </c>
      <c r="J197">
        <f>IF($B197="","",IF($D197&gt;$F$2,"À venir",IF($E197&lt;$D$2,"Passé","Dans la période")))</f>
        <v/>
      </c>
      <c r="K197">
        <f>IF(OR($B197="",NOT(ISNUMBER($D197))),"",IF(AND($E197&lt;$D$2,$G197&lt;&gt;"X",$F197&lt;&gt;"Réalisé",$F197&lt;&gt;"Clôturé"),"RETARD",""))</f>
        <v/>
      </c>
      <c r="L197">
        <f>IF(OR($B197="",NOT(ISNUMBER($D197))),"",IF(AND($D197&gt;=$D$2,$D197&lt;=$H$2,$G197&lt;&gt;"X",$F197&lt;&gt;"Réalisé",$F197&lt;&gt;"Clôturé"),"≤ 7 j",""))</f>
        <v/>
      </c>
      <c r="M197" s="29">
        <f>IF($B197="","",IFERROR(INDEX($T$4:$T$3183,MATCH(SMALL($V$4:$V$3183,194),$V$4:$V$3183,0)),""))</f>
        <v/>
      </c>
      <c r="O197">
        <f>IF(INDEX(Suivi!$B:$B,201)="","",INDEX(Suivi!$B:$B,201))</f>
        <v/>
      </c>
      <c r="P197">
        <f>IF($O197="","",IF(INDEX(Suivi!$D:$D,201)="",INDEX(Suivi!$C:$C,201),INDEX(Suivi!$D:$D,201)))</f>
        <v/>
      </c>
      <c r="Q197">
        <f>IF($O197="","",INDEX(Suivi!$E:$E,201))</f>
        <v/>
      </c>
      <c r="R197">
        <f>IF($O197="","",INDEX(Suivi!$F:$F,201))</f>
        <v/>
      </c>
      <c r="S197">
        <f>IF($O197="","",INDEX(Suivi!$G:$G,201))</f>
        <v/>
      </c>
      <c r="T197">
        <f>IF($O197="","",IF(INDEX(Dossiers!$F$4:$F$63,4)="","",INDEX(Dossiers!$F$4:$F$63,4)))</f>
        <v/>
      </c>
      <c r="U197">
        <f>IF($O197="","",IF(INDEX(Dossiers!$G$4:$G$63,4)="","",INDEX(Dossiers!$G$4:$G$63,4)))</f>
        <v/>
      </c>
      <c r="V197">
        <f>IF(OR($O197="",NOT(ISNUMBER($Q197))),"",$Q197*1000000+197)</f>
        <v/>
      </c>
      <c r="W197" s="29">
        <f>IF($B197="","",IFERROR(INDEX($U$4:$U$3183,MATCH(SMALL($V$4:$V$3183,194),$V$4:$V$3183,0)),""))</f>
        <v/>
      </c>
    </row>
    <row r="198">
      <c r="A198">
        <f>IFERROR(INDEX($N$4:$N$3183,MATCH(SMALL($V$4:$V$3183,195),$V$4:$V$3183,0)),"")</f>
        <v/>
      </c>
      <c r="B198">
        <f>IFERROR(INDEX($O$4:$O$3183,MATCH(SMALL($V$4:$V$3183,195),$V$4:$V$3183,0)),"")</f>
        <v/>
      </c>
      <c r="C198">
        <f>IFERROR(INDEX($P$4:$P$3183,MATCH(SMALL($V$4:$V$3183,195),$V$4:$V$3183,0)),"")</f>
        <v/>
      </c>
      <c r="D198" s="29">
        <f>IFERROR(INDEX($Q$4:$Q$3183,MATCH(SMALL($V$4:$V$3183,195),$V$4:$V$3183,0)),"")</f>
        <v/>
      </c>
      <c r="E198" s="29">
        <f>IFERROR(INDEX($R$4:$R$3183,MATCH(SMALL($V$4:$V$3183,195),$V$4:$V$3183,0)),"")</f>
        <v/>
      </c>
      <c r="F198">
        <f>IFERROR(INDEX($S$4:$S$3183,MATCH(SMALL($V$4:$V$3183,195),$V$4:$V$3183,0)),"")</f>
        <v/>
      </c>
      <c r="I198" s="29">
        <f>IF($B198="","",IFERROR(INDEX($U$4:$U$3183,MATCH(SMALL($V$4:$V$3183,195),$V$4:$V$3183,0)),""))</f>
        <v/>
      </c>
      <c r="J198">
        <f>IF($B198="","",IF($D198&gt;$F$2,"À venir",IF($E198&lt;$D$2,"Passé","Dans la période")))</f>
        <v/>
      </c>
      <c r="K198">
        <f>IF(OR($B198="",NOT(ISNUMBER($D198))),"",IF(AND($E198&lt;$D$2,$G198&lt;&gt;"X",$F198&lt;&gt;"Réalisé",$F198&lt;&gt;"Clôturé"),"RETARD",""))</f>
        <v/>
      </c>
      <c r="L198">
        <f>IF(OR($B198="",NOT(ISNUMBER($D198))),"",IF(AND($D198&gt;=$D$2,$D198&lt;=$H$2,$G198&lt;&gt;"X",$F198&lt;&gt;"Réalisé",$F198&lt;&gt;"Clôturé"),"≤ 7 j",""))</f>
        <v/>
      </c>
      <c r="M198" s="29">
        <f>IF($B198="","",IFERROR(INDEX($T$4:$T$3183,MATCH(SMALL($V$4:$V$3183,195),$V$4:$V$3183,0)),""))</f>
        <v/>
      </c>
      <c r="O198">
        <f>IF(INDEX(Suivi!$B:$B,202)="","",INDEX(Suivi!$B:$B,202))</f>
        <v/>
      </c>
      <c r="P198">
        <f>IF($O198="","",IF(INDEX(Suivi!$D:$D,202)="",INDEX(Suivi!$C:$C,202),INDEX(Suivi!$D:$D,202)))</f>
        <v/>
      </c>
      <c r="Q198">
        <f>IF($O198="","",INDEX(Suivi!$E:$E,202))</f>
        <v/>
      </c>
      <c r="R198">
        <f>IF($O198="","",INDEX(Suivi!$F:$F,202))</f>
        <v/>
      </c>
      <c r="S198">
        <f>IF($O198="","",INDEX(Suivi!$G:$G,202))</f>
        <v/>
      </c>
      <c r="T198">
        <f>IF($O198="","",IF(INDEX(Dossiers!$F$4:$F$63,4)="","",INDEX(Dossiers!$F$4:$F$63,4)))</f>
        <v/>
      </c>
      <c r="U198">
        <f>IF($O198="","",IF(INDEX(Dossiers!$G$4:$G$63,4)="","",INDEX(Dossiers!$G$4:$G$63,4)))</f>
        <v/>
      </c>
      <c r="V198">
        <f>IF(OR($O198="",NOT(ISNUMBER($Q198))),"",$Q198*1000000+198)</f>
        <v/>
      </c>
      <c r="W198" s="29">
        <f>IF($B198="","",IFERROR(INDEX($U$4:$U$3183,MATCH(SMALL($V$4:$V$3183,195),$V$4:$V$3183,0)),""))</f>
        <v/>
      </c>
    </row>
    <row r="199">
      <c r="A199">
        <f>IFERROR(INDEX($N$4:$N$3183,MATCH(SMALL($V$4:$V$3183,196),$V$4:$V$3183,0)),"")</f>
        <v/>
      </c>
      <c r="B199">
        <f>IFERROR(INDEX($O$4:$O$3183,MATCH(SMALL($V$4:$V$3183,196),$V$4:$V$3183,0)),"")</f>
        <v/>
      </c>
      <c r="C199">
        <f>IFERROR(INDEX($P$4:$P$3183,MATCH(SMALL($V$4:$V$3183,196),$V$4:$V$3183,0)),"")</f>
        <v/>
      </c>
      <c r="D199" s="29">
        <f>IFERROR(INDEX($Q$4:$Q$3183,MATCH(SMALL($V$4:$V$3183,196),$V$4:$V$3183,0)),"")</f>
        <v/>
      </c>
      <c r="E199" s="29">
        <f>IFERROR(INDEX($R$4:$R$3183,MATCH(SMALL($V$4:$V$3183,196),$V$4:$V$3183,0)),"")</f>
        <v/>
      </c>
      <c r="F199">
        <f>IFERROR(INDEX($S$4:$S$3183,MATCH(SMALL($V$4:$V$3183,196),$V$4:$V$3183,0)),"")</f>
        <v/>
      </c>
      <c r="I199" s="29">
        <f>IF($B199="","",IFERROR(INDEX($U$4:$U$3183,MATCH(SMALL($V$4:$V$3183,196),$V$4:$V$3183,0)),""))</f>
        <v/>
      </c>
      <c r="J199">
        <f>IF($B199="","",IF($D199&gt;$F$2,"À venir",IF($E199&lt;$D$2,"Passé","Dans la période")))</f>
        <v/>
      </c>
      <c r="K199">
        <f>IF(OR($B199="",NOT(ISNUMBER($D199))),"",IF(AND($E199&lt;$D$2,$G199&lt;&gt;"X",$F199&lt;&gt;"Réalisé",$F199&lt;&gt;"Clôturé"),"RETARD",""))</f>
        <v/>
      </c>
      <c r="L199">
        <f>IF(OR($B199="",NOT(ISNUMBER($D199))),"",IF(AND($D199&gt;=$D$2,$D199&lt;=$H$2,$G199&lt;&gt;"X",$F199&lt;&gt;"Réalisé",$F199&lt;&gt;"Clôturé"),"≤ 7 j",""))</f>
        <v/>
      </c>
      <c r="M199" s="29">
        <f>IF($B199="","",IFERROR(INDEX($T$4:$T$3183,MATCH(SMALL($V$4:$V$3183,196),$V$4:$V$3183,0)),""))</f>
        <v/>
      </c>
      <c r="O199">
        <f>IF(INDEX(Suivi!$B:$B,203)="","",INDEX(Suivi!$B:$B,203))</f>
        <v/>
      </c>
      <c r="P199">
        <f>IF($O199="","",IF(INDEX(Suivi!$D:$D,203)="",INDEX(Suivi!$C:$C,203),INDEX(Suivi!$D:$D,203)))</f>
        <v/>
      </c>
      <c r="Q199">
        <f>IF($O199="","",INDEX(Suivi!$E:$E,203))</f>
        <v/>
      </c>
      <c r="R199">
        <f>IF($O199="","",INDEX(Suivi!$F:$F,203))</f>
        <v/>
      </c>
      <c r="S199">
        <f>IF($O199="","",INDEX(Suivi!$G:$G,203))</f>
        <v/>
      </c>
      <c r="T199">
        <f>IF($O199="","",IF(INDEX(Dossiers!$F$4:$F$63,4)="","",INDEX(Dossiers!$F$4:$F$63,4)))</f>
        <v/>
      </c>
      <c r="U199">
        <f>IF($O199="","",IF(INDEX(Dossiers!$G$4:$G$63,4)="","",INDEX(Dossiers!$G$4:$G$63,4)))</f>
        <v/>
      </c>
      <c r="V199">
        <f>IF(OR($O199="",NOT(ISNUMBER($Q199))),"",$Q199*1000000+199)</f>
        <v/>
      </c>
      <c r="W199" s="29">
        <f>IF($B199="","",IFERROR(INDEX($U$4:$U$3183,MATCH(SMALL($V$4:$V$3183,196),$V$4:$V$3183,0)),""))</f>
        <v/>
      </c>
    </row>
    <row r="200">
      <c r="A200">
        <f>IFERROR(INDEX($N$4:$N$3183,MATCH(SMALL($V$4:$V$3183,197),$V$4:$V$3183,0)),"")</f>
        <v/>
      </c>
      <c r="B200">
        <f>IFERROR(INDEX($O$4:$O$3183,MATCH(SMALL($V$4:$V$3183,197),$V$4:$V$3183,0)),"")</f>
        <v/>
      </c>
      <c r="C200">
        <f>IFERROR(INDEX($P$4:$P$3183,MATCH(SMALL($V$4:$V$3183,197),$V$4:$V$3183,0)),"")</f>
        <v/>
      </c>
      <c r="D200" s="29">
        <f>IFERROR(INDEX($Q$4:$Q$3183,MATCH(SMALL($V$4:$V$3183,197),$V$4:$V$3183,0)),"")</f>
        <v/>
      </c>
      <c r="E200" s="29">
        <f>IFERROR(INDEX($R$4:$R$3183,MATCH(SMALL($V$4:$V$3183,197),$V$4:$V$3183,0)),"")</f>
        <v/>
      </c>
      <c r="F200">
        <f>IFERROR(INDEX($S$4:$S$3183,MATCH(SMALL($V$4:$V$3183,197),$V$4:$V$3183,0)),"")</f>
        <v/>
      </c>
      <c r="I200" s="29">
        <f>IF($B200="","",IFERROR(INDEX($U$4:$U$3183,MATCH(SMALL($V$4:$V$3183,197),$V$4:$V$3183,0)),""))</f>
        <v/>
      </c>
      <c r="J200">
        <f>IF($B200="","",IF($D200&gt;$F$2,"À venir",IF($E200&lt;$D$2,"Passé","Dans la période")))</f>
        <v/>
      </c>
      <c r="K200">
        <f>IF(OR($B200="",NOT(ISNUMBER($D200))),"",IF(AND($E200&lt;$D$2,$G200&lt;&gt;"X",$F200&lt;&gt;"Réalisé",$F200&lt;&gt;"Clôturé"),"RETARD",""))</f>
        <v/>
      </c>
      <c r="L200">
        <f>IF(OR($B200="",NOT(ISNUMBER($D200))),"",IF(AND($D200&gt;=$D$2,$D200&lt;=$H$2,$G200&lt;&gt;"X",$F200&lt;&gt;"Réalisé",$F200&lt;&gt;"Clôturé"),"≤ 7 j",""))</f>
        <v/>
      </c>
      <c r="M200" s="29">
        <f>IF($B200="","",IFERROR(INDEX($T$4:$T$3183,MATCH(SMALL($V$4:$V$3183,197),$V$4:$V$3183,0)),""))</f>
        <v/>
      </c>
      <c r="O200">
        <f>IF(INDEX(Suivi!$B:$B,204)="","",INDEX(Suivi!$B:$B,204))</f>
        <v/>
      </c>
      <c r="P200">
        <f>IF($O200="","",IF(INDEX(Suivi!$D:$D,204)="",INDEX(Suivi!$C:$C,204),INDEX(Suivi!$D:$D,204)))</f>
        <v/>
      </c>
      <c r="Q200">
        <f>IF($O200="","",INDEX(Suivi!$E:$E,204))</f>
        <v/>
      </c>
      <c r="R200">
        <f>IF($O200="","",INDEX(Suivi!$F:$F,204))</f>
        <v/>
      </c>
      <c r="S200">
        <f>IF($O200="","",INDEX(Suivi!$G:$G,204))</f>
        <v/>
      </c>
      <c r="T200">
        <f>IF($O200="","",IF(INDEX(Dossiers!$F$4:$F$63,4)="","",INDEX(Dossiers!$F$4:$F$63,4)))</f>
        <v/>
      </c>
      <c r="U200">
        <f>IF($O200="","",IF(INDEX(Dossiers!$G$4:$G$63,4)="","",INDEX(Dossiers!$G$4:$G$63,4)))</f>
        <v/>
      </c>
      <c r="V200">
        <f>IF(OR($O200="",NOT(ISNUMBER($Q200))),"",$Q200*1000000+200)</f>
        <v/>
      </c>
      <c r="W200" s="29">
        <f>IF($B200="","",IFERROR(INDEX($U$4:$U$3183,MATCH(SMALL($V$4:$V$3183,197),$V$4:$V$3183,0)),""))</f>
        <v/>
      </c>
    </row>
    <row r="201">
      <c r="A201">
        <f>IFERROR(INDEX($N$4:$N$3183,MATCH(SMALL($V$4:$V$3183,198),$V$4:$V$3183,0)),"")</f>
        <v/>
      </c>
      <c r="B201">
        <f>IFERROR(INDEX($O$4:$O$3183,MATCH(SMALL($V$4:$V$3183,198),$V$4:$V$3183,0)),"")</f>
        <v/>
      </c>
      <c r="C201">
        <f>IFERROR(INDEX($P$4:$P$3183,MATCH(SMALL($V$4:$V$3183,198),$V$4:$V$3183,0)),"")</f>
        <v/>
      </c>
      <c r="D201" s="29">
        <f>IFERROR(INDEX($Q$4:$Q$3183,MATCH(SMALL($V$4:$V$3183,198),$V$4:$V$3183,0)),"")</f>
        <v/>
      </c>
      <c r="E201" s="29">
        <f>IFERROR(INDEX($R$4:$R$3183,MATCH(SMALL($V$4:$V$3183,198),$V$4:$V$3183,0)),"")</f>
        <v/>
      </c>
      <c r="F201">
        <f>IFERROR(INDEX($S$4:$S$3183,MATCH(SMALL($V$4:$V$3183,198),$V$4:$V$3183,0)),"")</f>
        <v/>
      </c>
      <c r="I201" s="29">
        <f>IF($B201="","",IFERROR(INDEX($U$4:$U$3183,MATCH(SMALL($V$4:$V$3183,198),$V$4:$V$3183,0)),""))</f>
        <v/>
      </c>
      <c r="J201">
        <f>IF($B201="","",IF($D201&gt;$F$2,"À venir",IF($E201&lt;$D$2,"Passé","Dans la période")))</f>
        <v/>
      </c>
      <c r="K201">
        <f>IF(OR($B201="",NOT(ISNUMBER($D201))),"",IF(AND($E201&lt;$D$2,$G201&lt;&gt;"X",$F201&lt;&gt;"Réalisé",$F201&lt;&gt;"Clôturé"),"RETARD",""))</f>
        <v/>
      </c>
      <c r="L201">
        <f>IF(OR($B201="",NOT(ISNUMBER($D201))),"",IF(AND($D201&gt;=$D$2,$D201&lt;=$H$2,$G201&lt;&gt;"X",$F201&lt;&gt;"Réalisé",$F201&lt;&gt;"Clôturé"),"≤ 7 j",""))</f>
        <v/>
      </c>
      <c r="M201" s="29">
        <f>IF($B201="","",IFERROR(INDEX($T$4:$T$3183,MATCH(SMALL($V$4:$V$3183,198),$V$4:$V$3183,0)),""))</f>
        <v/>
      </c>
      <c r="O201">
        <f>IF(INDEX(Suivi!$B:$B,205)="","",INDEX(Suivi!$B:$B,205))</f>
        <v/>
      </c>
      <c r="P201">
        <f>IF($O201="","",IF(INDEX(Suivi!$D:$D,205)="",INDEX(Suivi!$C:$C,205),INDEX(Suivi!$D:$D,205)))</f>
        <v/>
      </c>
      <c r="Q201">
        <f>IF($O201="","",INDEX(Suivi!$E:$E,205))</f>
        <v/>
      </c>
      <c r="R201">
        <f>IF($O201="","",INDEX(Suivi!$F:$F,205))</f>
        <v/>
      </c>
      <c r="S201">
        <f>IF($O201="","",INDEX(Suivi!$G:$G,205))</f>
        <v/>
      </c>
      <c r="T201">
        <f>IF($O201="","",IF(INDEX(Dossiers!$F$4:$F$63,4)="","",INDEX(Dossiers!$F$4:$F$63,4)))</f>
        <v/>
      </c>
      <c r="U201">
        <f>IF($O201="","",IF(INDEX(Dossiers!$G$4:$G$63,4)="","",INDEX(Dossiers!$G$4:$G$63,4)))</f>
        <v/>
      </c>
      <c r="V201">
        <f>IF(OR($O201="",NOT(ISNUMBER($Q201))),"",$Q201*1000000+201)</f>
        <v/>
      </c>
      <c r="W201" s="29">
        <f>IF($B201="","",IFERROR(INDEX($U$4:$U$3183,MATCH(SMALL($V$4:$V$3183,198),$V$4:$V$3183,0)),""))</f>
        <v/>
      </c>
    </row>
    <row r="202">
      <c r="A202">
        <f>IFERROR(INDEX($N$4:$N$3183,MATCH(SMALL($V$4:$V$3183,199),$V$4:$V$3183,0)),"")</f>
        <v/>
      </c>
      <c r="B202">
        <f>IFERROR(INDEX($O$4:$O$3183,MATCH(SMALL($V$4:$V$3183,199),$V$4:$V$3183,0)),"")</f>
        <v/>
      </c>
      <c r="C202">
        <f>IFERROR(INDEX($P$4:$P$3183,MATCH(SMALL($V$4:$V$3183,199),$V$4:$V$3183,0)),"")</f>
        <v/>
      </c>
      <c r="D202" s="29">
        <f>IFERROR(INDEX($Q$4:$Q$3183,MATCH(SMALL($V$4:$V$3183,199),$V$4:$V$3183,0)),"")</f>
        <v/>
      </c>
      <c r="E202" s="29">
        <f>IFERROR(INDEX($R$4:$R$3183,MATCH(SMALL($V$4:$V$3183,199),$V$4:$V$3183,0)),"")</f>
        <v/>
      </c>
      <c r="F202">
        <f>IFERROR(INDEX($S$4:$S$3183,MATCH(SMALL($V$4:$V$3183,199),$V$4:$V$3183,0)),"")</f>
        <v/>
      </c>
      <c r="I202" s="29">
        <f>IF($B202="","",IFERROR(INDEX($U$4:$U$3183,MATCH(SMALL($V$4:$V$3183,199),$V$4:$V$3183,0)),""))</f>
        <v/>
      </c>
      <c r="J202">
        <f>IF($B202="","",IF($D202&gt;$F$2,"À venir",IF($E202&lt;$D$2,"Passé","Dans la période")))</f>
        <v/>
      </c>
      <c r="K202">
        <f>IF(OR($B202="",NOT(ISNUMBER($D202))),"",IF(AND($E202&lt;$D$2,$G202&lt;&gt;"X",$F202&lt;&gt;"Réalisé",$F202&lt;&gt;"Clôturé"),"RETARD",""))</f>
        <v/>
      </c>
      <c r="L202">
        <f>IF(OR($B202="",NOT(ISNUMBER($D202))),"",IF(AND($D202&gt;=$D$2,$D202&lt;=$H$2,$G202&lt;&gt;"X",$F202&lt;&gt;"Réalisé",$F202&lt;&gt;"Clôturé"),"≤ 7 j",""))</f>
        <v/>
      </c>
      <c r="M202" s="29">
        <f>IF($B202="","",IFERROR(INDEX($T$4:$T$3183,MATCH(SMALL($V$4:$V$3183,199),$V$4:$V$3183,0)),""))</f>
        <v/>
      </c>
      <c r="O202">
        <f>IF(INDEX(Suivi!$B:$B,206)="","",INDEX(Suivi!$B:$B,206))</f>
        <v/>
      </c>
      <c r="P202">
        <f>IF($O202="","",IF(INDEX(Suivi!$D:$D,206)="",INDEX(Suivi!$C:$C,206),INDEX(Suivi!$D:$D,206)))</f>
        <v/>
      </c>
      <c r="Q202">
        <f>IF($O202="","",INDEX(Suivi!$E:$E,206))</f>
        <v/>
      </c>
      <c r="R202">
        <f>IF($O202="","",INDEX(Suivi!$F:$F,206))</f>
        <v/>
      </c>
      <c r="S202">
        <f>IF($O202="","",INDEX(Suivi!$G:$G,206))</f>
        <v/>
      </c>
      <c r="T202">
        <f>IF($O202="","",IF(INDEX(Dossiers!$F$4:$F$63,4)="","",INDEX(Dossiers!$F$4:$F$63,4)))</f>
        <v/>
      </c>
      <c r="U202">
        <f>IF($O202="","",IF(INDEX(Dossiers!$G$4:$G$63,4)="","",INDEX(Dossiers!$G$4:$G$63,4)))</f>
        <v/>
      </c>
      <c r="V202">
        <f>IF(OR($O202="",NOT(ISNUMBER($Q202))),"",$Q202*1000000+202)</f>
        <v/>
      </c>
      <c r="W202" s="29">
        <f>IF($B202="","",IFERROR(INDEX($U$4:$U$3183,MATCH(SMALL($V$4:$V$3183,199),$V$4:$V$3183,0)),""))</f>
        <v/>
      </c>
    </row>
    <row r="203">
      <c r="A203">
        <f>IFERROR(INDEX($N$4:$N$3183,MATCH(SMALL($V$4:$V$3183,200),$V$4:$V$3183,0)),"")</f>
        <v/>
      </c>
      <c r="B203">
        <f>IFERROR(INDEX($O$4:$O$3183,MATCH(SMALL($V$4:$V$3183,200),$V$4:$V$3183,0)),"")</f>
        <v/>
      </c>
      <c r="C203">
        <f>IFERROR(INDEX($P$4:$P$3183,MATCH(SMALL($V$4:$V$3183,200),$V$4:$V$3183,0)),"")</f>
        <v/>
      </c>
      <c r="D203" s="29">
        <f>IFERROR(INDEX($Q$4:$Q$3183,MATCH(SMALL($V$4:$V$3183,200),$V$4:$V$3183,0)),"")</f>
        <v/>
      </c>
      <c r="E203" s="29">
        <f>IFERROR(INDEX($R$4:$R$3183,MATCH(SMALL($V$4:$V$3183,200),$V$4:$V$3183,0)),"")</f>
        <v/>
      </c>
      <c r="F203">
        <f>IFERROR(INDEX($S$4:$S$3183,MATCH(SMALL($V$4:$V$3183,200),$V$4:$V$3183,0)),"")</f>
        <v/>
      </c>
      <c r="I203" s="29">
        <f>IF($B203="","",IFERROR(INDEX($U$4:$U$3183,MATCH(SMALL($V$4:$V$3183,200),$V$4:$V$3183,0)),""))</f>
        <v/>
      </c>
      <c r="J203">
        <f>IF($B203="","",IF($D203&gt;$F$2,"À venir",IF($E203&lt;$D$2,"Passé","Dans la période")))</f>
        <v/>
      </c>
      <c r="K203">
        <f>IF(OR($B203="",NOT(ISNUMBER($D203))),"",IF(AND($E203&lt;$D$2,$G203&lt;&gt;"X",$F203&lt;&gt;"Réalisé",$F203&lt;&gt;"Clôturé"),"RETARD",""))</f>
        <v/>
      </c>
      <c r="L203">
        <f>IF(OR($B203="",NOT(ISNUMBER($D203))),"",IF(AND($D203&gt;=$D$2,$D203&lt;=$H$2,$G203&lt;&gt;"X",$F203&lt;&gt;"Réalisé",$F203&lt;&gt;"Clôturé"),"≤ 7 j",""))</f>
        <v/>
      </c>
      <c r="M203" s="29">
        <f>IF($B203="","",IFERROR(INDEX($T$4:$T$3183,MATCH(SMALL($V$4:$V$3183,200),$V$4:$V$3183,0)),""))</f>
        <v/>
      </c>
      <c r="O203">
        <f>IF(INDEX(Suivi!$B:$B,207)="","",INDEX(Suivi!$B:$B,207))</f>
        <v/>
      </c>
      <c r="P203">
        <f>IF($O203="","",IF(INDEX(Suivi!$D:$D,207)="",INDEX(Suivi!$C:$C,207),INDEX(Suivi!$D:$D,207)))</f>
        <v/>
      </c>
      <c r="Q203">
        <f>IF($O203="","",INDEX(Suivi!$E:$E,207))</f>
        <v/>
      </c>
      <c r="R203">
        <f>IF($O203="","",INDEX(Suivi!$F:$F,207))</f>
        <v/>
      </c>
      <c r="S203">
        <f>IF($O203="","",INDEX(Suivi!$G:$G,207))</f>
        <v/>
      </c>
      <c r="T203">
        <f>IF($O203="","",IF(INDEX(Dossiers!$F$4:$F$63,4)="","",INDEX(Dossiers!$F$4:$F$63,4)))</f>
        <v/>
      </c>
      <c r="U203">
        <f>IF($O203="","",IF(INDEX(Dossiers!$G$4:$G$63,4)="","",INDEX(Dossiers!$G$4:$G$63,4)))</f>
        <v/>
      </c>
      <c r="V203">
        <f>IF(OR($O203="",NOT(ISNUMBER($Q203))),"",$Q203*1000000+203)</f>
        <v/>
      </c>
      <c r="W203" s="29">
        <f>IF($B203="","",IFERROR(INDEX($U$4:$U$3183,MATCH(SMALL($V$4:$V$3183,200),$V$4:$V$3183,0)),""))</f>
        <v/>
      </c>
    </row>
    <row r="204">
      <c r="A204">
        <f>IFERROR(INDEX($N$4:$N$3183,MATCH(SMALL($V$4:$V$3183,201),$V$4:$V$3183,0)),"")</f>
        <v/>
      </c>
      <c r="B204">
        <f>IFERROR(INDEX($O$4:$O$3183,MATCH(SMALL($V$4:$V$3183,201),$V$4:$V$3183,0)),"")</f>
        <v/>
      </c>
      <c r="C204">
        <f>IFERROR(INDEX($P$4:$P$3183,MATCH(SMALL($V$4:$V$3183,201),$V$4:$V$3183,0)),"")</f>
        <v/>
      </c>
      <c r="D204" s="29">
        <f>IFERROR(INDEX($Q$4:$Q$3183,MATCH(SMALL($V$4:$V$3183,201),$V$4:$V$3183,0)),"")</f>
        <v/>
      </c>
      <c r="E204" s="29">
        <f>IFERROR(INDEX($R$4:$R$3183,MATCH(SMALL($V$4:$V$3183,201),$V$4:$V$3183,0)),"")</f>
        <v/>
      </c>
      <c r="F204">
        <f>IFERROR(INDEX($S$4:$S$3183,MATCH(SMALL($V$4:$V$3183,201),$V$4:$V$3183,0)),"")</f>
        <v/>
      </c>
      <c r="I204" s="29">
        <f>IF($B204="","",IFERROR(INDEX($U$4:$U$3183,MATCH(SMALL($V$4:$V$3183,201),$V$4:$V$3183,0)),""))</f>
        <v/>
      </c>
      <c r="J204">
        <f>IF($B204="","",IF($D204&gt;$F$2,"À venir",IF($E204&lt;$D$2,"Passé","Dans la période")))</f>
        <v/>
      </c>
      <c r="K204">
        <f>IF(OR($B204="",NOT(ISNUMBER($D204))),"",IF(AND($E204&lt;$D$2,$G204&lt;&gt;"X",$F204&lt;&gt;"Réalisé",$F204&lt;&gt;"Clôturé"),"RETARD",""))</f>
        <v/>
      </c>
      <c r="L204">
        <f>IF(OR($B204="",NOT(ISNUMBER($D204))),"",IF(AND($D204&gt;=$D$2,$D204&lt;=$H$2,$G204&lt;&gt;"X",$F204&lt;&gt;"Réalisé",$F204&lt;&gt;"Clôturé"),"≤ 7 j",""))</f>
        <v/>
      </c>
      <c r="M204" s="29">
        <f>IF($B204="","",IFERROR(INDEX($T$4:$T$3183,MATCH(SMALL($V$4:$V$3183,201),$V$4:$V$3183,0)),""))</f>
        <v/>
      </c>
      <c r="O204">
        <f>IF(INDEX(Suivi!$B:$B,208)="","",INDEX(Suivi!$B:$B,208))</f>
        <v/>
      </c>
      <c r="P204">
        <f>IF($O204="","",IF(INDEX(Suivi!$D:$D,208)="",INDEX(Suivi!$C:$C,208),INDEX(Suivi!$D:$D,208)))</f>
        <v/>
      </c>
      <c r="Q204">
        <f>IF($O204="","",INDEX(Suivi!$E:$E,208))</f>
        <v/>
      </c>
      <c r="R204">
        <f>IF($O204="","",INDEX(Suivi!$F:$F,208))</f>
        <v/>
      </c>
      <c r="S204">
        <f>IF($O204="","",INDEX(Suivi!$G:$G,208))</f>
        <v/>
      </c>
      <c r="T204">
        <f>IF($O204="","",IF(INDEX(Dossiers!$F$4:$F$63,4)="","",INDEX(Dossiers!$F$4:$F$63,4)))</f>
        <v/>
      </c>
      <c r="U204">
        <f>IF($O204="","",IF(INDEX(Dossiers!$G$4:$G$63,4)="","",INDEX(Dossiers!$G$4:$G$63,4)))</f>
        <v/>
      </c>
      <c r="V204">
        <f>IF(OR($O204="",NOT(ISNUMBER($Q204))),"",$Q204*1000000+204)</f>
        <v/>
      </c>
      <c r="W204" s="29">
        <f>IF($B204="","",IFERROR(INDEX($U$4:$U$3183,MATCH(SMALL($V$4:$V$3183,201),$V$4:$V$3183,0)),""))</f>
        <v/>
      </c>
    </row>
    <row r="205">
      <c r="A205">
        <f>IFERROR(INDEX($N$4:$N$3183,MATCH(SMALL($V$4:$V$3183,202),$V$4:$V$3183,0)),"")</f>
        <v/>
      </c>
      <c r="B205">
        <f>IFERROR(INDEX($O$4:$O$3183,MATCH(SMALL($V$4:$V$3183,202),$V$4:$V$3183,0)),"")</f>
        <v/>
      </c>
      <c r="C205">
        <f>IFERROR(INDEX($P$4:$P$3183,MATCH(SMALL($V$4:$V$3183,202),$V$4:$V$3183,0)),"")</f>
        <v/>
      </c>
      <c r="D205" s="29">
        <f>IFERROR(INDEX($Q$4:$Q$3183,MATCH(SMALL($V$4:$V$3183,202),$V$4:$V$3183,0)),"")</f>
        <v/>
      </c>
      <c r="E205" s="29">
        <f>IFERROR(INDEX($R$4:$R$3183,MATCH(SMALL($V$4:$V$3183,202),$V$4:$V$3183,0)),"")</f>
        <v/>
      </c>
      <c r="F205">
        <f>IFERROR(INDEX($S$4:$S$3183,MATCH(SMALL($V$4:$V$3183,202),$V$4:$V$3183,0)),"")</f>
        <v/>
      </c>
      <c r="I205" s="29">
        <f>IF($B205="","",IFERROR(INDEX($U$4:$U$3183,MATCH(SMALL($V$4:$V$3183,202),$V$4:$V$3183,0)),""))</f>
        <v/>
      </c>
      <c r="J205">
        <f>IF($B205="","",IF($D205&gt;$F$2,"À venir",IF($E205&lt;$D$2,"Passé","Dans la période")))</f>
        <v/>
      </c>
      <c r="K205">
        <f>IF(OR($B205="",NOT(ISNUMBER($D205))),"",IF(AND($E205&lt;$D$2,$G205&lt;&gt;"X",$F205&lt;&gt;"Réalisé",$F205&lt;&gt;"Clôturé"),"RETARD",""))</f>
        <v/>
      </c>
      <c r="L205">
        <f>IF(OR($B205="",NOT(ISNUMBER($D205))),"",IF(AND($D205&gt;=$D$2,$D205&lt;=$H$2,$G205&lt;&gt;"X",$F205&lt;&gt;"Réalisé",$F205&lt;&gt;"Clôturé"),"≤ 7 j",""))</f>
        <v/>
      </c>
      <c r="M205" s="29">
        <f>IF($B205="","",IFERROR(INDEX($T$4:$T$3183,MATCH(SMALL($V$4:$V$3183,202),$V$4:$V$3183,0)),""))</f>
        <v/>
      </c>
      <c r="O205">
        <f>IF(INDEX(Suivi!$B:$B,209)="","",INDEX(Suivi!$B:$B,209))</f>
        <v/>
      </c>
      <c r="P205">
        <f>IF($O205="","",IF(INDEX(Suivi!$D:$D,209)="",INDEX(Suivi!$C:$C,209),INDEX(Suivi!$D:$D,209)))</f>
        <v/>
      </c>
      <c r="Q205">
        <f>IF($O205="","",INDEX(Suivi!$E:$E,209))</f>
        <v/>
      </c>
      <c r="R205">
        <f>IF($O205="","",INDEX(Suivi!$F:$F,209))</f>
        <v/>
      </c>
      <c r="S205">
        <f>IF($O205="","",INDEX(Suivi!$G:$G,209))</f>
        <v/>
      </c>
      <c r="T205">
        <f>IF($O205="","",IF(INDEX(Dossiers!$F$4:$F$63,4)="","",INDEX(Dossiers!$F$4:$F$63,4)))</f>
        <v/>
      </c>
      <c r="U205">
        <f>IF($O205="","",IF(INDEX(Dossiers!$G$4:$G$63,4)="","",INDEX(Dossiers!$G$4:$G$63,4)))</f>
        <v/>
      </c>
      <c r="V205">
        <f>IF(OR($O205="",NOT(ISNUMBER($Q205))),"",$Q205*1000000+205)</f>
        <v/>
      </c>
      <c r="W205" s="29">
        <f>IF($B205="","",IFERROR(INDEX($U$4:$U$3183,MATCH(SMALL($V$4:$V$3183,202),$V$4:$V$3183,0)),""))</f>
        <v/>
      </c>
    </row>
    <row r="206">
      <c r="A206">
        <f>IFERROR(INDEX($N$4:$N$3183,MATCH(SMALL($V$4:$V$3183,203),$V$4:$V$3183,0)),"")</f>
        <v/>
      </c>
      <c r="B206">
        <f>IFERROR(INDEX($O$4:$O$3183,MATCH(SMALL($V$4:$V$3183,203),$V$4:$V$3183,0)),"")</f>
        <v/>
      </c>
      <c r="C206">
        <f>IFERROR(INDEX($P$4:$P$3183,MATCH(SMALL($V$4:$V$3183,203),$V$4:$V$3183,0)),"")</f>
        <v/>
      </c>
      <c r="D206" s="29">
        <f>IFERROR(INDEX($Q$4:$Q$3183,MATCH(SMALL($V$4:$V$3183,203),$V$4:$V$3183,0)),"")</f>
        <v/>
      </c>
      <c r="E206" s="29">
        <f>IFERROR(INDEX($R$4:$R$3183,MATCH(SMALL($V$4:$V$3183,203),$V$4:$V$3183,0)),"")</f>
        <v/>
      </c>
      <c r="F206">
        <f>IFERROR(INDEX($S$4:$S$3183,MATCH(SMALL($V$4:$V$3183,203),$V$4:$V$3183,0)),"")</f>
        <v/>
      </c>
      <c r="I206" s="29">
        <f>IF($B206="","",IFERROR(INDEX($U$4:$U$3183,MATCH(SMALL($V$4:$V$3183,203),$V$4:$V$3183,0)),""))</f>
        <v/>
      </c>
      <c r="J206">
        <f>IF($B206="","",IF($D206&gt;$F$2,"À venir",IF($E206&lt;$D$2,"Passé","Dans la période")))</f>
        <v/>
      </c>
      <c r="K206">
        <f>IF(OR($B206="",NOT(ISNUMBER($D206))),"",IF(AND($E206&lt;$D$2,$G206&lt;&gt;"X",$F206&lt;&gt;"Réalisé",$F206&lt;&gt;"Clôturé"),"RETARD",""))</f>
        <v/>
      </c>
      <c r="L206">
        <f>IF(OR($B206="",NOT(ISNUMBER($D206))),"",IF(AND($D206&gt;=$D$2,$D206&lt;=$H$2,$G206&lt;&gt;"X",$F206&lt;&gt;"Réalisé",$F206&lt;&gt;"Clôturé"),"≤ 7 j",""))</f>
        <v/>
      </c>
      <c r="M206" s="29">
        <f>IF($B206="","",IFERROR(INDEX($T$4:$T$3183,MATCH(SMALL($V$4:$V$3183,203),$V$4:$V$3183,0)),""))</f>
        <v/>
      </c>
      <c r="O206">
        <f>IF(INDEX(Suivi!$B:$B,210)="","",INDEX(Suivi!$B:$B,210))</f>
        <v/>
      </c>
      <c r="P206">
        <f>IF($O206="","",IF(INDEX(Suivi!$D:$D,210)="",INDEX(Suivi!$C:$C,210),INDEX(Suivi!$D:$D,210)))</f>
        <v/>
      </c>
      <c r="Q206">
        <f>IF($O206="","",INDEX(Suivi!$E:$E,210))</f>
        <v/>
      </c>
      <c r="R206">
        <f>IF($O206="","",INDEX(Suivi!$F:$F,210))</f>
        <v/>
      </c>
      <c r="S206">
        <f>IF($O206="","",INDEX(Suivi!$G:$G,210))</f>
        <v/>
      </c>
      <c r="T206">
        <f>IF($O206="","",IF(INDEX(Dossiers!$F$4:$F$63,4)="","",INDEX(Dossiers!$F$4:$F$63,4)))</f>
        <v/>
      </c>
      <c r="U206">
        <f>IF($O206="","",IF(INDEX(Dossiers!$G$4:$G$63,4)="","",INDEX(Dossiers!$G$4:$G$63,4)))</f>
        <v/>
      </c>
      <c r="V206">
        <f>IF(OR($O206="",NOT(ISNUMBER($Q206))),"",$Q206*1000000+206)</f>
        <v/>
      </c>
      <c r="W206" s="29">
        <f>IF($B206="","",IFERROR(INDEX($U$4:$U$3183,MATCH(SMALL($V$4:$V$3183,203),$V$4:$V$3183,0)),""))</f>
        <v/>
      </c>
    </row>
    <row r="207">
      <c r="A207">
        <f>IFERROR(INDEX($N$4:$N$3183,MATCH(SMALL($V$4:$V$3183,204),$V$4:$V$3183,0)),"")</f>
        <v/>
      </c>
      <c r="B207">
        <f>IFERROR(INDEX($O$4:$O$3183,MATCH(SMALL($V$4:$V$3183,204),$V$4:$V$3183,0)),"")</f>
        <v/>
      </c>
      <c r="C207">
        <f>IFERROR(INDEX($P$4:$P$3183,MATCH(SMALL($V$4:$V$3183,204),$V$4:$V$3183,0)),"")</f>
        <v/>
      </c>
      <c r="D207" s="29">
        <f>IFERROR(INDEX($Q$4:$Q$3183,MATCH(SMALL($V$4:$V$3183,204),$V$4:$V$3183,0)),"")</f>
        <v/>
      </c>
      <c r="E207" s="29">
        <f>IFERROR(INDEX($R$4:$R$3183,MATCH(SMALL($V$4:$V$3183,204),$V$4:$V$3183,0)),"")</f>
        <v/>
      </c>
      <c r="F207">
        <f>IFERROR(INDEX($S$4:$S$3183,MATCH(SMALL($V$4:$V$3183,204),$V$4:$V$3183,0)),"")</f>
        <v/>
      </c>
      <c r="I207" s="29">
        <f>IF($B207="","",IFERROR(INDEX($U$4:$U$3183,MATCH(SMALL($V$4:$V$3183,204),$V$4:$V$3183,0)),""))</f>
        <v/>
      </c>
      <c r="J207">
        <f>IF($B207="","",IF($D207&gt;$F$2,"À venir",IF($E207&lt;$D$2,"Passé","Dans la période")))</f>
        <v/>
      </c>
      <c r="K207">
        <f>IF(OR($B207="",NOT(ISNUMBER($D207))),"",IF(AND($E207&lt;$D$2,$G207&lt;&gt;"X",$F207&lt;&gt;"Réalisé",$F207&lt;&gt;"Clôturé"),"RETARD",""))</f>
        <v/>
      </c>
      <c r="L207">
        <f>IF(OR($B207="",NOT(ISNUMBER($D207))),"",IF(AND($D207&gt;=$D$2,$D207&lt;=$H$2,$G207&lt;&gt;"X",$F207&lt;&gt;"Réalisé",$F207&lt;&gt;"Clôturé"),"≤ 7 j",""))</f>
        <v/>
      </c>
      <c r="M207" s="29">
        <f>IF($B207="","",IFERROR(INDEX($T$4:$T$3183,MATCH(SMALL($V$4:$V$3183,204),$V$4:$V$3183,0)),""))</f>
        <v/>
      </c>
      <c r="O207">
        <f>IF(INDEX(Suivi!$B:$B,211)="","",INDEX(Suivi!$B:$B,211))</f>
        <v/>
      </c>
      <c r="P207">
        <f>IF($O207="","",IF(INDEX(Suivi!$D:$D,211)="",INDEX(Suivi!$C:$C,211),INDEX(Suivi!$D:$D,211)))</f>
        <v/>
      </c>
      <c r="Q207">
        <f>IF($O207="","",INDEX(Suivi!$E:$E,211))</f>
        <v/>
      </c>
      <c r="R207">
        <f>IF($O207="","",INDEX(Suivi!$F:$F,211))</f>
        <v/>
      </c>
      <c r="S207">
        <f>IF($O207="","",INDEX(Suivi!$G:$G,211))</f>
        <v/>
      </c>
      <c r="T207">
        <f>IF($O207="","",IF(INDEX(Dossiers!$F$4:$F$63,4)="","",INDEX(Dossiers!$F$4:$F$63,4)))</f>
        <v/>
      </c>
      <c r="U207">
        <f>IF($O207="","",IF(INDEX(Dossiers!$G$4:$G$63,4)="","",INDEX(Dossiers!$G$4:$G$63,4)))</f>
        <v/>
      </c>
      <c r="V207">
        <f>IF(OR($O207="",NOT(ISNUMBER($Q207))),"",$Q207*1000000+207)</f>
        <v/>
      </c>
      <c r="W207" s="29">
        <f>IF($B207="","",IFERROR(INDEX($U$4:$U$3183,MATCH(SMALL($V$4:$V$3183,204),$V$4:$V$3183,0)),""))</f>
        <v/>
      </c>
    </row>
    <row r="208">
      <c r="A208">
        <f>IFERROR(INDEX($N$4:$N$3183,MATCH(SMALL($V$4:$V$3183,205),$V$4:$V$3183,0)),"")</f>
        <v/>
      </c>
      <c r="B208">
        <f>IFERROR(INDEX($O$4:$O$3183,MATCH(SMALL($V$4:$V$3183,205),$V$4:$V$3183,0)),"")</f>
        <v/>
      </c>
      <c r="C208">
        <f>IFERROR(INDEX($P$4:$P$3183,MATCH(SMALL($V$4:$V$3183,205),$V$4:$V$3183,0)),"")</f>
        <v/>
      </c>
      <c r="D208" s="29">
        <f>IFERROR(INDEX($Q$4:$Q$3183,MATCH(SMALL($V$4:$V$3183,205),$V$4:$V$3183,0)),"")</f>
        <v/>
      </c>
      <c r="E208" s="29">
        <f>IFERROR(INDEX($R$4:$R$3183,MATCH(SMALL($V$4:$V$3183,205),$V$4:$V$3183,0)),"")</f>
        <v/>
      </c>
      <c r="F208">
        <f>IFERROR(INDEX($S$4:$S$3183,MATCH(SMALL($V$4:$V$3183,205),$V$4:$V$3183,0)),"")</f>
        <v/>
      </c>
      <c r="I208" s="29">
        <f>IF($B208="","",IFERROR(INDEX($U$4:$U$3183,MATCH(SMALL($V$4:$V$3183,205),$V$4:$V$3183,0)),""))</f>
        <v/>
      </c>
      <c r="J208">
        <f>IF($B208="","",IF($D208&gt;$F$2,"À venir",IF($E208&lt;$D$2,"Passé","Dans la période")))</f>
        <v/>
      </c>
      <c r="K208">
        <f>IF(OR($B208="",NOT(ISNUMBER($D208))),"",IF(AND($E208&lt;$D$2,$G208&lt;&gt;"X",$F208&lt;&gt;"Réalisé",$F208&lt;&gt;"Clôturé"),"RETARD",""))</f>
        <v/>
      </c>
      <c r="L208">
        <f>IF(OR($B208="",NOT(ISNUMBER($D208))),"",IF(AND($D208&gt;=$D$2,$D208&lt;=$H$2,$G208&lt;&gt;"X",$F208&lt;&gt;"Réalisé",$F208&lt;&gt;"Clôturé"),"≤ 7 j",""))</f>
        <v/>
      </c>
      <c r="M208" s="29">
        <f>IF($B208="","",IFERROR(INDEX($T$4:$T$3183,MATCH(SMALL($V$4:$V$3183,205),$V$4:$V$3183,0)),""))</f>
        <v/>
      </c>
      <c r="O208">
        <f>IF(INDEX(Suivi!$B:$B,212)="","",INDEX(Suivi!$B:$B,212))</f>
        <v/>
      </c>
      <c r="P208">
        <f>IF($O208="","",IF(INDEX(Suivi!$D:$D,212)="",INDEX(Suivi!$C:$C,212),INDEX(Suivi!$D:$D,212)))</f>
        <v/>
      </c>
      <c r="Q208">
        <f>IF($O208="","",INDEX(Suivi!$E:$E,212))</f>
        <v/>
      </c>
      <c r="R208">
        <f>IF($O208="","",INDEX(Suivi!$F:$F,212))</f>
        <v/>
      </c>
      <c r="S208">
        <f>IF($O208="","",INDEX(Suivi!$G:$G,212))</f>
        <v/>
      </c>
      <c r="T208">
        <f>IF($O208="","",IF(INDEX(Dossiers!$F$4:$F$63,4)="","",INDEX(Dossiers!$F$4:$F$63,4)))</f>
        <v/>
      </c>
      <c r="U208">
        <f>IF($O208="","",IF(INDEX(Dossiers!$G$4:$G$63,4)="","",INDEX(Dossiers!$G$4:$G$63,4)))</f>
        <v/>
      </c>
      <c r="V208">
        <f>IF(OR($O208="",NOT(ISNUMBER($Q208))),"",$Q208*1000000+208)</f>
        <v/>
      </c>
      <c r="W208" s="29">
        <f>IF($B208="","",IFERROR(INDEX($U$4:$U$3183,MATCH(SMALL($V$4:$V$3183,205),$V$4:$V$3183,0)),""))</f>
        <v/>
      </c>
    </row>
    <row r="209">
      <c r="A209">
        <f>IFERROR(INDEX($N$4:$N$3183,MATCH(SMALL($V$4:$V$3183,206),$V$4:$V$3183,0)),"")</f>
        <v/>
      </c>
      <c r="B209">
        <f>IFERROR(INDEX($O$4:$O$3183,MATCH(SMALL($V$4:$V$3183,206),$V$4:$V$3183,0)),"")</f>
        <v/>
      </c>
      <c r="C209">
        <f>IFERROR(INDEX($P$4:$P$3183,MATCH(SMALL($V$4:$V$3183,206),$V$4:$V$3183,0)),"")</f>
        <v/>
      </c>
      <c r="D209" s="29">
        <f>IFERROR(INDEX($Q$4:$Q$3183,MATCH(SMALL($V$4:$V$3183,206),$V$4:$V$3183,0)),"")</f>
        <v/>
      </c>
      <c r="E209" s="29">
        <f>IFERROR(INDEX($R$4:$R$3183,MATCH(SMALL($V$4:$V$3183,206),$V$4:$V$3183,0)),"")</f>
        <v/>
      </c>
      <c r="F209">
        <f>IFERROR(INDEX($S$4:$S$3183,MATCH(SMALL($V$4:$V$3183,206),$V$4:$V$3183,0)),"")</f>
        <v/>
      </c>
      <c r="I209" s="29">
        <f>IF($B209="","",IFERROR(INDEX($U$4:$U$3183,MATCH(SMALL($V$4:$V$3183,206),$V$4:$V$3183,0)),""))</f>
        <v/>
      </c>
      <c r="J209">
        <f>IF($B209="","",IF($D209&gt;$F$2,"À venir",IF($E209&lt;$D$2,"Passé","Dans la période")))</f>
        <v/>
      </c>
      <c r="K209">
        <f>IF(OR($B209="",NOT(ISNUMBER($D209))),"",IF(AND($E209&lt;$D$2,$G209&lt;&gt;"X",$F209&lt;&gt;"Réalisé",$F209&lt;&gt;"Clôturé"),"RETARD",""))</f>
        <v/>
      </c>
      <c r="L209">
        <f>IF(OR($B209="",NOT(ISNUMBER($D209))),"",IF(AND($D209&gt;=$D$2,$D209&lt;=$H$2,$G209&lt;&gt;"X",$F209&lt;&gt;"Réalisé",$F209&lt;&gt;"Clôturé"),"≤ 7 j",""))</f>
        <v/>
      </c>
      <c r="M209" s="29">
        <f>IF($B209="","",IFERROR(INDEX($T$4:$T$3183,MATCH(SMALL($V$4:$V$3183,206),$V$4:$V$3183,0)),""))</f>
        <v/>
      </c>
      <c r="O209">
        <f>IF(INDEX(Suivi!$B:$B,213)="","",INDEX(Suivi!$B:$B,213))</f>
        <v/>
      </c>
      <c r="P209">
        <f>IF($O209="","",IF(INDEX(Suivi!$D:$D,213)="",INDEX(Suivi!$C:$C,213),INDEX(Suivi!$D:$D,213)))</f>
        <v/>
      </c>
      <c r="Q209">
        <f>IF($O209="","",INDEX(Suivi!$E:$E,213))</f>
        <v/>
      </c>
      <c r="R209">
        <f>IF($O209="","",INDEX(Suivi!$F:$F,213))</f>
        <v/>
      </c>
      <c r="S209">
        <f>IF($O209="","",INDEX(Suivi!$G:$G,213))</f>
        <v/>
      </c>
      <c r="T209">
        <f>IF($O209="","",IF(INDEX(Dossiers!$F$4:$F$63,4)="","",INDEX(Dossiers!$F$4:$F$63,4)))</f>
        <v/>
      </c>
      <c r="U209">
        <f>IF($O209="","",IF(INDEX(Dossiers!$G$4:$G$63,4)="","",INDEX(Dossiers!$G$4:$G$63,4)))</f>
        <v/>
      </c>
      <c r="V209">
        <f>IF(OR($O209="",NOT(ISNUMBER($Q209))),"",$Q209*1000000+209)</f>
        <v/>
      </c>
      <c r="W209" s="29">
        <f>IF($B209="","",IFERROR(INDEX($U$4:$U$3183,MATCH(SMALL($V$4:$V$3183,206),$V$4:$V$3183,0)),""))</f>
        <v/>
      </c>
    </row>
    <row r="210">
      <c r="A210">
        <f>IFERROR(INDEX($N$4:$N$3183,MATCH(SMALL($V$4:$V$3183,207),$V$4:$V$3183,0)),"")</f>
        <v/>
      </c>
      <c r="B210">
        <f>IFERROR(INDEX($O$4:$O$3183,MATCH(SMALL($V$4:$V$3183,207),$V$4:$V$3183,0)),"")</f>
        <v/>
      </c>
      <c r="C210">
        <f>IFERROR(INDEX($P$4:$P$3183,MATCH(SMALL($V$4:$V$3183,207),$V$4:$V$3183,0)),"")</f>
        <v/>
      </c>
      <c r="D210" s="29">
        <f>IFERROR(INDEX($Q$4:$Q$3183,MATCH(SMALL($V$4:$V$3183,207),$V$4:$V$3183,0)),"")</f>
        <v/>
      </c>
      <c r="E210" s="29">
        <f>IFERROR(INDEX($R$4:$R$3183,MATCH(SMALL($V$4:$V$3183,207),$V$4:$V$3183,0)),"")</f>
        <v/>
      </c>
      <c r="F210">
        <f>IFERROR(INDEX($S$4:$S$3183,MATCH(SMALL($V$4:$V$3183,207),$V$4:$V$3183,0)),"")</f>
        <v/>
      </c>
      <c r="I210" s="29">
        <f>IF($B210="","",IFERROR(INDEX($U$4:$U$3183,MATCH(SMALL($V$4:$V$3183,207),$V$4:$V$3183,0)),""))</f>
        <v/>
      </c>
      <c r="J210">
        <f>IF($B210="","",IF($D210&gt;$F$2,"À venir",IF($E210&lt;$D$2,"Passé","Dans la période")))</f>
        <v/>
      </c>
      <c r="K210">
        <f>IF(OR($B210="",NOT(ISNUMBER($D210))),"",IF(AND($E210&lt;$D$2,$G210&lt;&gt;"X",$F210&lt;&gt;"Réalisé",$F210&lt;&gt;"Clôturé"),"RETARD",""))</f>
        <v/>
      </c>
      <c r="L210">
        <f>IF(OR($B210="",NOT(ISNUMBER($D210))),"",IF(AND($D210&gt;=$D$2,$D210&lt;=$H$2,$G210&lt;&gt;"X",$F210&lt;&gt;"Réalisé",$F210&lt;&gt;"Clôturé"),"≤ 7 j",""))</f>
        <v/>
      </c>
      <c r="M210" s="29">
        <f>IF($B210="","",IFERROR(INDEX($T$4:$T$3183,MATCH(SMALL($V$4:$V$3183,207),$V$4:$V$3183,0)),""))</f>
        <v/>
      </c>
      <c r="O210">
        <f>IF(INDEX(Suivi!$B:$B,214)="","",INDEX(Suivi!$B:$B,214))</f>
        <v/>
      </c>
      <c r="P210">
        <f>IF($O210="","",IF(INDEX(Suivi!$D:$D,214)="",INDEX(Suivi!$C:$C,214),INDEX(Suivi!$D:$D,214)))</f>
        <v/>
      </c>
      <c r="Q210">
        <f>IF($O210="","",INDEX(Suivi!$E:$E,214))</f>
        <v/>
      </c>
      <c r="R210">
        <f>IF($O210="","",INDEX(Suivi!$F:$F,214))</f>
        <v/>
      </c>
      <c r="S210">
        <f>IF($O210="","",INDEX(Suivi!$G:$G,214))</f>
        <v/>
      </c>
      <c r="T210">
        <f>IF($O210="","",IF(INDEX(Dossiers!$F$4:$F$63,4)="","",INDEX(Dossiers!$F$4:$F$63,4)))</f>
        <v/>
      </c>
      <c r="U210">
        <f>IF($O210="","",IF(INDEX(Dossiers!$G$4:$G$63,4)="","",INDEX(Dossiers!$G$4:$G$63,4)))</f>
        <v/>
      </c>
      <c r="V210">
        <f>IF(OR($O210="",NOT(ISNUMBER($Q210))),"",$Q210*1000000+210)</f>
        <v/>
      </c>
      <c r="W210" s="29">
        <f>IF($B210="","",IFERROR(INDEX($U$4:$U$3183,MATCH(SMALL($V$4:$V$3183,207),$V$4:$V$3183,0)),""))</f>
        <v/>
      </c>
    </row>
    <row r="211">
      <c r="A211">
        <f>IFERROR(INDEX($N$4:$N$3183,MATCH(SMALL($V$4:$V$3183,208),$V$4:$V$3183,0)),"")</f>
        <v/>
      </c>
      <c r="B211">
        <f>IFERROR(INDEX($O$4:$O$3183,MATCH(SMALL($V$4:$V$3183,208),$V$4:$V$3183,0)),"")</f>
        <v/>
      </c>
      <c r="C211">
        <f>IFERROR(INDEX($P$4:$P$3183,MATCH(SMALL($V$4:$V$3183,208),$V$4:$V$3183,0)),"")</f>
        <v/>
      </c>
      <c r="D211" s="29">
        <f>IFERROR(INDEX($Q$4:$Q$3183,MATCH(SMALL($V$4:$V$3183,208),$V$4:$V$3183,0)),"")</f>
        <v/>
      </c>
      <c r="E211" s="29">
        <f>IFERROR(INDEX($R$4:$R$3183,MATCH(SMALL($V$4:$V$3183,208),$V$4:$V$3183,0)),"")</f>
        <v/>
      </c>
      <c r="F211">
        <f>IFERROR(INDEX($S$4:$S$3183,MATCH(SMALL($V$4:$V$3183,208),$V$4:$V$3183,0)),"")</f>
        <v/>
      </c>
      <c r="I211" s="29">
        <f>IF($B211="","",IFERROR(INDEX($U$4:$U$3183,MATCH(SMALL($V$4:$V$3183,208),$V$4:$V$3183,0)),""))</f>
        <v/>
      </c>
      <c r="J211">
        <f>IF($B211="","",IF($D211&gt;$F$2,"À venir",IF($E211&lt;$D$2,"Passé","Dans la période")))</f>
        <v/>
      </c>
      <c r="K211">
        <f>IF(OR($B211="",NOT(ISNUMBER($D211))),"",IF(AND($E211&lt;$D$2,$G211&lt;&gt;"X",$F211&lt;&gt;"Réalisé",$F211&lt;&gt;"Clôturé"),"RETARD",""))</f>
        <v/>
      </c>
      <c r="L211">
        <f>IF(OR($B211="",NOT(ISNUMBER($D211))),"",IF(AND($D211&gt;=$D$2,$D211&lt;=$H$2,$G211&lt;&gt;"X",$F211&lt;&gt;"Réalisé",$F211&lt;&gt;"Clôturé"),"≤ 7 j",""))</f>
        <v/>
      </c>
      <c r="M211" s="29">
        <f>IF($B211="","",IFERROR(INDEX($T$4:$T$3183,MATCH(SMALL($V$4:$V$3183,208),$V$4:$V$3183,0)),""))</f>
        <v/>
      </c>
      <c r="O211">
        <f>IF(INDEX(Suivi!$B:$B,215)="","",INDEX(Suivi!$B:$B,215))</f>
        <v/>
      </c>
      <c r="P211">
        <f>IF($O211="","",IF(INDEX(Suivi!$D:$D,215)="",INDEX(Suivi!$C:$C,215),INDEX(Suivi!$D:$D,215)))</f>
        <v/>
      </c>
      <c r="Q211">
        <f>IF($O211="","",INDEX(Suivi!$E:$E,215))</f>
        <v/>
      </c>
      <c r="R211">
        <f>IF($O211="","",INDEX(Suivi!$F:$F,215))</f>
        <v/>
      </c>
      <c r="S211">
        <f>IF($O211="","",INDEX(Suivi!$G:$G,215))</f>
        <v/>
      </c>
      <c r="T211">
        <f>IF($O211="","",IF(INDEX(Dossiers!$F$4:$F$63,4)="","",INDEX(Dossiers!$F$4:$F$63,4)))</f>
        <v/>
      </c>
      <c r="U211">
        <f>IF($O211="","",IF(INDEX(Dossiers!$G$4:$G$63,4)="","",INDEX(Dossiers!$G$4:$G$63,4)))</f>
        <v/>
      </c>
      <c r="V211">
        <f>IF(OR($O211="",NOT(ISNUMBER($Q211))),"",$Q211*1000000+211)</f>
        <v/>
      </c>
      <c r="W211" s="29">
        <f>IF($B211="","",IFERROR(INDEX($U$4:$U$3183,MATCH(SMALL($V$4:$V$3183,208),$V$4:$V$3183,0)),""))</f>
        <v/>
      </c>
    </row>
    <row r="212">
      <c r="A212">
        <f>IFERROR(INDEX($N$4:$N$3183,MATCH(SMALL($V$4:$V$3183,209),$V$4:$V$3183,0)),"")</f>
        <v/>
      </c>
      <c r="B212">
        <f>IFERROR(INDEX($O$4:$O$3183,MATCH(SMALL($V$4:$V$3183,209),$V$4:$V$3183,0)),"")</f>
        <v/>
      </c>
      <c r="C212">
        <f>IFERROR(INDEX($P$4:$P$3183,MATCH(SMALL($V$4:$V$3183,209),$V$4:$V$3183,0)),"")</f>
        <v/>
      </c>
      <c r="D212" s="29">
        <f>IFERROR(INDEX($Q$4:$Q$3183,MATCH(SMALL($V$4:$V$3183,209),$V$4:$V$3183,0)),"")</f>
        <v/>
      </c>
      <c r="E212" s="29">
        <f>IFERROR(INDEX($R$4:$R$3183,MATCH(SMALL($V$4:$V$3183,209),$V$4:$V$3183,0)),"")</f>
        <v/>
      </c>
      <c r="F212">
        <f>IFERROR(INDEX($S$4:$S$3183,MATCH(SMALL($V$4:$V$3183,209),$V$4:$V$3183,0)),"")</f>
        <v/>
      </c>
      <c r="I212" s="29">
        <f>IF($B212="","",IFERROR(INDEX($U$4:$U$3183,MATCH(SMALL($V$4:$V$3183,209),$V$4:$V$3183,0)),""))</f>
        <v/>
      </c>
      <c r="J212">
        <f>IF($B212="","",IF($D212&gt;$F$2,"À venir",IF($E212&lt;$D$2,"Passé","Dans la période")))</f>
        <v/>
      </c>
      <c r="K212">
        <f>IF(OR($B212="",NOT(ISNUMBER($D212))),"",IF(AND($E212&lt;$D$2,$G212&lt;&gt;"X",$F212&lt;&gt;"Réalisé",$F212&lt;&gt;"Clôturé"),"RETARD",""))</f>
        <v/>
      </c>
      <c r="L212">
        <f>IF(OR($B212="",NOT(ISNUMBER($D212))),"",IF(AND($D212&gt;=$D$2,$D212&lt;=$H$2,$G212&lt;&gt;"X",$F212&lt;&gt;"Réalisé",$F212&lt;&gt;"Clôturé"),"≤ 7 j",""))</f>
        <v/>
      </c>
      <c r="M212" s="29">
        <f>IF($B212="","",IFERROR(INDEX($T$4:$T$3183,MATCH(SMALL($V$4:$V$3183,209),$V$4:$V$3183,0)),""))</f>
        <v/>
      </c>
      <c r="O212">
        <f>IF(INDEX(Suivi!$B:$B,216)="","",INDEX(Suivi!$B:$B,216))</f>
        <v/>
      </c>
      <c r="P212">
        <f>IF($O212="","",IF(INDEX(Suivi!$D:$D,216)="",INDEX(Suivi!$C:$C,216),INDEX(Suivi!$D:$D,216)))</f>
        <v/>
      </c>
      <c r="Q212">
        <f>IF($O212="","",INDEX(Suivi!$E:$E,216))</f>
        <v/>
      </c>
      <c r="R212">
        <f>IF($O212="","",INDEX(Suivi!$F:$F,216))</f>
        <v/>
      </c>
      <c r="S212">
        <f>IF($O212="","",INDEX(Suivi!$G:$G,216))</f>
        <v/>
      </c>
      <c r="T212">
        <f>IF($O212="","",IF(INDEX(Dossiers!$F$4:$F$63,4)="","",INDEX(Dossiers!$F$4:$F$63,4)))</f>
        <v/>
      </c>
      <c r="U212">
        <f>IF($O212="","",IF(INDEX(Dossiers!$G$4:$G$63,4)="","",INDEX(Dossiers!$G$4:$G$63,4)))</f>
        <v/>
      </c>
      <c r="V212">
        <f>IF(OR($O212="",NOT(ISNUMBER($Q212))),"",$Q212*1000000+212)</f>
        <v/>
      </c>
      <c r="W212" s="29">
        <f>IF($B212="","",IFERROR(INDEX($U$4:$U$3183,MATCH(SMALL($V$4:$V$3183,209),$V$4:$V$3183,0)),""))</f>
        <v/>
      </c>
    </row>
    <row r="213">
      <c r="A213">
        <f>IFERROR(INDEX($N$4:$N$3183,MATCH(SMALL($V$4:$V$3183,210),$V$4:$V$3183,0)),"")</f>
        <v/>
      </c>
      <c r="B213">
        <f>IFERROR(INDEX($O$4:$O$3183,MATCH(SMALL($V$4:$V$3183,210),$V$4:$V$3183,0)),"")</f>
        <v/>
      </c>
      <c r="C213">
        <f>IFERROR(INDEX($P$4:$P$3183,MATCH(SMALL($V$4:$V$3183,210),$V$4:$V$3183,0)),"")</f>
        <v/>
      </c>
      <c r="D213" s="29">
        <f>IFERROR(INDEX($Q$4:$Q$3183,MATCH(SMALL($V$4:$V$3183,210),$V$4:$V$3183,0)),"")</f>
        <v/>
      </c>
      <c r="E213" s="29">
        <f>IFERROR(INDEX($R$4:$R$3183,MATCH(SMALL($V$4:$V$3183,210),$V$4:$V$3183,0)),"")</f>
        <v/>
      </c>
      <c r="F213">
        <f>IFERROR(INDEX($S$4:$S$3183,MATCH(SMALL($V$4:$V$3183,210),$V$4:$V$3183,0)),"")</f>
        <v/>
      </c>
      <c r="I213" s="29">
        <f>IF($B213="","",IFERROR(INDEX($U$4:$U$3183,MATCH(SMALL($V$4:$V$3183,210),$V$4:$V$3183,0)),""))</f>
        <v/>
      </c>
      <c r="J213">
        <f>IF($B213="","",IF($D213&gt;$F$2,"À venir",IF($E213&lt;$D$2,"Passé","Dans la période")))</f>
        <v/>
      </c>
      <c r="K213">
        <f>IF(OR($B213="",NOT(ISNUMBER($D213))),"",IF(AND($E213&lt;$D$2,$G213&lt;&gt;"X",$F213&lt;&gt;"Réalisé",$F213&lt;&gt;"Clôturé"),"RETARD",""))</f>
        <v/>
      </c>
      <c r="L213">
        <f>IF(OR($B213="",NOT(ISNUMBER($D213))),"",IF(AND($D213&gt;=$D$2,$D213&lt;=$H$2,$G213&lt;&gt;"X",$F213&lt;&gt;"Réalisé",$F213&lt;&gt;"Clôturé"),"≤ 7 j",""))</f>
        <v/>
      </c>
      <c r="M213" s="29">
        <f>IF($B213="","",IFERROR(INDEX($T$4:$T$3183,MATCH(SMALL($V$4:$V$3183,210),$V$4:$V$3183,0)),""))</f>
        <v/>
      </c>
      <c r="O213">
        <f>IF(INDEX(Suivi!$B:$B,217)="","",INDEX(Suivi!$B:$B,217))</f>
        <v/>
      </c>
      <c r="P213">
        <f>IF($O213="","",IF(INDEX(Suivi!$D:$D,217)="",INDEX(Suivi!$C:$C,217),INDEX(Suivi!$D:$D,217)))</f>
        <v/>
      </c>
      <c r="Q213">
        <f>IF($O213="","",INDEX(Suivi!$E:$E,217))</f>
        <v/>
      </c>
      <c r="R213">
        <f>IF($O213="","",INDEX(Suivi!$F:$F,217))</f>
        <v/>
      </c>
      <c r="S213">
        <f>IF($O213="","",INDEX(Suivi!$G:$G,217))</f>
        <v/>
      </c>
      <c r="T213">
        <f>IF($O213="","",IF(INDEX(Dossiers!$F$4:$F$63,4)="","",INDEX(Dossiers!$F$4:$F$63,4)))</f>
        <v/>
      </c>
      <c r="U213">
        <f>IF($O213="","",IF(INDEX(Dossiers!$G$4:$G$63,4)="","",INDEX(Dossiers!$G$4:$G$63,4)))</f>
        <v/>
      </c>
      <c r="V213">
        <f>IF(OR($O213="",NOT(ISNUMBER($Q213))),"",$Q213*1000000+213)</f>
        <v/>
      </c>
      <c r="W213" s="29">
        <f>IF($B213="","",IFERROR(INDEX($U$4:$U$3183,MATCH(SMALL($V$4:$V$3183,210),$V$4:$V$3183,0)),""))</f>
        <v/>
      </c>
    </row>
    <row r="214">
      <c r="A214">
        <f>IFERROR(INDEX($N$4:$N$3183,MATCH(SMALL($V$4:$V$3183,211),$V$4:$V$3183,0)),"")</f>
        <v/>
      </c>
      <c r="B214">
        <f>IFERROR(INDEX($O$4:$O$3183,MATCH(SMALL($V$4:$V$3183,211),$V$4:$V$3183,0)),"")</f>
        <v/>
      </c>
      <c r="C214">
        <f>IFERROR(INDEX($P$4:$P$3183,MATCH(SMALL($V$4:$V$3183,211),$V$4:$V$3183,0)),"")</f>
        <v/>
      </c>
      <c r="D214" s="29">
        <f>IFERROR(INDEX($Q$4:$Q$3183,MATCH(SMALL($V$4:$V$3183,211),$V$4:$V$3183,0)),"")</f>
        <v/>
      </c>
      <c r="E214" s="29">
        <f>IFERROR(INDEX($R$4:$R$3183,MATCH(SMALL($V$4:$V$3183,211),$V$4:$V$3183,0)),"")</f>
        <v/>
      </c>
      <c r="F214">
        <f>IFERROR(INDEX($S$4:$S$3183,MATCH(SMALL($V$4:$V$3183,211),$V$4:$V$3183,0)),"")</f>
        <v/>
      </c>
      <c r="I214" s="29">
        <f>IF($B214="","",IFERROR(INDEX($U$4:$U$3183,MATCH(SMALL($V$4:$V$3183,211),$V$4:$V$3183,0)),""))</f>
        <v/>
      </c>
      <c r="J214">
        <f>IF($B214="","",IF($D214&gt;$F$2,"À venir",IF($E214&lt;$D$2,"Passé","Dans la période")))</f>
        <v/>
      </c>
      <c r="K214">
        <f>IF(OR($B214="",NOT(ISNUMBER($D214))),"",IF(AND($E214&lt;$D$2,$G214&lt;&gt;"X",$F214&lt;&gt;"Réalisé",$F214&lt;&gt;"Clôturé"),"RETARD",""))</f>
        <v/>
      </c>
      <c r="L214">
        <f>IF(OR($B214="",NOT(ISNUMBER($D214))),"",IF(AND($D214&gt;=$D$2,$D214&lt;=$H$2,$G214&lt;&gt;"X",$F214&lt;&gt;"Réalisé",$F214&lt;&gt;"Clôturé"),"≤ 7 j",""))</f>
        <v/>
      </c>
      <c r="M214" s="29">
        <f>IF($B214="","",IFERROR(INDEX($T$4:$T$3183,MATCH(SMALL($V$4:$V$3183,211),$V$4:$V$3183,0)),""))</f>
        <v/>
      </c>
      <c r="O214">
        <f>IF(INDEX(Suivi!$B:$B,218)="","",INDEX(Suivi!$B:$B,218))</f>
        <v/>
      </c>
      <c r="P214">
        <f>IF($O214="","",IF(INDEX(Suivi!$D:$D,218)="",INDEX(Suivi!$C:$C,218),INDEX(Suivi!$D:$D,218)))</f>
        <v/>
      </c>
      <c r="Q214">
        <f>IF($O214="","",INDEX(Suivi!$E:$E,218))</f>
        <v/>
      </c>
      <c r="R214">
        <f>IF($O214="","",INDEX(Suivi!$F:$F,218))</f>
        <v/>
      </c>
      <c r="S214">
        <f>IF($O214="","",INDEX(Suivi!$G:$G,218))</f>
        <v/>
      </c>
      <c r="T214">
        <f>IF($O214="","",IF(INDEX(Dossiers!$F$4:$F$63,4)="","",INDEX(Dossiers!$F$4:$F$63,4)))</f>
        <v/>
      </c>
      <c r="U214">
        <f>IF($O214="","",IF(INDEX(Dossiers!$G$4:$G$63,4)="","",INDEX(Dossiers!$G$4:$G$63,4)))</f>
        <v/>
      </c>
      <c r="V214">
        <f>IF(OR($O214="",NOT(ISNUMBER($Q214))),"",$Q214*1000000+214)</f>
        <v/>
      </c>
      <c r="W214" s="29">
        <f>IF($B214="","",IFERROR(INDEX($U$4:$U$3183,MATCH(SMALL($V$4:$V$3183,211),$V$4:$V$3183,0)),""))</f>
        <v/>
      </c>
    </row>
    <row r="215">
      <c r="A215">
        <f>IFERROR(INDEX($N$4:$N$3183,MATCH(SMALL($V$4:$V$3183,212),$V$4:$V$3183,0)),"")</f>
        <v/>
      </c>
      <c r="B215">
        <f>IFERROR(INDEX($O$4:$O$3183,MATCH(SMALL($V$4:$V$3183,212),$V$4:$V$3183,0)),"")</f>
        <v/>
      </c>
      <c r="C215">
        <f>IFERROR(INDEX($P$4:$P$3183,MATCH(SMALL($V$4:$V$3183,212),$V$4:$V$3183,0)),"")</f>
        <v/>
      </c>
      <c r="D215" s="29">
        <f>IFERROR(INDEX($Q$4:$Q$3183,MATCH(SMALL($V$4:$V$3183,212),$V$4:$V$3183,0)),"")</f>
        <v/>
      </c>
      <c r="E215" s="29">
        <f>IFERROR(INDEX($R$4:$R$3183,MATCH(SMALL($V$4:$V$3183,212),$V$4:$V$3183,0)),"")</f>
        <v/>
      </c>
      <c r="F215">
        <f>IFERROR(INDEX($S$4:$S$3183,MATCH(SMALL($V$4:$V$3183,212),$V$4:$V$3183,0)),"")</f>
        <v/>
      </c>
      <c r="I215" s="29">
        <f>IF($B215="","",IFERROR(INDEX($U$4:$U$3183,MATCH(SMALL($V$4:$V$3183,212),$V$4:$V$3183,0)),""))</f>
        <v/>
      </c>
      <c r="J215">
        <f>IF($B215="","",IF($D215&gt;$F$2,"À venir",IF($E215&lt;$D$2,"Passé","Dans la période")))</f>
        <v/>
      </c>
      <c r="K215">
        <f>IF(OR($B215="",NOT(ISNUMBER($D215))),"",IF(AND($E215&lt;$D$2,$G215&lt;&gt;"X",$F215&lt;&gt;"Réalisé",$F215&lt;&gt;"Clôturé"),"RETARD",""))</f>
        <v/>
      </c>
      <c r="L215">
        <f>IF(OR($B215="",NOT(ISNUMBER($D215))),"",IF(AND($D215&gt;=$D$2,$D215&lt;=$H$2,$G215&lt;&gt;"X",$F215&lt;&gt;"Réalisé",$F215&lt;&gt;"Clôturé"),"≤ 7 j",""))</f>
        <v/>
      </c>
      <c r="M215" s="29">
        <f>IF($B215="","",IFERROR(INDEX($T$4:$T$3183,MATCH(SMALL($V$4:$V$3183,212),$V$4:$V$3183,0)),""))</f>
        <v/>
      </c>
      <c r="O215">
        <f>IF(INDEX(Suivi!$B:$B,219)="","",INDEX(Suivi!$B:$B,219))</f>
        <v/>
      </c>
      <c r="P215">
        <f>IF($O215="","",IF(INDEX(Suivi!$D:$D,219)="",INDEX(Suivi!$C:$C,219),INDEX(Suivi!$D:$D,219)))</f>
        <v/>
      </c>
      <c r="Q215">
        <f>IF($O215="","",INDEX(Suivi!$E:$E,219))</f>
        <v/>
      </c>
      <c r="R215">
        <f>IF($O215="","",INDEX(Suivi!$F:$F,219))</f>
        <v/>
      </c>
      <c r="S215">
        <f>IF($O215="","",INDEX(Suivi!$G:$G,219))</f>
        <v/>
      </c>
      <c r="T215">
        <f>IF($O215="","",IF(INDEX(Dossiers!$F$4:$F$63,4)="","",INDEX(Dossiers!$F$4:$F$63,4)))</f>
        <v/>
      </c>
      <c r="U215">
        <f>IF($O215="","",IF(INDEX(Dossiers!$G$4:$G$63,4)="","",INDEX(Dossiers!$G$4:$G$63,4)))</f>
        <v/>
      </c>
      <c r="V215">
        <f>IF(OR($O215="",NOT(ISNUMBER($Q215))),"",$Q215*1000000+215)</f>
        <v/>
      </c>
      <c r="W215" s="29">
        <f>IF($B215="","",IFERROR(INDEX($U$4:$U$3183,MATCH(SMALL($V$4:$V$3183,212),$V$4:$V$3183,0)),""))</f>
        <v/>
      </c>
    </row>
    <row r="216">
      <c r="A216">
        <f>IFERROR(INDEX($N$4:$N$3183,MATCH(SMALL($V$4:$V$3183,213),$V$4:$V$3183,0)),"")</f>
        <v/>
      </c>
      <c r="B216">
        <f>IFERROR(INDEX($O$4:$O$3183,MATCH(SMALL($V$4:$V$3183,213),$V$4:$V$3183,0)),"")</f>
        <v/>
      </c>
      <c r="C216">
        <f>IFERROR(INDEX($P$4:$P$3183,MATCH(SMALL($V$4:$V$3183,213),$V$4:$V$3183,0)),"")</f>
        <v/>
      </c>
      <c r="D216" s="29">
        <f>IFERROR(INDEX($Q$4:$Q$3183,MATCH(SMALL($V$4:$V$3183,213),$V$4:$V$3183,0)),"")</f>
        <v/>
      </c>
      <c r="E216" s="29">
        <f>IFERROR(INDEX($R$4:$R$3183,MATCH(SMALL($V$4:$V$3183,213),$V$4:$V$3183,0)),"")</f>
        <v/>
      </c>
      <c r="F216">
        <f>IFERROR(INDEX($S$4:$S$3183,MATCH(SMALL($V$4:$V$3183,213),$V$4:$V$3183,0)),"")</f>
        <v/>
      </c>
      <c r="I216" s="29">
        <f>IF($B216="","",IFERROR(INDEX($U$4:$U$3183,MATCH(SMALL($V$4:$V$3183,213),$V$4:$V$3183,0)),""))</f>
        <v/>
      </c>
      <c r="J216">
        <f>IF($B216="","",IF($D216&gt;$F$2,"À venir",IF($E216&lt;$D$2,"Passé","Dans la période")))</f>
        <v/>
      </c>
      <c r="K216">
        <f>IF(OR($B216="",NOT(ISNUMBER($D216))),"",IF(AND($E216&lt;$D$2,$G216&lt;&gt;"X",$F216&lt;&gt;"Réalisé",$F216&lt;&gt;"Clôturé"),"RETARD",""))</f>
        <v/>
      </c>
      <c r="L216">
        <f>IF(OR($B216="",NOT(ISNUMBER($D216))),"",IF(AND($D216&gt;=$D$2,$D216&lt;=$H$2,$G216&lt;&gt;"X",$F216&lt;&gt;"Réalisé",$F216&lt;&gt;"Clôturé"),"≤ 7 j",""))</f>
        <v/>
      </c>
      <c r="M216" s="29">
        <f>IF($B216="","",IFERROR(INDEX($T$4:$T$3183,MATCH(SMALL($V$4:$V$3183,213),$V$4:$V$3183,0)),""))</f>
        <v/>
      </c>
      <c r="O216">
        <f>IF(INDEX(Suivi!$B:$B,221)="","",INDEX(Suivi!$B:$B,221))</f>
        <v/>
      </c>
      <c r="P216">
        <f>IF($O216="","",IF(INDEX(Suivi!$D:$D,221)="",INDEX(Suivi!$C:$C,221),INDEX(Suivi!$D:$D,221)))</f>
        <v/>
      </c>
      <c r="Q216">
        <f>IF($O216="","",INDEX(Suivi!$E:$E,221))</f>
        <v/>
      </c>
      <c r="R216">
        <f>IF($O216="","",INDEX(Suivi!$F:$F,221))</f>
        <v/>
      </c>
      <c r="S216">
        <f>IF($O216="","",INDEX(Suivi!$G:$G,221))</f>
        <v/>
      </c>
      <c r="T216">
        <f>IF($O216="","",IF(INDEX(Dossiers!$F$4:$F$63,5)="","",INDEX(Dossiers!$F$4:$F$63,5)))</f>
        <v/>
      </c>
      <c r="U216">
        <f>IF($O216="","",IF(INDEX(Dossiers!$G$4:$G$63,5)="","",INDEX(Dossiers!$G$4:$G$63,5)))</f>
        <v/>
      </c>
      <c r="V216">
        <f>IF(OR($O216="",NOT(ISNUMBER($Q216))),"",$Q216*1000000+216)</f>
        <v/>
      </c>
      <c r="W216" s="29">
        <f>IF($B216="","",IFERROR(INDEX($U$4:$U$3183,MATCH(SMALL($V$4:$V$3183,213),$V$4:$V$3183,0)),""))</f>
        <v/>
      </c>
    </row>
    <row r="217">
      <c r="A217">
        <f>IFERROR(INDEX($N$4:$N$3183,MATCH(SMALL($V$4:$V$3183,214),$V$4:$V$3183,0)),"")</f>
        <v/>
      </c>
      <c r="B217">
        <f>IFERROR(INDEX($O$4:$O$3183,MATCH(SMALL($V$4:$V$3183,214),$V$4:$V$3183,0)),"")</f>
        <v/>
      </c>
      <c r="C217">
        <f>IFERROR(INDEX($P$4:$P$3183,MATCH(SMALL($V$4:$V$3183,214),$V$4:$V$3183,0)),"")</f>
        <v/>
      </c>
      <c r="D217" s="29">
        <f>IFERROR(INDEX($Q$4:$Q$3183,MATCH(SMALL($V$4:$V$3183,214),$V$4:$V$3183,0)),"")</f>
        <v/>
      </c>
      <c r="E217" s="29">
        <f>IFERROR(INDEX($R$4:$R$3183,MATCH(SMALL($V$4:$V$3183,214),$V$4:$V$3183,0)),"")</f>
        <v/>
      </c>
      <c r="F217">
        <f>IFERROR(INDEX($S$4:$S$3183,MATCH(SMALL($V$4:$V$3183,214),$V$4:$V$3183,0)),"")</f>
        <v/>
      </c>
      <c r="I217" s="29">
        <f>IF($B217="","",IFERROR(INDEX($U$4:$U$3183,MATCH(SMALL($V$4:$V$3183,214),$V$4:$V$3183,0)),""))</f>
        <v/>
      </c>
      <c r="J217">
        <f>IF($B217="","",IF($D217&gt;$F$2,"À venir",IF($E217&lt;$D$2,"Passé","Dans la période")))</f>
        <v/>
      </c>
      <c r="K217">
        <f>IF(OR($B217="",NOT(ISNUMBER($D217))),"",IF(AND($E217&lt;$D$2,$G217&lt;&gt;"X",$F217&lt;&gt;"Réalisé",$F217&lt;&gt;"Clôturé"),"RETARD",""))</f>
        <v/>
      </c>
      <c r="L217">
        <f>IF(OR($B217="",NOT(ISNUMBER($D217))),"",IF(AND($D217&gt;=$D$2,$D217&lt;=$H$2,$G217&lt;&gt;"X",$F217&lt;&gt;"Réalisé",$F217&lt;&gt;"Clôturé"),"≤ 7 j",""))</f>
        <v/>
      </c>
      <c r="M217" s="29">
        <f>IF($B217="","",IFERROR(INDEX($T$4:$T$3183,MATCH(SMALL($V$4:$V$3183,214),$V$4:$V$3183,0)),""))</f>
        <v/>
      </c>
      <c r="O217">
        <f>IF(INDEX(Suivi!$B:$B,222)="","",INDEX(Suivi!$B:$B,222))</f>
        <v/>
      </c>
      <c r="P217">
        <f>IF($O217="","",IF(INDEX(Suivi!$D:$D,222)="",INDEX(Suivi!$C:$C,222),INDEX(Suivi!$D:$D,222)))</f>
        <v/>
      </c>
      <c r="Q217">
        <f>IF($O217="","",INDEX(Suivi!$E:$E,222))</f>
        <v/>
      </c>
      <c r="R217">
        <f>IF($O217="","",INDEX(Suivi!$F:$F,222))</f>
        <v/>
      </c>
      <c r="S217">
        <f>IF($O217="","",INDEX(Suivi!$G:$G,222))</f>
        <v/>
      </c>
      <c r="T217">
        <f>IF($O217="","",IF(INDEX(Dossiers!$F$4:$F$63,5)="","",INDEX(Dossiers!$F$4:$F$63,5)))</f>
        <v/>
      </c>
      <c r="U217">
        <f>IF($O217="","",IF(INDEX(Dossiers!$G$4:$G$63,5)="","",INDEX(Dossiers!$G$4:$G$63,5)))</f>
        <v/>
      </c>
      <c r="V217">
        <f>IF(OR($O217="",NOT(ISNUMBER($Q217))),"",$Q217*1000000+217)</f>
        <v/>
      </c>
      <c r="W217" s="29">
        <f>IF($B217="","",IFERROR(INDEX($U$4:$U$3183,MATCH(SMALL($V$4:$V$3183,214),$V$4:$V$3183,0)),""))</f>
        <v/>
      </c>
    </row>
    <row r="218">
      <c r="A218">
        <f>IFERROR(INDEX($N$4:$N$3183,MATCH(SMALL($V$4:$V$3183,215),$V$4:$V$3183,0)),"")</f>
        <v/>
      </c>
      <c r="B218">
        <f>IFERROR(INDEX($O$4:$O$3183,MATCH(SMALL($V$4:$V$3183,215),$V$4:$V$3183,0)),"")</f>
        <v/>
      </c>
      <c r="C218">
        <f>IFERROR(INDEX($P$4:$P$3183,MATCH(SMALL($V$4:$V$3183,215),$V$4:$V$3183,0)),"")</f>
        <v/>
      </c>
      <c r="D218" s="29">
        <f>IFERROR(INDEX($Q$4:$Q$3183,MATCH(SMALL($V$4:$V$3183,215),$V$4:$V$3183,0)),"")</f>
        <v/>
      </c>
      <c r="E218" s="29">
        <f>IFERROR(INDEX($R$4:$R$3183,MATCH(SMALL($V$4:$V$3183,215),$V$4:$V$3183,0)),"")</f>
        <v/>
      </c>
      <c r="F218">
        <f>IFERROR(INDEX($S$4:$S$3183,MATCH(SMALL($V$4:$V$3183,215),$V$4:$V$3183,0)),"")</f>
        <v/>
      </c>
      <c r="I218" s="29">
        <f>IF($B218="","",IFERROR(INDEX($U$4:$U$3183,MATCH(SMALL($V$4:$V$3183,215),$V$4:$V$3183,0)),""))</f>
        <v/>
      </c>
      <c r="J218">
        <f>IF($B218="","",IF($D218&gt;$F$2,"À venir",IF($E218&lt;$D$2,"Passé","Dans la période")))</f>
        <v/>
      </c>
      <c r="K218">
        <f>IF(OR($B218="",NOT(ISNUMBER($D218))),"",IF(AND($E218&lt;$D$2,$G218&lt;&gt;"X",$F218&lt;&gt;"Réalisé",$F218&lt;&gt;"Clôturé"),"RETARD",""))</f>
        <v/>
      </c>
      <c r="L218">
        <f>IF(OR($B218="",NOT(ISNUMBER($D218))),"",IF(AND($D218&gt;=$D$2,$D218&lt;=$H$2,$G218&lt;&gt;"X",$F218&lt;&gt;"Réalisé",$F218&lt;&gt;"Clôturé"),"≤ 7 j",""))</f>
        <v/>
      </c>
      <c r="M218" s="29">
        <f>IF($B218="","",IFERROR(INDEX($T$4:$T$3183,MATCH(SMALL($V$4:$V$3183,215),$V$4:$V$3183,0)),""))</f>
        <v/>
      </c>
      <c r="O218">
        <f>IF(INDEX(Suivi!$B:$B,223)="","",INDEX(Suivi!$B:$B,223))</f>
        <v/>
      </c>
      <c r="P218">
        <f>IF($O218="","",IF(INDEX(Suivi!$D:$D,223)="",INDEX(Suivi!$C:$C,223),INDEX(Suivi!$D:$D,223)))</f>
        <v/>
      </c>
      <c r="Q218">
        <f>IF($O218="","",INDEX(Suivi!$E:$E,223))</f>
        <v/>
      </c>
      <c r="R218">
        <f>IF($O218="","",INDEX(Suivi!$F:$F,223))</f>
        <v/>
      </c>
      <c r="S218">
        <f>IF($O218="","",INDEX(Suivi!$G:$G,223))</f>
        <v/>
      </c>
      <c r="T218">
        <f>IF($O218="","",IF(INDEX(Dossiers!$F$4:$F$63,5)="","",INDEX(Dossiers!$F$4:$F$63,5)))</f>
        <v/>
      </c>
      <c r="U218">
        <f>IF($O218="","",IF(INDEX(Dossiers!$G$4:$G$63,5)="","",INDEX(Dossiers!$G$4:$G$63,5)))</f>
        <v/>
      </c>
      <c r="V218">
        <f>IF(OR($O218="",NOT(ISNUMBER($Q218))),"",$Q218*1000000+218)</f>
        <v/>
      </c>
      <c r="W218" s="29">
        <f>IF($B218="","",IFERROR(INDEX($U$4:$U$3183,MATCH(SMALL($V$4:$V$3183,215),$V$4:$V$3183,0)),""))</f>
        <v/>
      </c>
    </row>
    <row r="219">
      <c r="A219">
        <f>IFERROR(INDEX($N$4:$N$3183,MATCH(SMALL($V$4:$V$3183,216),$V$4:$V$3183,0)),"")</f>
        <v/>
      </c>
      <c r="B219">
        <f>IFERROR(INDEX($O$4:$O$3183,MATCH(SMALL($V$4:$V$3183,216),$V$4:$V$3183,0)),"")</f>
        <v/>
      </c>
      <c r="C219">
        <f>IFERROR(INDEX($P$4:$P$3183,MATCH(SMALL($V$4:$V$3183,216),$V$4:$V$3183,0)),"")</f>
        <v/>
      </c>
      <c r="D219" s="29">
        <f>IFERROR(INDEX($Q$4:$Q$3183,MATCH(SMALL($V$4:$V$3183,216),$V$4:$V$3183,0)),"")</f>
        <v/>
      </c>
      <c r="E219" s="29">
        <f>IFERROR(INDEX($R$4:$R$3183,MATCH(SMALL($V$4:$V$3183,216),$V$4:$V$3183,0)),"")</f>
        <v/>
      </c>
      <c r="F219">
        <f>IFERROR(INDEX($S$4:$S$3183,MATCH(SMALL($V$4:$V$3183,216),$V$4:$V$3183,0)),"")</f>
        <v/>
      </c>
      <c r="I219" s="29">
        <f>IF($B219="","",IFERROR(INDEX($U$4:$U$3183,MATCH(SMALL($V$4:$V$3183,216),$V$4:$V$3183,0)),""))</f>
        <v/>
      </c>
      <c r="J219">
        <f>IF($B219="","",IF($D219&gt;$F$2,"À venir",IF($E219&lt;$D$2,"Passé","Dans la période")))</f>
        <v/>
      </c>
      <c r="K219">
        <f>IF(OR($B219="",NOT(ISNUMBER($D219))),"",IF(AND($E219&lt;$D$2,$G219&lt;&gt;"X",$F219&lt;&gt;"Réalisé",$F219&lt;&gt;"Clôturé"),"RETARD",""))</f>
        <v/>
      </c>
      <c r="L219">
        <f>IF(OR($B219="",NOT(ISNUMBER($D219))),"",IF(AND($D219&gt;=$D$2,$D219&lt;=$H$2,$G219&lt;&gt;"X",$F219&lt;&gt;"Réalisé",$F219&lt;&gt;"Clôturé"),"≤ 7 j",""))</f>
        <v/>
      </c>
      <c r="M219" s="29">
        <f>IF($B219="","",IFERROR(INDEX($T$4:$T$3183,MATCH(SMALL($V$4:$V$3183,216),$V$4:$V$3183,0)),""))</f>
        <v/>
      </c>
      <c r="O219">
        <f>IF(INDEX(Suivi!$B:$B,224)="","",INDEX(Suivi!$B:$B,224))</f>
        <v/>
      </c>
      <c r="P219">
        <f>IF($O219="","",IF(INDEX(Suivi!$D:$D,224)="",INDEX(Suivi!$C:$C,224),INDEX(Suivi!$D:$D,224)))</f>
        <v/>
      </c>
      <c r="Q219">
        <f>IF($O219="","",INDEX(Suivi!$E:$E,224))</f>
        <v/>
      </c>
      <c r="R219">
        <f>IF($O219="","",INDEX(Suivi!$F:$F,224))</f>
        <v/>
      </c>
      <c r="S219">
        <f>IF($O219="","",INDEX(Suivi!$G:$G,224))</f>
        <v/>
      </c>
      <c r="T219">
        <f>IF($O219="","",IF(INDEX(Dossiers!$F$4:$F$63,5)="","",INDEX(Dossiers!$F$4:$F$63,5)))</f>
        <v/>
      </c>
      <c r="U219">
        <f>IF($O219="","",IF(INDEX(Dossiers!$G$4:$G$63,5)="","",INDEX(Dossiers!$G$4:$G$63,5)))</f>
        <v/>
      </c>
      <c r="V219">
        <f>IF(OR($O219="",NOT(ISNUMBER($Q219))),"",$Q219*1000000+219)</f>
        <v/>
      </c>
      <c r="W219" s="29">
        <f>IF($B219="","",IFERROR(INDEX($U$4:$U$3183,MATCH(SMALL($V$4:$V$3183,216),$V$4:$V$3183,0)),""))</f>
        <v/>
      </c>
    </row>
    <row r="220">
      <c r="A220">
        <f>IFERROR(INDEX($N$4:$N$3183,MATCH(SMALL($V$4:$V$3183,217),$V$4:$V$3183,0)),"")</f>
        <v/>
      </c>
      <c r="B220">
        <f>IFERROR(INDEX($O$4:$O$3183,MATCH(SMALL($V$4:$V$3183,217),$V$4:$V$3183,0)),"")</f>
        <v/>
      </c>
      <c r="C220">
        <f>IFERROR(INDEX($P$4:$P$3183,MATCH(SMALL($V$4:$V$3183,217),$V$4:$V$3183,0)),"")</f>
        <v/>
      </c>
      <c r="D220" s="29">
        <f>IFERROR(INDEX($Q$4:$Q$3183,MATCH(SMALL($V$4:$V$3183,217),$V$4:$V$3183,0)),"")</f>
        <v/>
      </c>
      <c r="E220" s="29">
        <f>IFERROR(INDEX($R$4:$R$3183,MATCH(SMALL($V$4:$V$3183,217),$V$4:$V$3183,0)),"")</f>
        <v/>
      </c>
      <c r="F220">
        <f>IFERROR(INDEX($S$4:$S$3183,MATCH(SMALL($V$4:$V$3183,217),$V$4:$V$3183,0)),"")</f>
        <v/>
      </c>
      <c r="I220" s="29">
        <f>IF($B220="","",IFERROR(INDEX($U$4:$U$3183,MATCH(SMALL($V$4:$V$3183,217),$V$4:$V$3183,0)),""))</f>
        <v/>
      </c>
      <c r="J220">
        <f>IF($B220="","",IF($D220&gt;$F$2,"À venir",IF($E220&lt;$D$2,"Passé","Dans la période")))</f>
        <v/>
      </c>
      <c r="K220">
        <f>IF(OR($B220="",NOT(ISNUMBER($D220))),"",IF(AND($E220&lt;$D$2,$G220&lt;&gt;"X",$F220&lt;&gt;"Réalisé",$F220&lt;&gt;"Clôturé"),"RETARD",""))</f>
        <v/>
      </c>
      <c r="L220">
        <f>IF(OR($B220="",NOT(ISNUMBER($D220))),"",IF(AND($D220&gt;=$D$2,$D220&lt;=$H$2,$G220&lt;&gt;"X",$F220&lt;&gt;"Réalisé",$F220&lt;&gt;"Clôturé"),"≤ 7 j",""))</f>
        <v/>
      </c>
      <c r="M220" s="29">
        <f>IF($B220="","",IFERROR(INDEX($T$4:$T$3183,MATCH(SMALL($V$4:$V$3183,217),$V$4:$V$3183,0)),""))</f>
        <v/>
      </c>
      <c r="O220">
        <f>IF(INDEX(Suivi!$B:$B,225)="","",INDEX(Suivi!$B:$B,225))</f>
        <v/>
      </c>
      <c r="P220">
        <f>IF($O220="","",IF(INDEX(Suivi!$D:$D,225)="",INDEX(Suivi!$C:$C,225),INDEX(Suivi!$D:$D,225)))</f>
        <v/>
      </c>
      <c r="Q220">
        <f>IF($O220="","",INDEX(Suivi!$E:$E,225))</f>
        <v/>
      </c>
      <c r="R220">
        <f>IF($O220="","",INDEX(Suivi!$F:$F,225))</f>
        <v/>
      </c>
      <c r="S220">
        <f>IF($O220="","",INDEX(Suivi!$G:$G,225))</f>
        <v/>
      </c>
      <c r="T220">
        <f>IF($O220="","",IF(INDEX(Dossiers!$F$4:$F$63,5)="","",INDEX(Dossiers!$F$4:$F$63,5)))</f>
        <v/>
      </c>
      <c r="U220">
        <f>IF($O220="","",IF(INDEX(Dossiers!$G$4:$G$63,5)="","",INDEX(Dossiers!$G$4:$G$63,5)))</f>
        <v/>
      </c>
      <c r="V220">
        <f>IF(OR($O220="",NOT(ISNUMBER($Q220))),"",$Q220*1000000+220)</f>
        <v/>
      </c>
      <c r="W220" s="29">
        <f>IF($B220="","",IFERROR(INDEX($U$4:$U$3183,MATCH(SMALL($V$4:$V$3183,217),$V$4:$V$3183,0)),""))</f>
        <v/>
      </c>
    </row>
    <row r="221">
      <c r="A221">
        <f>IFERROR(INDEX($N$4:$N$3183,MATCH(SMALL($V$4:$V$3183,218),$V$4:$V$3183,0)),"")</f>
        <v/>
      </c>
      <c r="B221">
        <f>IFERROR(INDEX($O$4:$O$3183,MATCH(SMALL($V$4:$V$3183,218),$V$4:$V$3183,0)),"")</f>
        <v/>
      </c>
      <c r="C221">
        <f>IFERROR(INDEX($P$4:$P$3183,MATCH(SMALL($V$4:$V$3183,218),$V$4:$V$3183,0)),"")</f>
        <v/>
      </c>
      <c r="D221" s="29">
        <f>IFERROR(INDEX($Q$4:$Q$3183,MATCH(SMALL($V$4:$V$3183,218),$V$4:$V$3183,0)),"")</f>
        <v/>
      </c>
      <c r="E221" s="29">
        <f>IFERROR(INDEX($R$4:$R$3183,MATCH(SMALL($V$4:$V$3183,218),$V$4:$V$3183,0)),"")</f>
        <v/>
      </c>
      <c r="F221">
        <f>IFERROR(INDEX($S$4:$S$3183,MATCH(SMALL($V$4:$V$3183,218),$V$4:$V$3183,0)),"")</f>
        <v/>
      </c>
      <c r="I221" s="29">
        <f>IF($B221="","",IFERROR(INDEX($U$4:$U$3183,MATCH(SMALL($V$4:$V$3183,218),$V$4:$V$3183,0)),""))</f>
        <v/>
      </c>
      <c r="J221">
        <f>IF($B221="","",IF($D221&gt;$F$2,"À venir",IF($E221&lt;$D$2,"Passé","Dans la période")))</f>
        <v/>
      </c>
      <c r="K221">
        <f>IF(OR($B221="",NOT(ISNUMBER($D221))),"",IF(AND($E221&lt;$D$2,$G221&lt;&gt;"X",$F221&lt;&gt;"Réalisé",$F221&lt;&gt;"Clôturé"),"RETARD",""))</f>
        <v/>
      </c>
      <c r="L221">
        <f>IF(OR($B221="",NOT(ISNUMBER($D221))),"",IF(AND($D221&gt;=$D$2,$D221&lt;=$H$2,$G221&lt;&gt;"X",$F221&lt;&gt;"Réalisé",$F221&lt;&gt;"Clôturé"),"≤ 7 j",""))</f>
        <v/>
      </c>
      <c r="M221" s="29">
        <f>IF($B221="","",IFERROR(INDEX($T$4:$T$3183,MATCH(SMALL($V$4:$V$3183,218),$V$4:$V$3183,0)),""))</f>
        <v/>
      </c>
      <c r="O221">
        <f>IF(INDEX(Suivi!$B:$B,226)="","",INDEX(Suivi!$B:$B,226))</f>
        <v/>
      </c>
      <c r="P221">
        <f>IF($O221="","",IF(INDEX(Suivi!$D:$D,226)="",INDEX(Suivi!$C:$C,226),INDEX(Suivi!$D:$D,226)))</f>
        <v/>
      </c>
      <c r="Q221">
        <f>IF($O221="","",INDEX(Suivi!$E:$E,226))</f>
        <v/>
      </c>
      <c r="R221">
        <f>IF($O221="","",INDEX(Suivi!$F:$F,226))</f>
        <v/>
      </c>
      <c r="S221">
        <f>IF($O221="","",INDEX(Suivi!$G:$G,226))</f>
        <v/>
      </c>
      <c r="T221">
        <f>IF($O221="","",IF(INDEX(Dossiers!$F$4:$F$63,5)="","",INDEX(Dossiers!$F$4:$F$63,5)))</f>
        <v/>
      </c>
      <c r="U221">
        <f>IF($O221="","",IF(INDEX(Dossiers!$G$4:$G$63,5)="","",INDEX(Dossiers!$G$4:$G$63,5)))</f>
        <v/>
      </c>
      <c r="V221">
        <f>IF(OR($O221="",NOT(ISNUMBER($Q221))),"",$Q221*1000000+221)</f>
        <v/>
      </c>
      <c r="W221" s="29">
        <f>IF($B221="","",IFERROR(INDEX($U$4:$U$3183,MATCH(SMALL($V$4:$V$3183,218),$V$4:$V$3183,0)),""))</f>
        <v/>
      </c>
    </row>
    <row r="222">
      <c r="A222">
        <f>IFERROR(INDEX($N$4:$N$3183,MATCH(SMALL($V$4:$V$3183,219),$V$4:$V$3183,0)),"")</f>
        <v/>
      </c>
      <c r="B222">
        <f>IFERROR(INDEX($O$4:$O$3183,MATCH(SMALL($V$4:$V$3183,219),$V$4:$V$3183,0)),"")</f>
        <v/>
      </c>
      <c r="C222">
        <f>IFERROR(INDEX($P$4:$P$3183,MATCH(SMALL($V$4:$V$3183,219),$V$4:$V$3183,0)),"")</f>
        <v/>
      </c>
      <c r="D222" s="29">
        <f>IFERROR(INDEX($Q$4:$Q$3183,MATCH(SMALL($V$4:$V$3183,219),$V$4:$V$3183,0)),"")</f>
        <v/>
      </c>
      <c r="E222" s="29">
        <f>IFERROR(INDEX($R$4:$R$3183,MATCH(SMALL($V$4:$V$3183,219),$V$4:$V$3183,0)),"")</f>
        <v/>
      </c>
      <c r="F222">
        <f>IFERROR(INDEX($S$4:$S$3183,MATCH(SMALL($V$4:$V$3183,219),$V$4:$V$3183,0)),"")</f>
        <v/>
      </c>
      <c r="I222" s="29">
        <f>IF($B222="","",IFERROR(INDEX($U$4:$U$3183,MATCH(SMALL($V$4:$V$3183,219),$V$4:$V$3183,0)),""))</f>
        <v/>
      </c>
      <c r="J222">
        <f>IF($B222="","",IF($D222&gt;$F$2,"À venir",IF($E222&lt;$D$2,"Passé","Dans la période")))</f>
        <v/>
      </c>
      <c r="K222">
        <f>IF(OR($B222="",NOT(ISNUMBER($D222))),"",IF(AND($E222&lt;$D$2,$G222&lt;&gt;"X",$F222&lt;&gt;"Réalisé",$F222&lt;&gt;"Clôturé"),"RETARD",""))</f>
        <v/>
      </c>
      <c r="L222">
        <f>IF(OR($B222="",NOT(ISNUMBER($D222))),"",IF(AND($D222&gt;=$D$2,$D222&lt;=$H$2,$G222&lt;&gt;"X",$F222&lt;&gt;"Réalisé",$F222&lt;&gt;"Clôturé"),"≤ 7 j",""))</f>
        <v/>
      </c>
      <c r="M222" s="29">
        <f>IF($B222="","",IFERROR(INDEX($T$4:$T$3183,MATCH(SMALL($V$4:$V$3183,219),$V$4:$V$3183,0)),""))</f>
        <v/>
      </c>
      <c r="O222">
        <f>IF(INDEX(Suivi!$B:$B,227)="","",INDEX(Suivi!$B:$B,227))</f>
        <v/>
      </c>
      <c r="P222">
        <f>IF($O222="","",IF(INDEX(Suivi!$D:$D,227)="",INDEX(Suivi!$C:$C,227),INDEX(Suivi!$D:$D,227)))</f>
        <v/>
      </c>
      <c r="Q222">
        <f>IF($O222="","",INDEX(Suivi!$E:$E,227))</f>
        <v/>
      </c>
      <c r="R222">
        <f>IF($O222="","",INDEX(Suivi!$F:$F,227))</f>
        <v/>
      </c>
      <c r="S222">
        <f>IF($O222="","",INDEX(Suivi!$G:$G,227))</f>
        <v/>
      </c>
      <c r="T222">
        <f>IF($O222="","",IF(INDEX(Dossiers!$F$4:$F$63,5)="","",INDEX(Dossiers!$F$4:$F$63,5)))</f>
        <v/>
      </c>
      <c r="U222">
        <f>IF($O222="","",IF(INDEX(Dossiers!$G$4:$G$63,5)="","",INDEX(Dossiers!$G$4:$G$63,5)))</f>
        <v/>
      </c>
      <c r="V222">
        <f>IF(OR($O222="",NOT(ISNUMBER($Q222))),"",$Q222*1000000+222)</f>
        <v/>
      </c>
      <c r="W222" s="29">
        <f>IF($B222="","",IFERROR(INDEX($U$4:$U$3183,MATCH(SMALL($V$4:$V$3183,219),$V$4:$V$3183,0)),""))</f>
        <v/>
      </c>
    </row>
    <row r="223">
      <c r="A223">
        <f>IFERROR(INDEX($N$4:$N$3183,MATCH(SMALL($V$4:$V$3183,220),$V$4:$V$3183,0)),"")</f>
        <v/>
      </c>
      <c r="B223">
        <f>IFERROR(INDEX($O$4:$O$3183,MATCH(SMALL($V$4:$V$3183,220),$V$4:$V$3183,0)),"")</f>
        <v/>
      </c>
      <c r="C223">
        <f>IFERROR(INDEX($P$4:$P$3183,MATCH(SMALL($V$4:$V$3183,220),$V$4:$V$3183,0)),"")</f>
        <v/>
      </c>
      <c r="D223" s="29">
        <f>IFERROR(INDEX($Q$4:$Q$3183,MATCH(SMALL($V$4:$V$3183,220),$V$4:$V$3183,0)),"")</f>
        <v/>
      </c>
      <c r="E223" s="29">
        <f>IFERROR(INDEX($R$4:$R$3183,MATCH(SMALL($V$4:$V$3183,220),$V$4:$V$3183,0)),"")</f>
        <v/>
      </c>
      <c r="F223">
        <f>IFERROR(INDEX($S$4:$S$3183,MATCH(SMALL($V$4:$V$3183,220),$V$4:$V$3183,0)),"")</f>
        <v/>
      </c>
      <c r="I223" s="29">
        <f>IF($B223="","",IFERROR(INDEX($U$4:$U$3183,MATCH(SMALL($V$4:$V$3183,220),$V$4:$V$3183,0)),""))</f>
        <v/>
      </c>
      <c r="J223">
        <f>IF($B223="","",IF($D223&gt;$F$2,"À venir",IF($E223&lt;$D$2,"Passé","Dans la période")))</f>
        <v/>
      </c>
      <c r="K223">
        <f>IF(OR($B223="",NOT(ISNUMBER($D223))),"",IF(AND($E223&lt;$D$2,$G223&lt;&gt;"X",$F223&lt;&gt;"Réalisé",$F223&lt;&gt;"Clôturé"),"RETARD",""))</f>
        <v/>
      </c>
      <c r="L223">
        <f>IF(OR($B223="",NOT(ISNUMBER($D223))),"",IF(AND($D223&gt;=$D$2,$D223&lt;=$H$2,$G223&lt;&gt;"X",$F223&lt;&gt;"Réalisé",$F223&lt;&gt;"Clôturé"),"≤ 7 j",""))</f>
        <v/>
      </c>
      <c r="M223" s="29">
        <f>IF($B223="","",IFERROR(INDEX($T$4:$T$3183,MATCH(SMALL($V$4:$V$3183,220),$V$4:$V$3183,0)),""))</f>
        <v/>
      </c>
      <c r="O223">
        <f>IF(INDEX(Suivi!$B:$B,228)="","",INDEX(Suivi!$B:$B,228))</f>
        <v/>
      </c>
      <c r="P223">
        <f>IF($O223="","",IF(INDEX(Suivi!$D:$D,228)="",INDEX(Suivi!$C:$C,228),INDEX(Suivi!$D:$D,228)))</f>
        <v/>
      </c>
      <c r="Q223">
        <f>IF($O223="","",INDEX(Suivi!$E:$E,228))</f>
        <v/>
      </c>
      <c r="R223">
        <f>IF($O223="","",INDEX(Suivi!$F:$F,228))</f>
        <v/>
      </c>
      <c r="S223">
        <f>IF($O223="","",INDEX(Suivi!$G:$G,228))</f>
        <v/>
      </c>
      <c r="T223">
        <f>IF($O223="","",IF(INDEX(Dossiers!$F$4:$F$63,5)="","",INDEX(Dossiers!$F$4:$F$63,5)))</f>
        <v/>
      </c>
      <c r="U223">
        <f>IF($O223="","",IF(INDEX(Dossiers!$G$4:$G$63,5)="","",INDEX(Dossiers!$G$4:$G$63,5)))</f>
        <v/>
      </c>
      <c r="V223">
        <f>IF(OR($O223="",NOT(ISNUMBER($Q223))),"",$Q223*1000000+223)</f>
        <v/>
      </c>
      <c r="W223" s="29">
        <f>IF($B223="","",IFERROR(INDEX($U$4:$U$3183,MATCH(SMALL($V$4:$V$3183,220),$V$4:$V$3183,0)),""))</f>
        <v/>
      </c>
    </row>
    <row r="224">
      <c r="A224">
        <f>IFERROR(INDEX($N$4:$N$3183,MATCH(SMALL($V$4:$V$3183,221),$V$4:$V$3183,0)),"")</f>
        <v/>
      </c>
      <c r="B224">
        <f>IFERROR(INDEX($O$4:$O$3183,MATCH(SMALL($V$4:$V$3183,221),$V$4:$V$3183,0)),"")</f>
        <v/>
      </c>
      <c r="C224">
        <f>IFERROR(INDEX($P$4:$P$3183,MATCH(SMALL($V$4:$V$3183,221),$V$4:$V$3183,0)),"")</f>
        <v/>
      </c>
      <c r="D224" s="29">
        <f>IFERROR(INDEX($Q$4:$Q$3183,MATCH(SMALL($V$4:$V$3183,221),$V$4:$V$3183,0)),"")</f>
        <v/>
      </c>
      <c r="E224" s="29">
        <f>IFERROR(INDEX($R$4:$R$3183,MATCH(SMALL($V$4:$V$3183,221),$V$4:$V$3183,0)),"")</f>
        <v/>
      </c>
      <c r="F224">
        <f>IFERROR(INDEX($S$4:$S$3183,MATCH(SMALL($V$4:$V$3183,221),$V$4:$V$3183,0)),"")</f>
        <v/>
      </c>
      <c r="I224" s="29">
        <f>IF($B224="","",IFERROR(INDEX($U$4:$U$3183,MATCH(SMALL($V$4:$V$3183,221),$V$4:$V$3183,0)),""))</f>
        <v/>
      </c>
      <c r="J224">
        <f>IF($B224="","",IF($D224&gt;$F$2,"À venir",IF($E224&lt;$D$2,"Passé","Dans la période")))</f>
        <v/>
      </c>
      <c r="K224">
        <f>IF(OR($B224="",NOT(ISNUMBER($D224))),"",IF(AND($E224&lt;$D$2,$G224&lt;&gt;"X",$F224&lt;&gt;"Réalisé",$F224&lt;&gt;"Clôturé"),"RETARD",""))</f>
        <v/>
      </c>
      <c r="L224">
        <f>IF(OR($B224="",NOT(ISNUMBER($D224))),"",IF(AND($D224&gt;=$D$2,$D224&lt;=$H$2,$G224&lt;&gt;"X",$F224&lt;&gt;"Réalisé",$F224&lt;&gt;"Clôturé"),"≤ 7 j",""))</f>
        <v/>
      </c>
      <c r="M224" s="29">
        <f>IF($B224="","",IFERROR(INDEX($T$4:$T$3183,MATCH(SMALL($V$4:$V$3183,221),$V$4:$V$3183,0)),""))</f>
        <v/>
      </c>
      <c r="O224">
        <f>IF(INDEX(Suivi!$B:$B,229)="","",INDEX(Suivi!$B:$B,229))</f>
        <v/>
      </c>
      <c r="P224">
        <f>IF($O224="","",IF(INDEX(Suivi!$D:$D,229)="",INDEX(Suivi!$C:$C,229),INDEX(Suivi!$D:$D,229)))</f>
        <v/>
      </c>
      <c r="Q224">
        <f>IF($O224="","",INDEX(Suivi!$E:$E,229))</f>
        <v/>
      </c>
      <c r="R224">
        <f>IF($O224="","",INDEX(Suivi!$F:$F,229))</f>
        <v/>
      </c>
      <c r="S224">
        <f>IF($O224="","",INDEX(Suivi!$G:$G,229))</f>
        <v/>
      </c>
      <c r="T224">
        <f>IF($O224="","",IF(INDEX(Dossiers!$F$4:$F$63,5)="","",INDEX(Dossiers!$F$4:$F$63,5)))</f>
        <v/>
      </c>
      <c r="U224">
        <f>IF($O224="","",IF(INDEX(Dossiers!$G$4:$G$63,5)="","",INDEX(Dossiers!$G$4:$G$63,5)))</f>
        <v/>
      </c>
      <c r="V224">
        <f>IF(OR($O224="",NOT(ISNUMBER($Q224))),"",$Q224*1000000+224)</f>
        <v/>
      </c>
      <c r="W224" s="29">
        <f>IF($B224="","",IFERROR(INDEX($U$4:$U$3183,MATCH(SMALL($V$4:$V$3183,221),$V$4:$V$3183,0)),""))</f>
        <v/>
      </c>
    </row>
    <row r="225">
      <c r="A225">
        <f>IFERROR(INDEX($N$4:$N$3183,MATCH(SMALL($V$4:$V$3183,222),$V$4:$V$3183,0)),"")</f>
        <v/>
      </c>
      <c r="B225">
        <f>IFERROR(INDEX($O$4:$O$3183,MATCH(SMALL($V$4:$V$3183,222),$V$4:$V$3183,0)),"")</f>
        <v/>
      </c>
      <c r="C225">
        <f>IFERROR(INDEX($P$4:$P$3183,MATCH(SMALL($V$4:$V$3183,222),$V$4:$V$3183,0)),"")</f>
        <v/>
      </c>
      <c r="D225" s="29">
        <f>IFERROR(INDEX($Q$4:$Q$3183,MATCH(SMALL($V$4:$V$3183,222),$V$4:$V$3183,0)),"")</f>
        <v/>
      </c>
      <c r="E225" s="29">
        <f>IFERROR(INDEX($R$4:$R$3183,MATCH(SMALL($V$4:$V$3183,222),$V$4:$V$3183,0)),"")</f>
        <v/>
      </c>
      <c r="F225">
        <f>IFERROR(INDEX($S$4:$S$3183,MATCH(SMALL($V$4:$V$3183,222),$V$4:$V$3183,0)),"")</f>
        <v/>
      </c>
      <c r="I225" s="29">
        <f>IF($B225="","",IFERROR(INDEX($U$4:$U$3183,MATCH(SMALL($V$4:$V$3183,222),$V$4:$V$3183,0)),""))</f>
        <v/>
      </c>
      <c r="J225">
        <f>IF($B225="","",IF($D225&gt;$F$2,"À venir",IF($E225&lt;$D$2,"Passé","Dans la période")))</f>
        <v/>
      </c>
      <c r="K225">
        <f>IF(OR($B225="",NOT(ISNUMBER($D225))),"",IF(AND($E225&lt;$D$2,$G225&lt;&gt;"X",$F225&lt;&gt;"Réalisé",$F225&lt;&gt;"Clôturé"),"RETARD",""))</f>
        <v/>
      </c>
      <c r="L225">
        <f>IF(OR($B225="",NOT(ISNUMBER($D225))),"",IF(AND($D225&gt;=$D$2,$D225&lt;=$H$2,$G225&lt;&gt;"X",$F225&lt;&gt;"Réalisé",$F225&lt;&gt;"Clôturé"),"≤ 7 j",""))</f>
        <v/>
      </c>
      <c r="M225" s="29">
        <f>IF($B225="","",IFERROR(INDEX($T$4:$T$3183,MATCH(SMALL($V$4:$V$3183,222),$V$4:$V$3183,0)),""))</f>
        <v/>
      </c>
      <c r="O225">
        <f>IF(INDEX(Suivi!$B:$B,230)="","",INDEX(Suivi!$B:$B,230))</f>
        <v/>
      </c>
      <c r="P225">
        <f>IF($O225="","",IF(INDEX(Suivi!$D:$D,230)="",INDEX(Suivi!$C:$C,230),INDEX(Suivi!$D:$D,230)))</f>
        <v/>
      </c>
      <c r="Q225">
        <f>IF($O225="","",INDEX(Suivi!$E:$E,230))</f>
        <v/>
      </c>
      <c r="R225">
        <f>IF($O225="","",INDEX(Suivi!$F:$F,230))</f>
        <v/>
      </c>
      <c r="S225">
        <f>IF($O225="","",INDEX(Suivi!$G:$G,230))</f>
        <v/>
      </c>
      <c r="T225">
        <f>IF($O225="","",IF(INDEX(Dossiers!$F$4:$F$63,5)="","",INDEX(Dossiers!$F$4:$F$63,5)))</f>
        <v/>
      </c>
      <c r="U225">
        <f>IF($O225="","",IF(INDEX(Dossiers!$G$4:$G$63,5)="","",INDEX(Dossiers!$G$4:$G$63,5)))</f>
        <v/>
      </c>
      <c r="V225">
        <f>IF(OR($O225="",NOT(ISNUMBER($Q225))),"",$Q225*1000000+225)</f>
        <v/>
      </c>
      <c r="W225" s="29">
        <f>IF($B225="","",IFERROR(INDEX($U$4:$U$3183,MATCH(SMALL($V$4:$V$3183,222),$V$4:$V$3183,0)),""))</f>
        <v/>
      </c>
    </row>
    <row r="226">
      <c r="A226">
        <f>IFERROR(INDEX($N$4:$N$3183,MATCH(SMALL($V$4:$V$3183,223),$V$4:$V$3183,0)),"")</f>
        <v/>
      </c>
      <c r="B226">
        <f>IFERROR(INDEX($O$4:$O$3183,MATCH(SMALL($V$4:$V$3183,223),$V$4:$V$3183,0)),"")</f>
        <v/>
      </c>
      <c r="C226">
        <f>IFERROR(INDEX($P$4:$P$3183,MATCH(SMALL($V$4:$V$3183,223),$V$4:$V$3183,0)),"")</f>
        <v/>
      </c>
      <c r="D226" s="29">
        <f>IFERROR(INDEX($Q$4:$Q$3183,MATCH(SMALL($V$4:$V$3183,223),$V$4:$V$3183,0)),"")</f>
        <v/>
      </c>
      <c r="E226" s="29">
        <f>IFERROR(INDEX($R$4:$R$3183,MATCH(SMALL($V$4:$V$3183,223),$V$4:$V$3183,0)),"")</f>
        <v/>
      </c>
      <c r="F226">
        <f>IFERROR(INDEX($S$4:$S$3183,MATCH(SMALL($V$4:$V$3183,223),$V$4:$V$3183,0)),"")</f>
        <v/>
      </c>
      <c r="I226" s="29">
        <f>IF($B226="","",IFERROR(INDEX($U$4:$U$3183,MATCH(SMALL($V$4:$V$3183,223),$V$4:$V$3183,0)),""))</f>
        <v/>
      </c>
      <c r="J226">
        <f>IF($B226="","",IF($D226&gt;$F$2,"À venir",IF($E226&lt;$D$2,"Passé","Dans la période")))</f>
        <v/>
      </c>
      <c r="K226">
        <f>IF(OR($B226="",NOT(ISNUMBER($D226))),"",IF(AND($E226&lt;$D$2,$G226&lt;&gt;"X",$F226&lt;&gt;"Réalisé",$F226&lt;&gt;"Clôturé"),"RETARD",""))</f>
        <v/>
      </c>
      <c r="L226">
        <f>IF(OR($B226="",NOT(ISNUMBER($D226))),"",IF(AND($D226&gt;=$D$2,$D226&lt;=$H$2,$G226&lt;&gt;"X",$F226&lt;&gt;"Réalisé",$F226&lt;&gt;"Clôturé"),"≤ 7 j",""))</f>
        <v/>
      </c>
      <c r="M226" s="29">
        <f>IF($B226="","",IFERROR(INDEX($T$4:$T$3183,MATCH(SMALL($V$4:$V$3183,223),$V$4:$V$3183,0)),""))</f>
        <v/>
      </c>
      <c r="O226">
        <f>IF(INDEX(Suivi!$B:$B,231)="","",INDEX(Suivi!$B:$B,231))</f>
        <v/>
      </c>
      <c r="P226">
        <f>IF($O226="","",IF(INDEX(Suivi!$D:$D,231)="",INDEX(Suivi!$C:$C,231),INDEX(Suivi!$D:$D,231)))</f>
        <v/>
      </c>
      <c r="Q226">
        <f>IF($O226="","",INDEX(Suivi!$E:$E,231))</f>
        <v/>
      </c>
      <c r="R226">
        <f>IF($O226="","",INDEX(Suivi!$F:$F,231))</f>
        <v/>
      </c>
      <c r="S226">
        <f>IF($O226="","",INDEX(Suivi!$G:$G,231))</f>
        <v/>
      </c>
      <c r="T226">
        <f>IF($O226="","",IF(INDEX(Dossiers!$F$4:$F$63,5)="","",INDEX(Dossiers!$F$4:$F$63,5)))</f>
        <v/>
      </c>
      <c r="U226">
        <f>IF($O226="","",IF(INDEX(Dossiers!$G$4:$G$63,5)="","",INDEX(Dossiers!$G$4:$G$63,5)))</f>
        <v/>
      </c>
      <c r="V226">
        <f>IF(OR($O226="",NOT(ISNUMBER($Q226))),"",$Q226*1000000+226)</f>
        <v/>
      </c>
      <c r="W226" s="29">
        <f>IF($B226="","",IFERROR(INDEX($U$4:$U$3183,MATCH(SMALL($V$4:$V$3183,223),$V$4:$V$3183,0)),""))</f>
        <v/>
      </c>
    </row>
    <row r="227">
      <c r="A227">
        <f>IFERROR(INDEX($N$4:$N$3183,MATCH(SMALL($V$4:$V$3183,224),$V$4:$V$3183,0)),"")</f>
        <v/>
      </c>
      <c r="B227">
        <f>IFERROR(INDEX($O$4:$O$3183,MATCH(SMALL($V$4:$V$3183,224),$V$4:$V$3183,0)),"")</f>
        <v/>
      </c>
      <c r="C227">
        <f>IFERROR(INDEX($P$4:$P$3183,MATCH(SMALL($V$4:$V$3183,224),$V$4:$V$3183,0)),"")</f>
        <v/>
      </c>
      <c r="D227" s="29">
        <f>IFERROR(INDEX($Q$4:$Q$3183,MATCH(SMALL($V$4:$V$3183,224),$V$4:$V$3183,0)),"")</f>
        <v/>
      </c>
      <c r="E227" s="29">
        <f>IFERROR(INDEX($R$4:$R$3183,MATCH(SMALL($V$4:$V$3183,224),$V$4:$V$3183,0)),"")</f>
        <v/>
      </c>
      <c r="F227">
        <f>IFERROR(INDEX($S$4:$S$3183,MATCH(SMALL($V$4:$V$3183,224),$V$4:$V$3183,0)),"")</f>
        <v/>
      </c>
      <c r="I227" s="29">
        <f>IF($B227="","",IFERROR(INDEX($U$4:$U$3183,MATCH(SMALL($V$4:$V$3183,224),$V$4:$V$3183,0)),""))</f>
        <v/>
      </c>
      <c r="J227">
        <f>IF($B227="","",IF($D227&gt;$F$2,"À venir",IF($E227&lt;$D$2,"Passé","Dans la période")))</f>
        <v/>
      </c>
      <c r="K227">
        <f>IF(OR($B227="",NOT(ISNUMBER($D227))),"",IF(AND($E227&lt;$D$2,$G227&lt;&gt;"X",$F227&lt;&gt;"Réalisé",$F227&lt;&gt;"Clôturé"),"RETARD",""))</f>
        <v/>
      </c>
      <c r="L227">
        <f>IF(OR($B227="",NOT(ISNUMBER($D227))),"",IF(AND($D227&gt;=$D$2,$D227&lt;=$H$2,$G227&lt;&gt;"X",$F227&lt;&gt;"Réalisé",$F227&lt;&gt;"Clôturé"),"≤ 7 j",""))</f>
        <v/>
      </c>
      <c r="M227" s="29">
        <f>IF($B227="","",IFERROR(INDEX($T$4:$T$3183,MATCH(SMALL($V$4:$V$3183,224),$V$4:$V$3183,0)),""))</f>
        <v/>
      </c>
      <c r="O227">
        <f>IF(INDEX(Suivi!$B:$B,232)="","",INDEX(Suivi!$B:$B,232))</f>
        <v/>
      </c>
      <c r="P227">
        <f>IF($O227="","",IF(INDEX(Suivi!$D:$D,232)="",INDEX(Suivi!$C:$C,232),INDEX(Suivi!$D:$D,232)))</f>
        <v/>
      </c>
      <c r="Q227">
        <f>IF($O227="","",INDEX(Suivi!$E:$E,232))</f>
        <v/>
      </c>
      <c r="R227">
        <f>IF($O227="","",INDEX(Suivi!$F:$F,232))</f>
        <v/>
      </c>
      <c r="S227">
        <f>IF($O227="","",INDEX(Suivi!$G:$G,232))</f>
        <v/>
      </c>
      <c r="T227">
        <f>IF($O227="","",IF(INDEX(Dossiers!$F$4:$F$63,5)="","",INDEX(Dossiers!$F$4:$F$63,5)))</f>
        <v/>
      </c>
      <c r="U227">
        <f>IF($O227="","",IF(INDEX(Dossiers!$G$4:$G$63,5)="","",INDEX(Dossiers!$G$4:$G$63,5)))</f>
        <v/>
      </c>
      <c r="V227">
        <f>IF(OR($O227="",NOT(ISNUMBER($Q227))),"",$Q227*1000000+227)</f>
        <v/>
      </c>
      <c r="W227" s="29">
        <f>IF($B227="","",IFERROR(INDEX($U$4:$U$3183,MATCH(SMALL($V$4:$V$3183,224),$V$4:$V$3183,0)),""))</f>
        <v/>
      </c>
    </row>
    <row r="228">
      <c r="A228">
        <f>IFERROR(INDEX($N$4:$N$3183,MATCH(SMALL($V$4:$V$3183,225),$V$4:$V$3183,0)),"")</f>
        <v/>
      </c>
      <c r="B228">
        <f>IFERROR(INDEX($O$4:$O$3183,MATCH(SMALL($V$4:$V$3183,225),$V$4:$V$3183,0)),"")</f>
        <v/>
      </c>
      <c r="C228">
        <f>IFERROR(INDEX($P$4:$P$3183,MATCH(SMALL($V$4:$V$3183,225),$V$4:$V$3183,0)),"")</f>
        <v/>
      </c>
      <c r="D228" s="29">
        <f>IFERROR(INDEX($Q$4:$Q$3183,MATCH(SMALL($V$4:$V$3183,225),$V$4:$V$3183,0)),"")</f>
        <v/>
      </c>
      <c r="E228" s="29">
        <f>IFERROR(INDEX($R$4:$R$3183,MATCH(SMALL($V$4:$V$3183,225),$V$4:$V$3183,0)),"")</f>
        <v/>
      </c>
      <c r="F228">
        <f>IFERROR(INDEX($S$4:$S$3183,MATCH(SMALL($V$4:$V$3183,225),$V$4:$V$3183,0)),"")</f>
        <v/>
      </c>
      <c r="I228" s="29">
        <f>IF($B228="","",IFERROR(INDEX($U$4:$U$3183,MATCH(SMALL($V$4:$V$3183,225),$V$4:$V$3183,0)),""))</f>
        <v/>
      </c>
      <c r="J228">
        <f>IF($B228="","",IF($D228&gt;$F$2,"À venir",IF($E228&lt;$D$2,"Passé","Dans la période")))</f>
        <v/>
      </c>
      <c r="K228">
        <f>IF(OR($B228="",NOT(ISNUMBER($D228))),"",IF(AND($E228&lt;$D$2,$G228&lt;&gt;"X",$F228&lt;&gt;"Réalisé",$F228&lt;&gt;"Clôturé"),"RETARD",""))</f>
        <v/>
      </c>
      <c r="L228">
        <f>IF(OR($B228="",NOT(ISNUMBER($D228))),"",IF(AND($D228&gt;=$D$2,$D228&lt;=$H$2,$G228&lt;&gt;"X",$F228&lt;&gt;"Réalisé",$F228&lt;&gt;"Clôturé"),"≤ 7 j",""))</f>
        <v/>
      </c>
      <c r="M228" s="29">
        <f>IF($B228="","",IFERROR(INDEX($T$4:$T$3183,MATCH(SMALL($V$4:$V$3183,225),$V$4:$V$3183,0)),""))</f>
        <v/>
      </c>
      <c r="O228">
        <f>IF(INDEX(Suivi!$B:$B,233)="","",INDEX(Suivi!$B:$B,233))</f>
        <v/>
      </c>
      <c r="P228">
        <f>IF($O228="","",IF(INDEX(Suivi!$D:$D,233)="",INDEX(Suivi!$C:$C,233),INDEX(Suivi!$D:$D,233)))</f>
        <v/>
      </c>
      <c r="Q228">
        <f>IF($O228="","",INDEX(Suivi!$E:$E,233))</f>
        <v/>
      </c>
      <c r="R228">
        <f>IF($O228="","",INDEX(Suivi!$F:$F,233))</f>
        <v/>
      </c>
      <c r="S228">
        <f>IF($O228="","",INDEX(Suivi!$G:$G,233))</f>
        <v/>
      </c>
      <c r="T228">
        <f>IF($O228="","",IF(INDEX(Dossiers!$F$4:$F$63,5)="","",INDEX(Dossiers!$F$4:$F$63,5)))</f>
        <v/>
      </c>
      <c r="U228">
        <f>IF($O228="","",IF(INDEX(Dossiers!$G$4:$G$63,5)="","",INDEX(Dossiers!$G$4:$G$63,5)))</f>
        <v/>
      </c>
      <c r="V228">
        <f>IF(OR($O228="",NOT(ISNUMBER($Q228))),"",$Q228*1000000+228)</f>
        <v/>
      </c>
      <c r="W228" s="29">
        <f>IF($B228="","",IFERROR(INDEX($U$4:$U$3183,MATCH(SMALL($V$4:$V$3183,225),$V$4:$V$3183,0)),""))</f>
        <v/>
      </c>
    </row>
    <row r="229">
      <c r="A229">
        <f>IFERROR(INDEX($N$4:$N$3183,MATCH(SMALL($V$4:$V$3183,226),$V$4:$V$3183,0)),"")</f>
        <v/>
      </c>
      <c r="B229">
        <f>IFERROR(INDEX($O$4:$O$3183,MATCH(SMALL($V$4:$V$3183,226),$V$4:$V$3183,0)),"")</f>
        <v/>
      </c>
      <c r="C229">
        <f>IFERROR(INDEX($P$4:$P$3183,MATCH(SMALL($V$4:$V$3183,226),$V$4:$V$3183,0)),"")</f>
        <v/>
      </c>
      <c r="D229" s="29">
        <f>IFERROR(INDEX($Q$4:$Q$3183,MATCH(SMALL($V$4:$V$3183,226),$V$4:$V$3183,0)),"")</f>
        <v/>
      </c>
      <c r="E229" s="29">
        <f>IFERROR(INDEX($R$4:$R$3183,MATCH(SMALL($V$4:$V$3183,226),$V$4:$V$3183,0)),"")</f>
        <v/>
      </c>
      <c r="F229">
        <f>IFERROR(INDEX($S$4:$S$3183,MATCH(SMALL($V$4:$V$3183,226),$V$4:$V$3183,0)),"")</f>
        <v/>
      </c>
      <c r="I229" s="29">
        <f>IF($B229="","",IFERROR(INDEX($U$4:$U$3183,MATCH(SMALL($V$4:$V$3183,226),$V$4:$V$3183,0)),""))</f>
        <v/>
      </c>
      <c r="J229">
        <f>IF($B229="","",IF($D229&gt;$F$2,"À venir",IF($E229&lt;$D$2,"Passé","Dans la période")))</f>
        <v/>
      </c>
      <c r="K229">
        <f>IF(OR($B229="",NOT(ISNUMBER($D229))),"",IF(AND($E229&lt;$D$2,$G229&lt;&gt;"X",$F229&lt;&gt;"Réalisé",$F229&lt;&gt;"Clôturé"),"RETARD",""))</f>
        <v/>
      </c>
      <c r="L229">
        <f>IF(OR($B229="",NOT(ISNUMBER($D229))),"",IF(AND($D229&gt;=$D$2,$D229&lt;=$H$2,$G229&lt;&gt;"X",$F229&lt;&gt;"Réalisé",$F229&lt;&gt;"Clôturé"),"≤ 7 j",""))</f>
        <v/>
      </c>
      <c r="M229" s="29">
        <f>IF($B229="","",IFERROR(INDEX($T$4:$T$3183,MATCH(SMALL($V$4:$V$3183,226),$V$4:$V$3183,0)),""))</f>
        <v/>
      </c>
      <c r="O229">
        <f>IF(INDEX(Suivi!$B:$B,234)="","",INDEX(Suivi!$B:$B,234))</f>
        <v/>
      </c>
      <c r="P229">
        <f>IF($O229="","",IF(INDEX(Suivi!$D:$D,234)="",INDEX(Suivi!$C:$C,234),INDEX(Suivi!$D:$D,234)))</f>
        <v/>
      </c>
      <c r="Q229">
        <f>IF($O229="","",INDEX(Suivi!$E:$E,234))</f>
        <v/>
      </c>
      <c r="R229">
        <f>IF($O229="","",INDEX(Suivi!$F:$F,234))</f>
        <v/>
      </c>
      <c r="S229">
        <f>IF($O229="","",INDEX(Suivi!$G:$G,234))</f>
        <v/>
      </c>
      <c r="T229">
        <f>IF($O229="","",IF(INDEX(Dossiers!$F$4:$F$63,5)="","",INDEX(Dossiers!$F$4:$F$63,5)))</f>
        <v/>
      </c>
      <c r="U229">
        <f>IF($O229="","",IF(INDEX(Dossiers!$G$4:$G$63,5)="","",INDEX(Dossiers!$G$4:$G$63,5)))</f>
        <v/>
      </c>
      <c r="V229">
        <f>IF(OR($O229="",NOT(ISNUMBER($Q229))),"",$Q229*1000000+229)</f>
        <v/>
      </c>
      <c r="W229" s="29">
        <f>IF($B229="","",IFERROR(INDEX($U$4:$U$3183,MATCH(SMALL($V$4:$V$3183,226),$V$4:$V$3183,0)),""))</f>
        <v/>
      </c>
    </row>
    <row r="230">
      <c r="A230">
        <f>IFERROR(INDEX($N$4:$N$3183,MATCH(SMALL($V$4:$V$3183,227),$V$4:$V$3183,0)),"")</f>
        <v/>
      </c>
      <c r="B230">
        <f>IFERROR(INDEX($O$4:$O$3183,MATCH(SMALL($V$4:$V$3183,227),$V$4:$V$3183,0)),"")</f>
        <v/>
      </c>
      <c r="C230">
        <f>IFERROR(INDEX($P$4:$P$3183,MATCH(SMALL($V$4:$V$3183,227),$V$4:$V$3183,0)),"")</f>
        <v/>
      </c>
      <c r="D230" s="29">
        <f>IFERROR(INDEX($Q$4:$Q$3183,MATCH(SMALL($V$4:$V$3183,227),$V$4:$V$3183,0)),"")</f>
        <v/>
      </c>
      <c r="E230" s="29">
        <f>IFERROR(INDEX($R$4:$R$3183,MATCH(SMALL($V$4:$V$3183,227),$V$4:$V$3183,0)),"")</f>
        <v/>
      </c>
      <c r="F230">
        <f>IFERROR(INDEX($S$4:$S$3183,MATCH(SMALL($V$4:$V$3183,227),$V$4:$V$3183,0)),"")</f>
        <v/>
      </c>
      <c r="I230" s="29">
        <f>IF($B230="","",IFERROR(INDEX($U$4:$U$3183,MATCH(SMALL($V$4:$V$3183,227),$V$4:$V$3183,0)),""))</f>
        <v/>
      </c>
      <c r="J230">
        <f>IF($B230="","",IF($D230&gt;$F$2,"À venir",IF($E230&lt;$D$2,"Passé","Dans la période")))</f>
        <v/>
      </c>
      <c r="K230">
        <f>IF(OR($B230="",NOT(ISNUMBER($D230))),"",IF(AND($E230&lt;$D$2,$G230&lt;&gt;"X",$F230&lt;&gt;"Réalisé",$F230&lt;&gt;"Clôturé"),"RETARD",""))</f>
        <v/>
      </c>
      <c r="L230">
        <f>IF(OR($B230="",NOT(ISNUMBER($D230))),"",IF(AND($D230&gt;=$D$2,$D230&lt;=$H$2,$G230&lt;&gt;"X",$F230&lt;&gt;"Réalisé",$F230&lt;&gt;"Clôturé"),"≤ 7 j",""))</f>
        <v/>
      </c>
      <c r="M230" s="29">
        <f>IF($B230="","",IFERROR(INDEX($T$4:$T$3183,MATCH(SMALL($V$4:$V$3183,227),$V$4:$V$3183,0)),""))</f>
        <v/>
      </c>
      <c r="O230">
        <f>IF(INDEX(Suivi!$B:$B,235)="","",INDEX(Suivi!$B:$B,235))</f>
        <v/>
      </c>
      <c r="P230">
        <f>IF($O230="","",IF(INDEX(Suivi!$D:$D,235)="",INDEX(Suivi!$C:$C,235),INDEX(Suivi!$D:$D,235)))</f>
        <v/>
      </c>
      <c r="Q230">
        <f>IF($O230="","",INDEX(Suivi!$E:$E,235))</f>
        <v/>
      </c>
      <c r="R230">
        <f>IF($O230="","",INDEX(Suivi!$F:$F,235))</f>
        <v/>
      </c>
      <c r="S230">
        <f>IF($O230="","",INDEX(Suivi!$G:$G,235))</f>
        <v/>
      </c>
      <c r="T230">
        <f>IF($O230="","",IF(INDEX(Dossiers!$F$4:$F$63,5)="","",INDEX(Dossiers!$F$4:$F$63,5)))</f>
        <v/>
      </c>
      <c r="U230">
        <f>IF($O230="","",IF(INDEX(Dossiers!$G$4:$G$63,5)="","",INDEX(Dossiers!$G$4:$G$63,5)))</f>
        <v/>
      </c>
      <c r="V230">
        <f>IF(OR($O230="",NOT(ISNUMBER($Q230))),"",$Q230*1000000+230)</f>
        <v/>
      </c>
      <c r="W230" s="29">
        <f>IF($B230="","",IFERROR(INDEX($U$4:$U$3183,MATCH(SMALL($V$4:$V$3183,227),$V$4:$V$3183,0)),""))</f>
        <v/>
      </c>
    </row>
    <row r="231">
      <c r="A231">
        <f>IFERROR(INDEX($N$4:$N$3183,MATCH(SMALL($V$4:$V$3183,228),$V$4:$V$3183,0)),"")</f>
        <v/>
      </c>
      <c r="B231">
        <f>IFERROR(INDEX($O$4:$O$3183,MATCH(SMALL($V$4:$V$3183,228),$V$4:$V$3183,0)),"")</f>
        <v/>
      </c>
      <c r="C231">
        <f>IFERROR(INDEX($P$4:$P$3183,MATCH(SMALL($V$4:$V$3183,228),$V$4:$V$3183,0)),"")</f>
        <v/>
      </c>
      <c r="D231" s="29">
        <f>IFERROR(INDEX($Q$4:$Q$3183,MATCH(SMALL($V$4:$V$3183,228),$V$4:$V$3183,0)),"")</f>
        <v/>
      </c>
      <c r="E231" s="29">
        <f>IFERROR(INDEX($R$4:$R$3183,MATCH(SMALL($V$4:$V$3183,228),$V$4:$V$3183,0)),"")</f>
        <v/>
      </c>
      <c r="F231">
        <f>IFERROR(INDEX($S$4:$S$3183,MATCH(SMALL($V$4:$V$3183,228),$V$4:$V$3183,0)),"")</f>
        <v/>
      </c>
      <c r="I231" s="29">
        <f>IF($B231="","",IFERROR(INDEX($U$4:$U$3183,MATCH(SMALL($V$4:$V$3183,228),$V$4:$V$3183,0)),""))</f>
        <v/>
      </c>
      <c r="J231">
        <f>IF($B231="","",IF($D231&gt;$F$2,"À venir",IF($E231&lt;$D$2,"Passé","Dans la période")))</f>
        <v/>
      </c>
      <c r="K231">
        <f>IF(OR($B231="",NOT(ISNUMBER($D231))),"",IF(AND($E231&lt;$D$2,$G231&lt;&gt;"X",$F231&lt;&gt;"Réalisé",$F231&lt;&gt;"Clôturé"),"RETARD",""))</f>
        <v/>
      </c>
      <c r="L231">
        <f>IF(OR($B231="",NOT(ISNUMBER($D231))),"",IF(AND($D231&gt;=$D$2,$D231&lt;=$H$2,$G231&lt;&gt;"X",$F231&lt;&gt;"Réalisé",$F231&lt;&gt;"Clôturé"),"≤ 7 j",""))</f>
        <v/>
      </c>
      <c r="M231" s="29">
        <f>IF($B231="","",IFERROR(INDEX($T$4:$T$3183,MATCH(SMALL($V$4:$V$3183,228),$V$4:$V$3183,0)),""))</f>
        <v/>
      </c>
      <c r="O231">
        <f>IF(INDEX(Suivi!$B:$B,236)="","",INDEX(Suivi!$B:$B,236))</f>
        <v/>
      </c>
      <c r="P231">
        <f>IF($O231="","",IF(INDEX(Suivi!$D:$D,236)="",INDEX(Suivi!$C:$C,236),INDEX(Suivi!$D:$D,236)))</f>
        <v/>
      </c>
      <c r="Q231">
        <f>IF($O231="","",INDEX(Suivi!$E:$E,236))</f>
        <v/>
      </c>
      <c r="R231">
        <f>IF($O231="","",INDEX(Suivi!$F:$F,236))</f>
        <v/>
      </c>
      <c r="S231">
        <f>IF($O231="","",INDEX(Suivi!$G:$G,236))</f>
        <v/>
      </c>
      <c r="T231">
        <f>IF($O231="","",IF(INDEX(Dossiers!$F$4:$F$63,5)="","",INDEX(Dossiers!$F$4:$F$63,5)))</f>
        <v/>
      </c>
      <c r="U231">
        <f>IF($O231="","",IF(INDEX(Dossiers!$G$4:$G$63,5)="","",INDEX(Dossiers!$G$4:$G$63,5)))</f>
        <v/>
      </c>
      <c r="V231">
        <f>IF(OR($O231="",NOT(ISNUMBER($Q231))),"",$Q231*1000000+231)</f>
        <v/>
      </c>
      <c r="W231" s="29">
        <f>IF($B231="","",IFERROR(INDEX($U$4:$U$3183,MATCH(SMALL($V$4:$V$3183,228),$V$4:$V$3183,0)),""))</f>
        <v/>
      </c>
    </row>
    <row r="232">
      <c r="A232">
        <f>IFERROR(INDEX($N$4:$N$3183,MATCH(SMALL($V$4:$V$3183,229),$V$4:$V$3183,0)),"")</f>
        <v/>
      </c>
      <c r="B232">
        <f>IFERROR(INDEX($O$4:$O$3183,MATCH(SMALL($V$4:$V$3183,229),$V$4:$V$3183,0)),"")</f>
        <v/>
      </c>
      <c r="C232">
        <f>IFERROR(INDEX($P$4:$P$3183,MATCH(SMALL($V$4:$V$3183,229),$V$4:$V$3183,0)),"")</f>
        <v/>
      </c>
      <c r="D232" s="29">
        <f>IFERROR(INDEX($Q$4:$Q$3183,MATCH(SMALL($V$4:$V$3183,229),$V$4:$V$3183,0)),"")</f>
        <v/>
      </c>
      <c r="E232" s="29">
        <f>IFERROR(INDEX($R$4:$R$3183,MATCH(SMALL($V$4:$V$3183,229),$V$4:$V$3183,0)),"")</f>
        <v/>
      </c>
      <c r="F232">
        <f>IFERROR(INDEX($S$4:$S$3183,MATCH(SMALL($V$4:$V$3183,229),$V$4:$V$3183,0)),"")</f>
        <v/>
      </c>
      <c r="I232" s="29">
        <f>IF($B232="","",IFERROR(INDEX($U$4:$U$3183,MATCH(SMALL($V$4:$V$3183,229),$V$4:$V$3183,0)),""))</f>
        <v/>
      </c>
      <c r="J232">
        <f>IF($B232="","",IF($D232&gt;$F$2,"À venir",IF($E232&lt;$D$2,"Passé","Dans la période")))</f>
        <v/>
      </c>
      <c r="K232">
        <f>IF(OR($B232="",NOT(ISNUMBER($D232))),"",IF(AND($E232&lt;$D$2,$G232&lt;&gt;"X",$F232&lt;&gt;"Réalisé",$F232&lt;&gt;"Clôturé"),"RETARD",""))</f>
        <v/>
      </c>
      <c r="L232">
        <f>IF(OR($B232="",NOT(ISNUMBER($D232))),"",IF(AND($D232&gt;=$D$2,$D232&lt;=$H$2,$G232&lt;&gt;"X",$F232&lt;&gt;"Réalisé",$F232&lt;&gt;"Clôturé"),"≤ 7 j",""))</f>
        <v/>
      </c>
      <c r="M232" s="29">
        <f>IF($B232="","",IFERROR(INDEX($T$4:$T$3183,MATCH(SMALL($V$4:$V$3183,229),$V$4:$V$3183,0)),""))</f>
        <v/>
      </c>
      <c r="O232">
        <f>IF(INDEX(Suivi!$B:$B,237)="","",INDEX(Suivi!$B:$B,237))</f>
        <v/>
      </c>
      <c r="P232">
        <f>IF($O232="","",IF(INDEX(Suivi!$D:$D,237)="",INDEX(Suivi!$C:$C,237),INDEX(Suivi!$D:$D,237)))</f>
        <v/>
      </c>
      <c r="Q232">
        <f>IF($O232="","",INDEX(Suivi!$E:$E,237))</f>
        <v/>
      </c>
      <c r="R232">
        <f>IF($O232="","",INDEX(Suivi!$F:$F,237))</f>
        <v/>
      </c>
      <c r="S232">
        <f>IF($O232="","",INDEX(Suivi!$G:$G,237))</f>
        <v/>
      </c>
      <c r="T232">
        <f>IF($O232="","",IF(INDEX(Dossiers!$F$4:$F$63,5)="","",INDEX(Dossiers!$F$4:$F$63,5)))</f>
        <v/>
      </c>
      <c r="U232">
        <f>IF($O232="","",IF(INDEX(Dossiers!$G$4:$G$63,5)="","",INDEX(Dossiers!$G$4:$G$63,5)))</f>
        <v/>
      </c>
      <c r="V232">
        <f>IF(OR($O232="",NOT(ISNUMBER($Q232))),"",$Q232*1000000+232)</f>
        <v/>
      </c>
      <c r="W232" s="29">
        <f>IF($B232="","",IFERROR(INDEX($U$4:$U$3183,MATCH(SMALL($V$4:$V$3183,229),$V$4:$V$3183,0)),""))</f>
        <v/>
      </c>
    </row>
    <row r="233">
      <c r="A233">
        <f>IFERROR(INDEX($N$4:$N$3183,MATCH(SMALL($V$4:$V$3183,230),$V$4:$V$3183,0)),"")</f>
        <v/>
      </c>
      <c r="B233">
        <f>IFERROR(INDEX($O$4:$O$3183,MATCH(SMALL($V$4:$V$3183,230),$V$4:$V$3183,0)),"")</f>
        <v/>
      </c>
      <c r="C233">
        <f>IFERROR(INDEX($P$4:$P$3183,MATCH(SMALL($V$4:$V$3183,230),$V$4:$V$3183,0)),"")</f>
        <v/>
      </c>
      <c r="D233" s="29">
        <f>IFERROR(INDEX($Q$4:$Q$3183,MATCH(SMALL($V$4:$V$3183,230),$V$4:$V$3183,0)),"")</f>
        <v/>
      </c>
      <c r="E233" s="29">
        <f>IFERROR(INDEX($R$4:$R$3183,MATCH(SMALL($V$4:$V$3183,230),$V$4:$V$3183,0)),"")</f>
        <v/>
      </c>
      <c r="F233">
        <f>IFERROR(INDEX($S$4:$S$3183,MATCH(SMALL($V$4:$V$3183,230),$V$4:$V$3183,0)),"")</f>
        <v/>
      </c>
      <c r="I233" s="29">
        <f>IF($B233="","",IFERROR(INDEX($U$4:$U$3183,MATCH(SMALL($V$4:$V$3183,230),$V$4:$V$3183,0)),""))</f>
        <v/>
      </c>
      <c r="J233">
        <f>IF($B233="","",IF($D233&gt;$F$2,"À venir",IF($E233&lt;$D$2,"Passé","Dans la période")))</f>
        <v/>
      </c>
      <c r="K233">
        <f>IF(OR($B233="",NOT(ISNUMBER($D233))),"",IF(AND($E233&lt;$D$2,$G233&lt;&gt;"X",$F233&lt;&gt;"Réalisé",$F233&lt;&gt;"Clôturé"),"RETARD",""))</f>
        <v/>
      </c>
      <c r="L233">
        <f>IF(OR($B233="",NOT(ISNUMBER($D233))),"",IF(AND($D233&gt;=$D$2,$D233&lt;=$H$2,$G233&lt;&gt;"X",$F233&lt;&gt;"Réalisé",$F233&lt;&gt;"Clôturé"),"≤ 7 j",""))</f>
        <v/>
      </c>
      <c r="M233" s="29">
        <f>IF($B233="","",IFERROR(INDEX($T$4:$T$3183,MATCH(SMALL($V$4:$V$3183,230),$V$4:$V$3183,0)),""))</f>
        <v/>
      </c>
      <c r="O233">
        <f>IF(INDEX(Suivi!$B:$B,238)="","",INDEX(Suivi!$B:$B,238))</f>
        <v/>
      </c>
      <c r="P233">
        <f>IF($O233="","",IF(INDEX(Suivi!$D:$D,238)="",INDEX(Suivi!$C:$C,238),INDEX(Suivi!$D:$D,238)))</f>
        <v/>
      </c>
      <c r="Q233">
        <f>IF($O233="","",INDEX(Suivi!$E:$E,238))</f>
        <v/>
      </c>
      <c r="R233">
        <f>IF($O233="","",INDEX(Suivi!$F:$F,238))</f>
        <v/>
      </c>
      <c r="S233">
        <f>IF($O233="","",INDEX(Suivi!$G:$G,238))</f>
        <v/>
      </c>
      <c r="T233">
        <f>IF($O233="","",IF(INDEX(Dossiers!$F$4:$F$63,5)="","",INDEX(Dossiers!$F$4:$F$63,5)))</f>
        <v/>
      </c>
      <c r="U233">
        <f>IF($O233="","",IF(INDEX(Dossiers!$G$4:$G$63,5)="","",INDEX(Dossiers!$G$4:$G$63,5)))</f>
        <v/>
      </c>
      <c r="V233">
        <f>IF(OR($O233="",NOT(ISNUMBER($Q233))),"",$Q233*1000000+233)</f>
        <v/>
      </c>
      <c r="W233" s="29">
        <f>IF($B233="","",IFERROR(INDEX($U$4:$U$3183,MATCH(SMALL($V$4:$V$3183,230),$V$4:$V$3183,0)),""))</f>
        <v/>
      </c>
    </row>
    <row r="234">
      <c r="A234">
        <f>IFERROR(INDEX($N$4:$N$3183,MATCH(SMALL($V$4:$V$3183,231),$V$4:$V$3183,0)),"")</f>
        <v/>
      </c>
      <c r="B234">
        <f>IFERROR(INDEX($O$4:$O$3183,MATCH(SMALL($V$4:$V$3183,231),$V$4:$V$3183,0)),"")</f>
        <v/>
      </c>
      <c r="C234">
        <f>IFERROR(INDEX($P$4:$P$3183,MATCH(SMALL($V$4:$V$3183,231),$V$4:$V$3183,0)),"")</f>
        <v/>
      </c>
      <c r="D234" s="29">
        <f>IFERROR(INDEX($Q$4:$Q$3183,MATCH(SMALL($V$4:$V$3183,231),$V$4:$V$3183,0)),"")</f>
        <v/>
      </c>
      <c r="E234" s="29">
        <f>IFERROR(INDEX($R$4:$R$3183,MATCH(SMALL($V$4:$V$3183,231),$V$4:$V$3183,0)),"")</f>
        <v/>
      </c>
      <c r="F234">
        <f>IFERROR(INDEX($S$4:$S$3183,MATCH(SMALL($V$4:$V$3183,231),$V$4:$V$3183,0)),"")</f>
        <v/>
      </c>
      <c r="I234" s="29">
        <f>IF($B234="","",IFERROR(INDEX($U$4:$U$3183,MATCH(SMALL($V$4:$V$3183,231),$V$4:$V$3183,0)),""))</f>
        <v/>
      </c>
      <c r="J234">
        <f>IF($B234="","",IF($D234&gt;$F$2,"À venir",IF($E234&lt;$D$2,"Passé","Dans la période")))</f>
        <v/>
      </c>
      <c r="K234">
        <f>IF(OR($B234="",NOT(ISNUMBER($D234))),"",IF(AND($E234&lt;$D$2,$G234&lt;&gt;"X",$F234&lt;&gt;"Réalisé",$F234&lt;&gt;"Clôturé"),"RETARD",""))</f>
        <v/>
      </c>
      <c r="L234">
        <f>IF(OR($B234="",NOT(ISNUMBER($D234))),"",IF(AND($D234&gt;=$D$2,$D234&lt;=$H$2,$G234&lt;&gt;"X",$F234&lt;&gt;"Réalisé",$F234&lt;&gt;"Clôturé"),"≤ 7 j",""))</f>
        <v/>
      </c>
      <c r="M234" s="29">
        <f>IF($B234="","",IFERROR(INDEX($T$4:$T$3183,MATCH(SMALL($V$4:$V$3183,231),$V$4:$V$3183,0)),""))</f>
        <v/>
      </c>
      <c r="O234">
        <f>IF(INDEX(Suivi!$B:$B,239)="","",INDEX(Suivi!$B:$B,239))</f>
        <v/>
      </c>
      <c r="P234">
        <f>IF($O234="","",IF(INDEX(Suivi!$D:$D,239)="",INDEX(Suivi!$C:$C,239),INDEX(Suivi!$D:$D,239)))</f>
        <v/>
      </c>
      <c r="Q234">
        <f>IF($O234="","",INDEX(Suivi!$E:$E,239))</f>
        <v/>
      </c>
      <c r="R234">
        <f>IF($O234="","",INDEX(Suivi!$F:$F,239))</f>
        <v/>
      </c>
      <c r="S234">
        <f>IF($O234="","",INDEX(Suivi!$G:$G,239))</f>
        <v/>
      </c>
      <c r="T234">
        <f>IF($O234="","",IF(INDEX(Dossiers!$F$4:$F$63,5)="","",INDEX(Dossiers!$F$4:$F$63,5)))</f>
        <v/>
      </c>
      <c r="U234">
        <f>IF($O234="","",IF(INDEX(Dossiers!$G$4:$G$63,5)="","",INDEX(Dossiers!$G$4:$G$63,5)))</f>
        <v/>
      </c>
      <c r="V234">
        <f>IF(OR($O234="",NOT(ISNUMBER($Q234))),"",$Q234*1000000+234)</f>
        <v/>
      </c>
      <c r="W234" s="29">
        <f>IF($B234="","",IFERROR(INDEX($U$4:$U$3183,MATCH(SMALL($V$4:$V$3183,231),$V$4:$V$3183,0)),""))</f>
        <v/>
      </c>
    </row>
    <row r="235">
      <c r="A235">
        <f>IFERROR(INDEX($N$4:$N$3183,MATCH(SMALL($V$4:$V$3183,232),$V$4:$V$3183,0)),"")</f>
        <v/>
      </c>
      <c r="B235">
        <f>IFERROR(INDEX($O$4:$O$3183,MATCH(SMALL($V$4:$V$3183,232),$V$4:$V$3183,0)),"")</f>
        <v/>
      </c>
      <c r="C235">
        <f>IFERROR(INDEX($P$4:$P$3183,MATCH(SMALL($V$4:$V$3183,232),$V$4:$V$3183,0)),"")</f>
        <v/>
      </c>
      <c r="D235" s="29">
        <f>IFERROR(INDEX($Q$4:$Q$3183,MATCH(SMALL($V$4:$V$3183,232),$V$4:$V$3183,0)),"")</f>
        <v/>
      </c>
      <c r="E235" s="29">
        <f>IFERROR(INDEX($R$4:$R$3183,MATCH(SMALL($V$4:$V$3183,232),$V$4:$V$3183,0)),"")</f>
        <v/>
      </c>
      <c r="F235">
        <f>IFERROR(INDEX($S$4:$S$3183,MATCH(SMALL($V$4:$V$3183,232),$V$4:$V$3183,0)),"")</f>
        <v/>
      </c>
      <c r="I235" s="29">
        <f>IF($B235="","",IFERROR(INDEX($U$4:$U$3183,MATCH(SMALL($V$4:$V$3183,232),$V$4:$V$3183,0)),""))</f>
        <v/>
      </c>
      <c r="J235">
        <f>IF($B235="","",IF($D235&gt;$F$2,"À venir",IF($E235&lt;$D$2,"Passé","Dans la période")))</f>
        <v/>
      </c>
      <c r="K235">
        <f>IF(OR($B235="",NOT(ISNUMBER($D235))),"",IF(AND($E235&lt;$D$2,$G235&lt;&gt;"X",$F235&lt;&gt;"Réalisé",$F235&lt;&gt;"Clôturé"),"RETARD",""))</f>
        <v/>
      </c>
      <c r="L235">
        <f>IF(OR($B235="",NOT(ISNUMBER($D235))),"",IF(AND($D235&gt;=$D$2,$D235&lt;=$H$2,$G235&lt;&gt;"X",$F235&lt;&gt;"Réalisé",$F235&lt;&gt;"Clôturé"),"≤ 7 j",""))</f>
        <v/>
      </c>
      <c r="M235" s="29">
        <f>IF($B235="","",IFERROR(INDEX($T$4:$T$3183,MATCH(SMALL($V$4:$V$3183,232),$V$4:$V$3183,0)),""))</f>
        <v/>
      </c>
      <c r="O235">
        <f>IF(INDEX(Suivi!$B:$B,240)="","",INDEX(Suivi!$B:$B,240))</f>
        <v/>
      </c>
      <c r="P235">
        <f>IF($O235="","",IF(INDEX(Suivi!$D:$D,240)="",INDEX(Suivi!$C:$C,240),INDEX(Suivi!$D:$D,240)))</f>
        <v/>
      </c>
      <c r="Q235">
        <f>IF($O235="","",INDEX(Suivi!$E:$E,240))</f>
        <v/>
      </c>
      <c r="R235">
        <f>IF($O235="","",INDEX(Suivi!$F:$F,240))</f>
        <v/>
      </c>
      <c r="S235">
        <f>IF($O235="","",INDEX(Suivi!$G:$G,240))</f>
        <v/>
      </c>
      <c r="T235">
        <f>IF($O235="","",IF(INDEX(Dossiers!$F$4:$F$63,5)="","",INDEX(Dossiers!$F$4:$F$63,5)))</f>
        <v/>
      </c>
      <c r="U235">
        <f>IF($O235="","",IF(INDEX(Dossiers!$G$4:$G$63,5)="","",INDEX(Dossiers!$G$4:$G$63,5)))</f>
        <v/>
      </c>
      <c r="V235">
        <f>IF(OR($O235="",NOT(ISNUMBER($Q235))),"",$Q235*1000000+235)</f>
        <v/>
      </c>
      <c r="W235" s="29">
        <f>IF($B235="","",IFERROR(INDEX($U$4:$U$3183,MATCH(SMALL($V$4:$V$3183,232),$V$4:$V$3183,0)),""))</f>
        <v/>
      </c>
    </row>
    <row r="236">
      <c r="A236">
        <f>IFERROR(INDEX($N$4:$N$3183,MATCH(SMALL($V$4:$V$3183,233),$V$4:$V$3183,0)),"")</f>
        <v/>
      </c>
      <c r="B236">
        <f>IFERROR(INDEX($O$4:$O$3183,MATCH(SMALL($V$4:$V$3183,233),$V$4:$V$3183,0)),"")</f>
        <v/>
      </c>
      <c r="C236">
        <f>IFERROR(INDEX($P$4:$P$3183,MATCH(SMALL($V$4:$V$3183,233),$V$4:$V$3183,0)),"")</f>
        <v/>
      </c>
      <c r="D236" s="29">
        <f>IFERROR(INDEX($Q$4:$Q$3183,MATCH(SMALL($V$4:$V$3183,233),$V$4:$V$3183,0)),"")</f>
        <v/>
      </c>
      <c r="E236" s="29">
        <f>IFERROR(INDEX($R$4:$R$3183,MATCH(SMALL($V$4:$V$3183,233),$V$4:$V$3183,0)),"")</f>
        <v/>
      </c>
      <c r="F236">
        <f>IFERROR(INDEX($S$4:$S$3183,MATCH(SMALL($V$4:$V$3183,233),$V$4:$V$3183,0)),"")</f>
        <v/>
      </c>
      <c r="I236" s="29">
        <f>IF($B236="","",IFERROR(INDEX($U$4:$U$3183,MATCH(SMALL($V$4:$V$3183,233),$V$4:$V$3183,0)),""))</f>
        <v/>
      </c>
      <c r="J236">
        <f>IF($B236="","",IF($D236&gt;$F$2,"À venir",IF($E236&lt;$D$2,"Passé","Dans la période")))</f>
        <v/>
      </c>
      <c r="K236">
        <f>IF(OR($B236="",NOT(ISNUMBER($D236))),"",IF(AND($E236&lt;$D$2,$G236&lt;&gt;"X",$F236&lt;&gt;"Réalisé",$F236&lt;&gt;"Clôturé"),"RETARD",""))</f>
        <v/>
      </c>
      <c r="L236">
        <f>IF(OR($B236="",NOT(ISNUMBER($D236))),"",IF(AND($D236&gt;=$D$2,$D236&lt;=$H$2,$G236&lt;&gt;"X",$F236&lt;&gt;"Réalisé",$F236&lt;&gt;"Clôturé"),"≤ 7 j",""))</f>
        <v/>
      </c>
      <c r="M236" s="29">
        <f>IF($B236="","",IFERROR(INDEX($T$4:$T$3183,MATCH(SMALL($V$4:$V$3183,233),$V$4:$V$3183,0)),""))</f>
        <v/>
      </c>
      <c r="O236">
        <f>IF(INDEX(Suivi!$B:$B,241)="","",INDEX(Suivi!$B:$B,241))</f>
        <v/>
      </c>
      <c r="P236">
        <f>IF($O236="","",IF(INDEX(Suivi!$D:$D,241)="",INDEX(Suivi!$C:$C,241),INDEX(Suivi!$D:$D,241)))</f>
        <v/>
      </c>
      <c r="Q236">
        <f>IF($O236="","",INDEX(Suivi!$E:$E,241))</f>
        <v/>
      </c>
      <c r="R236">
        <f>IF($O236="","",INDEX(Suivi!$F:$F,241))</f>
        <v/>
      </c>
      <c r="S236">
        <f>IF($O236="","",INDEX(Suivi!$G:$G,241))</f>
        <v/>
      </c>
      <c r="T236">
        <f>IF($O236="","",IF(INDEX(Dossiers!$F$4:$F$63,5)="","",INDEX(Dossiers!$F$4:$F$63,5)))</f>
        <v/>
      </c>
      <c r="U236">
        <f>IF($O236="","",IF(INDEX(Dossiers!$G$4:$G$63,5)="","",INDEX(Dossiers!$G$4:$G$63,5)))</f>
        <v/>
      </c>
      <c r="V236">
        <f>IF(OR($O236="",NOT(ISNUMBER($Q236))),"",$Q236*1000000+236)</f>
        <v/>
      </c>
      <c r="W236" s="29">
        <f>IF($B236="","",IFERROR(INDEX($U$4:$U$3183,MATCH(SMALL($V$4:$V$3183,233),$V$4:$V$3183,0)),""))</f>
        <v/>
      </c>
    </row>
    <row r="237">
      <c r="A237">
        <f>IFERROR(INDEX($N$4:$N$3183,MATCH(SMALL($V$4:$V$3183,234),$V$4:$V$3183,0)),"")</f>
        <v/>
      </c>
      <c r="B237">
        <f>IFERROR(INDEX($O$4:$O$3183,MATCH(SMALL($V$4:$V$3183,234),$V$4:$V$3183,0)),"")</f>
        <v/>
      </c>
      <c r="C237">
        <f>IFERROR(INDEX($P$4:$P$3183,MATCH(SMALL($V$4:$V$3183,234),$V$4:$V$3183,0)),"")</f>
        <v/>
      </c>
      <c r="D237" s="29">
        <f>IFERROR(INDEX($Q$4:$Q$3183,MATCH(SMALL($V$4:$V$3183,234),$V$4:$V$3183,0)),"")</f>
        <v/>
      </c>
      <c r="E237" s="29">
        <f>IFERROR(INDEX($R$4:$R$3183,MATCH(SMALL($V$4:$V$3183,234),$V$4:$V$3183,0)),"")</f>
        <v/>
      </c>
      <c r="F237">
        <f>IFERROR(INDEX($S$4:$S$3183,MATCH(SMALL($V$4:$V$3183,234),$V$4:$V$3183,0)),"")</f>
        <v/>
      </c>
      <c r="I237" s="29">
        <f>IF($B237="","",IFERROR(INDEX($U$4:$U$3183,MATCH(SMALL($V$4:$V$3183,234),$V$4:$V$3183,0)),""))</f>
        <v/>
      </c>
      <c r="J237">
        <f>IF($B237="","",IF($D237&gt;$F$2,"À venir",IF($E237&lt;$D$2,"Passé","Dans la période")))</f>
        <v/>
      </c>
      <c r="K237">
        <f>IF(OR($B237="",NOT(ISNUMBER($D237))),"",IF(AND($E237&lt;$D$2,$G237&lt;&gt;"X",$F237&lt;&gt;"Réalisé",$F237&lt;&gt;"Clôturé"),"RETARD",""))</f>
        <v/>
      </c>
      <c r="L237">
        <f>IF(OR($B237="",NOT(ISNUMBER($D237))),"",IF(AND($D237&gt;=$D$2,$D237&lt;=$H$2,$G237&lt;&gt;"X",$F237&lt;&gt;"Réalisé",$F237&lt;&gt;"Clôturé"),"≤ 7 j",""))</f>
        <v/>
      </c>
      <c r="M237" s="29">
        <f>IF($B237="","",IFERROR(INDEX($T$4:$T$3183,MATCH(SMALL($V$4:$V$3183,234),$V$4:$V$3183,0)),""))</f>
        <v/>
      </c>
      <c r="O237">
        <f>IF(INDEX(Suivi!$B:$B,242)="","",INDEX(Suivi!$B:$B,242))</f>
        <v/>
      </c>
      <c r="P237">
        <f>IF($O237="","",IF(INDEX(Suivi!$D:$D,242)="",INDEX(Suivi!$C:$C,242),INDEX(Suivi!$D:$D,242)))</f>
        <v/>
      </c>
      <c r="Q237">
        <f>IF($O237="","",INDEX(Suivi!$E:$E,242))</f>
        <v/>
      </c>
      <c r="R237">
        <f>IF($O237="","",INDEX(Suivi!$F:$F,242))</f>
        <v/>
      </c>
      <c r="S237">
        <f>IF($O237="","",INDEX(Suivi!$G:$G,242))</f>
        <v/>
      </c>
      <c r="T237">
        <f>IF($O237="","",IF(INDEX(Dossiers!$F$4:$F$63,5)="","",INDEX(Dossiers!$F$4:$F$63,5)))</f>
        <v/>
      </c>
      <c r="U237">
        <f>IF($O237="","",IF(INDEX(Dossiers!$G$4:$G$63,5)="","",INDEX(Dossiers!$G$4:$G$63,5)))</f>
        <v/>
      </c>
      <c r="V237">
        <f>IF(OR($O237="",NOT(ISNUMBER($Q237))),"",$Q237*1000000+237)</f>
        <v/>
      </c>
      <c r="W237" s="29">
        <f>IF($B237="","",IFERROR(INDEX($U$4:$U$3183,MATCH(SMALL($V$4:$V$3183,234),$V$4:$V$3183,0)),""))</f>
        <v/>
      </c>
    </row>
    <row r="238">
      <c r="A238">
        <f>IFERROR(INDEX($N$4:$N$3183,MATCH(SMALL($V$4:$V$3183,235),$V$4:$V$3183,0)),"")</f>
        <v/>
      </c>
      <c r="B238">
        <f>IFERROR(INDEX($O$4:$O$3183,MATCH(SMALL($V$4:$V$3183,235),$V$4:$V$3183,0)),"")</f>
        <v/>
      </c>
      <c r="C238">
        <f>IFERROR(INDEX($P$4:$P$3183,MATCH(SMALL($V$4:$V$3183,235),$V$4:$V$3183,0)),"")</f>
        <v/>
      </c>
      <c r="D238" s="29">
        <f>IFERROR(INDEX($Q$4:$Q$3183,MATCH(SMALL($V$4:$V$3183,235),$V$4:$V$3183,0)),"")</f>
        <v/>
      </c>
      <c r="E238" s="29">
        <f>IFERROR(INDEX($R$4:$R$3183,MATCH(SMALL($V$4:$V$3183,235),$V$4:$V$3183,0)),"")</f>
        <v/>
      </c>
      <c r="F238">
        <f>IFERROR(INDEX($S$4:$S$3183,MATCH(SMALL($V$4:$V$3183,235),$V$4:$V$3183,0)),"")</f>
        <v/>
      </c>
      <c r="I238" s="29">
        <f>IF($B238="","",IFERROR(INDEX($U$4:$U$3183,MATCH(SMALL($V$4:$V$3183,235),$V$4:$V$3183,0)),""))</f>
        <v/>
      </c>
      <c r="J238">
        <f>IF($B238="","",IF($D238&gt;$F$2,"À venir",IF($E238&lt;$D$2,"Passé","Dans la période")))</f>
        <v/>
      </c>
      <c r="K238">
        <f>IF(OR($B238="",NOT(ISNUMBER($D238))),"",IF(AND($E238&lt;$D$2,$G238&lt;&gt;"X",$F238&lt;&gt;"Réalisé",$F238&lt;&gt;"Clôturé"),"RETARD",""))</f>
        <v/>
      </c>
      <c r="L238">
        <f>IF(OR($B238="",NOT(ISNUMBER($D238))),"",IF(AND($D238&gt;=$D$2,$D238&lt;=$H$2,$G238&lt;&gt;"X",$F238&lt;&gt;"Réalisé",$F238&lt;&gt;"Clôturé"),"≤ 7 j",""))</f>
        <v/>
      </c>
      <c r="M238" s="29">
        <f>IF($B238="","",IFERROR(INDEX($T$4:$T$3183,MATCH(SMALL($V$4:$V$3183,235),$V$4:$V$3183,0)),""))</f>
        <v/>
      </c>
      <c r="O238">
        <f>IF(INDEX(Suivi!$B:$B,243)="","",INDEX(Suivi!$B:$B,243))</f>
        <v/>
      </c>
      <c r="P238">
        <f>IF($O238="","",IF(INDEX(Suivi!$D:$D,243)="",INDEX(Suivi!$C:$C,243),INDEX(Suivi!$D:$D,243)))</f>
        <v/>
      </c>
      <c r="Q238">
        <f>IF($O238="","",INDEX(Suivi!$E:$E,243))</f>
        <v/>
      </c>
      <c r="R238">
        <f>IF($O238="","",INDEX(Suivi!$F:$F,243))</f>
        <v/>
      </c>
      <c r="S238">
        <f>IF($O238="","",INDEX(Suivi!$G:$G,243))</f>
        <v/>
      </c>
      <c r="T238">
        <f>IF($O238="","",IF(INDEX(Dossiers!$F$4:$F$63,5)="","",INDEX(Dossiers!$F$4:$F$63,5)))</f>
        <v/>
      </c>
      <c r="U238">
        <f>IF($O238="","",IF(INDEX(Dossiers!$G$4:$G$63,5)="","",INDEX(Dossiers!$G$4:$G$63,5)))</f>
        <v/>
      </c>
      <c r="V238">
        <f>IF(OR($O238="",NOT(ISNUMBER($Q238))),"",$Q238*1000000+238)</f>
        <v/>
      </c>
      <c r="W238" s="29">
        <f>IF($B238="","",IFERROR(INDEX($U$4:$U$3183,MATCH(SMALL($V$4:$V$3183,235),$V$4:$V$3183,0)),""))</f>
        <v/>
      </c>
    </row>
    <row r="239">
      <c r="A239">
        <f>IFERROR(INDEX($N$4:$N$3183,MATCH(SMALL($V$4:$V$3183,236),$V$4:$V$3183,0)),"")</f>
        <v/>
      </c>
      <c r="B239">
        <f>IFERROR(INDEX($O$4:$O$3183,MATCH(SMALL($V$4:$V$3183,236),$V$4:$V$3183,0)),"")</f>
        <v/>
      </c>
      <c r="C239">
        <f>IFERROR(INDEX($P$4:$P$3183,MATCH(SMALL($V$4:$V$3183,236),$V$4:$V$3183,0)),"")</f>
        <v/>
      </c>
      <c r="D239" s="29">
        <f>IFERROR(INDEX($Q$4:$Q$3183,MATCH(SMALL($V$4:$V$3183,236),$V$4:$V$3183,0)),"")</f>
        <v/>
      </c>
      <c r="E239" s="29">
        <f>IFERROR(INDEX($R$4:$R$3183,MATCH(SMALL($V$4:$V$3183,236),$V$4:$V$3183,0)),"")</f>
        <v/>
      </c>
      <c r="F239">
        <f>IFERROR(INDEX($S$4:$S$3183,MATCH(SMALL($V$4:$V$3183,236),$V$4:$V$3183,0)),"")</f>
        <v/>
      </c>
      <c r="I239" s="29">
        <f>IF($B239="","",IFERROR(INDEX($U$4:$U$3183,MATCH(SMALL($V$4:$V$3183,236),$V$4:$V$3183,0)),""))</f>
        <v/>
      </c>
      <c r="J239">
        <f>IF($B239="","",IF($D239&gt;$F$2,"À venir",IF($E239&lt;$D$2,"Passé","Dans la période")))</f>
        <v/>
      </c>
      <c r="K239">
        <f>IF(OR($B239="",NOT(ISNUMBER($D239))),"",IF(AND($E239&lt;$D$2,$G239&lt;&gt;"X",$F239&lt;&gt;"Réalisé",$F239&lt;&gt;"Clôturé"),"RETARD",""))</f>
        <v/>
      </c>
      <c r="L239">
        <f>IF(OR($B239="",NOT(ISNUMBER($D239))),"",IF(AND($D239&gt;=$D$2,$D239&lt;=$H$2,$G239&lt;&gt;"X",$F239&lt;&gt;"Réalisé",$F239&lt;&gt;"Clôturé"),"≤ 7 j",""))</f>
        <v/>
      </c>
      <c r="M239" s="29">
        <f>IF($B239="","",IFERROR(INDEX($T$4:$T$3183,MATCH(SMALL($V$4:$V$3183,236),$V$4:$V$3183,0)),""))</f>
        <v/>
      </c>
      <c r="O239">
        <f>IF(INDEX(Suivi!$B:$B,244)="","",INDEX(Suivi!$B:$B,244))</f>
        <v/>
      </c>
      <c r="P239">
        <f>IF($O239="","",IF(INDEX(Suivi!$D:$D,244)="",INDEX(Suivi!$C:$C,244),INDEX(Suivi!$D:$D,244)))</f>
        <v/>
      </c>
      <c r="Q239">
        <f>IF($O239="","",INDEX(Suivi!$E:$E,244))</f>
        <v/>
      </c>
      <c r="R239">
        <f>IF($O239="","",INDEX(Suivi!$F:$F,244))</f>
        <v/>
      </c>
      <c r="S239">
        <f>IF($O239="","",INDEX(Suivi!$G:$G,244))</f>
        <v/>
      </c>
      <c r="T239">
        <f>IF($O239="","",IF(INDEX(Dossiers!$F$4:$F$63,5)="","",INDEX(Dossiers!$F$4:$F$63,5)))</f>
        <v/>
      </c>
      <c r="U239">
        <f>IF($O239="","",IF(INDEX(Dossiers!$G$4:$G$63,5)="","",INDEX(Dossiers!$G$4:$G$63,5)))</f>
        <v/>
      </c>
      <c r="V239">
        <f>IF(OR($O239="",NOT(ISNUMBER($Q239))),"",$Q239*1000000+239)</f>
        <v/>
      </c>
      <c r="W239" s="29">
        <f>IF($B239="","",IFERROR(INDEX($U$4:$U$3183,MATCH(SMALL($V$4:$V$3183,236),$V$4:$V$3183,0)),""))</f>
        <v/>
      </c>
    </row>
    <row r="240">
      <c r="A240">
        <f>IFERROR(INDEX($N$4:$N$3183,MATCH(SMALL($V$4:$V$3183,237),$V$4:$V$3183,0)),"")</f>
        <v/>
      </c>
      <c r="B240">
        <f>IFERROR(INDEX($O$4:$O$3183,MATCH(SMALL($V$4:$V$3183,237),$V$4:$V$3183,0)),"")</f>
        <v/>
      </c>
      <c r="C240">
        <f>IFERROR(INDEX($P$4:$P$3183,MATCH(SMALL($V$4:$V$3183,237),$V$4:$V$3183,0)),"")</f>
        <v/>
      </c>
      <c r="D240" s="29">
        <f>IFERROR(INDEX($Q$4:$Q$3183,MATCH(SMALL($V$4:$V$3183,237),$V$4:$V$3183,0)),"")</f>
        <v/>
      </c>
      <c r="E240" s="29">
        <f>IFERROR(INDEX($R$4:$R$3183,MATCH(SMALL($V$4:$V$3183,237),$V$4:$V$3183,0)),"")</f>
        <v/>
      </c>
      <c r="F240">
        <f>IFERROR(INDEX($S$4:$S$3183,MATCH(SMALL($V$4:$V$3183,237),$V$4:$V$3183,0)),"")</f>
        <v/>
      </c>
      <c r="I240" s="29">
        <f>IF($B240="","",IFERROR(INDEX($U$4:$U$3183,MATCH(SMALL($V$4:$V$3183,237),$V$4:$V$3183,0)),""))</f>
        <v/>
      </c>
      <c r="J240">
        <f>IF($B240="","",IF($D240&gt;$F$2,"À venir",IF($E240&lt;$D$2,"Passé","Dans la période")))</f>
        <v/>
      </c>
      <c r="K240">
        <f>IF(OR($B240="",NOT(ISNUMBER($D240))),"",IF(AND($E240&lt;$D$2,$G240&lt;&gt;"X",$F240&lt;&gt;"Réalisé",$F240&lt;&gt;"Clôturé"),"RETARD",""))</f>
        <v/>
      </c>
      <c r="L240">
        <f>IF(OR($B240="",NOT(ISNUMBER($D240))),"",IF(AND($D240&gt;=$D$2,$D240&lt;=$H$2,$G240&lt;&gt;"X",$F240&lt;&gt;"Réalisé",$F240&lt;&gt;"Clôturé"),"≤ 7 j",""))</f>
        <v/>
      </c>
      <c r="M240" s="29">
        <f>IF($B240="","",IFERROR(INDEX($T$4:$T$3183,MATCH(SMALL($V$4:$V$3183,237),$V$4:$V$3183,0)),""))</f>
        <v/>
      </c>
      <c r="O240">
        <f>IF(INDEX(Suivi!$B:$B,245)="","",INDEX(Suivi!$B:$B,245))</f>
        <v/>
      </c>
      <c r="P240">
        <f>IF($O240="","",IF(INDEX(Suivi!$D:$D,245)="",INDEX(Suivi!$C:$C,245),INDEX(Suivi!$D:$D,245)))</f>
        <v/>
      </c>
      <c r="Q240">
        <f>IF($O240="","",INDEX(Suivi!$E:$E,245))</f>
        <v/>
      </c>
      <c r="R240">
        <f>IF($O240="","",INDEX(Suivi!$F:$F,245))</f>
        <v/>
      </c>
      <c r="S240">
        <f>IF($O240="","",INDEX(Suivi!$G:$G,245))</f>
        <v/>
      </c>
      <c r="T240">
        <f>IF($O240="","",IF(INDEX(Dossiers!$F$4:$F$63,5)="","",INDEX(Dossiers!$F$4:$F$63,5)))</f>
        <v/>
      </c>
      <c r="U240">
        <f>IF($O240="","",IF(INDEX(Dossiers!$G$4:$G$63,5)="","",INDEX(Dossiers!$G$4:$G$63,5)))</f>
        <v/>
      </c>
      <c r="V240">
        <f>IF(OR($O240="",NOT(ISNUMBER($Q240))),"",$Q240*1000000+240)</f>
        <v/>
      </c>
      <c r="W240" s="29">
        <f>IF($B240="","",IFERROR(INDEX($U$4:$U$3183,MATCH(SMALL($V$4:$V$3183,237),$V$4:$V$3183,0)),""))</f>
        <v/>
      </c>
    </row>
    <row r="241">
      <c r="A241">
        <f>IFERROR(INDEX($N$4:$N$3183,MATCH(SMALL($V$4:$V$3183,238),$V$4:$V$3183,0)),"")</f>
        <v/>
      </c>
      <c r="B241">
        <f>IFERROR(INDEX($O$4:$O$3183,MATCH(SMALL($V$4:$V$3183,238),$V$4:$V$3183,0)),"")</f>
        <v/>
      </c>
      <c r="C241">
        <f>IFERROR(INDEX($P$4:$P$3183,MATCH(SMALL($V$4:$V$3183,238),$V$4:$V$3183,0)),"")</f>
        <v/>
      </c>
      <c r="D241" s="29">
        <f>IFERROR(INDEX($Q$4:$Q$3183,MATCH(SMALL($V$4:$V$3183,238),$V$4:$V$3183,0)),"")</f>
        <v/>
      </c>
      <c r="E241" s="29">
        <f>IFERROR(INDEX($R$4:$R$3183,MATCH(SMALL($V$4:$V$3183,238),$V$4:$V$3183,0)),"")</f>
        <v/>
      </c>
      <c r="F241">
        <f>IFERROR(INDEX($S$4:$S$3183,MATCH(SMALL($V$4:$V$3183,238),$V$4:$V$3183,0)),"")</f>
        <v/>
      </c>
      <c r="I241" s="29">
        <f>IF($B241="","",IFERROR(INDEX($U$4:$U$3183,MATCH(SMALL($V$4:$V$3183,238),$V$4:$V$3183,0)),""))</f>
        <v/>
      </c>
      <c r="J241">
        <f>IF($B241="","",IF($D241&gt;$F$2,"À venir",IF($E241&lt;$D$2,"Passé","Dans la période")))</f>
        <v/>
      </c>
      <c r="K241">
        <f>IF(OR($B241="",NOT(ISNUMBER($D241))),"",IF(AND($E241&lt;$D$2,$G241&lt;&gt;"X",$F241&lt;&gt;"Réalisé",$F241&lt;&gt;"Clôturé"),"RETARD",""))</f>
        <v/>
      </c>
      <c r="L241">
        <f>IF(OR($B241="",NOT(ISNUMBER($D241))),"",IF(AND($D241&gt;=$D$2,$D241&lt;=$H$2,$G241&lt;&gt;"X",$F241&lt;&gt;"Réalisé",$F241&lt;&gt;"Clôturé"),"≤ 7 j",""))</f>
        <v/>
      </c>
      <c r="M241" s="29">
        <f>IF($B241="","",IFERROR(INDEX($T$4:$T$3183,MATCH(SMALL($V$4:$V$3183,238),$V$4:$V$3183,0)),""))</f>
        <v/>
      </c>
      <c r="O241">
        <f>IF(INDEX(Suivi!$B:$B,246)="","",INDEX(Suivi!$B:$B,246))</f>
        <v/>
      </c>
      <c r="P241">
        <f>IF($O241="","",IF(INDEX(Suivi!$D:$D,246)="",INDEX(Suivi!$C:$C,246),INDEX(Suivi!$D:$D,246)))</f>
        <v/>
      </c>
      <c r="Q241">
        <f>IF($O241="","",INDEX(Suivi!$E:$E,246))</f>
        <v/>
      </c>
      <c r="R241">
        <f>IF($O241="","",INDEX(Suivi!$F:$F,246))</f>
        <v/>
      </c>
      <c r="S241">
        <f>IF($O241="","",INDEX(Suivi!$G:$G,246))</f>
        <v/>
      </c>
      <c r="T241">
        <f>IF($O241="","",IF(INDEX(Dossiers!$F$4:$F$63,5)="","",INDEX(Dossiers!$F$4:$F$63,5)))</f>
        <v/>
      </c>
      <c r="U241">
        <f>IF($O241="","",IF(INDEX(Dossiers!$G$4:$G$63,5)="","",INDEX(Dossiers!$G$4:$G$63,5)))</f>
        <v/>
      </c>
      <c r="V241">
        <f>IF(OR($O241="",NOT(ISNUMBER($Q241))),"",$Q241*1000000+241)</f>
        <v/>
      </c>
      <c r="W241" s="29">
        <f>IF($B241="","",IFERROR(INDEX($U$4:$U$3183,MATCH(SMALL($V$4:$V$3183,238),$V$4:$V$3183,0)),""))</f>
        <v/>
      </c>
    </row>
    <row r="242">
      <c r="A242">
        <f>IFERROR(INDEX($N$4:$N$3183,MATCH(SMALL($V$4:$V$3183,239),$V$4:$V$3183,0)),"")</f>
        <v/>
      </c>
      <c r="B242">
        <f>IFERROR(INDEX($O$4:$O$3183,MATCH(SMALL($V$4:$V$3183,239),$V$4:$V$3183,0)),"")</f>
        <v/>
      </c>
      <c r="C242">
        <f>IFERROR(INDEX($P$4:$P$3183,MATCH(SMALL($V$4:$V$3183,239),$V$4:$V$3183,0)),"")</f>
        <v/>
      </c>
      <c r="D242" s="29">
        <f>IFERROR(INDEX($Q$4:$Q$3183,MATCH(SMALL($V$4:$V$3183,239),$V$4:$V$3183,0)),"")</f>
        <v/>
      </c>
      <c r="E242" s="29">
        <f>IFERROR(INDEX($R$4:$R$3183,MATCH(SMALL($V$4:$V$3183,239),$V$4:$V$3183,0)),"")</f>
        <v/>
      </c>
      <c r="F242">
        <f>IFERROR(INDEX($S$4:$S$3183,MATCH(SMALL($V$4:$V$3183,239),$V$4:$V$3183,0)),"")</f>
        <v/>
      </c>
      <c r="I242" s="29">
        <f>IF($B242="","",IFERROR(INDEX($U$4:$U$3183,MATCH(SMALL($V$4:$V$3183,239),$V$4:$V$3183,0)),""))</f>
        <v/>
      </c>
      <c r="J242">
        <f>IF($B242="","",IF($D242&gt;$F$2,"À venir",IF($E242&lt;$D$2,"Passé","Dans la période")))</f>
        <v/>
      </c>
      <c r="K242">
        <f>IF(OR($B242="",NOT(ISNUMBER($D242))),"",IF(AND($E242&lt;$D$2,$G242&lt;&gt;"X",$F242&lt;&gt;"Réalisé",$F242&lt;&gt;"Clôturé"),"RETARD",""))</f>
        <v/>
      </c>
      <c r="L242">
        <f>IF(OR($B242="",NOT(ISNUMBER($D242))),"",IF(AND($D242&gt;=$D$2,$D242&lt;=$H$2,$G242&lt;&gt;"X",$F242&lt;&gt;"Réalisé",$F242&lt;&gt;"Clôturé"),"≤ 7 j",""))</f>
        <v/>
      </c>
      <c r="M242" s="29">
        <f>IF($B242="","",IFERROR(INDEX($T$4:$T$3183,MATCH(SMALL($V$4:$V$3183,239),$V$4:$V$3183,0)),""))</f>
        <v/>
      </c>
      <c r="O242">
        <f>IF(INDEX(Suivi!$B:$B,247)="","",INDEX(Suivi!$B:$B,247))</f>
        <v/>
      </c>
      <c r="P242">
        <f>IF($O242="","",IF(INDEX(Suivi!$D:$D,247)="",INDEX(Suivi!$C:$C,247),INDEX(Suivi!$D:$D,247)))</f>
        <v/>
      </c>
      <c r="Q242">
        <f>IF($O242="","",INDEX(Suivi!$E:$E,247))</f>
        <v/>
      </c>
      <c r="R242">
        <f>IF($O242="","",INDEX(Suivi!$F:$F,247))</f>
        <v/>
      </c>
      <c r="S242">
        <f>IF($O242="","",INDEX(Suivi!$G:$G,247))</f>
        <v/>
      </c>
      <c r="T242">
        <f>IF($O242="","",IF(INDEX(Dossiers!$F$4:$F$63,5)="","",INDEX(Dossiers!$F$4:$F$63,5)))</f>
        <v/>
      </c>
      <c r="U242">
        <f>IF($O242="","",IF(INDEX(Dossiers!$G$4:$G$63,5)="","",INDEX(Dossiers!$G$4:$G$63,5)))</f>
        <v/>
      </c>
      <c r="V242">
        <f>IF(OR($O242="",NOT(ISNUMBER($Q242))),"",$Q242*1000000+242)</f>
        <v/>
      </c>
      <c r="W242" s="29">
        <f>IF($B242="","",IFERROR(INDEX($U$4:$U$3183,MATCH(SMALL($V$4:$V$3183,239),$V$4:$V$3183,0)),""))</f>
        <v/>
      </c>
    </row>
    <row r="243">
      <c r="A243">
        <f>IFERROR(INDEX($N$4:$N$3183,MATCH(SMALL($V$4:$V$3183,240),$V$4:$V$3183,0)),"")</f>
        <v/>
      </c>
      <c r="B243">
        <f>IFERROR(INDEX($O$4:$O$3183,MATCH(SMALL($V$4:$V$3183,240),$V$4:$V$3183,0)),"")</f>
        <v/>
      </c>
      <c r="C243">
        <f>IFERROR(INDEX($P$4:$P$3183,MATCH(SMALL($V$4:$V$3183,240),$V$4:$V$3183,0)),"")</f>
        <v/>
      </c>
      <c r="D243" s="29">
        <f>IFERROR(INDEX($Q$4:$Q$3183,MATCH(SMALL($V$4:$V$3183,240),$V$4:$V$3183,0)),"")</f>
        <v/>
      </c>
      <c r="E243" s="29">
        <f>IFERROR(INDEX($R$4:$R$3183,MATCH(SMALL($V$4:$V$3183,240),$V$4:$V$3183,0)),"")</f>
        <v/>
      </c>
      <c r="F243">
        <f>IFERROR(INDEX($S$4:$S$3183,MATCH(SMALL($V$4:$V$3183,240),$V$4:$V$3183,0)),"")</f>
        <v/>
      </c>
      <c r="I243" s="29">
        <f>IF($B243="","",IFERROR(INDEX($U$4:$U$3183,MATCH(SMALL($V$4:$V$3183,240),$V$4:$V$3183,0)),""))</f>
        <v/>
      </c>
      <c r="J243">
        <f>IF($B243="","",IF($D243&gt;$F$2,"À venir",IF($E243&lt;$D$2,"Passé","Dans la période")))</f>
        <v/>
      </c>
      <c r="K243">
        <f>IF(OR($B243="",NOT(ISNUMBER($D243))),"",IF(AND($E243&lt;$D$2,$G243&lt;&gt;"X",$F243&lt;&gt;"Réalisé",$F243&lt;&gt;"Clôturé"),"RETARD",""))</f>
        <v/>
      </c>
      <c r="L243">
        <f>IF(OR($B243="",NOT(ISNUMBER($D243))),"",IF(AND($D243&gt;=$D$2,$D243&lt;=$H$2,$G243&lt;&gt;"X",$F243&lt;&gt;"Réalisé",$F243&lt;&gt;"Clôturé"),"≤ 7 j",""))</f>
        <v/>
      </c>
      <c r="M243" s="29">
        <f>IF($B243="","",IFERROR(INDEX($T$4:$T$3183,MATCH(SMALL($V$4:$V$3183,240),$V$4:$V$3183,0)),""))</f>
        <v/>
      </c>
      <c r="O243">
        <f>IF(INDEX(Suivi!$B:$B,248)="","",INDEX(Suivi!$B:$B,248))</f>
        <v/>
      </c>
      <c r="P243">
        <f>IF($O243="","",IF(INDEX(Suivi!$D:$D,248)="",INDEX(Suivi!$C:$C,248),INDEX(Suivi!$D:$D,248)))</f>
        <v/>
      </c>
      <c r="Q243">
        <f>IF($O243="","",INDEX(Suivi!$E:$E,248))</f>
        <v/>
      </c>
      <c r="R243">
        <f>IF($O243="","",INDEX(Suivi!$F:$F,248))</f>
        <v/>
      </c>
      <c r="S243">
        <f>IF($O243="","",INDEX(Suivi!$G:$G,248))</f>
        <v/>
      </c>
      <c r="T243">
        <f>IF($O243="","",IF(INDEX(Dossiers!$F$4:$F$63,5)="","",INDEX(Dossiers!$F$4:$F$63,5)))</f>
        <v/>
      </c>
      <c r="U243">
        <f>IF($O243="","",IF(INDEX(Dossiers!$G$4:$G$63,5)="","",INDEX(Dossiers!$G$4:$G$63,5)))</f>
        <v/>
      </c>
      <c r="V243">
        <f>IF(OR($O243="",NOT(ISNUMBER($Q243))),"",$Q243*1000000+243)</f>
        <v/>
      </c>
      <c r="W243" s="29">
        <f>IF($B243="","",IFERROR(INDEX($U$4:$U$3183,MATCH(SMALL($V$4:$V$3183,240),$V$4:$V$3183,0)),""))</f>
        <v/>
      </c>
    </row>
    <row r="244">
      <c r="A244">
        <f>IFERROR(INDEX($N$4:$N$3183,MATCH(SMALL($V$4:$V$3183,241),$V$4:$V$3183,0)),"")</f>
        <v/>
      </c>
      <c r="B244">
        <f>IFERROR(INDEX($O$4:$O$3183,MATCH(SMALL($V$4:$V$3183,241),$V$4:$V$3183,0)),"")</f>
        <v/>
      </c>
      <c r="C244">
        <f>IFERROR(INDEX($P$4:$P$3183,MATCH(SMALL($V$4:$V$3183,241),$V$4:$V$3183,0)),"")</f>
        <v/>
      </c>
      <c r="D244" s="29">
        <f>IFERROR(INDEX($Q$4:$Q$3183,MATCH(SMALL($V$4:$V$3183,241),$V$4:$V$3183,0)),"")</f>
        <v/>
      </c>
      <c r="E244" s="29">
        <f>IFERROR(INDEX($R$4:$R$3183,MATCH(SMALL($V$4:$V$3183,241),$V$4:$V$3183,0)),"")</f>
        <v/>
      </c>
      <c r="F244">
        <f>IFERROR(INDEX($S$4:$S$3183,MATCH(SMALL($V$4:$V$3183,241),$V$4:$V$3183,0)),"")</f>
        <v/>
      </c>
      <c r="I244" s="29">
        <f>IF($B244="","",IFERROR(INDEX($U$4:$U$3183,MATCH(SMALL($V$4:$V$3183,241),$V$4:$V$3183,0)),""))</f>
        <v/>
      </c>
      <c r="J244">
        <f>IF($B244="","",IF($D244&gt;$F$2,"À venir",IF($E244&lt;$D$2,"Passé","Dans la période")))</f>
        <v/>
      </c>
      <c r="K244">
        <f>IF(OR($B244="",NOT(ISNUMBER($D244))),"",IF(AND($E244&lt;$D$2,$G244&lt;&gt;"X",$F244&lt;&gt;"Réalisé",$F244&lt;&gt;"Clôturé"),"RETARD",""))</f>
        <v/>
      </c>
      <c r="L244">
        <f>IF(OR($B244="",NOT(ISNUMBER($D244))),"",IF(AND($D244&gt;=$D$2,$D244&lt;=$H$2,$G244&lt;&gt;"X",$F244&lt;&gt;"Réalisé",$F244&lt;&gt;"Clôturé"),"≤ 7 j",""))</f>
        <v/>
      </c>
      <c r="M244" s="29">
        <f>IF($B244="","",IFERROR(INDEX($T$4:$T$3183,MATCH(SMALL($V$4:$V$3183,241),$V$4:$V$3183,0)),""))</f>
        <v/>
      </c>
      <c r="O244">
        <f>IF(INDEX(Suivi!$B:$B,249)="","",INDEX(Suivi!$B:$B,249))</f>
        <v/>
      </c>
      <c r="P244">
        <f>IF($O244="","",IF(INDEX(Suivi!$D:$D,249)="",INDEX(Suivi!$C:$C,249),INDEX(Suivi!$D:$D,249)))</f>
        <v/>
      </c>
      <c r="Q244">
        <f>IF($O244="","",INDEX(Suivi!$E:$E,249))</f>
        <v/>
      </c>
      <c r="R244">
        <f>IF($O244="","",INDEX(Suivi!$F:$F,249))</f>
        <v/>
      </c>
      <c r="S244">
        <f>IF($O244="","",INDEX(Suivi!$G:$G,249))</f>
        <v/>
      </c>
      <c r="T244">
        <f>IF($O244="","",IF(INDEX(Dossiers!$F$4:$F$63,5)="","",INDEX(Dossiers!$F$4:$F$63,5)))</f>
        <v/>
      </c>
      <c r="U244">
        <f>IF($O244="","",IF(INDEX(Dossiers!$G$4:$G$63,5)="","",INDEX(Dossiers!$G$4:$G$63,5)))</f>
        <v/>
      </c>
      <c r="V244">
        <f>IF(OR($O244="",NOT(ISNUMBER($Q244))),"",$Q244*1000000+244)</f>
        <v/>
      </c>
      <c r="W244" s="29">
        <f>IF($B244="","",IFERROR(INDEX($U$4:$U$3183,MATCH(SMALL($V$4:$V$3183,241),$V$4:$V$3183,0)),""))</f>
        <v/>
      </c>
    </row>
    <row r="245">
      <c r="A245">
        <f>IFERROR(INDEX($N$4:$N$3183,MATCH(SMALL($V$4:$V$3183,242),$V$4:$V$3183,0)),"")</f>
        <v/>
      </c>
      <c r="B245">
        <f>IFERROR(INDEX($O$4:$O$3183,MATCH(SMALL($V$4:$V$3183,242),$V$4:$V$3183,0)),"")</f>
        <v/>
      </c>
      <c r="C245">
        <f>IFERROR(INDEX($P$4:$P$3183,MATCH(SMALL($V$4:$V$3183,242),$V$4:$V$3183,0)),"")</f>
        <v/>
      </c>
      <c r="D245" s="29">
        <f>IFERROR(INDEX($Q$4:$Q$3183,MATCH(SMALL($V$4:$V$3183,242),$V$4:$V$3183,0)),"")</f>
        <v/>
      </c>
      <c r="E245" s="29">
        <f>IFERROR(INDEX($R$4:$R$3183,MATCH(SMALL($V$4:$V$3183,242),$V$4:$V$3183,0)),"")</f>
        <v/>
      </c>
      <c r="F245">
        <f>IFERROR(INDEX($S$4:$S$3183,MATCH(SMALL($V$4:$V$3183,242),$V$4:$V$3183,0)),"")</f>
        <v/>
      </c>
      <c r="I245" s="29">
        <f>IF($B245="","",IFERROR(INDEX($U$4:$U$3183,MATCH(SMALL($V$4:$V$3183,242),$V$4:$V$3183,0)),""))</f>
        <v/>
      </c>
      <c r="J245">
        <f>IF($B245="","",IF($D245&gt;$F$2,"À venir",IF($E245&lt;$D$2,"Passé","Dans la période")))</f>
        <v/>
      </c>
      <c r="K245">
        <f>IF(OR($B245="",NOT(ISNUMBER($D245))),"",IF(AND($E245&lt;$D$2,$G245&lt;&gt;"X",$F245&lt;&gt;"Réalisé",$F245&lt;&gt;"Clôturé"),"RETARD",""))</f>
        <v/>
      </c>
      <c r="L245">
        <f>IF(OR($B245="",NOT(ISNUMBER($D245))),"",IF(AND($D245&gt;=$D$2,$D245&lt;=$H$2,$G245&lt;&gt;"X",$F245&lt;&gt;"Réalisé",$F245&lt;&gt;"Clôturé"),"≤ 7 j",""))</f>
        <v/>
      </c>
      <c r="M245" s="29">
        <f>IF($B245="","",IFERROR(INDEX($T$4:$T$3183,MATCH(SMALL($V$4:$V$3183,242),$V$4:$V$3183,0)),""))</f>
        <v/>
      </c>
      <c r="O245">
        <f>IF(INDEX(Suivi!$B:$B,250)="","",INDEX(Suivi!$B:$B,250))</f>
        <v/>
      </c>
      <c r="P245">
        <f>IF($O245="","",IF(INDEX(Suivi!$D:$D,250)="",INDEX(Suivi!$C:$C,250),INDEX(Suivi!$D:$D,250)))</f>
        <v/>
      </c>
      <c r="Q245">
        <f>IF($O245="","",INDEX(Suivi!$E:$E,250))</f>
        <v/>
      </c>
      <c r="R245">
        <f>IF($O245="","",INDEX(Suivi!$F:$F,250))</f>
        <v/>
      </c>
      <c r="S245">
        <f>IF($O245="","",INDEX(Suivi!$G:$G,250))</f>
        <v/>
      </c>
      <c r="T245">
        <f>IF($O245="","",IF(INDEX(Dossiers!$F$4:$F$63,5)="","",INDEX(Dossiers!$F$4:$F$63,5)))</f>
        <v/>
      </c>
      <c r="U245">
        <f>IF($O245="","",IF(INDEX(Dossiers!$G$4:$G$63,5)="","",INDEX(Dossiers!$G$4:$G$63,5)))</f>
        <v/>
      </c>
      <c r="V245">
        <f>IF(OR($O245="",NOT(ISNUMBER($Q245))),"",$Q245*1000000+245)</f>
        <v/>
      </c>
      <c r="W245" s="29">
        <f>IF($B245="","",IFERROR(INDEX($U$4:$U$3183,MATCH(SMALL($V$4:$V$3183,242),$V$4:$V$3183,0)),""))</f>
        <v/>
      </c>
    </row>
    <row r="246">
      <c r="A246">
        <f>IFERROR(INDEX($N$4:$N$3183,MATCH(SMALL($V$4:$V$3183,243),$V$4:$V$3183,0)),"")</f>
        <v/>
      </c>
      <c r="B246">
        <f>IFERROR(INDEX($O$4:$O$3183,MATCH(SMALL($V$4:$V$3183,243),$V$4:$V$3183,0)),"")</f>
        <v/>
      </c>
      <c r="C246">
        <f>IFERROR(INDEX($P$4:$P$3183,MATCH(SMALL($V$4:$V$3183,243),$V$4:$V$3183,0)),"")</f>
        <v/>
      </c>
      <c r="D246" s="29">
        <f>IFERROR(INDEX($Q$4:$Q$3183,MATCH(SMALL($V$4:$V$3183,243),$V$4:$V$3183,0)),"")</f>
        <v/>
      </c>
      <c r="E246" s="29">
        <f>IFERROR(INDEX($R$4:$R$3183,MATCH(SMALL($V$4:$V$3183,243),$V$4:$V$3183,0)),"")</f>
        <v/>
      </c>
      <c r="F246">
        <f>IFERROR(INDEX($S$4:$S$3183,MATCH(SMALL($V$4:$V$3183,243),$V$4:$V$3183,0)),"")</f>
        <v/>
      </c>
      <c r="I246" s="29">
        <f>IF($B246="","",IFERROR(INDEX($U$4:$U$3183,MATCH(SMALL($V$4:$V$3183,243),$V$4:$V$3183,0)),""))</f>
        <v/>
      </c>
      <c r="J246">
        <f>IF($B246="","",IF($D246&gt;$F$2,"À venir",IF($E246&lt;$D$2,"Passé","Dans la période")))</f>
        <v/>
      </c>
      <c r="K246">
        <f>IF(OR($B246="",NOT(ISNUMBER($D246))),"",IF(AND($E246&lt;$D$2,$G246&lt;&gt;"X",$F246&lt;&gt;"Réalisé",$F246&lt;&gt;"Clôturé"),"RETARD",""))</f>
        <v/>
      </c>
      <c r="L246">
        <f>IF(OR($B246="",NOT(ISNUMBER($D246))),"",IF(AND($D246&gt;=$D$2,$D246&lt;=$H$2,$G246&lt;&gt;"X",$F246&lt;&gt;"Réalisé",$F246&lt;&gt;"Clôturé"),"≤ 7 j",""))</f>
        <v/>
      </c>
      <c r="M246" s="29">
        <f>IF($B246="","",IFERROR(INDEX($T$4:$T$3183,MATCH(SMALL($V$4:$V$3183,243),$V$4:$V$3183,0)),""))</f>
        <v/>
      </c>
      <c r="O246">
        <f>IF(INDEX(Suivi!$B:$B,251)="","",INDEX(Suivi!$B:$B,251))</f>
        <v/>
      </c>
      <c r="P246">
        <f>IF($O246="","",IF(INDEX(Suivi!$D:$D,251)="",INDEX(Suivi!$C:$C,251),INDEX(Suivi!$D:$D,251)))</f>
        <v/>
      </c>
      <c r="Q246">
        <f>IF($O246="","",INDEX(Suivi!$E:$E,251))</f>
        <v/>
      </c>
      <c r="R246">
        <f>IF($O246="","",INDEX(Suivi!$F:$F,251))</f>
        <v/>
      </c>
      <c r="S246">
        <f>IF($O246="","",INDEX(Suivi!$G:$G,251))</f>
        <v/>
      </c>
      <c r="T246">
        <f>IF($O246="","",IF(INDEX(Dossiers!$F$4:$F$63,5)="","",INDEX(Dossiers!$F$4:$F$63,5)))</f>
        <v/>
      </c>
      <c r="U246">
        <f>IF($O246="","",IF(INDEX(Dossiers!$G$4:$G$63,5)="","",INDEX(Dossiers!$G$4:$G$63,5)))</f>
        <v/>
      </c>
      <c r="V246">
        <f>IF(OR($O246="",NOT(ISNUMBER($Q246))),"",$Q246*1000000+246)</f>
        <v/>
      </c>
      <c r="W246" s="29">
        <f>IF($B246="","",IFERROR(INDEX($U$4:$U$3183,MATCH(SMALL($V$4:$V$3183,243),$V$4:$V$3183,0)),""))</f>
        <v/>
      </c>
    </row>
    <row r="247">
      <c r="A247">
        <f>IFERROR(INDEX($N$4:$N$3183,MATCH(SMALL($V$4:$V$3183,244),$V$4:$V$3183,0)),"")</f>
        <v/>
      </c>
      <c r="B247">
        <f>IFERROR(INDEX($O$4:$O$3183,MATCH(SMALL($V$4:$V$3183,244),$V$4:$V$3183,0)),"")</f>
        <v/>
      </c>
      <c r="C247">
        <f>IFERROR(INDEX($P$4:$P$3183,MATCH(SMALL($V$4:$V$3183,244),$V$4:$V$3183,0)),"")</f>
        <v/>
      </c>
      <c r="D247" s="29">
        <f>IFERROR(INDEX($Q$4:$Q$3183,MATCH(SMALL($V$4:$V$3183,244),$V$4:$V$3183,0)),"")</f>
        <v/>
      </c>
      <c r="E247" s="29">
        <f>IFERROR(INDEX($R$4:$R$3183,MATCH(SMALL($V$4:$V$3183,244),$V$4:$V$3183,0)),"")</f>
        <v/>
      </c>
      <c r="F247">
        <f>IFERROR(INDEX($S$4:$S$3183,MATCH(SMALL($V$4:$V$3183,244),$V$4:$V$3183,0)),"")</f>
        <v/>
      </c>
      <c r="I247" s="29">
        <f>IF($B247="","",IFERROR(INDEX($U$4:$U$3183,MATCH(SMALL($V$4:$V$3183,244),$V$4:$V$3183,0)),""))</f>
        <v/>
      </c>
      <c r="J247">
        <f>IF($B247="","",IF($D247&gt;$F$2,"À venir",IF($E247&lt;$D$2,"Passé","Dans la période")))</f>
        <v/>
      </c>
      <c r="K247">
        <f>IF(OR($B247="",NOT(ISNUMBER($D247))),"",IF(AND($E247&lt;$D$2,$G247&lt;&gt;"X",$F247&lt;&gt;"Réalisé",$F247&lt;&gt;"Clôturé"),"RETARD",""))</f>
        <v/>
      </c>
      <c r="L247">
        <f>IF(OR($B247="",NOT(ISNUMBER($D247))),"",IF(AND($D247&gt;=$D$2,$D247&lt;=$H$2,$G247&lt;&gt;"X",$F247&lt;&gt;"Réalisé",$F247&lt;&gt;"Clôturé"),"≤ 7 j",""))</f>
        <v/>
      </c>
      <c r="M247" s="29">
        <f>IF($B247="","",IFERROR(INDEX($T$4:$T$3183,MATCH(SMALL($V$4:$V$3183,244),$V$4:$V$3183,0)),""))</f>
        <v/>
      </c>
      <c r="O247">
        <f>IF(INDEX(Suivi!$B:$B,252)="","",INDEX(Suivi!$B:$B,252))</f>
        <v/>
      </c>
      <c r="P247">
        <f>IF($O247="","",IF(INDEX(Suivi!$D:$D,252)="",INDEX(Suivi!$C:$C,252),INDEX(Suivi!$D:$D,252)))</f>
        <v/>
      </c>
      <c r="Q247">
        <f>IF($O247="","",INDEX(Suivi!$E:$E,252))</f>
        <v/>
      </c>
      <c r="R247">
        <f>IF($O247="","",INDEX(Suivi!$F:$F,252))</f>
        <v/>
      </c>
      <c r="S247">
        <f>IF($O247="","",INDEX(Suivi!$G:$G,252))</f>
        <v/>
      </c>
      <c r="T247">
        <f>IF($O247="","",IF(INDEX(Dossiers!$F$4:$F$63,5)="","",INDEX(Dossiers!$F$4:$F$63,5)))</f>
        <v/>
      </c>
      <c r="U247">
        <f>IF($O247="","",IF(INDEX(Dossiers!$G$4:$G$63,5)="","",INDEX(Dossiers!$G$4:$G$63,5)))</f>
        <v/>
      </c>
      <c r="V247">
        <f>IF(OR($O247="",NOT(ISNUMBER($Q247))),"",$Q247*1000000+247)</f>
        <v/>
      </c>
      <c r="W247" s="29">
        <f>IF($B247="","",IFERROR(INDEX($U$4:$U$3183,MATCH(SMALL($V$4:$V$3183,244),$V$4:$V$3183,0)),""))</f>
        <v/>
      </c>
    </row>
    <row r="248">
      <c r="A248">
        <f>IFERROR(INDEX($N$4:$N$3183,MATCH(SMALL($V$4:$V$3183,245),$V$4:$V$3183,0)),"")</f>
        <v/>
      </c>
      <c r="B248">
        <f>IFERROR(INDEX($O$4:$O$3183,MATCH(SMALL($V$4:$V$3183,245),$V$4:$V$3183,0)),"")</f>
        <v/>
      </c>
      <c r="C248">
        <f>IFERROR(INDEX($P$4:$P$3183,MATCH(SMALL($V$4:$V$3183,245),$V$4:$V$3183,0)),"")</f>
        <v/>
      </c>
      <c r="D248" s="29">
        <f>IFERROR(INDEX($Q$4:$Q$3183,MATCH(SMALL($V$4:$V$3183,245),$V$4:$V$3183,0)),"")</f>
        <v/>
      </c>
      <c r="E248" s="29">
        <f>IFERROR(INDEX($R$4:$R$3183,MATCH(SMALL($V$4:$V$3183,245),$V$4:$V$3183,0)),"")</f>
        <v/>
      </c>
      <c r="F248">
        <f>IFERROR(INDEX($S$4:$S$3183,MATCH(SMALL($V$4:$V$3183,245),$V$4:$V$3183,0)),"")</f>
        <v/>
      </c>
      <c r="I248" s="29">
        <f>IF($B248="","",IFERROR(INDEX($U$4:$U$3183,MATCH(SMALL($V$4:$V$3183,245),$V$4:$V$3183,0)),""))</f>
        <v/>
      </c>
      <c r="J248">
        <f>IF($B248="","",IF($D248&gt;$F$2,"À venir",IF($E248&lt;$D$2,"Passé","Dans la période")))</f>
        <v/>
      </c>
      <c r="K248">
        <f>IF(OR($B248="",NOT(ISNUMBER($D248))),"",IF(AND($E248&lt;$D$2,$G248&lt;&gt;"X",$F248&lt;&gt;"Réalisé",$F248&lt;&gt;"Clôturé"),"RETARD",""))</f>
        <v/>
      </c>
      <c r="L248">
        <f>IF(OR($B248="",NOT(ISNUMBER($D248))),"",IF(AND($D248&gt;=$D$2,$D248&lt;=$H$2,$G248&lt;&gt;"X",$F248&lt;&gt;"Réalisé",$F248&lt;&gt;"Clôturé"),"≤ 7 j",""))</f>
        <v/>
      </c>
      <c r="M248" s="29">
        <f>IF($B248="","",IFERROR(INDEX($T$4:$T$3183,MATCH(SMALL($V$4:$V$3183,245),$V$4:$V$3183,0)),""))</f>
        <v/>
      </c>
      <c r="O248">
        <f>IF(INDEX(Suivi!$B:$B,253)="","",INDEX(Suivi!$B:$B,253))</f>
        <v/>
      </c>
      <c r="P248">
        <f>IF($O248="","",IF(INDEX(Suivi!$D:$D,253)="",INDEX(Suivi!$C:$C,253),INDEX(Suivi!$D:$D,253)))</f>
        <v/>
      </c>
      <c r="Q248">
        <f>IF($O248="","",INDEX(Suivi!$E:$E,253))</f>
        <v/>
      </c>
      <c r="R248">
        <f>IF($O248="","",INDEX(Suivi!$F:$F,253))</f>
        <v/>
      </c>
      <c r="S248">
        <f>IF($O248="","",INDEX(Suivi!$G:$G,253))</f>
        <v/>
      </c>
      <c r="T248">
        <f>IF($O248="","",IF(INDEX(Dossiers!$F$4:$F$63,5)="","",INDEX(Dossiers!$F$4:$F$63,5)))</f>
        <v/>
      </c>
      <c r="U248">
        <f>IF($O248="","",IF(INDEX(Dossiers!$G$4:$G$63,5)="","",INDEX(Dossiers!$G$4:$G$63,5)))</f>
        <v/>
      </c>
      <c r="V248">
        <f>IF(OR($O248="",NOT(ISNUMBER($Q248))),"",$Q248*1000000+248)</f>
        <v/>
      </c>
      <c r="W248" s="29">
        <f>IF($B248="","",IFERROR(INDEX($U$4:$U$3183,MATCH(SMALL($V$4:$V$3183,245),$V$4:$V$3183,0)),""))</f>
        <v/>
      </c>
    </row>
    <row r="249">
      <c r="A249">
        <f>IFERROR(INDEX($N$4:$N$3183,MATCH(SMALL($V$4:$V$3183,246),$V$4:$V$3183,0)),"")</f>
        <v/>
      </c>
      <c r="B249">
        <f>IFERROR(INDEX($O$4:$O$3183,MATCH(SMALL($V$4:$V$3183,246),$V$4:$V$3183,0)),"")</f>
        <v/>
      </c>
      <c r="C249">
        <f>IFERROR(INDEX($P$4:$P$3183,MATCH(SMALL($V$4:$V$3183,246),$V$4:$V$3183,0)),"")</f>
        <v/>
      </c>
      <c r="D249" s="29">
        <f>IFERROR(INDEX($Q$4:$Q$3183,MATCH(SMALL($V$4:$V$3183,246),$V$4:$V$3183,0)),"")</f>
        <v/>
      </c>
      <c r="E249" s="29">
        <f>IFERROR(INDEX($R$4:$R$3183,MATCH(SMALL($V$4:$V$3183,246),$V$4:$V$3183,0)),"")</f>
        <v/>
      </c>
      <c r="F249">
        <f>IFERROR(INDEX($S$4:$S$3183,MATCH(SMALL($V$4:$V$3183,246),$V$4:$V$3183,0)),"")</f>
        <v/>
      </c>
      <c r="I249" s="29">
        <f>IF($B249="","",IFERROR(INDEX($U$4:$U$3183,MATCH(SMALL($V$4:$V$3183,246),$V$4:$V$3183,0)),""))</f>
        <v/>
      </c>
      <c r="J249">
        <f>IF($B249="","",IF($D249&gt;$F$2,"À venir",IF($E249&lt;$D$2,"Passé","Dans la période")))</f>
        <v/>
      </c>
      <c r="K249">
        <f>IF(OR($B249="",NOT(ISNUMBER($D249))),"",IF(AND($E249&lt;$D$2,$G249&lt;&gt;"X",$F249&lt;&gt;"Réalisé",$F249&lt;&gt;"Clôturé"),"RETARD",""))</f>
        <v/>
      </c>
      <c r="L249">
        <f>IF(OR($B249="",NOT(ISNUMBER($D249))),"",IF(AND($D249&gt;=$D$2,$D249&lt;=$H$2,$G249&lt;&gt;"X",$F249&lt;&gt;"Réalisé",$F249&lt;&gt;"Clôturé"),"≤ 7 j",""))</f>
        <v/>
      </c>
      <c r="M249" s="29">
        <f>IF($B249="","",IFERROR(INDEX($T$4:$T$3183,MATCH(SMALL($V$4:$V$3183,246),$V$4:$V$3183,0)),""))</f>
        <v/>
      </c>
      <c r="O249">
        <f>IF(INDEX(Suivi!$B:$B,254)="","",INDEX(Suivi!$B:$B,254))</f>
        <v/>
      </c>
      <c r="P249">
        <f>IF($O249="","",IF(INDEX(Suivi!$D:$D,254)="",INDEX(Suivi!$C:$C,254),INDEX(Suivi!$D:$D,254)))</f>
        <v/>
      </c>
      <c r="Q249">
        <f>IF($O249="","",INDEX(Suivi!$E:$E,254))</f>
        <v/>
      </c>
      <c r="R249">
        <f>IF($O249="","",INDEX(Suivi!$F:$F,254))</f>
        <v/>
      </c>
      <c r="S249">
        <f>IF($O249="","",INDEX(Suivi!$G:$G,254))</f>
        <v/>
      </c>
      <c r="T249">
        <f>IF($O249="","",IF(INDEX(Dossiers!$F$4:$F$63,5)="","",INDEX(Dossiers!$F$4:$F$63,5)))</f>
        <v/>
      </c>
      <c r="U249">
        <f>IF($O249="","",IF(INDEX(Dossiers!$G$4:$G$63,5)="","",INDEX(Dossiers!$G$4:$G$63,5)))</f>
        <v/>
      </c>
      <c r="V249">
        <f>IF(OR($O249="",NOT(ISNUMBER($Q249))),"",$Q249*1000000+249)</f>
        <v/>
      </c>
      <c r="W249" s="29">
        <f>IF($B249="","",IFERROR(INDEX($U$4:$U$3183,MATCH(SMALL($V$4:$V$3183,246),$V$4:$V$3183,0)),""))</f>
        <v/>
      </c>
    </row>
    <row r="250">
      <c r="A250">
        <f>IFERROR(INDEX($N$4:$N$3183,MATCH(SMALL($V$4:$V$3183,247),$V$4:$V$3183,0)),"")</f>
        <v/>
      </c>
      <c r="B250">
        <f>IFERROR(INDEX($O$4:$O$3183,MATCH(SMALL($V$4:$V$3183,247),$V$4:$V$3183,0)),"")</f>
        <v/>
      </c>
      <c r="C250">
        <f>IFERROR(INDEX($P$4:$P$3183,MATCH(SMALL($V$4:$V$3183,247),$V$4:$V$3183,0)),"")</f>
        <v/>
      </c>
      <c r="D250" s="29">
        <f>IFERROR(INDEX($Q$4:$Q$3183,MATCH(SMALL($V$4:$V$3183,247),$V$4:$V$3183,0)),"")</f>
        <v/>
      </c>
      <c r="E250" s="29">
        <f>IFERROR(INDEX($R$4:$R$3183,MATCH(SMALL($V$4:$V$3183,247),$V$4:$V$3183,0)),"")</f>
        <v/>
      </c>
      <c r="F250">
        <f>IFERROR(INDEX($S$4:$S$3183,MATCH(SMALL($V$4:$V$3183,247),$V$4:$V$3183,0)),"")</f>
        <v/>
      </c>
      <c r="I250" s="29">
        <f>IF($B250="","",IFERROR(INDEX($U$4:$U$3183,MATCH(SMALL($V$4:$V$3183,247),$V$4:$V$3183,0)),""))</f>
        <v/>
      </c>
      <c r="J250">
        <f>IF($B250="","",IF($D250&gt;$F$2,"À venir",IF($E250&lt;$D$2,"Passé","Dans la période")))</f>
        <v/>
      </c>
      <c r="K250">
        <f>IF(OR($B250="",NOT(ISNUMBER($D250))),"",IF(AND($E250&lt;$D$2,$G250&lt;&gt;"X",$F250&lt;&gt;"Réalisé",$F250&lt;&gt;"Clôturé"),"RETARD",""))</f>
        <v/>
      </c>
      <c r="L250">
        <f>IF(OR($B250="",NOT(ISNUMBER($D250))),"",IF(AND($D250&gt;=$D$2,$D250&lt;=$H$2,$G250&lt;&gt;"X",$F250&lt;&gt;"Réalisé",$F250&lt;&gt;"Clôturé"),"≤ 7 j",""))</f>
        <v/>
      </c>
      <c r="M250" s="29">
        <f>IF($B250="","",IFERROR(INDEX($T$4:$T$3183,MATCH(SMALL($V$4:$V$3183,247),$V$4:$V$3183,0)),""))</f>
        <v/>
      </c>
      <c r="O250">
        <f>IF(INDEX(Suivi!$B:$B,255)="","",INDEX(Suivi!$B:$B,255))</f>
        <v/>
      </c>
      <c r="P250">
        <f>IF($O250="","",IF(INDEX(Suivi!$D:$D,255)="",INDEX(Suivi!$C:$C,255),INDEX(Suivi!$D:$D,255)))</f>
        <v/>
      </c>
      <c r="Q250">
        <f>IF($O250="","",INDEX(Suivi!$E:$E,255))</f>
        <v/>
      </c>
      <c r="R250">
        <f>IF($O250="","",INDEX(Suivi!$F:$F,255))</f>
        <v/>
      </c>
      <c r="S250">
        <f>IF($O250="","",INDEX(Suivi!$G:$G,255))</f>
        <v/>
      </c>
      <c r="T250">
        <f>IF($O250="","",IF(INDEX(Dossiers!$F$4:$F$63,5)="","",INDEX(Dossiers!$F$4:$F$63,5)))</f>
        <v/>
      </c>
      <c r="U250">
        <f>IF($O250="","",IF(INDEX(Dossiers!$G$4:$G$63,5)="","",INDEX(Dossiers!$G$4:$G$63,5)))</f>
        <v/>
      </c>
      <c r="V250">
        <f>IF(OR($O250="",NOT(ISNUMBER($Q250))),"",$Q250*1000000+250)</f>
        <v/>
      </c>
      <c r="W250" s="29">
        <f>IF($B250="","",IFERROR(INDEX($U$4:$U$3183,MATCH(SMALL($V$4:$V$3183,247),$V$4:$V$3183,0)),""))</f>
        <v/>
      </c>
    </row>
    <row r="251">
      <c r="A251">
        <f>IFERROR(INDEX($N$4:$N$3183,MATCH(SMALL($V$4:$V$3183,248),$V$4:$V$3183,0)),"")</f>
        <v/>
      </c>
      <c r="B251">
        <f>IFERROR(INDEX($O$4:$O$3183,MATCH(SMALL($V$4:$V$3183,248),$V$4:$V$3183,0)),"")</f>
        <v/>
      </c>
      <c r="C251">
        <f>IFERROR(INDEX($P$4:$P$3183,MATCH(SMALL($V$4:$V$3183,248),$V$4:$V$3183,0)),"")</f>
        <v/>
      </c>
      <c r="D251" s="29">
        <f>IFERROR(INDEX($Q$4:$Q$3183,MATCH(SMALL($V$4:$V$3183,248),$V$4:$V$3183,0)),"")</f>
        <v/>
      </c>
      <c r="E251" s="29">
        <f>IFERROR(INDEX($R$4:$R$3183,MATCH(SMALL($V$4:$V$3183,248),$V$4:$V$3183,0)),"")</f>
        <v/>
      </c>
      <c r="F251">
        <f>IFERROR(INDEX($S$4:$S$3183,MATCH(SMALL($V$4:$V$3183,248),$V$4:$V$3183,0)),"")</f>
        <v/>
      </c>
      <c r="I251" s="29">
        <f>IF($B251="","",IFERROR(INDEX($U$4:$U$3183,MATCH(SMALL($V$4:$V$3183,248),$V$4:$V$3183,0)),""))</f>
        <v/>
      </c>
      <c r="J251">
        <f>IF($B251="","",IF($D251&gt;$F$2,"À venir",IF($E251&lt;$D$2,"Passé","Dans la période")))</f>
        <v/>
      </c>
      <c r="K251">
        <f>IF(OR($B251="",NOT(ISNUMBER($D251))),"",IF(AND($E251&lt;$D$2,$G251&lt;&gt;"X",$F251&lt;&gt;"Réalisé",$F251&lt;&gt;"Clôturé"),"RETARD",""))</f>
        <v/>
      </c>
      <c r="L251">
        <f>IF(OR($B251="",NOT(ISNUMBER($D251))),"",IF(AND($D251&gt;=$D$2,$D251&lt;=$H$2,$G251&lt;&gt;"X",$F251&lt;&gt;"Réalisé",$F251&lt;&gt;"Clôturé"),"≤ 7 j",""))</f>
        <v/>
      </c>
      <c r="M251" s="29">
        <f>IF($B251="","",IFERROR(INDEX($T$4:$T$3183,MATCH(SMALL($V$4:$V$3183,248),$V$4:$V$3183,0)),""))</f>
        <v/>
      </c>
      <c r="O251">
        <f>IF(INDEX(Suivi!$B:$B,256)="","",INDEX(Suivi!$B:$B,256))</f>
        <v/>
      </c>
      <c r="P251">
        <f>IF($O251="","",IF(INDEX(Suivi!$D:$D,256)="",INDEX(Suivi!$C:$C,256),INDEX(Suivi!$D:$D,256)))</f>
        <v/>
      </c>
      <c r="Q251">
        <f>IF($O251="","",INDEX(Suivi!$E:$E,256))</f>
        <v/>
      </c>
      <c r="R251">
        <f>IF($O251="","",INDEX(Suivi!$F:$F,256))</f>
        <v/>
      </c>
      <c r="S251">
        <f>IF($O251="","",INDEX(Suivi!$G:$G,256))</f>
        <v/>
      </c>
      <c r="T251">
        <f>IF($O251="","",IF(INDEX(Dossiers!$F$4:$F$63,5)="","",INDEX(Dossiers!$F$4:$F$63,5)))</f>
        <v/>
      </c>
      <c r="U251">
        <f>IF($O251="","",IF(INDEX(Dossiers!$G$4:$G$63,5)="","",INDEX(Dossiers!$G$4:$G$63,5)))</f>
        <v/>
      </c>
      <c r="V251">
        <f>IF(OR($O251="",NOT(ISNUMBER($Q251))),"",$Q251*1000000+251)</f>
        <v/>
      </c>
      <c r="W251" s="29">
        <f>IF($B251="","",IFERROR(INDEX($U$4:$U$3183,MATCH(SMALL($V$4:$V$3183,248),$V$4:$V$3183,0)),""))</f>
        <v/>
      </c>
    </row>
    <row r="252">
      <c r="A252">
        <f>IFERROR(INDEX($N$4:$N$3183,MATCH(SMALL($V$4:$V$3183,249),$V$4:$V$3183,0)),"")</f>
        <v/>
      </c>
      <c r="B252">
        <f>IFERROR(INDEX($O$4:$O$3183,MATCH(SMALL($V$4:$V$3183,249),$V$4:$V$3183,0)),"")</f>
        <v/>
      </c>
      <c r="C252">
        <f>IFERROR(INDEX($P$4:$P$3183,MATCH(SMALL($V$4:$V$3183,249),$V$4:$V$3183,0)),"")</f>
        <v/>
      </c>
      <c r="D252" s="29">
        <f>IFERROR(INDEX($Q$4:$Q$3183,MATCH(SMALL($V$4:$V$3183,249),$V$4:$V$3183,0)),"")</f>
        <v/>
      </c>
      <c r="E252" s="29">
        <f>IFERROR(INDEX($R$4:$R$3183,MATCH(SMALL($V$4:$V$3183,249),$V$4:$V$3183,0)),"")</f>
        <v/>
      </c>
      <c r="F252">
        <f>IFERROR(INDEX($S$4:$S$3183,MATCH(SMALL($V$4:$V$3183,249),$V$4:$V$3183,0)),"")</f>
        <v/>
      </c>
      <c r="I252" s="29">
        <f>IF($B252="","",IFERROR(INDEX($U$4:$U$3183,MATCH(SMALL($V$4:$V$3183,249),$V$4:$V$3183,0)),""))</f>
        <v/>
      </c>
      <c r="J252">
        <f>IF($B252="","",IF($D252&gt;$F$2,"À venir",IF($E252&lt;$D$2,"Passé","Dans la période")))</f>
        <v/>
      </c>
      <c r="K252">
        <f>IF(OR($B252="",NOT(ISNUMBER($D252))),"",IF(AND($E252&lt;$D$2,$G252&lt;&gt;"X",$F252&lt;&gt;"Réalisé",$F252&lt;&gt;"Clôturé"),"RETARD",""))</f>
        <v/>
      </c>
      <c r="L252">
        <f>IF(OR($B252="",NOT(ISNUMBER($D252))),"",IF(AND($D252&gt;=$D$2,$D252&lt;=$H$2,$G252&lt;&gt;"X",$F252&lt;&gt;"Réalisé",$F252&lt;&gt;"Clôturé"),"≤ 7 j",""))</f>
        <v/>
      </c>
      <c r="M252" s="29">
        <f>IF($B252="","",IFERROR(INDEX($T$4:$T$3183,MATCH(SMALL($V$4:$V$3183,249),$V$4:$V$3183,0)),""))</f>
        <v/>
      </c>
      <c r="O252">
        <f>IF(INDEX(Suivi!$B:$B,257)="","",INDEX(Suivi!$B:$B,257))</f>
        <v/>
      </c>
      <c r="P252">
        <f>IF($O252="","",IF(INDEX(Suivi!$D:$D,257)="",INDEX(Suivi!$C:$C,257),INDEX(Suivi!$D:$D,257)))</f>
        <v/>
      </c>
      <c r="Q252">
        <f>IF($O252="","",INDEX(Suivi!$E:$E,257))</f>
        <v/>
      </c>
      <c r="R252">
        <f>IF($O252="","",INDEX(Suivi!$F:$F,257))</f>
        <v/>
      </c>
      <c r="S252">
        <f>IF($O252="","",INDEX(Suivi!$G:$G,257))</f>
        <v/>
      </c>
      <c r="T252">
        <f>IF($O252="","",IF(INDEX(Dossiers!$F$4:$F$63,5)="","",INDEX(Dossiers!$F$4:$F$63,5)))</f>
        <v/>
      </c>
      <c r="U252">
        <f>IF($O252="","",IF(INDEX(Dossiers!$G$4:$G$63,5)="","",INDEX(Dossiers!$G$4:$G$63,5)))</f>
        <v/>
      </c>
      <c r="V252">
        <f>IF(OR($O252="",NOT(ISNUMBER($Q252))),"",$Q252*1000000+252)</f>
        <v/>
      </c>
      <c r="W252" s="29">
        <f>IF($B252="","",IFERROR(INDEX($U$4:$U$3183,MATCH(SMALL($V$4:$V$3183,249),$V$4:$V$3183,0)),""))</f>
        <v/>
      </c>
    </row>
    <row r="253">
      <c r="A253">
        <f>IFERROR(INDEX($N$4:$N$3183,MATCH(SMALL($V$4:$V$3183,250),$V$4:$V$3183,0)),"")</f>
        <v/>
      </c>
      <c r="B253">
        <f>IFERROR(INDEX($O$4:$O$3183,MATCH(SMALL($V$4:$V$3183,250),$V$4:$V$3183,0)),"")</f>
        <v/>
      </c>
      <c r="C253">
        <f>IFERROR(INDEX($P$4:$P$3183,MATCH(SMALL($V$4:$V$3183,250),$V$4:$V$3183,0)),"")</f>
        <v/>
      </c>
      <c r="D253" s="29">
        <f>IFERROR(INDEX($Q$4:$Q$3183,MATCH(SMALL($V$4:$V$3183,250),$V$4:$V$3183,0)),"")</f>
        <v/>
      </c>
      <c r="E253" s="29">
        <f>IFERROR(INDEX($R$4:$R$3183,MATCH(SMALL($V$4:$V$3183,250),$V$4:$V$3183,0)),"")</f>
        <v/>
      </c>
      <c r="F253">
        <f>IFERROR(INDEX($S$4:$S$3183,MATCH(SMALL($V$4:$V$3183,250),$V$4:$V$3183,0)),"")</f>
        <v/>
      </c>
      <c r="I253" s="29">
        <f>IF($B253="","",IFERROR(INDEX($U$4:$U$3183,MATCH(SMALL($V$4:$V$3183,250),$V$4:$V$3183,0)),""))</f>
        <v/>
      </c>
      <c r="J253">
        <f>IF($B253="","",IF($D253&gt;$F$2,"À venir",IF($E253&lt;$D$2,"Passé","Dans la période")))</f>
        <v/>
      </c>
      <c r="K253">
        <f>IF(OR($B253="",NOT(ISNUMBER($D253))),"",IF(AND($E253&lt;$D$2,$G253&lt;&gt;"X",$F253&lt;&gt;"Réalisé",$F253&lt;&gt;"Clôturé"),"RETARD",""))</f>
        <v/>
      </c>
      <c r="L253">
        <f>IF(OR($B253="",NOT(ISNUMBER($D253))),"",IF(AND($D253&gt;=$D$2,$D253&lt;=$H$2,$G253&lt;&gt;"X",$F253&lt;&gt;"Réalisé",$F253&lt;&gt;"Clôturé"),"≤ 7 j",""))</f>
        <v/>
      </c>
      <c r="M253" s="29">
        <f>IF($B253="","",IFERROR(INDEX($T$4:$T$3183,MATCH(SMALL($V$4:$V$3183,250),$V$4:$V$3183,0)),""))</f>
        <v/>
      </c>
      <c r="O253">
        <f>IF(INDEX(Suivi!$B:$B,258)="","",INDEX(Suivi!$B:$B,258))</f>
        <v/>
      </c>
      <c r="P253">
        <f>IF($O253="","",IF(INDEX(Suivi!$D:$D,258)="",INDEX(Suivi!$C:$C,258),INDEX(Suivi!$D:$D,258)))</f>
        <v/>
      </c>
      <c r="Q253">
        <f>IF($O253="","",INDEX(Suivi!$E:$E,258))</f>
        <v/>
      </c>
      <c r="R253">
        <f>IF($O253="","",INDEX(Suivi!$F:$F,258))</f>
        <v/>
      </c>
      <c r="S253">
        <f>IF($O253="","",INDEX(Suivi!$G:$G,258))</f>
        <v/>
      </c>
      <c r="T253">
        <f>IF($O253="","",IF(INDEX(Dossiers!$F$4:$F$63,5)="","",INDEX(Dossiers!$F$4:$F$63,5)))</f>
        <v/>
      </c>
      <c r="U253">
        <f>IF($O253="","",IF(INDEX(Dossiers!$G$4:$G$63,5)="","",INDEX(Dossiers!$G$4:$G$63,5)))</f>
        <v/>
      </c>
      <c r="V253">
        <f>IF(OR($O253="",NOT(ISNUMBER($Q253))),"",$Q253*1000000+253)</f>
        <v/>
      </c>
      <c r="W253" s="29">
        <f>IF($B253="","",IFERROR(INDEX($U$4:$U$3183,MATCH(SMALL($V$4:$V$3183,250),$V$4:$V$3183,0)),""))</f>
        <v/>
      </c>
    </row>
    <row r="254">
      <c r="A254">
        <f>IFERROR(INDEX($N$4:$N$3183,MATCH(SMALL($V$4:$V$3183,251),$V$4:$V$3183,0)),"")</f>
        <v/>
      </c>
      <c r="B254">
        <f>IFERROR(INDEX($O$4:$O$3183,MATCH(SMALL($V$4:$V$3183,251),$V$4:$V$3183,0)),"")</f>
        <v/>
      </c>
      <c r="C254">
        <f>IFERROR(INDEX($P$4:$P$3183,MATCH(SMALL($V$4:$V$3183,251),$V$4:$V$3183,0)),"")</f>
        <v/>
      </c>
      <c r="D254" s="29">
        <f>IFERROR(INDEX($Q$4:$Q$3183,MATCH(SMALL($V$4:$V$3183,251),$V$4:$V$3183,0)),"")</f>
        <v/>
      </c>
      <c r="E254" s="29">
        <f>IFERROR(INDEX($R$4:$R$3183,MATCH(SMALL($V$4:$V$3183,251),$V$4:$V$3183,0)),"")</f>
        <v/>
      </c>
      <c r="F254">
        <f>IFERROR(INDEX($S$4:$S$3183,MATCH(SMALL($V$4:$V$3183,251),$V$4:$V$3183,0)),"")</f>
        <v/>
      </c>
      <c r="I254" s="29">
        <f>IF($B254="","",IFERROR(INDEX($U$4:$U$3183,MATCH(SMALL($V$4:$V$3183,251),$V$4:$V$3183,0)),""))</f>
        <v/>
      </c>
      <c r="J254">
        <f>IF($B254="","",IF($D254&gt;$F$2,"À venir",IF($E254&lt;$D$2,"Passé","Dans la période")))</f>
        <v/>
      </c>
      <c r="K254">
        <f>IF(OR($B254="",NOT(ISNUMBER($D254))),"",IF(AND($E254&lt;$D$2,$G254&lt;&gt;"X",$F254&lt;&gt;"Réalisé",$F254&lt;&gt;"Clôturé"),"RETARD",""))</f>
        <v/>
      </c>
      <c r="L254">
        <f>IF(OR($B254="",NOT(ISNUMBER($D254))),"",IF(AND($D254&gt;=$D$2,$D254&lt;=$H$2,$G254&lt;&gt;"X",$F254&lt;&gt;"Réalisé",$F254&lt;&gt;"Clôturé"),"≤ 7 j",""))</f>
        <v/>
      </c>
      <c r="M254" s="29">
        <f>IF($B254="","",IFERROR(INDEX($T$4:$T$3183,MATCH(SMALL($V$4:$V$3183,251),$V$4:$V$3183,0)),""))</f>
        <v/>
      </c>
      <c r="O254">
        <f>IF(INDEX(Suivi!$B:$B,259)="","",INDEX(Suivi!$B:$B,259))</f>
        <v/>
      </c>
      <c r="P254">
        <f>IF($O254="","",IF(INDEX(Suivi!$D:$D,259)="",INDEX(Suivi!$C:$C,259),INDEX(Suivi!$D:$D,259)))</f>
        <v/>
      </c>
      <c r="Q254">
        <f>IF($O254="","",INDEX(Suivi!$E:$E,259))</f>
        <v/>
      </c>
      <c r="R254">
        <f>IF($O254="","",INDEX(Suivi!$F:$F,259))</f>
        <v/>
      </c>
      <c r="S254">
        <f>IF($O254="","",INDEX(Suivi!$G:$G,259))</f>
        <v/>
      </c>
      <c r="T254">
        <f>IF($O254="","",IF(INDEX(Dossiers!$F$4:$F$63,5)="","",INDEX(Dossiers!$F$4:$F$63,5)))</f>
        <v/>
      </c>
      <c r="U254">
        <f>IF($O254="","",IF(INDEX(Dossiers!$G$4:$G$63,5)="","",INDEX(Dossiers!$G$4:$G$63,5)))</f>
        <v/>
      </c>
      <c r="V254">
        <f>IF(OR($O254="",NOT(ISNUMBER($Q254))),"",$Q254*1000000+254)</f>
        <v/>
      </c>
      <c r="W254" s="29">
        <f>IF($B254="","",IFERROR(INDEX($U$4:$U$3183,MATCH(SMALL($V$4:$V$3183,251),$V$4:$V$3183,0)),""))</f>
        <v/>
      </c>
    </row>
    <row r="255">
      <c r="A255">
        <f>IFERROR(INDEX($N$4:$N$3183,MATCH(SMALL($V$4:$V$3183,252),$V$4:$V$3183,0)),"")</f>
        <v/>
      </c>
      <c r="B255">
        <f>IFERROR(INDEX($O$4:$O$3183,MATCH(SMALL($V$4:$V$3183,252),$V$4:$V$3183,0)),"")</f>
        <v/>
      </c>
      <c r="C255">
        <f>IFERROR(INDEX($P$4:$P$3183,MATCH(SMALL($V$4:$V$3183,252),$V$4:$V$3183,0)),"")</f>
        <v/>
      </c>
      <c r="D255" s="29">
        <f>IFERROR(INDEX($Q$4:$Q$3183,MATCH(SMALL($V$4:$V$3183,252),$V$4:$V$3183,0)),"")</f>
        <v/>
      </c>
      <c r="E255" s="29">
        <f>IFERROR(INDEX($R$4:$R$3183,MATCH(SMALL($V$4:$V$3183,252),$V$4:$V$3183,0)),"")</f>
        <v/>
      </c>
      <c r="F255">
        <f>IFERROR(INDEX($S$4:$S$3183,MATCH(SMALL($V$4:$V$3183,252),$V$4:$V$3183,0)),"")</f>
        <v/>
      </c>
      <c r="I255" s="29">
        <f>IF($B255="","",IFERROR(INDEX($U$4:$U$3183,MATCH(SMALL($V$4:$V$3183,252),$V$4:$V$3183,0)),""))</f>
        <v/>
      </c>
      <c r="J255">
        <f>IF($B255="","",IF($D255&gt;$F$2,"À venir",IF($E255&lt;$D$2,"Passé","Dans la période")))</f>
        <v/>
      </c>
      <c r="K255">
        <f>IF(OR($B255="",NOT(ISNUMBER($D255))),"",IF(AND($E255&lt;$D$2,$G255&lt;&gt;"X",$F255&lt;&gt;"Réalisé",$F255&lt;&gt;"Clôturé"),"RETARD",""))</f>
        <v/>
      </c>
      <c r="L255">
        <f>IF(OR($B255="",NOT(ISNUMBER($D255))),"",IF(AND($D255&gt;=$D$2,$D255&lt;=$H$2,$G255&lt;&gt;"X",$F255&lt;&gt;"Réalisé",$F255&lt;&gt;"Clôturé"),"≤ 7 j",""))</f>
        <v/>
      </c>
      <c r="M255" s="29">
        <f>IF($B255="","",IFERROR(INDEX($T$4:$T$3183,MATCH(SMALL($V$4:$V$3183,252),$V$4:$V$3183,0)),""))</f>
        <v/>
      </c>
      <c r="O255">
        <f>IF(INDEX(Suivi!$B:$B,260)="","",INDEX(Suivi!$B:$B,260))</f>
        <v/>
      </c>
      <c r="P255">
        <f>IF($O255="","",IF(INDEX(Suivi!$D:$D,260)="",INDEX(Suivi!$C:$C,260),INDEX(Suivi!$D:$D,260)))</f>
        <v/>
      </c>
      <c r="Q255">
        <f>IF($O255="","",INDEX(Suivi!$E:$E,260))</f>
        <v/>
      </c>
      <c r="R255">
        <f>IF($O255="","",INDEX(Suivi!$F:$F,260))</f>
        <v/>
      </c>
      <c r="S255">
        <f>IF($O255="","",INDEX(Suivi!$G:$G,260))</f>
        <v/>
      </c>
      <c r="T255">
        <f>IF($O255="","",IF(INDEX(Dossiers!$F$4:$F$63,5)="","",INDEX(Dossiers!$F$4:$F$63,5)))</f>
        <v/>
      </c>
      <c r="U255">
        <f>IF($O255="","",IF(INDEX(Dossiers!$G$4:$G$63,5)="","",INDEX(Dossiers!$G$4:$G$63,5)))</f>
        <v/>
      </c>
      <c r="V255">
        <f>IF(OR($O255="",NOT(ISNUMBER($Q255))),"",$Q255*1000000+255)</f>
        <v/>
      </c>
      <c r="W255" s="29">
        <f>IF($B255="","",IFERROR(INDEX($U$4:$U$3183,MATCH(SMALL($V$4:$V$3183,252),$V$4:$V$3183,0)),""))</f>
        <v/>
      </c>
    </row>
    <row r="256">
      <c r="A256">
        <f>IFERROR(INDEX($N$4:$N$3183,MATCH(SMALL($V$4:$V$3183,253),$V$4:$V$3183,0)),"")</f>
        <v/>
      </c>
      <c r="B256">
        <f>IFERROR(INDEX($O$4:$O$3183,MATCH(SMALL($V$4:$V$3183,253),$V$4:$V$3183,0)),"")</f>
        <v/>
      </c>
      <c r="C256">
        <f>IFERROR(INDEX($P$4:$P$3183,MATCH(SMALL($V$4:$V$3183,253),$V$4:$V$3183,0)),"")</f>
        <v/>
      </c>
      <c r="D256" s="29">
        <f>IFERROR(INDEX($Q$4:$Q$3183,MATCH(SMALL($V$4:$V$3183,253),$V$4:$V$3183,0)),"")</f>
        <v/>
      </c>
      <c r="E256" s="29">
        <f>IFERROR(INDEX($R$4:$R$3183,MATCH(SMALL($V$4:$V$3183,253),$V$4:$V$3183,0)),"")</f>
        <v/>
      </c>
      <c r="F256">
        <f>IFERROR(INDEX($S$4:$S$3183,MATCH(SMALL($V$4:$V$3183,253),$V$4:$V$3183,0)),"")</f>
        <v/>
      </c>
      <c r="I256" s="29">
        <f>IF($B256="","",IFERROR(INDEX($U$4:$U$3183,MATCH(SMALL($V$4:$V$3183,253),$V$4:$V$3183,0)),""))</f>
        <v/>
      </c>
      <c r="J256">
        <f>IF($B256="","",IF($D256&gt;$F$2,"À venir",IF($E256&lt;$D$2,"Passé","Dans la période")))</f>
        <v/>
      </c>
      <c r="K256">
        <f>IF(OR($B256="",NOT(ISNUMBER($D256))),"",IF(AND($E256&lt;$D$2,$G256&lt;&gt;"X",$F256&lt;&gt;"Réalisé",$F256&lt;&gt;"Clôturé"),"RETARD",""))</f>
        <v/>
      </c>
      <c r="L256">
        <f>IF(OR($B256="",NOT(ISNUMBER($D256))),"",IF(AND($D256&gt;=$D$2,$D256&lt;=$H$2,$G256&lt;&gt;"X",$F256&lt;&gt;"Réalisé",$F256&lt;&gt;"Clôturé"),"≤ 7 j",""))</f>
        <v/>
      </c>
      <c r="M256" s="29">
        <f>IF($B256="","",IFERROR(INDEX($T$4:$T$3183,MATCH(SMALL($V$4:$V$3183,253),$V$4:$V$3183,0)),""))</f>
        <v/>
      </c>
      <c r="O256">
        <f>IF(INDEX(Suivi!$B:$B,261)="","",INDEX(Suivi!$B:$B,261))</f>
        <v/>
      </c>
      <c r="P256">
        <f>IF($O256="","",IF(INDEX(Suivi!$D:$D,261)="",INDEX(Suivi!$C:$C,261),INDEX(Suivi!$D:$D,261)))</f>
        <v/>
      </c>
      <c r="Q256">
        <f>IF($O256="","",INDEX(Suivi!$E:$E,261))</f>
        <v/>
      </c>
      <c r="R256">
        <f>IF($O256="","",INDEX(Suivi!$F:$F,261))</f>
        <v/>
      </c>
      <c r="S256">
        <f>IF($O256="","",INDEX(Suivi!$G:$G,261))</f>
        <v/>
      </c>
      <c r="T256">
        <f>IF($O256="","",IF(INDEX(Dossiers!$F$4:$F$63,5)="","",INDEX(Dossiers!$F$4:$F$63,5)))</f>
        <v/>
      </c>
      <c r="U256">
        <f>IF($O256="","",IF(INDEX(Dossiers!$G$4:$G$63,5)="","",INDEX(Dossiers!$G$4:$G$63,5)))</f>
        <v/>
      </c>
      <c r="V256">
        <f>IF(OR($O256="",NOT(ISNUMBER($Q256))),"",$Q256*1000000+256)</f>
        <v/>
      </c>
      <c r="W256" s="29">
        <f>IF($B256="","",IFERROR(INDEX($U$4:$U$3183,MATCH(SMALL($V$4:$V$3183,253),$V$4:$V$3183,0)),""))</f>
        <v/>
      </c>
    </row>
    <row r="257">
      <c r="A257">
        <f>IFERROR(INDEX($N$4:$N$3183,MATCH(SMALL($V$4:$V$3183,254),$V$4:$V$3183,0)),"")</f>
        <v/>
      </c>
      <c r="B257">
        <f>IFERROR(INDEX($O$4:$O$3183,MATCH(SMALL($V$4:$V$3183,254),$V$4:$V$3183,0)),"")</f>
        <v/>
      </c>
      <c r="C257">
        <f>IFERROR(INDEX($P$4:$P$3183,MATCH(SMALL($V$4:$V$3183,254),$V$4:$V$3183,0)),"")</f>
        <v/>
      </c>
      <c r="D257" s="29">
        <f>IFERROR(INDEX($Q$4:$Q$3183,MATCH(SMALL($V$4:$V$3183,254),$V$4:$V$3183,0)),"")</f>
        <v/>
      </c>
      <c r="E257" s="29">
        <f>IFERROR(INDEX($R$4:$R$3183,MATCH(SMALL($V$4:$V$3183,254),$V$4:$V$3183,0)),"")</f>
        <v/>
      </c>
      <c r="F257">
        <f>IFERROR(INDEX($S$4:$S$3183,MATCH(SMALL($V$4:$V$3183,254),$V$4:$V$3183,0)),"")</f>
        <v/>
      </c>
      <c r="I257" s="29">
        <f>IF($B257="","",IFERROR(INDEX($U$4:$U$3183,MATCH(SMALL($V$4:$V$3183,254),$V$4:$V$3183,0)),""))</f>
        <v/>
      </c>
      <c r="J257">
        <f>IF($B257="","",IF($D257&gt;$F$2,"À venir",IF($E257&lt;$D$2,"Passé","Dans la période")))</f>
        <v/>
      </c>
      <c r="K257">
        <f>IF(OR($B257="",NOT(ISNUMBER($D257))),"",IF(AND($E257&lt;$D$2,$G257&lt;&gt;"X",$F257&lt;&gt;"Réalisé",$F257&lt;&gt;"Clôturé"),"RETARD",""))</f>
        <v/>
      </c>
      <c r="L257">
        <f>IF(OR($B257="",NOT(ISNUMBER($D257))),"",IF(AND($D257&gt;=$D$2,$D257&lt;=$H$2,$G257&lt;&gt;"X",$F257&lt;&gt;"Réalisé",$F257&lt;&gt;"Clôturé"),"≤ 7 j",""))</f>
        <v/>
      </c>
      <c r="M257" s="29">
        <f>IF($B257="","",IFERROR(INDEX($T$4:$T$3183,MATCH(SMALL($V$4:$V$3183,254),$V$4:$V$3183,0)),""))</f>
        <v/>
      </c>
      <c r="O257">
        <f>IF(INDEX(Suivi!$B:$B,262)="","",INDEX(Suivi!$B:$B,262))</f>
        <v/>
      </c>
      <c r="P257">
        <f>IF($O257="","",IF(INDEX(Suivi!$D:$D,262)="",INDEX(Suivi!$C:$C,262),INDEX(Suivi!$D:$D,262)))</f>
        <v/>
      </c>
      <c r="Q257">
        <f>IF($O257="","",INDEX(Suivi!$E:$E,262))</f>
        <v/>
      </c>
      <c r="R257">
        <f>IF($O257="","",INDEX(Suivi!$F:$F,262))</f>
        <v/>
      </c>
      <c r="S257">
        <f>IF($O257="","",INDEX(Suivi!$G:$G,262))</f>
        <v/>
      </c>
      <c r="T257">
        <f>IF($O257="","",IF(INDEX(Dossiers!$F$4:$F$63,5)="","",INDEX(Dossiers!$F$4:$F$63,5)))</f>
        <v/>
      </c>
      <c r="U257">
        <f>IF($O257="","",IF(INDEX(Dossiers!$G$4:$G$63,5)="","",INDEX(Dossiers!$G$4:$G$63,5)))</f>
        <v/>
      </c>
      <c r="V257">
        <f>IF(OR($O257="",NOT(ISNUMBER($Q257))),"",$Q257*1000000+257)</f>
        <v/>
      </c>
      <c r="W257" s="29">
        <f>IF($B257="","",IFERROR(INDEX($U$4:$U$3183,MATCH(SMALL($V$4:$V$3183,254),$V$4:$V$3183,0)),""))</f>
        <v/>
      </c>
    </row>
    <row r="258">
      <c r="A258">
        <f>IFERROR(INDEX($N$4:$N$3183,MATCH(SMALL($V$4:$V$3183,255),$V$4:$V$3183,0)),"")</f>
        <v/>
      </c>
      <c r="B258">
        <f>IFERROR(INDEX($O$4:$O$3183,MATCH(SMALL($V$4:$V$3183,255),$V$4:$V$3183,0)),"")</f>
        <v/>
      </c>
      <c r="C258">
        <f>IFERROR(INDEX($P$4:$P$3183,MATCH(SMALL($V$4:$V$3183,255),$V$4:$V$3183,0)),"")</f>
        <v/>
      </c>
      <c r="D258" s="29">
        <f>IFERROR(INDEX($Q$4:$Q$3183,MATCH(SMALL($V$4:$V$3183,255),$V$4:$V$3183,0)),"")</f>
        <v/>
      </c>
      <c r="E258" s="29">
        <f>IFERROR(INDEX($R$4:$R$3183,MATCH(SMALL($V$4:$V$3183,255),$V$4:$V$3183,0)),"")</f>
        <v/>
      </c>
      <c r="F258">
        <f>IFERROR(INDEX($S$4:$S$3183,MATCH(SMALL($V$4:$V$3183,255),$V$4:$V$3183,0)),"")</f>
        <v/>
      </c>
      <c r="I258" s="29">
        <f>IF($B258="","",IFERROR(INDEX($U$4:$U$3183,MATCH(SMALL($V$4:$V$3183,255),$V$4:$V$3183,0)),""))</f>
        <v/>
      </c>
      <c r="J258">
        <f>IF($B258="","",IF($D258&gt;$F$2,"À venir",IF($E258&lt;$D$2,"Passé","Dans la période")))</f>
        <v/>
      </c>
      <c r="K258">
        <f>IF(OR($B258="",NOT(ISNUMBER($D258))),"",IF(AND($E258&lt;$D$2,$G258&lt;&gt;"X",$F258&lt;&gt;"Réalisé",$F258&lt;&gt;"Clôturé"),"RETARD",""))</f>
        <v/>
      </c>
      <c r="L258">
        <f>IF(OR($B258="",NOT(ISNUMBER($D258))),"",IF(AND($D258&gt;=$D$2,$D258&lt;=$H$2,$G258&lt;&gt;"X",$F258&lt;&gt;"Réalisé",$F258&lt;&gt;"Clôturé"),"≤ 7 j",""))</f>
        <v/>
      </c>
      <c r="M258" s="29">
        <f>IF($B258="","",IFERROR(INDEX($T$4:$T$3183,MATCH(SMALL($V$4:$V$3183,255),$V$4:$V$3183,0)),""))</f>
        <v/>
      </c>
      <c r="O258">
        <f>IF(INDEX(Suivi!$B:$B,263)="","",INDEX(Suivi!$B:$B,263))</f>
        <v/>
      </c>
      <c r="P258">
        <f>IF($O258="","",IF(INDEX(Suivi!$D:$D,263)="",INDEX(Suivi!$C:$C,263),INDEX(Suivi!$D:$D,263)))</f>
        <v/>
      </c>
      <c r="Q258">
        <f>IF($O258="","",INDEX(Suivi!$E:$E,263))</f>
        <v/>
      </c>
      <c r="R258">
        <f>IF($O258="","",INDEX(Suivi!$F:$F,263))</f>
        <v/>
      </c>
      <c r="S258">
        <f>IF($O258="","",INDEX(Suivi!$G:$G,263))</f>
        <v/>
      </c>
      <c r="T258">
        <f>IF($O258="","",IF(INDEX(Dossiers!$F$4:$F$63,5)="","",INDEX(Dossiers!$F$4:$F$63,5)))</f>
        <v/>
      </c>
      <c r="U258">
        <f>IF($O258="","",IF(INDEX(Dossiers!$G$4:$G$63,5)="","",INDEX(Dossiers!$G$4:$G$63,5)))</f>
        <v/>
      </c>
      <c r="V258">
        <f>IF(OR($O258="",NOT(ISNUMBER($Q258))),"",$Q258*1000000+258)</f>
        <v/>
      </c>
      <c r="W258" s="29">
        <f>IF($B258="","",IFERROR(INDEX($U$4:$U$3183,MATCH(SMALL($V$4:$V$3183,255),$V$4:$V$3183,0)),""))</f>
        <v/>
      </c>
    </row>
    <row r="259">
      <c r="A259">
        <f>IFERROR(INDEX($N$4:$N$3183,MATCH(SMALL($V$4:$V$3183,256),$V$4:$V$3183,0)),"")</f>
        <v/>
      </c>
      <c r="B259">
        <f>IFERROR(INDEX($O$4:$O$3183,MATCH(SMALL($V$4:$V$3183,256),$V$4:$V$3183,0)),"")</f>
        <v/>
      </c>
      <c r="C259">
        <f>IFERROR(INDEX($P$4:$P$3183,MATCH(SMALL($V$4:$V$3183,256),$V$4:$V$3183,0)),"")</f>
        <v/>
      </c>
      <c r="D259" s="29">
        <f>IFERROR(INDEX($Q$4:$Q$3183,MATCH(SMALL($V$4:$V$3183,256),$V$4:$V$3183,0)),"")</f>
        <v/>
      </c>
      <c r="E259" s="29">
        <f>IFERROR(INDEX($R$4:$R$3183,MATCH(SMALL($V$4:$V$3183,256),$V$4:$V$3183,0)),"")</f>
        <v/>
      </c>
      <c r="F259">
        <f>IFERROR(INDEX($S$4:$S$3183,MATCH(SMALL($V$4:$V$3183,256),$V$4:$V$3183,0)),"")</f>
        <v/>
      </c>
      <c r="I259" s="29">
        <f>IF($B259="","",IFERROR(INDEX($U$4:$U$3183,MATCH(SMALL($V$4:$V$3183,256),$V$4:$V$3183,0)),""))</f>
        <v/>
      </c>
      <c r="J259">
        <f>IF($B259="","",IF($D259&gt;$F$2,"À venir",IF($E259&lt;$D$2,"Passé","Dans la période")))</f>
        <v/>
      </c>
      <c r="K259">
        <f>IF(OR($B259="",NOT(ISNUMBER($D259))),"",IF(AND($E259&lt;$D$2,$G259&lt;&gt;"X",$F259&lt;&gt;"Réalisé",$F259&lt;&gt;"Clôturé"),"RETARD",""))</f>
        <v/>
      </c>
      <c r="L259">
        <f>IF(OR($B259="",NOT(ISNUMBER($D259))),"",IF(AND($D259&gt;=$D$2,$D259&lt;=$H$2,$G259&lt;&gt;"X",$F259&lt;&gt;"Réalisé",$F259&lt;&gt;"Clôturé"),"≤ 7 j",""))</f>
        <v/>
      </c>
      <c r="M259" s="29">
        <f>IF($B259="","",IFERROR(INDEX($T$4:$T$3183,MATCH(SMALL($V$4:$V$3183,256),$V$4:$V$3183,0)),""))</f>
        <v/>
      </c>
      <c r="O259">
        <f>IF(INDEX(Suivi!$B:$B,264)="","",INDEX(Suivi!$B:$B,264))</f>
        <v/>
      </c>
      <c r="P259">
        <f>IF($O259="","",IF(INDEX(Suivi!$D:$D,264)="",INDEX(Suivi!$C:$C,264),INDEX(Suivi!$D:$D,264)))</f>
        <v/>
      </c>
      <c r="Q259">
        <f>IF($O259="","",INDEX(Suivi!$E:$E,264))</f>
        <v/>
      </c>
      <c r="R259">
        <f>IF($O259="","",INDEX(Suivi!$F:$F,264))</f>
        <v/>
      </c>
      <c r="S259">
        <f>IF($O259="","",INDEX(Suivi!$G:$G,264))</f>
        <v/>
      </c>
      <c r="T259">
        <f>IF($O259="","",IF(INDEX(Dossiers!$F$4:$F$63,5)="","",INDEX(Dossiers!$F$4:$F$63,5)))</f>
        <v/>
      </c>
      <c r="U259">
        <f>IF($O259="","",IF(INDEX(Dossiers!$G$4:$G$63,5)="","",INDEX(Dossiers!$G$4:$G$63,5)))</f>
        <v/>
      </c>
      <c r="V259">
        <f>IF(OR($O259="",NOT(ISNUMBER($Q259))),"",$Q259*1000000+259)</f>
        <v/>
      </c>
      <c r="W259" s="29">
        <f>IF($B259="","",IFERROR(INDEX($U$4:$U$3183,MATCH(SMALL($V$4:$V$3183,256),$V$4:$V$3183,0)),""))</f>
        <v/>
      </c>
    </row>
    <row r="260">
      <c r="A260">
        <f>IFERROR(INDEX($N$4:$N$3183,MATCH(SMALL($V$4:$V$3183,257),$V$4:$V$3183,0)),"")</f>
        <v/>
      </c>
      <c r="B260">
        <f>IFERROR(INDEX($O$4:$O$3183,MATCH(SMALL($V$4:$V$3183,257),$V$4:$V$3183,0)),"")</f>
        <v/>
      </c>
      <c r="C260">
        <f>IFERROR(INDEX($P$4:$P$3183,MATCH(SMALL($V$4:$V$3183,257),$V$4:$V$3183,0)),"")</f>
        <v/>
      </c>
      <c r="D260" s="29">
        <f>IFERROR(INDEX($Q$4:$Q$3183,MATCH(SMALL($V$4:$V$3183,257),$V$4:$V$3183,0)),"")</f>
        <v/>
      </c>
      <c r="E260" s="29">
        <f>IFERROR(INDEX($R$4:$R$3183,MATCH(SMALL($V$4:$V$3183,257),$V$4:$V$3183,0)),"")</f>
        <v/>
      </c>
      <c r="F260">
        <f>IFERROR(INDEX($S$4:$S$3183,MATCH(SMALL($V$4:$V$3183,257),$V$4:$V$3183,0)),"")</f>
        <v/>
      </c>
      <c r="I260" s="29">
        <f>IF($B260="","",IFERROR(INDEX($U$4:$U$3183,MATCH(SMALL($V$4:$V$3183,257),$V$4:$V$3183,0)),""))</f>
        <v/>
      </c>
      <c r="J260">
        <f>IF($B260="","",IF($D260&gt;$F$2,"À venir",IF($E260&lt;$D$2,"Passé","Dans la période")))</f>
        <v/>
      </c>
      <c r="K260">
        <f>IF(OR($B260="",NOT(ISNUMBER($D260))),"",IF(AND($E260&lt;$D$2,$G260&lt;&gt;"X",$F260&lt;&gt;"Réalisé",$F260&lt;&gt;"Clôturé"),"RETARD",""))</f>
        <v/>
      </c>
      <c r="L260">
        <f>IF(OR($B260="",NOT(ISNUMBER($D260))),"",IF(AND($D260&gt;=$D$2,$D260&lt;=$H$2,$G260&lt;&gt;"X",$F260&lt;&gt;"Réalisé",$F260&lt;&gt;"Clôturé"),"≤ 7 j",""))</f>
        <v/>
      </c>
      <c r="M260" s="29">
        <f>IF($B260="","",IFERROR(INDEX($T$4:$T$3183,MATCH(SMALL($V$4:$V$3183,257),$V$4:$V$3183,0)),""))</f>
        <v/>
      </c>
      <c r="O260">
        <f>IF(INDEX(Suivi!$B:$B,265)="","",INDEX(Suivi!$B:$B,265))</f>
        <v/>
      </c>
      <c r="P260">
        <f>IF($O260="","",IF(INDEX(Suivi!$D:$D,265)="",INDEX(Suivi!$C:$C,265),INDEX(Suivi!$D:$D,265)))</f>
        <v/>
      </c>
      <c r="Q260">
        <f>IF($O260="","",INDEX(Suivi!$E:$E,265))</f>
        <v/>
      </c>
      <c r="R260">
        <f>IF($O260="","",INDEX(Suivi!$F:$F,265))</f>
        <v/>
      </c>
      <c r="S260">
        <f>IF($O260="","",INDEX(Suivi!$G:$G,265))</f>
        <v/>
      </c>
      <c r="T260">
        <f>IF($O260="","",IF(INDEX(Dossiers!$F$4:$F$63,5)="","",INDEX(Dossiers!$F$4:$F$63,5)))</f>
        <v/>
      </c>
      <c r="U260">
        <f>IF($O260="","",IF(INDEX(Dossiers!$G$4:$G$63,5)="","",INDEX(Dossiers!$G$4:$G$63,5)))</f>
        <v/>
      </c>
      <c r="V260">
        <f>IF(OR($O260="",NOT(ISNUMBER($Q260))),"",$Q260*1000000+260)</f>
        <v/>
      </c>
      <c r="W260" s="29">
        <f>IF($B260="","",IFERROR(INDEX($U$4:$U$3183,MATCH(SMALL($V$4:$V$3183,257),$V$4:$V$3183,0)),""))</f>
        <v/>
      </c>
    </row>
    <row r="261">
      <c r="A261">
        <f>IFERROR(INDEX($N$4:$N$3183,MATCH(SMALL($V$4:$V$3183,258),$V$4:$V$3183,0)),"")</f>
        <v/>
      </c>
      <c r="B261">
        <f>IFERROR(INDEX($O$4:$O$3183,MATCH(SMALL($V$4:$V$3183,258),$V$4:$V$3183,0)),"")</f>
        <v/>
      </c>
      <c r="C261">
        <f>IFERROR(INDEX($P$4:$P$3183,MATCH(SMALL($V$4:$V$3183,258),$V$4:$V$3183,0)),"")</f>
        <v/>
      </c>
      <c r="D261" s="29">
        <f>IFERROR(INDEX($Q$4:$Q$3183,MATCH(SMALL($V$4:$V$3183,258),$V$4:$V$3183,0)),"")</f>
        <v/>
      </c>
      <c r="E261" s="29">
        <f>IFERROR(INDEX($R$4:$R$3183,MATCH(SMALL($V$4:$V$3183,258),$V$4:$V$3183,0)),"")</f>
        <v/>
      </c>
      <c r="F261">
        <f>IFERROR(INDEX($S$4:$S$3183,MATCH(SMALL($V$4:$V$3183,258),$V$4:$V$3183,0)),"")</f>
        <v/>
      </c>
      <c r="I261" s="29">
        <f>IF($B261="","",IFERROR(INDEX($U$4:$U$3183,MATCH(SMALL($V$4:$V$3183,258),$V$4:$V$3183,0)),""))</f>
        <v/>
      </c>
      <c r="J261">
        <f>IF($B261="","",IF($D261&gt;$F$2,"À venir",IF($E261&lt;$D$2,"Passé","Dans la période")))</f>
        <v/>
      </c>
      <c r="K261">
        <f>IF(OR($B261="",NOT(ISNUMBER($D261))),"",IF(AND($E261&lt;$D$2,$G261&lt;&gt;"X",$F261&lt;&gt;"Réalisé",$F261&lt;&gt;"Clôturé"),"RETARD",""))</f>
        <v/>
      </c>
      <c r="L261">
        <f>IF(OR($B261="",NOT(ISNUMBER($D261))),"",IF(AND($D261&gt;=$D$2,$D261&lt;=$H$2,$G261&lt;&gt;"X",$F261&lt;&gt;"Réalisé",$F261&lt;&gt;"Clôturé"),"≤ 7 j",""))</f>
        <v/>
      </c>
      <c r="M261" s="29">
        <f>IF($B261="","",IFERROR(INDEX($T$4:$T$3183,MATCH(SMALL($V$4:$V$3183,258),$V$4:$V$3183,0)),""))</f>
        <v/>
      </c>
      <c r="O261">
        <f>IF(INDEX(Suivi!$B:$B,266)="","",INDEX(Suivi!$B:$B,266))</f>
        <v/>
      </c>
      <c r="P261">
        <f>IF($O261="","",IF(INDEX(Suivi!$D:$D,266)="",INDEX(Suivi!$C:$C,266),INDEX(Suivi!$D:$D,266)))</f>
        <v/>
      </c>
      <c r="Q261">
        <f>IF($O261="","",INDEX(Suivi!$E:$E,266))</f>
        <v/>
      </c>
      <c r="R261">
        <f>IF($O261="","",INDEX(Suivi!$F:$F,266))</f>
        <v/>
      </c>
      <c r="S261">
        <f>IF($O261="","",INDEX(Suivi!$G:$G,266))</f>
        <v/>
      </c>
      <c r="T261">
        <f>IF($O261="","",IF(INDEX(Dossiers!$F$4:$F$63,5)="","",INDEX(Dossiers!$F$4:$F$63,5)))</f>
        <v/>
      </c>
      <c r="U261">
        <f>IF($O261="","",IF(INDEX(Dossiers!$G$4:$G$63,5)="","",INDEX(Dossiers!$G$4:$G$63,5)))</f>
        <v/>
      </c>
      <c r="V261">
        <f>IF(OR($O261="",NOT(ISNUMBER($Q261))),"",$Q261*1000000+261)</f>
        <v/>
      </c>
      <c r="W261" s="29">
        <f>IF($B261="","",IFERROR(INDEX($U$4:$U$3183,MATCH(SMALL($V$4:$V$3183,258),$V$4:$V$3183,0)),""))</f>
        <v/>
      </c>
    </row>
    <row r="262">
      <c r="A262">
        <f>IFERROR(INDEX($N$4:$N$3183,MATCH(SMALL($V$4:$V$3183,259),$V$4:$V$3183,0)),"")</f>
        <v/>
      </c>
      <c r="B262">
        <f>IFERROR(INDEX($O$4:$O$3183,MATCH(SMALL($V$4:$V$3183,259),$V$4:$V$3183,0)),"")</f>
        <v/>
      </c>
      <c r="C262">
        <f>IFERROR(INDEX($P$4:$P$3183,MATCH(SMALL($V$4:$V$3183,259),$V$4:$V$3183,0)),"")</f>
        <v/>
      </c>
      <c r="D262" s="29">
        <f>IFERROR(INDEX($Q$4:$Q$3183,MATCH(SMALL($V$4:$V$3183,259),$V$4:$V$3183,0)),"")</f>
        <v/>
      </c>
      <c r="E262" s="29">
        <f>IFERROR(INDEX($R$4:$R$3183,MATCH(SMALL($V$4:$V$3183,259),$V$4:$V$3183,0)),"")</f>
        <v/>
      </c>
      <c r="F262">
        <f>IFERROR(INDEX($S$4:$S$3183,MATCH(SMALL($V$4:$V$3183,259),$V$4:$V$3183,0)),"")</f>
        <v/>
      </c>
      <c r="I262" s="29">
        <f>IF($B262="","",IFERROR(INDEX($U$4:$U$3183,MATCH(SMALL($V$4:$V$3183,259),$V$4:$V$3183,0)),""))</f>
        <v/>
      </c>
      <c r="J262">
        <f>IF($B262="","",IF($D262&gt;$F$2,"À venir",IF($E262&lt;$D$2,"Passé","Dans la période")))</f>
        <v/>
      </c>
      <c r="K262">
        <f>IF(OR($B262="",NOT(ISNUMBER($D262))),"",IF(AND($E262&lt;$D$2,$G262&lt;&gt;"X",$F262&lt;&gt;"Réalisé",$F262&lt;&gt;"Clôturé"),"RETARD",""))</f>
        <v/>
      </c>
      <c r="L262">
        <f>IF(OR($B262="",NOT(ISNUMBER($D262))),"",IF(AND($D262&gt;=$D$2,$D262&lt;=$H$2,$G262&lt;&gt;"X",$F262&lt;&gt;"Réalisé",$F262&lt;&gt;"Clôturé"),"≤ 7 j",""))</f>
        <v/>
      </c>
      <c r="M262" s="29">
        <f>IF($B262="","",IFERROR(INDEX($T$4:$T$3183,MATCH(SMALL($V$4:$V$3183,259),$V$4:$V$3183,0)),""))</f>
        <v/>
      </c>
      <c r="O262">
        <f>IF(INDEX(Suivi!$B:$B,267)="","",INDEX(Suivi!$B:$B,267))</f>
        <v/>
      </c>
      <c r="P262">
        <f>IF($O262="","",IF(INDEX(Suivi!$D:$D,267)="",INDEX(Suivi!$C:$C,267),INDEX(Suivi!$D:$D,267)))</f>
        <v/>
      </c>
      <c r="Q262">
        <f>IF($O262="","",INDEX(Suivi!$E:$E,267))</f>
        <v/>
      </c>
      <c r="R262">
        <f>IF($O262="","",INDEX(Suivi!$F:$F,267))</f>
        <v/>
      </c>
      <c r="S262">
        <f>IF($O262="","",INDEX(Suivi!$G:$G,267))</f>
        <v/>
      </c>
      <c r="T262">
        <f>IF($O262="","",IF(INDEX(Dossiers!$F$4:$F$63,5)="","",INDEX(Dossiers!$F$4:$F$63,5)))</f>
        <v/>
      </c>
      <c r="U262">
        <f>IF($O262="","",IF(INDEX(Dossiers!$G$4:$G$63,5)="","",INDEX(Dossiers!$G$4:$G$63,5)))</f>
        <v/>
      </c>
      <c r="V262">
        <f>IF(OR($O262="",NOT(ISNUMBER($Q262))),"",$Q262*1000000+262)</f>
        <v/>
      </c>
      <c r="W262" s="29">
        <f>IF($B262="","",IFERROR(INDEX($U$4:$U$3183,MATCH(SMALL($V$4:$V$3183,259),$V$4:$V$3183,0)),""))</f>
        <v/>
      </c>
    </row>
    <row r="263">
      <c r="A263">
        <f>IFERROR(INDEX($N$4:$N$3183,MATCH(SMALL($V$4:$V$3183,260),$V$4:$V$3183,0)),"")</f>
        <v/>
      </c>
      <c r="B263">
        <f>IFERROR(INDEX($O$4:$O$3183,MATCH(SMALL($V$4:$V$3183,260),$V$4:$V$3183,0)),"")</f>
        <v/>
      </c>
      <c r="C263">
        <f>IFERROR(INDEX($P$4:$P$3183,MATCH(SMALL($V$4:$V$3183,260),$V$4:$V$3183,0)),"")</f>
        <v/>
      </c>
      <c r="D263" s="29">
        <f>IFERROR(INDEX($Q$4:$Q$3183,MATCH(SMALL($V$4:$V$3183,260),$V$4:$V$3183,0)),"")</f>
        <v/>
      </c>
      <c r="E263" s="29">
        <f>IFERROR(INDEX($R$4:$R$3183,MATCH(SMALL($V$4:$V$3183,260),$V$4:$V$3183,0)),"")</f>
        <v/>
      </c>
      <c r="F263">
        <f>IFERROR(INDEX($S$4:$S$3183,MATCH(SMALL($V$4:$V$3183,260),$V$4:$V$3183,0)),"")</f>
        <v/>
      </c>
      <c r="I263" s="29">
        <f>IF($B263="","",IFERROR(INDEX($U$4:$U$3183,MATCH(SMALL($V$4:$V$3183,260),$V$4:$V$3183,0)),""))</f>
        <v/>
      </c>
      <c r="J263">
        <f>IF($B263="","",IF($D263&gt;$F$2,"À venir",IF($E263&lt;$D$2,"Passé","Dans la période")))</f>
        <v/>
      </c>
      <c r="K263">
        <f>IF(OR($B263="",NOT(ISNUMBER($D263))),"",IF(AND($E263&lt;$D$2,$G263&lt;&gt;"X",$F263&lt;&gt;"Réalisé",$F263&lt;&gt;"Clôturé"),"RETARD",""))</f>
        <v/>
      </c>
      <c r="L263">
        <f>IF(OR($B263="",NOT(ISNUMBER($D263))),"",IF(AND($D263&gt;=$D$2,$D263&lt;=$H$2,$G263&lt;&gt;"X",$F263&lt;&gt;"Réalisé",$F263&lt;&gt;"Clôturé"),"≤ 7 j",""))</f>
        <v/>
      </c>
      <c r="M263" s="29">
        <f>IF($B263="","",IFERROR(INDEX($T$4:$T$3183,MATCH(SMALL($V$4:$V$3183,260),$V$4:$V$3183,0)),""))</f>
        <v/>
      </c>
      <c r="O263">
        <f>IF(INDEX(Suivi!$B:$B,268)="","",INDEX(Suivi!$B:$B,268))</f>
        <v/>
      </c>
      <c r="P263">
        <f>IF($O263="","",IF(INDEX(Suivi!$D:$D,268)="",INDEX(Suivi!$C:$C,268),INDEX(Suivi!$D:$D,268)))</f>
        <v/>
      </c>
      <c r="Q263">
        <f>IF($O263="","",INDEX(Suivi!$E:$E,268))</f>
        <v/>
      </c>
      <c r="R263">
        <f>IF($O263="","",INDEX(Suivi!$F:$F,268))</f>
        <v/>
      </c>
      <c r="S263">
        <f>IF($O263="","",INDEX(Suivi!$G:$G,268))</f>
        <v/>
      </c>
      <c r="T263">
        <f>IF($O263="","",IF(INDEX(Dossiers!$F$4:$F$63,5)="","",INDEX(Dossiers!$F$4:$F$63,5)))</f>
        <v/>
      </c>
      <c r="U263">
        <f>IF($O263="","",IF(INDEX(Dossiers!$G$4:$G$63,5)="","",INDEX(Dossiers!$G$4:$G$63,5)))</f>
        <v/>
      </c>
      <c r="V263">
        <f>IF(OR($O263="",NOT(ISNUMBER($Q263))),"",$Q263*1000000+263)</f>
        <v/>
      </c>
      <c r="W263" s="29">
        <f>IF($B263="","",IFERROR(INDEX($U$4:$U$3183,MATCH(SMALL($V$4:$V$3183,260),$V$4:$V$3183,0)),""))</f>
        <v/>
      </c>
    </row>
    <row r="264">
      <c r="A264">
        <f>IFERROR(INDEX($N$4:$N$3183,MATCH(SMALL($V$4:$V$3183,261),$V$4:$V$3183,0)),"")</f>
        <v/>
      </c>
      <c r="B264">
        <f>IFERROR(INDEX($O$4:$O$3183,MATCH(SMALL($V$4:$V$3183,261),$V$4:$V$3183,0)),"")</f>
        <v/>
      </c>
      <c r="C264">
        <f>IFERROR(INDEX($P$4:$P$3183,MATCH(SMALL($V$4:$V$3183,261),$V$4:$V$3183,0)),"")</f>
        <v/>
      </c>
      <c r="D264" s="29">
        <f>IFERROR(INDEX($Q$4:$Q$3183,MATCH(SMALL($V$4:$V$3183,261),$V$4:$V$3183,0)),"")</f>
        <v/>
      </c>
      <c r="E264" s="29">
        <f>IFERROR(INDEX($R$4:$R$3183,MATCH(SMALL($V$4:$V$3183,261),$V$4:$V$3183,0)),"")</f>
        <v/>
      </c>
      <c r="F264">
        <f>IFERROR(INDEX($S$4:$S$3183,MATCH(SMALL($V$4:$V$3183,261),$V$4:$V$3183,0)),"")</f>
        <v/>
      </c>
      <c r="I264" s="29">
        <f>IF($B264="","",IFERROR(INDEX($U$4:$U$3183,MATCH(SMALL($V$4:$V$3183,261),$V$4:$V$3183,0)),""))</f>
        <v/>
      </c>
      <c r="J264">
        <f>IF($B264="","",IF($D264&gt;$F$2,"À venir",IF($E264&lt;$D$2,"Passé","Dans la période")))</f>
        <v/>
      </c>
      <c r="K264">
        <f>IF(OR($B264="",NOT(ISNUMBER($D264))),"",IF(AND($E264&lt;$D$2,$G264&lt;&gt;"X",$F264&lt;&gt;"Réalisé",$F264&lt;&gt;"Clôturé"),"RETARD",""))</f>
        <v/>
      </c>
      <c r="L264">
        <f>IF(OR($B264="",NOT(ISNUMBER($D264))),"",IF(AND($D264&gt;=$D$2,$D264&lt;=$H$2,$G264&lt;&gt;"X",$F264&lt;&gt;"Réalisé",$F264&lt;&gt;"Clôturé"),"≤ 7 j",""))</f>
        <v/>
      </c>
      <c r="M264" s="29">
        <f>IF($B264="","",IFERROR(INDEX($T$4:$T$3183,MATCH(SMALL($V$4:$V$3183,261),$V$4:$V$3183,0)),""))</f>
        <v/>
      </c>
      <c r="O264">
        <f>IF(INDEX(Suivi!$B:$B,269)="","",INDEX(Suivi!$B:$B,269))</f>
        <v/>
      </c>
      <c r="P264">
        <f>IF($O264="","",IF(INDEX(Suivi!$D:$D,269)="",INDEX(Suivi!$C:$C,269),INDEX(Suivi!$D:$D,269)))</f>
        <v/>
      </c>
      <c r="Q264">
        <f>IF($O264="","",INDEX(Suivi!$E:$E,269))</f>
        <v/>
      </c>
      <c r="R264">
        <f>IF($O264="","",INDEX(Suivi!$F:$F,269))</f>
        <v/>
      </c>
      <c r="S264">
        <f>IF($O264="","",INDEX(Suivi!$G:$G,269))</f>
        <v/>
      </c>
      <c r="T264">
        <f>IF($O264="","",IF(INDEX(Dossiers!$F$4:$F$63,5)="","",INDEX(Dossiers!$F$4:$F$63,5)))</f>
        <v/>
      </c>
      <c r="U264">
        <f>IF($O264="","",IF(INDEX(Dossiers!$G$4:$G$63,5)="","",INDEX(Dossiers!$G$4:$G$63,5)))</f>
        <v/>
      </c>
      <c r="V264">
        <f>IF(OR($O264="",NOT(ISNUMBER($Q264))),"",$Q264*1000000+264)</f>
        <v/>
      </c>
      <c r="W264" s="29">
        <f>IF($B264="","",IFERROR(INDEX($U$4:$U$3183,MATCH(SMALL($V$4:$V$3183,261),$V$4:$V$3183,0)),""))</f>
        <v/>
      </c>
    </row>
    <row r="265">
      <c r="A265">
        <f>IFERROR(INDEX($N$4:$N$3183,MATCH(SMALL($V$4:$V$3183,262),$V$4:$V$3183,0)),"")</f>
        <v/>
      </c>
      <c r="B265">
        <f>IFERROR(INDEX($O$4:$O$3183,MATCH(SMALL($V$4:$V$3183,262),$V$4:$V$3183,0)),"")</f>
        <v/>
      </c>
      <c r="C265">
        <f>IFERROR(INDEX($P$4:$P$3183,MATCH(SMALL($V$4:$V$3183,262),$V$4:$V$3183,0)),"")</f>
        <v/>
      </c>
      <c r="D265" s="29">
        <f>IFERROR(INDEX($Q$4:$Q$3183,MATCH(SMALL($V$4:$V$3183,262),$V$4:$V$3183,0)),"")</f>
        <v/>
      </c>
      <c r="E265" s="29">
        <f>IFERROR(INDEX($R$4:$R$3183,MATCH(SMALL($V$4:$V$3183,262),$V$4:$V$3183,0)),"")</f>
        <v/>
      </c>
      <c r="F265">
        <f>IFERROR(INDEX($S$4:$S$3183,MATCH(SMALL($V$4:$V$3183,262),$V$4:$V$3183,0)),"")</f>
        <v/>
      </c>
      <c r="I265" s="29">
        <f>IF($B265="","",IFERROR(INDEX($U$4:$U$3183,MATCH(SMALL($V$4:$V$3183,262),$V$4:$V$3183,0)),""))</f>
        <v/>
      </c>
      <c r="J265">
        <f>IF($B265="","",IF($D265&gt;$F$2,"À venir",IF($E265&lt;$D$2,"Passé","Dans la période")))</f>
        <v/>
      </c>
      <c r="K265">
        <f>IF(OR($B265="",NOT(ISNUMBER($D265))),"",IF(AND($E265&lt;$D$2,$G265&lt;&gt;"X",$F265&lt;&gt;"Réalisé",$F265&lt;&gt;"Clôturé"),"RETARD",""))</f>
        <v/>
      </c>
      <c r="L265">
        <f>IF(OR($B265="",NOT(ISNUMBER($D265))),"",IF(AND($D265&gt;=$D$2,$D265&lt;=$H$2,$G265&lt;&gt;"X",$F265&lt;&gt;"Réalisé",$F265&lt;&gt;"Clôturé"),"≤ 7 j",""))</f>
        <v/>
      </c>
      <c r="M265" s="29">
        <f>IF($B265="","",IFERROR(INDEX($T$4:$T$3183,MATCH(SMALL($V$4:$V$3183,262),$V$4:$V$3183,0)),""))</f>
        <v/>
      </c>
      <c r="O265">
        <f>IF(INDEX(Suivi!$B:$B,270)="","",INDEX(Suivi!$B:$B,270))</f>
        <v/>
      </c>
      <c r="P265">
        <f>IF($O265="","",IF(INDEX(Suivi!$D:$D,270)="",INDEX(Suivi!$C:$C,270),INDEX(Suivi!$D:$D,270)))</f>
        <v/>
      </c>
      <c r="Q265">
        <f>IF($O265="","",INDEX(Suivi!$E:$E,270))</f>
        <v/>
      </c>
      <c r="R265">
        <f>IF($O265="","",INDEX(Suivi!$F:$F,270))</f>
        <v/>
      </c>
      <c r="S265">
        <f>IF($O265="","",INDEX(Suivi!$G:$G,270))</f>
        <v/>
      </c>
      <c r="T265">
        <f>IF($O265="","",IF(INDEX(Dossiers!$F$4:$F$63,5)="","",INDEX(Dossiers!$F$4:$F$63,5)))</f>
        <v/>
      </c>
      <c r="U265">
        <f>IF($O265="","",IF(INDEX(Dossiers!$G$4:$G$63,5)="","",INDEX(Dossiers!$G$4:$G$63,5)))</f>
        <v/>
      </c>
      <c r="V265">
        <f>IF(OR($O265="",NOT(ISNUMBER($Q265))),"",$Q265*1000000+265)</f>
        <v/>
      </c>
      <c r="W265" s="29">
        <f>IF($B265="","",IFERROR(INDEX($U$4:$U$3183,MATCH(SMALL($V$4:$V$3183,262),$V$4:$V$3183,0)),""))</f>
        <v/>
      </c>
    </row>
    <row r="266">
      <c r="A266">
        <f>IFERROR(INDEX($N$4:$N$3183,MATCH(SMALL($V$4:$V$3183,263),$V$4:$V$3183,0)),"")</f>
        <v/>
      </c>
      <c r="B266">
        <f>IFERROR(INDEX($O$4:$O$3183,MATCH(SMALL($V$4:$V$3183,263),$V$4:$V$3183,0)),"")</f>
        <v/>
      </c>
      <c r="C266">
        <f>IFERROR(INDEX($P$4:$P$3183,MATCH(SMALL($V$4:$V$3183,263),$V$4:$V$3183,0)),"")</f>
        <v/>
      </c>
      <c r="D266" s="29">
        <f>IFERROR(INDEX($Q$4:$Q$3183,MATCH(SMALL($V$4:$V$3183,263),$V$4:$V$3183,0)),"")</f>
        <v/>
      </c>
      <c r="E266" s="29">
        <f>IFERROR(INDEX($R$4:$R$3183,MATCH(SMALL($V$4:$V$3183,263),$V$4:$V$3183,0)),"")</f>
        <v/>
      </c>
      <c r="F266">
        <f>IFERROR(INDEX($S$4:$S$3183,MATCH(SMALL($V$4:$V$3183,263),$V$4:$V$3183,0)),"")</f>
        <v/>
      </c>
      <c r="I266" s="29">
        <f>IF($B266="","",IFERROR(INDEX($U$4:$U$3183,MATCH(SMALL($V$4:$V$3183,263),$V$4:$V$3183,0)),""))</f>
        <v/>
      </c>
      <c r="J266">
        <f>IF($B266="","",IF($D266&gt;$F$2,"À venir",IF($E266&lt;$D$2,"Passé","Dans la période")))</f>
        <v/>
      </c>
      <c r="K266">
        <f>IF(OR($B266="",NOT(ISNUMBER($D266))),"",IF(AND($E266&lt;$D$2,$G266&lt;&gt;"X",$F266&lt;&gt;"Réalisé",$F266&lt;&gt;"Clôturé"),"RETARD",""))</f>
        <v/>
      </c>
      <c r="L266">
        <f>IF(OR($B266="",NOT(ISNUMBER($D266))),"",IF(AND($D266&gt;=$D$2,$D266&lt;=$H$2,$G266&lt;&gt;"X",$F266&lt;&gt;"Réalisé",$F266&lt;&gt;"Clôturé"),"≤ 7 j",""))</f>
        <v/>
      </c>
      <c r="M266" s="29">
        <f>IF($B266="","",IFERROR(INDEX($T$4:$T$3183,MATCH(SMALL($V$4:$V$3183,263),$V$4:$V$3183,0)),""))</f>
        <v/>
      </c>
      <c r="O266">
        <f>IF(INDEX(Suivi!$B:$B,271)="","",INDEX(Suivi!$B:$B,271))</f>
        <v/>
      </c>
      <c r="P266">
        <f>IF($O266="","",IF(INDEX(Suivi!$D:$D,271)="",INDEX(Suivi!$C:$C,271),INDEX(Suivi!$D:$D,271)))</f>
        <v/>
      </c>
      <c r="Q266">
        <f>IF($O266="","",INDEX(Suivi!$E:$E,271))</f>
        <v/>
      </c>
      <c r="R266">
        <f>IF($O266="","",INDEX(Suivi!$F:$F,271))</f>
        <v/>
      </c>
      <c r="S266">
        <f>IF($O266="","",INDEX(Suivi!$G:$G,271))</f>
        <v/>
      </c>
      <c r="T266">
        <f>IF($O266="","",IF(INDEX(Dossiers!$F$4:$F$63,5)="","",INDEX(Dossiers!$F$4:$F$63,5)))</f>
        <v/>
      </c>
      <c r="U266">
        <f>IF($O266="","",IF(INDEX(Dossiers!$G$4:$G$63,5)="","",INDEX(Dossiers!$G$4:$G$63,5)))</f>
        <v/>
      </c>
      <c r="V266">
        <f>IF(OR($O266="",NOT(ISNUMBER($Q266))),"",$Q266*1000000+266)</f>
        <v/>
      </c>
      <c r="W266" s="29">
        <f>IF($B266="","",IFERROR(INDEX($U$4:$U$3183,MATCH(SMALL($V$4:$V$3183,263),$V$4:$V$3183,0)),""))</f>
        <v/>
      </c>
    </row>
    <row r="267">
      <c r="A267">
        <f>IFERROR(INDEX($N$4:$N$3183,MATCH(SMALL($V$4:$V$3183,264),$V$4:$V$3183,0)),"")</f>
        <v/>
      </c>
      <c r="B267">
        <f>IFERROR(INDEX($O$4:$O$3183,MATCH(SMALL($V$4:$V$3183,264),$V$4:$V$3183,0)),"")</f>
        <v/>
      </c>
      <c r="C267">
        <f>IFERROR(INDEX($P$4:$P$3183,MATCH(SMALL($V$4:$V$3183,264),$V$4:$V$3183,0)),"")</f>
        <v/>
      </c>
      <c r="D267" s="29">
        <f>IFERROR(INDEX($Q$4:$Q$3183,MATCH(SMALL($V$4:$V$3183,264),$V$4:$V$3183,0)),"")</f>
        <v/>
      </c>
      <c r="E267" s="29">
        <f>IFERROR(INDEX($R$4:$R$3183,MATCH(SMALL($V$4:$V$3183,264),$V$4:$V$3183,0)),"")</f>
        <v/>
      </c>
      <c r="F267">
        <f>IFERROR(INDEX($S$4:$S$3183,MATCH(SMALL($V$4:$V$3183,264),$V$4:$V$3183,0)),"")</f>
        <v/>
      </c>
      <c r="I267" s="29">
        <f>IF($B267="","",IFERROR(INDEX($U$4:$U$3183,MATCH(SMALL($V$4:$V$3183,264),$V$4:$V$3183,0)),""))</f>
        <v/>
      </c>
      <c r="J267">
        <f>IF($B267="","",IF($D267&gt;$F$2,"À venir",IF($E267&lt;$D$2,"Passé","Dans la période")))</f>
        <v/>
      </c>
      <c r="K267">
        <f>IF(OR($B267="",NOT(ISNUMBER($D267))),"",IF(AND($E267&lt;$D$2,$G267&lt;&gt;"X",$F267&lt;&gt;"Réalisé",$F267&lt;&gt;"Clôturé"),"RETARD",""))</f>
        <v/>
      </c>
      <c r="L267">
        <f>IF(OR($B267="",NOT(ISNUMBER($D267))),"",IF(AND($D267&gt;=$D$2,$D267&lt;=$H$2,$G267&lt;&gt;"X",$F267&lt;&gt;"Réalisé",$F267&lt;&gt;"Clôturé"),"≤ 7 j",""))</f>
        <v/>
      </c>
      <c r="M267" s="29">
        <f>IF($B267="","",IFERROR(INDEX($T$4:$T$3183,MATCH(SMALL($V$4:$V$3183,264),$V$4:$V$3183,0)),""))</f>
        <v/>
      </c>
      <c r="O267">
        <f>IF(INDEX(Suivi!$B:$B,272)="","",INDEX(Suivi!$B:$B,272))</f>
        <v/>
      </c>
      <c r="P267">
        <f>IF($O267="","",IF(INDEX(Suivi!$D:$D,272)="",INDEX(Suivi!$C:$C,272),INDEX(Suivi!$D:$D,272)))</f>
        <v/>
      </c>
      <c r="Q267">
        <f>IF($O267="","",INDEX(Suivi!$E:$E,272))</f>
        <v/>
      </c>
      <c r="R267">
        <f>IF($O267="","",INDEX(Suivi!$F:$F,272))</f>
        <v/>
      </c>
      <c r="S267">
        <f>IF($O267="","",INDEX(Suivi!$G:$G,272))</f>
        <v/>
      </c>
      <c r="T267">
        <f>IF($O267="","",IF(INDEX(Dossiers!$F$4:$F$63,5)="","",INDEX(Dossiers!$F$4:$F$63,5)))</f>
        <v/>
      </c>
      <c r="U267">
        <f>IF($O267="","",IF(INDEX(Dossiers!$G$4:$G$63,5)="","",INDEX(Dossiers!$G$4:$G$63,5)))</f>
        <v/>
      </c>
      <c r="V267">
        <f>IF(OR($O267="",NOT(ISNUMBER($Q267))),"",$Q267*1000000+267)</f>
        <v/>
      </c>
      <c r="W267" s="29">
        <f>IF($B267="","",IFERROR(INDEX($U$4:$U$3183,MATCH(SMALL($V$4:$V$3183,264),$V$4:$V$3183,0)),""))</f>
        <v/>
      </c>
    </row>
    <row r="268">
      <c r="A268">
        <f>IFERROR(INDEX($N$4:$N$3183,MATCH(SMALL($V$4:$V$3183,265),$V$4:$V$3183,0)),"")</f>
        <v/>
      </c>
      <c r="B268">
        <f>IFERROR(INDEX($O$4:$O$3183,MATCH(SMALL($V$4:$V$3183,265),$V$4:$V$3183,0)),"")</f>
        <v/>
      </c>
      <c r="C268">
        <f>IFERROR(INDEX($P$4:$P$3183,MATCH(SMALL($V$4:$V$3183,265),$V$4:$V$3183,0)),"")</f>
        <v/>
      </c>
      <c r="D268" s="29">
        <f>IFERROR(INDEX($Q$4:$Q$3183,MATCH(SMALL($V$4:$V$3183,265),$V$4:$V$3183,0)),"")</f>
        <v/>
      </c>
      <c r="E268" s="29">
        <f>IFERROR(INDEX($R$4:$R$3183,MATCH(SMALL($V$4:$V$3183,265),$V$4:$V$3183,0)),"")</f>
        <v/>
      </c>
      <c r="F268">
        <f>IFERROR(INDEX($S$4:$S$3183,MATCH(SMALL($V$4:$V$3183,265),$V$4:$V$3183,0)),"")</f>
        <v/>
      </c>
      <c r="I268" s="29">
        <f>IF($B268="","",IFERROR(INDEX($U$4:$U$3183,MATCH(SMALL($V$4:$V$3183,265),$V$4:$V$3183,0)),""))</f>
        <v/>
      </c>
      <c r="J268">
        <f>IF($B268="","",IF($D268&gt;$F$2,"À venir",IF($E268&lt;$D$2,"Passé","Dans la période")))</f>
        <v/>
      </c>
      <c r="K268">
        <f>IF(OR($B268="",NOT(ISNUMBER($D268))),"",IF(AND($E268&lt;$D$2,$G268&lt;&gt;"X",$F268&lt;&gt;"Réalisé",$F268&lt;&gt;"Clôturé"),"RETARD",""))</f>
        <v/>
      </c>
      <c r="L268">
        <f>IF(OR($B268="",NOT(ISNUMBER($D268))),"",IF(AND($D268&gt;=$D$2,$D268&lt;=$H$2,$G268&lt;&gt;"X",$F268&lt;&gt;"Réalisé",$F268&lt;&gt;"Clôturé"),"≤ 7 j",""))</f>
        <v/>
      </c>
      <c r="M268" s="29">
        <f>IF($B268="","",IFERROR(INDEX($T$4:$T$3183,MATCH(SMALL($V$4:$V$3183,265),$V$4:$V$3183,0)),""))</f>
        <v/>
      </c>
      <c r="O268">
        <f>IF(INDEX(Suivi!$B:$B,273)="","",INDEX(Suivi!$B:$B,273))</f>
        <v/>
      </c>
      <c r="P268">
        <f>IF($O268="","",IF(INDEX(Suivi!$D:$D,273)="",INDEX(Suivi!$C:$C,273),INDEX(Suivi!$D:$D,273)))</f>
        <v/>
      </c>
      <c r="Q268">
        <f>IF($O268="","",INDEX(Suivi!$E:$E,273))</f>
        <v/>
      </c>
      <c r="R268">
        <f>IF($O268="","",INDEX(Suivi!$F:$F,273))</f>
        <v/>
      </c>
      <c r="S268">
        <f>IF($O268="","",INDEX(Suivi!$G:$G,273))</f>
        <v/>
      </c>
      <c r="T268">
        <f>IF($O268="","",IF(INDEX(Dossiers!$F$4:$F$63,5)="","",INDEX(Dossiers!$F$4:$F$63,5)))</f>
        <v/>
      </c>
      <c r="U268">
        <f>IF($O268="","",IF(INDEX(Dossiers!$G$4:$G$63,5)="","",INDEX(Dossiers!$G$4:$G$63,5)))</f>
        <v/>
      </c>
      <c r="V268">
        <f>IF(OR($O268="",NOT(ISNUMBER($Q268))),"",$Q268*1000000+268)</f>
        <v/>
      </c>
      <c r="W268" s="29">
        <f>IF($B268="","",IFERROR(INDEX($U$4:$U$3183,MATCH(SMALL($V$4:$V$3183,265),$V$4:$V$3183,0)),""))</f>
        <v/>
      </c>
    </row>
    <row r="269">
      <c r="A269">
        <f>IFERROR(INDEX($N$4:$N$3183,MATCH(SMALL($V$4:$V$3183,266),$V$4:$V$3183,0)),"")</f>
        <v/>
      </c>
      <c r="B269">
        <f>IFERROR(INDEX($O$4:$O$3183,MATCH(SMALL($V$4:$V$3183,266),$V$4:$V$3183,0)),"")</f>
        <v/>
      </c>
      <c r="C269">
        <f>IFERROR(INDEX($P$4:$P$3183,MATCH(SMALL($V$4:$V$3183,266),$V$4:$V$3183,0)),"")</f>
        <v/>
      </c>
      <c r="D269" s="29">
        <f>IFERROR(INDEX($Q$4:$Q$3183,MATCH(SMALL($V$4:$V$3183,266),$V$4:$V$3183,0)),"")</f>
        <v/>
      </c>
      <c r="E269" s="29">
        <f>IFERROR(INDEX($R$4:$R$3183,MATCH(SMALL($V$4:$V$3183,266),$V$4:$V$3183,0)),"")</f>
        <v/>
      </c>
      <c r="F269">
        <f>IFERROR(INDEX($S$4:$S$3183,MATCH(SMALL($V$4:$V$3183,266),$V$4:$V$3183,0)),"")</f>
        <v/>
      </c>
      <c r="I269" s="29">
        <f>IF($B269="","",IFERROR(INDEX($U$4:$U$3183,MATCH(SMALL($V$4:$V$3183,266),$V$4:$V$3183,0)),""))</f>
        <v/>
      </c>
      <c r="J269">
        <f>IF($B269="","",IF($D269&gt;$F$2,"À venir",IF($E269&lt;$D$2,"Passé","Dans la période")))</f>
        <v/>
      </c>
      <c r="K269">
        <f>IF(OR($B269="",NOT(ISNUMBER($D269))),"",IF(AND($E269&lt;$D$2,$G269&lt;&gt;"X",$F269&lt;&gt;"Réalisé",$F269&lt;&gt;"Clôturé"),"RETARD",""))</f>
        <v/>
      </c>
      <c r="L269">
        <f>IF(OR($B269="",NOT(ISNUMBER($D269))),"",IF(AND($D269&gt;=$D$2,$D269&lt;=$H$2,$G269&lt;&gt;"X",$F269&lt;&gt;"Réalisé",$F269&lt;&gt;"Clôturé"),"≤ 7 j",""))</f>
        <v/>
      </c>
      <c r="M269" s="29">
        <f>IF($B269="","",IFERROR(INDEX($T$4:$T$3183,MATCH(SMALL($V$4:$V$3183,266),$V$4:$V$3183,0)),""))</f>
        <v/>
      </c>
      <c r="O269">
        <f>IF(INDEX(Suivi!$B:$B,275)="","",INDEX(Suivi!$B:$B,275))</f>
        <v/>
      </c>
      <c r="P269">
        <f>IF($O269="","",IF(INDEX(Suivi!$D:$D,275)="",INDEX(Suivi!$C:$C,275),INDEX(Suivi!$D:$D,275)))</f>
        <v/>
      </c>
      <c r="Q269">
        <f>IF($O269="","",INDEX(Suivi!$E:$E,275))</f>
        <v/>
      </c>
      <c r="R269">
        <f>IF($O269="","",INDEX(Suivi!$F:$F,275))</f>
        <v/>
      </c>
      <c r="S269">
        <f>IF($O269="","",INDEX(Suivi!$G:$G,275))</f>
        <v/>
      </c>
      <c r="T269">
        <f>IF($O269="","",IF(INDEX(Dossiers!$F$4:$F$63,6)="","",INDEX(Dossiers!$F$4:$F$63,6)))</f>
        <v/>
      </c>
      <c r="U269">
        <f>IF($O269="","",IF(INDEX(Dossiers!$G$4:$G$63,6)="","",INDEX(Dossiers!$G$4:$G$63,6)))</f>
        <v/>
      </c>
      <c r="V269">
        <f>IF(OR($O269="",NOT(ISNUMBER($Q269))),"",$Q269*1000000+269)</f>
        <v/>
      </c>
      <c r="W269" s="29">
        <f>IF($B269="","",IFERROR(INDEX($U$4:$U$3183,MATCH(SMALL($V$4:$V$3183,266),$V$4:$V$3183,0)),""))</f>
        <v/>
      </c>
    </row>
    <row r="270">
      <c r="A270">
        <f>IFERROR(INDEX($N$4:$N$3183,MATCH(SMALL($V$4:$V$3183,267),$V$4:$V$3183,0)),"")</f>
        <v/>
      </c>
      <c r="B270">
        <f>IFERROR(INDEX($O$4:$O$3183,MATCH(SMALL($V$4:$V$3183,267),$V$4:$V$3183,0)),"")</f>
        <v/>
      </c>
      <c r="C270">
        <f>IFERROR(INDEX($P$4:$P$3183,MATCH(SMALL($V$4:$V$3183,267),$V$4:$V$3183,0)),"")</f>
        <v/>
      </c>
      <c r="D270" s="29">
        <f>IFERROR(INDEX($Q$4:$Q$3183,MATCH(SMALL($V$4:$V$3183,267),$V$4:$V$3183,0)),"")</f>
        <v/>
      </c>
      <c r="E270" s="29">
        <f>IFERROR(INDEX($R$4:$R$3183,MATCH(SMALL($V$4:$V$3183,267),$V$4:$V$3183,0)),"")</f>
        <v/>
      </c>
      <c r="F270">
        <f>IFERROR(INDEX($S$4:$S$3183,MATCH(SMALL($V$4:$V$3183,267),$V$4:$V$3183,0)),"")</f>
        <v/>
      </c>
      <c r="I270" s="29">
        <f>IF($B270="","",IFERROR(INDEX($U$4:$U$3183,MATCH(SMALL($V$4:$V$3183,267),$V$4:$V$3183,0)),""))</f>
        <v/>
      </c>
      <c r="J270">
        <f>IF($B270="","",IF($D270&gt;$F$2,"À venir",IF($E270&lt;$D$2,"Passé","Dans la période")))</f>
        <v/>
      </c>
      <c r="K270">
        <f>IF(OR($B270="",NOT(ISNUMBER($D270))),"",IF(AND($E270&lt;$D$2,$G270&lt;&gt;"X",$F270&lt;&gt;"Réalisé",$F270&lt;&gt;"Clôturé"),"RETARD",""))</f>
        <v/>
      </c>
      <c r="L270">
        <f>IF(OR($B270="",NOT(ISNUMBER($D270))),"",IF(AND($D270&gt;=$D$2,$D270&lt;=$H$2,$G270&lt;&gt;"X",$F270&lt;&gt;"Réalisé",$F270&lt;&gt;"Clôturé"),"≤ 7 j",""))</f>
        <v/>
      </c>
      <c r="M270" s="29">
        <f>IF($B270="","",IFERROR(INDEX($T$4:$T$3183,MATCH(SMALL($V$4:$V$3183,267),$V$4:$V$3183,0)),""))</f>
        <v/>
      </c>
      <c r="O270">
        <f>IF(INDEX(Suivi!$B:$B,276)="","",INDEX(Suivi!$B:$B,276))</f>
        <v/>
      </c>
      <c r="P270">
        <f>IF($O270="","",IF(INDEX(Suivi!$D:$D,276)="",INDEX(Suivi!$C:$C,276),INDEX(Suivi!$D:$D,276)))</f>
        <v/>
      </c>
      <c r="Q270">
        <f>IF($O270="","",INDEX(Suivi!$E:$E,276))</f>
        <v/>
      </c>
      <c r="R270">
        <f>IF($O270="","",INDEX(Suivi!$F:$F,276))</f>
        <v/>
      </c>
      <c r="S270">
        <f>IF($O270="","",INDEX(Suivi!$G:$G,276))</f>
        <v/>
      </c>
      <c r="T270">
        <f>IF($O270="","",IF(INDEX(Dossiers!$F$4:$F$63,6)="","",INDEX(Dossiers!$F$4:$F$63,6)))</f>
        <v/>
      </c>
      <c r="U270">
        <f>IF($O270="","",IF(INDEX(Dossiers!$G$4:$G$63,6)="","",INDEX(Dossiers!$G$4:$G$63,6)))</f>
        <v/>
      </c>
      <c r="V270">
        <f>IF(OR($O270="",NOT(ISNUMBER($Q270))),"",$Q270*1000000+270)</f>
        <v/>
      </c>
      <c r="W270" s="29">
        <f>IF($B270="","",IFERROR(INDEX($U$4:$U$3183,MATCH(SMALL($V$4:$V$3183,267),$V$4:$V$3183,0)),""))</f>
        <v/>
      </c>
    </row>
    <row r="271">
      <c r="A271">
        <f>IFERROR(INDEX($N$4:$N$3183,MATCH(SMALL($V$4:$V$3183,268),$V$4:$V$3183,0)),"")</f>
        <v/>
      </c>
      <c r="B271">
        <f>IFERROR(INDEX($O$4:$O$3183,MATCH(SMALL($V$4:$V$3183,268),$V$4:$V$3183,0)),"")</f>
        <v/>
      </c>
      <c r="C271">
        <f>IFERROR(INDEX($P$4:$P$3183,MATCH(SMALL($V$4:$V$3183,268),$V$4:$V$3183,0)),"")</f>
        <v/>
      </c>
      <c r="D271" s="29">
        <f>IFERROR(INDEX($Q$4:$Q$3183,MATCH(SMALL($V$4:$V$3183,268),$V$4:$V$3183,0)),"")</f>
        <v/>
      </c>
      <c r="E271" s="29">
        <f>IFERROR(INDEX($R$4:$R$3183,MATCH(SMALL($V$4:$V$3183,268),$V$4:$V$3183,0)),"")</f>
        <v/>
      </c>
      <c r="F271">
        <f>IFERROR(INDEX($S$4:$S$3183,MATCH(SMALL($V$4:$V$3183,268),$V$4:$V$3183,0)),"")</f>
        <v/>
      </c>
      <c r="I271" s="29">
        <f>IF($B271="","",IFERROR(INDEX($U$4:$U$3183,MATCH(SMALL($V$4:$V$3183,268),$V$4:$V$3183,0)),""))</f>
        <v/>
      </c>
      <c r="J271">
        <f>IF($B271="","",IF($D271&gt;$F$2,"À venir",IF($E271&lt;$D$2,"Passé","Dans la période")))</f>
        <v/>
      </c>
      <c r="K271">
        <f>IF(OR($B271="",NOT(ISNUMBER($D271))),"",IF(AND($E271&lt;$D$2,$G271&lt;&gt;"X",$F271&lt;&gt;"Réalisé",$F271&lt;&gt;"Clôturé"),"RETARD",""))</f>
        <v/>
      </c>
      <c r="L271">
        <f>IF(OR($B271="",NOT(ISNUMBER($D271))),"",IF(AND($D271&gt;=$D$2,$D271&lt;=$H$2,$G271&lt;&gt;"X",$F271&lt;&gt;"Réalisé",$F271&lt;&gt;"Clôturé"),"≤ 7 j",""))</f>
        <v/>
      </c>
      <c r="M271" s="29">
        <f>IF($B271="","",IFERROR(INDEX($T$4:$T$3183,MATCH(SMALL($V$4:$V$3183,268),$V$4:$V$3183,0)),""))</f>
        <v/>
      </c>
      <c r="O271">
        <f>IF(INDEX(Suivi!$B:$B,277)="","",INDEX(Suivi!$B:$B,277))</f>
        <v/>
      </c>
      <c r="P271">
        <f>IF($O271="","",IF(INDEX(Suivi!$D:$D,277)="",INDEX(Suivi!$C:$C,277),INDEX(Suivi!$D:$D,277)))</f>
        <v/>
      </c>
      <c r="Q271">
        <f>IF($O271="","",INDEX(Suivi!$E:$E,277))</f>
        <v/>
      </c>
      <c r="R271">
        <f>IF($O271="","",INDEX(Suivi!$F:$F,277))</f>
        <v/>
      </c>
      <c r="S271">
        <f>IF($O271="","",INDEX(Suivi!$G:$G,277))</f>
        <v/>
      </c>
      <c r="T271">
        <f>IF($O271="","",IF(INDEX(Dossiers!$F$4:$F$63,6)="","",INDEX(Dossiers!$F$4:$F$63,6)))</f>
        <v/>
      </c>
      <c r="U271">
        <f>IF($O271="","",IF(INDEX(Dossiers!$G$4:$G$63,6)="","",INDEX(Dossiers!$G$4:$G$63,6)))</f>
        <v/>
      </c>
      <c r="V271">
        <f>IF(OR($O271="",NOT(ISNUMBER($Q271))),"",$Q271*1000000+271)</f>
        <v/>
      </c>
      <c r="W271" s="29">
        <f>IF($B271="","",IFERROR(INDEX($U$4:$U$3183,MATCH(SMALL($V$4:$V$3183,268),$V$4:$V$3183,0)),""))</f>
        <v/>
      </c>
    </row>
    <row r="272">
      <c r="A272">
        <f>IFERROR(INDEX($N$4:$N$3183,MATCH(SMALL($V$4:$V$3183,269),$V$4:$V$3183,0)),"")</f>
        <v/>
      </c>
      <c r="B272">
        <f>IFERROR(INDEX($O$4:$O$3183,MATCH(SMALL($V$4:$V$3183,269),$V$4:$V$3183,0)),"")</f>
        <v/>
      </c>
      <c r="C272">
        <f>IFERROR(INDEX($P$4:$P$3183,MATCH(SMALL($V$4:$V$3183,269),$V$4:$V$3183,0)),"")</f>
        <v/>
      </c>
      <c r="D272" s="29">
        <f>IFERROR(INDEX($Q$4:$Q$3183,MATCH(SMALL($V$4:$V$3183,269),$V$4:$V$3183,0)),"")</f>
        <v/>
      </c>
      <c r="E272" s="29">
        <f>IFERROR(INDEX($R$4:$R$3183,MATCH(SMALL($V$4:$V$3183,269),$V$4:$V$3183,0)),"")</f>
        <v/>
      </c>
      <c r="F272">
        <f>IFERROR(INDEX($S$4:$S$3183,MATCH(SMALL($V$4:$V$3183,269),$V$4:$V$3183,0)),"")</f>
        <v/>
      </c>
      <c r="I272" s="29">
        <f>IF($B272="","",IFERROR(INDEX($U$4:$U$3183,MATCH(SMALL($V$4:$V$3183,269),$V$4:$V$3183,0)),""))</f>
        <v/>
      </c>
      <c r="J272">
        <f>IF($B272="","",IF($D272&gt;$F$2,"À venir",IF($E272&lt;$D$2,"Passé","Dans la période")))</f>
        <v/>
      </c>
      <c r="K272">
        <f>IF(OR($B272="",NOT(ISNUMBER($D272))),"",IF(AND($E272&lt;$D$2,$G272&lt;&gt;"X",$F272&lt;&gt;"Réalisé",$F272&lt;&gt;"Clôturé"),"RETARD",""))</f>
        <v/>
      </c>
      <c r="L272">
        <f>IF(OR($B272="",NOT(ISNUMBER($D272))),"",IF(AND($D272&gt;=$D$2,$D272&lt;=$H$2,$G272&lt;&gt;"X",$F272&lt;&gt;"Réalisé",$F272&lt;&gt;"Clôturé"),"≤ 7 j",""))</f>
        <v/>
      </c>
      <c r="M272" s="29">
        <f>IF($B272="","",IFERROR(INDEX($T$4:$T$3183,MATCH(SMALL($V$4:$V$3183,269),$V$4:$V$3183,0)),""))</f>
        <v/>
      </c>
      <c r="O272">
        <f>IF(INDEX(Suivi!$B:$B,278)="","",INDEX(Suivi!$B:$B,278))</f>
        <v/>
      </c>
      <c r="P272">
        <f>IF($O272="","",IF(INDEX(Suivi!$D:$D,278)="",INDEX(Suivi!$C:$C,278),INDEX(Suivi!$D:$D,278)))</f>
        <v/>
      </c>
      <c r="Q272">
        <f>IF($O272="","",INDEX(Suivi!$E:$E,278))</f>
        <v/>
      </c>
      <c r="R272">
        <f>IF($O272="","",INDEX(Suivi!$F:$F,278))</f>
        <v/>
      </c>
      <c r="S272">
        <f>IF($O272="","",INDEX(Suivi!$G:$G,278))</f>
        <v/>
      </c>
      <c r="T272">
        <f>IF($O272="","",IF(INDEX(Dossiers!$F$4:$F$63,6)="","",INDEX(Dossiers!$F$4:$F$63,6)))</f>
        <v/>
      </c>
      <c r="U272">
        <f>IF($O272="","",IF(INDEX(Dossiers!$G$4:$G$63,6)="","",INDEX(Dossiers!$G$4:$G$63,6)))</f>
        <v/>
      </c>
      <c r="V272">
        <f>IF(OR($O272="",NOT(ISNUMBER($Q272))),"",$Q272*1000000+272)</f>
        <v/>
      </c>
      <c r="W272" s="29">
        <f>IF($B272="","",IFERROR(INDEX($U$4:$U$3183,MATCH(SMALL($V$4:$V$3183,269),$V$4:$V$3183,0)),""))</f>
        <v/>
      </c>
    </row>
    <row r="273">
      <c r="A273">
        <f>IFERROR(INDEX($N$4:$N$3183,MATCH(SMALL($V$4:$V$3183,270),$V$4:$V$3183,0)),"")</f>
        <v/>
      </c>
      <c r="B273">
        <f>IFERROR(INDEX($O$4:$O$3183,MATCH(SMALL($V$4:$V$3183,270),$V$4:$V$3183,0)),"")</f>
        <v/>
      </c>
      <c r="C273">
        <f>IFERROR(INDEX($P$4:$P$3183,MATCH(SMALL($V$4:$V$3183,270),$V$4:$V$3183,0)),"")</f>
        <v/>
      </c>
      <c r="D273" s="29">
        <f>IFERROR(INDEX($Q$4:$Q$3183,MATCH(SMALL($V$4:$V$3183,270),$V$4:$V$3183,0)),"")</f>
        <v/>
      </c>
      <c r="E273" s="29">
        <f>IFERROR(INDEX($R$4:$R$3183,MATCH(SMALL($V$4:$V$3183,270),$V$4:$V$3183,0)),"")</f>
        <v/>
      </c>
      <c r="F273">
        <f>IFERROR(INDEX($S$4:$S$3183,MATCH(SMALL($V$4:$V$3183,270),$V$4:$V$3183,0)),"")</f>
        <v/>
      </c>
      <c r="I273" s="29">
        <f>IF($B273="","",IFERROR(INDEX($U$4:$U$3183,MATCH(SMALL($V$4:$V$3183,270),$V$4:$V$3183,0)),""))</f>
        <v/>
      </c>
      <c r="J273">
        <f>IF($B273="","",IF($D273&gt;$F$2,"À venir",IF($E273&lt;$D$2,"Passé","Dans la période")))</f>
        <v/>
      </c>
      <c r="K273">
        <f>IF(OR($B273="",NOT(ISNUMBER($D273))),"",IF(AND($E273&lt;$D$2,$G273&lt;&gt;"X",$F273&lt;&gt;"Réalisé",$F273&lt;&gt;"Clôturé"),"RETARD",""))</f>
        <v/>
      </c>
      <c r="L273">
        <f>IF(OR($B273="",NOT(ISNUMBER($D273))),"",IF(AND($D273&gt;=$D$2,$D273&lt;=$H$2,$G273&lt;&gt;"X",$F273&lt;&gt;"Réalisé",$F273&lt;&gt;"Clôturé"),"≤ 7 j",""))</f>
        <v/>
      </c>
      <c r="M273" s="29">
        <f>IF($B273="","",IFERROR(INDEX($T$4:$T$3183,MATCH(SMALL($V$4:$V$3183,270),$V$4:$V$3183,0)),""))</f>
        <v/>
      </c>
      <c r="O273">
        <f>IF(INDEX(Suivi!$B:$B,279)="","",INDEX(Suivi!$B:$B,279))</f>
        <v/>
      </c>
      <c r="P273">
        <f>IF($O273="","",IF(INDEX(Suivi!$D:$D,279)="",INDEX(Suivi!$C:$C,279),INDEX(Suivi!$D:$D,279)))</f>
        <v/>
      </c>
      <c r="Q273">
        <f>IF($O273="","",INDEX(Suivi!$E:$E,279))</f>
        <v/>
      </c>
      <c r="R273">
        <f>IF($O273="","",INDEX(Suivi!$F:$F,279))</f>
        <v/>
      </c>
      <c r="S273">
        <f>IF($O273="","",INDEX(Suivi!$G:$G,279))</f>
        <v/>
      </c>
      <c r="T273">
        <f>IF($O273="","",IF(INDEX(Dossiers!$F$4:$F$63,6)="","",INDEX(Dossiers!$F$4:$F$63,6)))</f>
        <v/>
      </c>
      <c r="U273">
        <f>IF($O273="","",IF(INDEX(Dossiers!$G$4:$G$63,6)="","",INDEX(Dossiers!$G$4:$G$63,6)))</f>
        <v/>
      </c>
      <c r="V273">
        <f>IF(OR($O273="",NOT(ISNUMBER($Q273))),"",$Q273*1000000+273)</f>
        <v/>
      </c>
      <c r="W273" s="29">
        <f>IF($B273="","",IFERROR(INDEX($U$4:$U$3183,MATCH(SMALL($V$4:$V$3183,270),$V$4:$V$3183,0)),""))</f>
        <v/>
      </c>
    </row>
    <row r="274">
      <c r="A274">
        <f>IFERROR(INDEX($N$4:$N$3183,MATCH(SMALL($V$4:$V$3183,271),$V$4:$V$3183,0)),"")</f>
        <v/>
      </c>
      <c r="B274">
        <f>IFERROR(INDEX($O$4:$O$3183,MATCH(SMALL($V$4:$V$3183,271),$V$4:$V$3183,0)),"")</f>
        <v/>
      </c>
      <c r="C274">
        <f>IFERROR(INDEX($P$4:$P$3183,MATCH(SMALL($V$4:$V$3183,271),$V$4:$V$3183,0)),"")</f>
        <v/>
      </c>
      <c r="D274" s="29">
        <f>IFERROR(INDEX($Q$4:$Q$3183,MATCH(SMALL($V$4:$V$3183,271),$V$4:$V$3183,0)),"")</f>
        <v/>
      </c>
      <c r="E274" s="29">
        <f>IFERROR(INDEX($R$4:$R$3183,MATCH(SMALL($V$4:$V$3183,271),$V$4:$V$3183,0)),"")</f>
        <v/>
      </c>
      <c r="F274">
        <f>IFERROR(INDEX($S$4:$S$3183,MATCH(SMALL($V$4:$V$3183,271),$V$4:$V$3183,0)),"")</f>
        <v/>
      </c>
      <c r="I274" s="29">
        <f>IF($B274="","",IFERROR(INDEX($U$4:$U$3183,MATCH(SMALL($V$4:$V$3183,271),$V$4:$V$3183,0)),""))</f>
        <v/>
      </c>
      <c r="J274">
        <f>IF($B274="","",IF($D274&gt;$F$2,"À venir",IF($E274&lt;$D$2,"Passé","Dans la période")))</f>
        <v/>
      </c>
      <c r="K274">
        <f>IF(OR($B274="",NOT(ISNUMBER($D274))),"",IF(AND($E274&lt;$D$2,$G274&lt;&gt;"X",$F274&lt;&gt;"Réalisé",$F274&lt;&gt;"Clôturé"),"RETARD",""))</f>
        <v/>
      </c>
      <c r="L274">
        <f>IF(OR($B274="",NOT(ISNUMBER($D274))),"",IF(AND($D274&gt;=$D$2,$D274&lt;=$H$2,$G274&lt;&gt;"X",$F274&lt;&gt;"Réalisé",$F274&lt;&gt;"Clôturé"),"≤ 7 j",""))</f>
        <v/>
      </c>
      <c r="M274" s="29">
        <f>IF($B274="","",IFERROR(INDEX($T$4:$T$3183,MATCH(SMALL($V$4:$V$3183,271),$V$4:$V$3183,0)),""))</f>
        <v/>
      </c>
      <c r="O274">
        <f>IF(INDEX(Suivi!$B:$B,280)="","",INDEX(Suivi!$B:$B,280))</f>
        <v/>
      </c>
      <c r="P274">
        <f>IF($O274="","",IF(INDEX(Suivi!$D:$D,280)="",INDEX(Suivi!$C:$C,280),INDEX(Suivi!$D:$D,280)))</f>
        <v/>
      </c>
      <c r="Q274">
        <f>IF($O274="","",INDEX(Suivi!$E:$E,280))</f>
        <v/>
      </c>
      <c r="R274">
        <f>IF($O274="","",INDEX(Suivi!$F:$F,280))</f>
        <v/>
      </c>
      <c r="S274">
        <f>IF($O274="","",INDEX(Suivi!$G:$G,280))</f>
        <v/>
      </c>
      <c r="T274">
        <f>IF($O274="","",IF(INDEX(Dossiers!$F$4:$F$63,6)="","",INDEX(Dossiers!$F$4:$F$63,6)))</f>
        <v/>
      </c>
      <c r="U274">
        <f>IF($O274="","",IF(INDEX(Dossiers!$G$4:$G$63,6)="","",INDEX(Dossiers!$G$4:$G$63,6)))</f>
        <v/>
      </c>
      <c r="V274">
        <f>IF(OR($O274="",NOT(ISNUMBER($Q274))),"",$Q274*1000000+274)</f>
        <v/>
      </c>
      <c r="W274" s="29">
        <f>IF($B274="","",IFERROR(INDEX($U$4:$U$3183,MATCH(SMALL($V$4:$V$3183,271),$V$4:$V$3183,0)),""))</f>
        <v/>
      </c>
    </row>
    <row r="275">
      <c r="A275">
        <f>IFERROR(INDEX($N$4:$N$3183,MATCH(SMALL($V$4:$V$3183,272),$V$4:$V$3183,0)),"")</f>
        <v/>
      </c>
      <c r="B275">
        <f>IFERROR(INDEX($O$4:$O$3183,MATCH(SMALL($V$4:$V$3183,272),$V$4:$V$3183,0)),"")</f>
        <v/>
      </c>
      <c r="C275">
        <f>IFERROR(INDEX($P$4:$P$3183,MATCH(SMALL($V$4:$V$3183,272),$V$4:$V$3183,0)),"")</f>
        <v/>
      </c>
      <c r="D275" s="29">
        <f>IFERROR(INDEX($Q$4:$Q$3183,MATCH(SMALL($V$4:$V$3183,272),$V$4:$V$3183,0)),"")</f>
        <v/>
      </c>
      <c r="E275" s="29">
        <f>IFERROR(INDEX($R$4:$R$3183,MATCH(SMALL($V$4:$V$3183,272),$V$4:$V$3183,0)),"")</f>
        <v/>
      </c>
      <c r="F275">
        <f>IFERROR(INDEX($S$4:$S$3183,MATCH(SMALL($V$4:$V$3183,272),$V$4:$V$3183,0)),"")</f>
        <v/>
      </c>
      <c r="I275" s="29">
        <f>IF($B275="","",IFERROR(INDEX($U$4:$U$3183,MATCH(SMALL($V$4:$V$3183,272),$V$4:$V$3183,0)),""))</f>
        <v/>
      </c>
      <c r="J275">
        <f>IF($B275="","",IF($D275&gt;$F$2,"À venir",IF($E275&lt;$D$2,"Passé","Dans la période")))</f>
        <v/>
      </c>
      <c r="K275">
        <f>IF(OR($B275="",NOT(ISNUMBER($D275))),"",IF(AND($E275&lt;$D$2,$G275&lt;&gt;"X",$F275&lt;&gt;"Réalisé",$F275&lt;&gt;"Clôturé"),"RETARD",""))</f>
        <v/>
      </c>
      <c r="L275">
        <f>IF(OR($B275="",NOT(ISNUMBER($D275))),"",IF(AND($D275&gt;=$D$2,$D275&lt;=$H$2,$G275&lt;&gt;"X",$F275&lt;&gt;"Réalisé",$F275&lt;&gt;"Clôturé"),"≤ 7 j",""))</f>
        <v/>
      </c>
      <c r="M275" s="29">
        <f>IF($B275="","",IFERROR(INDEX($T$4:$T$3183,MATCH(SMALL($V$4:$V$3183,272),$V$4:$V$3183,0)),""))</f>
        <v/>
      </c>
      <c r="O275">
        <f>IF(INDEX(Suivi!$B:$B,281)="","",INDEX(Suivi!$B:$B,281))</f>
        <v/>
      </c>
      <c r="P275">
        <f>IF($O275="","",IF(INDEX(Suivi!$D:$D,281)="",INDEX(Suivi!$C:$C,281),INDEX(Suivi!$D:$D,281)))</f>
        <v/>
      </c>
      <c r="Q275">
        <f>IF($O275="","",INDEX(Suivi!$E:$E,281))</f>
        <v/>
      </c>
      <c r="R275">
        <f>IF($O275="","",INDEX(Suivi!$F:$F,281))</f>
        <v/>
      </c>
      <c r="S275">
        <f>IF($O275="","",INDEX(Suivi!$G:$G,281))</f>
        <v/>
      </c>
      <c r="T275">
        <f>IF($O275="","",IF(INDEX(Dossiers!$F$4:$F$63,6)="","",INDEX(Dossiers!$F$4:$F$63,6)))</f>
        <v/>
      </c>
      <c r="U275">
        <f>IF($O275="","",IF(INDEX(Dossiers!$G$4:$G$63,6)="","",INDEX(Dossiers!$G$4:$G$63,6)))</f>
        <v/>
      </c>
      <c r="V275">
        <f>IF(OR($O275="",NOT(ISNUMBER($Q275))),"",$Q275*1000000+275)</f>
        <v/>
      </c>
      <c r="W275" s="29">
        <f>IF($B275="","",IFERROR(INDEX($U$4:$U$3183,MATCH(SMALL($V$4:$V$3183,272),$V$4:$V$3183,0)),""))</f>
        <v/>
      </c>
    </row>
    <row r="276">
      <c r="A276">
        <f>IFERROR(INDEX($N$4:$N$3183,MATCH(SMALL($V$4:$V$3183,273),$V$4:$V$3183,0)),"")</f>
        <v/>
      </c>
      <c r="B276">
        <f>IFERROR(INDEX($O$4:$O$3183,MATCH(SMALL($V$4:$V$3183,273),$V$4:$V$3183,0)),"")</f>
        <v/>
      </c>
      <c r="C276">
        <f>IFERROR(INDEX($P$4:$P$3183,MATCH(SMALL($V$4:$V$3183,273),$V$4:$V$3183,0)),"")</f>
        <v/>
      </c>
      <c r="D276" s="29">
        <f>IFERROR(INDEX($Q$4:$Q$3183,MATCH(SMALL($V$4:$V$3183,273),$V$4:$V$3183,0)),"")</f>
        <v/>
      </c>
      <c r="E276" s="29">
        <f>IFERROR(INDEX($R$4:$R$3183,MATCH(SMALL($V$4:$V$3183,273),$V$4:$V$3183,0)),"")</f>
        <v/>
      </c>
      <c r="F276">
        <f>IFERROR(INDEX($S$4:$S$3183,MATCH(SMALL($V$4:$V$3183,273),$V$4:$V$3183,0)),"")</f>
        <v/>
      </c>
      <c r="I276" s="29">
        <f>IF($B276="","",IFERROR(INDEX($U$4:$U$3183,MATCH(SMALL($V$4:$V$3183,273),$V$4:$V$3183,0)),""))</f>
        <v/>
      </c>
      <c r="J276">
        <f>IF($B276="","",IF($D276&gt;$F$2,"À venir",IF($E276&lt;$D$2,"Passé","Dans la période")))</f>
        <v/>
      </c>
      <c r="K276">
        <f>IF(OR($B276="",NOT(ISNUMBER($D276))),"",IF(AND($E276&lt;$D$2,$G276&lt;&gt;"X",$F276&lt;&gt;"Réalisé",$F276&lt;&gt;"Clôturé"),"RETARD",""))</f>
        <v/>
      </c>
      <c r="L276">
        <f>IF(OR($B276="",NOT(ISNUMBER($D276))),"",IF(AND($D276&gt;=$D$2,$D276&lt;=$H$2,$G276&lt;&gt;"X",$F276&lt;&gt;"Réalisé",$F276&lt;&gt;"Clôturé"),"≤ 7 j",""))</f>
        <v/>
      </c>
      <c r="M276" s="29">
        <f>IF($B276="","",IFERROR(INDEX($T$4:$T$3183,MATCH(SMALL($V$4:$V$3183,273),$V$4:$V$3183,0)),""))</f>
        <v/>
      </c>
      <c r="O276">
        <f>IF(INDEX(Suivi!$B:$B,282)="","",INDEX(Suivi!$B:$B,282))</f>
        <v/>
      </c>
      <c r="P276">
        <f>IF($O276="","",IF(INDEX(Suivi!$D:$D,282)="",INDEX(Suivi!$C:$C,282),INDEX(Suivi!$D:$D,282)))</f>
        <v/>
      </c>
      <c r="Q276">
        <f>IF($O276="","",INDEX(Suivi!$E:$E,282))</f>
        <v/>
      </c>
      <c r="R276">
        <f>IF($O276="","",INDEX(Suivi!$F:$F,282))</f>
        <v/>
      </c>
      <c r="S276">
        <f>IF($O276="","",INDEX(Suivi!$G:$G,282))</f>
        <v/>
      </c>
      <c r="T276">
        <f>IF($O276="","",IF(INDEX(Dossiers!$F$4:$F$63,6)="","",INDEX(Dossiers!$F$4:$F$63,6)))</f>
        <v/>
      </c>
      <c r="U276">
        <f>IF($O276="","",IF(INDEX(Dossiers!$G$4:$G$63,6)="","",INDEX(Dossiers!$G$4:$G$63,6)))</f>
        <v/>
      </c>
      <c r="V276">
        <f>IF(OR($O276="",NOT(ISNUMBER($Q276))),"",$Q276*1000000+276)</f>
        <v/>
      </c>
      <c r="W276" s="29">
        <f>IF($B276="","",IFERROR(INDEX($U$4:$U$3183,MATCH(SMALL($V$4:$V$3183,273),$V$4:$V$3183,0)),""))</f>
        <v/>
      </c>
    </row>
    <row r="277">
      <c r="A277">
        <f>IFERROR(INDEX($N$4:$N$3183,MATCH(SMALL($V$4:$V$3183,274),$V$4:$V$3183,0)),"")</f>
        <v/>
      </c>
      <c r="B277">
        <f>IFERROR(INDEX($O$4:$O$3183,MATCH(SMALL($V$4:$V$3183,274),$V$4:$V$3183,0)),"")</f>
        <v/>
      </c>
      <c r="C277">
        <f>IFERROR(INDEX($P$4:$P$3183,MATCH(SMALL($V$4:$V$3183,274),$V$4:$V$3183,0)),"")</f>
        <v/>
      </c>
      <c r="D277" s="29">
        <f>IFERROR(INDEX($Q$4:$Q$3183,MATCH(SMALL($V$4:$V$3183,274),$V$4:$V$3183,0)),"")</f>
        <v/>
      </c>
      <c r="E277" s="29">
        <f>IFERROR(INDEX($R$4:$R$3183,MATCH(SMALL($V$4:$V$3183,274),$V$4:$V$3183,0)),"")</f>
        <v/>
      </c>
      <c r="F277">
        <f>IFERROR(INDEX($S$4:$S$3183,MATCH(SMALL($V$4:$V$3183,274),$V$4:$V$3183,0)),"")</f>
        <v/>
      </c>
      <c r="I277" s="29">
        <f>IF($B277="","",IFERROR(INDEX($U$4:$U$3183,MATCH(SMALL($V$4:$V$3183,274),$V$4:$V$3183,0)),""))</f>
        <v/>
      </c>
      <c r="J277">
        <f>IF($B277="","",IF($D277&gt;$F$2,"À venir",IF($E277&lt;$D$2,"Passé","Dans la période")))</f>
        <v/>
      </c>
      <c r="K277">
        <f>IF(OR($B277="",NOT(ISNUMBER($D277))),"",IF(AND($E277&lt;$D$2,$G277&lt;&gt;"X",$F277&lt;&gt;"Réalisé",$F277&lt;&gt;"Clôturé"),"RETARD",""))</f>
        <v/>
      </c>
      <c r="L277">
        <f>IF(OR($B277="",NOT(ISNUMBER($D277))),"",IF(AND($D277&gt;=$D$2,$D277&lt;=$H$2,$G277&lt;&gt;"X",$F277&lt;&gt;"Réalisé",$F277&lt;&gt;"Clôturé"),"≤ 7 j",""))</f>
        <v/>
      </c>
      <c r="M277" s="29">
        <f>IF($B277="","",IFERROR(INDEX($T$4:$T$3183,MATCH(SMALL($V$4:$V$3183,274),$V$4:$V$3183,0)),""))</f>
        <v/>
      </c>
      <c r="O277">
        <f>IF(INDEX(Suivi!$B:$B,283)="","",INDEX(Suivi!$B:$B,283))</f>
        <v/>
      </c>
      <c r="P277">
        <f>IF($O277="","",IF(INDEX(Suivi!$D:$D,283)="",INDEX(Suivi!$C:$C,283),INDEX(Suivi!$D:$D,283)))</f>
        <v/>
      </c>
      <c r="Q277">
        <f>IF($O277="","",INDEX(Suivi!$E:$E,283))</f>
        <v/>
      </c>
      <c r="R277">
        <f>IF($O277="","",INDEX(Suivi!$F:$F,283))</f>
        <v/>
      </c>
      <c r="S277">
        <f>IF($O277="","",INDEX(Suivi!$G:$G,283))</f>
        <v/>
      </c>
      <c r="T277">
        <f>IF($O277="","",IF(INDEX(Dossiers!$F$4:$F$63,6)="","",INDEX(Dossiers!$F$4:$F$63,6)))</f>
        <v/>
      </c>
      <c r="U277">
        <f>IF($O277="","",IF(INDEX(Dossiers!$G$4:$G$63,6)="","",INDEX(Dossiers!$G$4:$G$63,6)))</f>
        <v/>
      </c>
      <c r="V277">
        <f>IF(OR($O277="",NOT(ISNUMBER($Q277))),"",$Q277*1000000+277)</f>
        <v/>
      </c>
      <c r="W277" s="29">
        <f>IF($B277="","",IFERROR(INDEX($U$4:$U$3183,MATCH(SMALL($V$4:$V$3183,274),$V$4:$V$3183,0)),""))</f>
        <v/>
      </c>
    </row>
    <row r="278">
      <c r="A278">
        <f>IFERROR(INDEX($N$4:$N$3183,MATCH(SMALL($V$4:$V$3183,275),$V$4:$V$3183,0)),"")</f>
        <v/>
      </c>
      <c r="B278">
        <f>IFERROR(INDEX($O$4:$O$3183,MATCH(SMALL($V$4:$V$3183,275),$V$4:$V$3183,0)),"")</f>
        <v/>
      </c>
      <c r="C278">
        <f>IFERROR(INDEX($P$4:$P$3183,MATCH(SMALL($V$4:$V$3183,275),$V$4:$V$3183,0)),"")</f>
        <v/>
      </c>
      <c r="D278" s="29">
        <f>IFERROR(INDEX($Q$4:$Q$3183,MATCH(SMALL($V$4:$V$3183,275),$V$4:$V$3183,0)),"")</f>
        <v/>
      </c>
      <c r="E278" s="29">
        <f>IFERROR(INDEX($R$4:$R$3183,MATCH(SMALL($V$4:$V$3183,275),$V$4:$V$3183,0)),"")</f>
        <v/>
      </c>
      <c r="F278">
        <f>IFERROR(INDEX($S$4:$S$3183,MATCH(SMALL($V$4:$V$3183,275),$V$4:$V$3183,0)),"")</f>
        <v/>
      </c>
      <c r="I278" s="29">
        <f>IF($B278="","",IFERROR(INDEX($U$4:$U$3183,MATCH(SMALL($V$4:$V$3183,275),$V$4:$V$3183,0)),""))</f>
        <v/>
      </c>
      <c r="J278">
        <f>IF($B278="","",IF($D278&gt;$F$2,"À venir",IF($E278&lt;$D$2,"Passé","Dans la période")))</f>
        <v/>
      </c>
      <c r="K278">
        <f>IF(OR($B278="",NOT(ISNUMBER($D278))),"",IF(AND($E278&lt;$D$2,$G278&lt;&gt;"X",$F278&lt;&gt;"Réalisé",$F278&lt;&gt;"Clôturé"),"RETARD",""))</f>
        <v/>
      </c>
      <c r="L278">
        <f>IF(OR($B278="",NOT(ISNUMBER($D278))),"",IF(AND($D278&gt;=$D$2,$D278&lt;=$H$2,$G278&lt;&gt;"X",$F278&lt;&gt;"Réalisé",$F278&lt;&gt;"Clôturé"),"≤ 7 j",""))</f>
        <v/>
      </c>
      <c r="M278" s="29">
        <f>IF($B278="","",IFERROR(INDEX($T$4:$T$3183,MATCH(SMALL($V$4:$V$3183,275),$V$4:$V$3183,0)),""))</f>
        <v/>
      </c>
      <c r="O278">
        <f>IF(INDEX(Suivi!$B:$B,284)="","",INDEX(Suivi!$B:$B,284))</f>
        <v/>
      </c>
      <c r="P278">
        <f>IF($O278="","",IF(INDEX(Suivi!$D:$D,284)="",INDEX(Suivi!$C:$C,284),INDEX(Suivi!$D:$D,284)))</f>
        <v/>
      </c>
      <c r="Q278">
        <f>IF($O278="","",INDEX(Suivi!$E:$E,284))</f>
        <v/>
      </c>
      <c r="R278">
        <f>IF($O278="","",INDEX(Suivi!$F:$F,284))</f>
        <v/>
      </c>
      <c r="S278">
        <f>IF($O278="","",INDEX(Suivi!$G:$G,284))</f>
        <v/>
      </c>
      <c r="T278">
        <f>IF($O278="","",IF(INDEX(Dossiers!$F$4:$F$63,6)="","",INDEX(Dossiers!$F$4:$F$63,6)))</f>
        <v/>
      </c>
      <c r="U278">
        <f>IF($O278="","",IF(INDEX(Dossiers!$G$4:$G$63,6)="","",INDEX(Dossiers!$G$4:$G$63,6)))</f>
        <v/>
      </c>
      <c r="V278">
        <f>IF(OR($O278="",NOT(ISNUMBER($Q278))),"",$Q278*1000000+278)</f>
        <v/>
      </c>
      <c r="W278" s="29">
        <f>IF($B278="","",IFERROR(INDEX($U$4:$U$3183,MATCH(SMALL($V$4:$V$3183,275),$V$4:$V$3183,0)),""))</f>
        <v/>
      </c>
    </row>
    <row r="279">
      <c r="A279">
        <f>IFERROR(INDEX($N$4:$N$3183,MATCH(SMALL($V$4:$V$3183,276),$V$4:$V$3183,0)),"")</f>
        <v/>
      </c>
      <c r="B279">
        <f>IFERROR(INDEX($O$4:$O$3183,MATCH(SMALL($V$4:$V$3183,276),$V$4:$V$3183,0)),"")</f>
        <v/>
      </c>
      <c r="C279">
        <f>IFERROR(INDEX($P$4:$P$3183,MATCH(SMALL($V$4:$V$3183,276),$V$4:$V$3183,0)),"")</f>
        <v/>
      </c>
      <c r="D279" s="29">
        <f>IFERROR(INDEX($Q$4:$Q$3183,MATCH(SMALL($V$4:$V$3183,276),$V$4:$V$3183,0)),"")</f>
        <v/>
      </c>
      <c r="E279" s="29">
        <f>IFERROR(INDEX($R$4:$R$3183,MATCH(SMALL($V$4:$V$3183,276),$V$4:$V$3183,0)),"")</f>
        <v/>
      </c>
      <c r="F279">
        <f>IFERROR(INDEX($S$4:$S$3183,MATCH(SMALL($V$4:$V$3183,276),$V$4:$V$3183,0)),"")</f>
        <v/>
      </c>
      <c r="I279" s="29">
        <f>IF($B279="","",IFERROR(INDEX($U$4:$U$3183,MATCH(SMALL($V$4:$V$3183,276),$V$4:$V$3183,0)),""))</f>
        <v/>
      </c>
      <c r="J279">
        <f>IF($B279="","",IF($D279&gt;$F$2,"À venir",IF($E279&lt;$D$2,"Passé","Dans la période")))</f>
        <v/>
      </c>
      <c r="K279">
        <f>IF(OR($B279="",NOT(ISNUMBER($D279))),"",IF(AND($E279&lt;$D$2,$G279&lt;&gt;"X",$F279&lt;&gt;"Réalisé",$F279&lt;&gt;"Clôturé"),"RETARD",""))</f>
        <v/>
      </c>
      <c r="L279">
        <f>IF(OR($B279="",NOT(ISNUMBER($D279))),"",IF(AND($D279&gt;=$D$2,$D279&lt;=$H$2,$G279&lt;&gt;"X",$F279&lt;&gt;"Réalisé",$F279&lt;&gt;"Clôturé"),"≤ 7 j",""))</f>
        <v/>
      </c>
      <c r="M279" s="29">
        <f>IF($B279="","",IFERROR(INDEX($T$4:$T$3183,MATCH(SMALL($V$4:$V$3183,276),$V$4:$V$3183,0)),""))</f>
        <v/>
      </c>
      <c r="O279">
        <f>IF(INDEX(Suivi!$B:$B,285)="","",INDEX(Suivi!$B:$B,285))</f>
        <v/>
      </c>
      <c r="P279">
        <f>IF($O279="","",IF(INDEX(Suivi!$D:$D,285)="",INDEX(Suivi!$C:$C,285),INDEX(Suivi!$D:$D,285)))</f>
        <v/>
      </c>
      <c r="Q279">
        <f>IF($O279="","",INDEX(Suivi!$E:$E,285))</f>
        <v/>
      </c>
      <c r="R279">
        <f>IF($O279="","",INDEX(Suivi!$F:$F,285))</f>
        <v/>
      </c>
      <c r="S279">
        <f>IF($O279="","",INDEX(Suivi!$G:$G,285))</f>
        <v/>
      </c>
      <c r="T279">
        <f>IF($O279="","",IF(INDEX(Dossiers!$F$4:$F$63,6)="","",INDEX(Dossiers!$F$4:$F$63,6)))</f>
        <v/>
      </c>
      <c r="U279">
        <f>IF($O279="","",IF(INDEX(Dossiers!$G$4:$G$63,6)="","",INDEX(Dossiers!$G$4:$G$63,6)))</f>
        <v/>
      </c>
      <c r="V279">
        <f>IF(OR($O279="",NOT(ISNUMBER($Q279))),"",$Q279*1000000+279)</f>
        <v/>
      </c>
      <c r="W279" s="29">
        <f>IF($B279="","",IFERROR(INDEX($U$4:$U$3183,MATCH(SMALL($V$4:$V$3183,276),$V$4:$V$3183,0)),""))</f>
        <v/>
      </c>
    </row>
    <row r="280">
      <c r="A280">
        <f>IFERROR(INDEX($N$4:$N$3183,MATCH(SMALL($V$4:$V$3183,277),$V$4:$V$3183,0)),"")</f>
        <v/>
      </c>
      <c r="B280">
        <f>IFERROR(INDEX($O$4:$O$3183,MATCH(SMALL($V$4:$V$3183,277),$V$4:$V$3183,0)),"")</f>
        <v/>
      </c>
      <c r="C280">
        <f>IFERROR(INDEX($P$4:$P$3183,MATCH(SMALL($V$4:$V$3183,277),$V$4:$V$3183,0)),"")</f>
        <v/>
      </c>
      <c r="D280" s="29">
        <f>IFERROR(INDEX($Q$4:$Q$3183,MATCH(SMALL($V$4:$V$3183,277),$V$4:$V$3183,0)),"")</f>
        <v/>
      </c>
      <c r="E280" s="29">
        <f>IFERROR(INDEX($R$4:$R$3183,MATCH(SMALL($V$4:$V$3183,277),$V$4:$V$3183,0)),"")</f>
        <v/>
      </c>
      <c r="F280">
        <f>IFERROR(INDEX($S$4:$S$3183,MATCH(SMALL($V$4:$V$3183,277),$V$4:$V$3183,0)),"")</f>
        <v/>
      </c>
      <c r="I280" s="29">
        <f>IF($B280="","",IFERROR(INDEX($U$4:$U$3183,MATCH(SMALL($V$4:$V$3183,277),$V$4:$V$3183,0)),""))</f>
        <v/>
      </c>
      <c r="J280">
        <f>IF($B280="","",IF($D280&gt;$F$2,"À venir",IF($E280&lt;$D$2,"Passé","Dans la période")))</f>
        <v/>
      </c>
      <c r="K280">
        <f>IF(OR($B280="",NOT(ISNUMBER($D280))),"",IF(AND($E280&lt;$D$2,$G280&lt;&gt;"X",$F280&lt;&gt;"Réalisé",$F280&lt;&gt;"Clôturé"),"RETARD",""))</f>
        <v/>
      </c>
      <c r="L280">
        <f>IF(OR($B280="",NOT(ISNUMBER($D280))),"",IF(AND($D280&gt;=$D$2,$D280&lt;=$H$2,$G280&lt;&gt;"X",$F280&lt;&gt;"Réalisé",$F280&lt;&gt;"Clôturé"),"≤ 7 j",""))</f>
        <v/>
      </c>
      <c r="M280" s="29">
        <f>IF($B280="","",IFERROR(INDEX($T$4:$T$3183,MATCH(SMALL($V$4:$V$3183,277),$V$4:$V$3183,0)),""))</f>
        <v/>
      </c>
      <c r="O280">
        <f>IF(INDEX(Suivi!$B:$B,286)="","",INDEX(Suivi!$B:$B,286))</f>
        <v/>
      </c>
      <c r="P280">
        <f>IF($O280="","",IF(INDEX(Suivi!$D:$D,286)="",INDEX(Suivi!$C:$C,286),INDEX(Suivi!$D:$D,286)))</f>
        <v/>
      </c>
      <c r="Q280">
        <f>IF($O280="","",INDEX(Suivi!$E:$E,286))</f>
        <v/>
      </c>
      <c r="R280">
        <f>IF($O280="","",INDEX(Suivi!$F:$F,286))</f>
        <v/>
      </c>
      <c r="S280">
        <f>IF($O280="","",INDEX(Suivi!$G:$G,286))</f>
        <v/>
      </c>
      <c r="T280">
        <f>IF($O280="","",IF(INDEX(Dossiers!$F$4:$F$63,6)="","",INDEX(Dossiers!$F$4:$F$63,6)))</f>
        <v/>
      </c>
      <c r="U280">
        <f>IF($O280="","",IF(INDEX(Dossiers!$G$4:$G$63,6)="","",INDEX(Dossiers!$G$4:$G$63,6)))</f>
        <v/>
      </c>
      <c r="V280">
        <f>IF(OR($O280="",NOT(ISNUMBER($Q280))),"",$Q280*1000000+280)</f>
        <v/>
      </c>
      <c r="W280" s="29">
        <f>IF($B280="","",IFERROR(INDEX($U$4:$U$3183,MATCH(SMALL($V$4:$V$3183,277),$V$4:$V$3183,0)),""))</f>
        <v/>
      </c>
    </row>
    <row r="281">
      <c r="A281">
        <f>IFERROR(INDEX($N$4:$N$3183,MATCH(SMALL($V$4:$V$3183,278),$V$4:$V$3183,0)),"")</f>
        <v/>
      </c>
      <c r="B281">
        <f>IFERROR(INDEX($O$4:$O$3183,MATCH(SMALL($V$4:$V$3183,278),$V$4:$V$3183,0)),"")</f>
        <v/>
      </c>
      <c r="C281">
        <f>IFERROR(INDEX($P$4:$P$3183,MATCH(SMALL($V$4:$V$3183,278),$V$4:$V$3183,0)),"")</f>
        <v/>
      </c>
      <c r="D281" s="29">
        <f>IFERROR(INDEX($Q$4:$Q$3183,MATCH(SMALL($V$4:$V$3183,278),$V$4:$V$3183,0)),"")</f>
        <v/>
      </c>
      <c r="E281" s="29">
        <f>IFERROR(INDEX($R$4:$R$3183,MATCH(SMALL($V$4:$V$3183,278),$V$4:$V$3183,0)),"")</f>
        <v/>
      </c>
      <c r="F281">
        <f>IFERROR(INDEX($S$4:$S$3183,MATCH(SMALL($V$4:$V$3183,278),$V$4:$V$3183,0)),"")</f>
        <v/>
      </c>
      <c r="I281" s="29">
        <f>IF($B281="","",IFERROR(INDEX($U$4:$U$3183,MATCH(SMALL($V$4:$V$3183,278),$V$4:$V$3183,0)),""))</f>
        <v/>
      </c>
      <c r="J281">
        <f>IF($B281="","",IF($D281&gt;$F$2,"À venir",IF($E281&lt;$D$2,"Passé","Dans la période")))</f>
        <v/>
      </c>
      <c r="K281">
        <f>IF(OR($B281="",NOT(ISNUMBER($D281))),"",IF(AND($E281&lt;$D$2,$G281&lt;&gt;"X",$F281&lt;&gt;"Réalisé",$F281&lt;&gt;"Clôturé"),"RETARD",""))</f>
        <v/>
      </c>
      <c r="L281">
        <f>IF(OR($B281="",NOT(ISNUMBER($D281))),"",IF(AND($D281&gt;=$D$2,$D281&lt;=$H$2,$G281&lt;&gt;"X",$F281&lt;&gt;"Réalisé",$F281&lt;&gt;"Clôturé"),"≤ 7 j",""))</f>
        <v/>
      </c>
      <c r="M281" s="29">
        <f>IF($B281="","",IFERROR(INDEX($T$4:$T$3183,MATCH(SMALL($V$4:$V$3183,278),$V$4:$V$3183,0)),""))</f>
        <v/>
      </c>
      <c r="O281">
        <f>IF(INDEX(Suivi!$B:$B,287)="","",INDEX(Suivi!$B:$B,287))</f>
        <v/>
      </c>
      <c r="P281">
        <f>IF($O281="","",IF(INDEX(Suivi!$D:$D,287)="",INDEX(Suivi!$C:$C,287),INDEX(Suivi!$D:$D,287)))</f>
        <v/>
      </c>
      <c r="Q281">
        <f>IF($O281="","",INDEX(Suivi!$E:$E,287))</f>
        <v/>
      </c>
      <c r="R281">
        <f>IF($O281="","",INDEX(Suivi!$F:$F,287))</f>
        <v/>
      </c>
      <c r="S281">
        <f>IF($O281="","",INDEX(Suivi!$G:$G,287))</f>
        <v/>
      </c>
      <c r="T281">
        <f>IF($O281="","",IF(INDEX(Dossiers!$F$4:$F$63,6)="","",INDEX(Dossiers!$F$4:$F$63,6)))</f>
        <v/>
      </c>
      <c r="U281">
        <f>IF($O281="","",IF(INDEX(Dossiers!$G$4:$G$63,6)="","",INDEX(Dossiers!$G$4:$G$63,6)))</f>
        <v/>
      </c>
      <c r="V281">
        <f>IF(OR($O281="",NOT(ISNUMBER($Q281))),"",$Q281*1000000+281)</f>
        <v/>
      </c>
      <c r="W281" s="29">
        <f>IF($B281="","",IFERROR(INDEX($U$4:$U$3183,MATCH(SMALL($V$4:$V$3183,278),$V$4:$V$3183,0)),""))</f>
        <v/>
      </c>
    </row>
    <row r="282">
      <c r="A282">
        <f>IFERROR(INDEX($N$4:$N$3183,MATCH(SMALL($V$4:$V$3183,279),$V$4:$V$3183,0)),"")</f>
        <v/>
      </c>
      <c r="B282">
        <f>IFERROR(INDEX($O$4:$O$3183,MATCH(SMALL($V$4:$V$3183,279),$V$4:$V$3183,0)),"")</f>
        <v/>
      </c>
      <c r="C282">
        <f>IFERROR(INDEX($P$4:$P$3183,MATCH(SMALL($V$4:$V$3183,279),$V$4:$V$3183,0)),"")</f>
        <v/>
      </c>
      <c r="D282" s="29">
        <f>IFERROR(INDEX($Q$4:$Q$3183,MATCH(SMALL($V$4:$V$3183,279),$V$4:$V$3183,0)),"")</f>
        <v/>
      </c>
      <c r="E282" s="29">
        <f>IFERROR(INDEX($R$4:$R$3183,MATCH(SMALL($V$4:$V$3183,279),$V$4:$V$3183,0)),"")</f>
        <v/>
      </c>
      <c r="F282">
        <f>IFERROR(INDEX($S$4:$S$3183,MATCH(SMALL($V$4:$V$3183,279),$V$4:$V$3183,0)),"")</f>
        <v/>
      </c>
      <c r="I282" s="29">
        <f>IF($B282="","",IFERROR(INDEX($U$4:$U$3183,MATCH(SMALL($V$4:$V$3183,279),$V$4:$V$3183,0)),""))</f>
        <v/>
      </c>
      <c r="J282">
        <f>IF($B282="","",IF($D282&gt;$F$2,"À venir",IF($E282&lt;$D$2,"Passé","Dans la période")))</f>
        <v/>
      </c>
      <c r="K282">
        <f>IF(OR($B282="",NOT(ISNUMBER($D282))),"",IF(AND($E282&lt;$D$2,$G282&lt;&gt;"X",$F282&lt;&gt;"Réalisé",$F282&lt;&gt;"Clôturé"),"RETARD",""))</f>
        <v/>
      </c>
      <c r="L282">
        <f>IF(OR($B282="",NOT(ISNUMBER($D282))),"",IF(AND($D282&gt;=$D$2,$D282&lt;=$H$2,$G282&lt;&gt;"X",$F282&lt;&gt;"Réalisé",$F282&lt;&gt;"Clôturé"),"≤ 7 j",""))</f>
        <v/>
      </c>
      <c r="M282" s="29">
        <f>IF($B282="","",IFERROR(INDEX($T$4:$T$3183,MATCH(SMALL($V$4:$V$3183,279),$V$4:$V$3183,0)),""))</f>
        <v/>
      </c>
      <c r="O282">
        <f>IF(INDEX(Suivi!$B:$B,288)="","",INDEX(Suivi!$B:$B,288))</f>
        <v/>
      </c>
      <c r="P282">
        <f>IF($O282="","",IF(INDEX(Suivi!$D:$D,288)="",INDEX(Suivi!$C:$C,288),INDEX(Suivi!$D:$D,288)))</f>
        <v/>
      </c>
      <c r="Q282">
        <f>IF($O282="","",INDEX(Suivi!$E:$E,288))</f>
        <v/>
      </c>
      <c r="R282">
        <f>IF($O282="","",INDEX(Suivi!$F:$F,288))</f>
        <v/>
      </c>
      <c r="S282">
        <f>IF($O282="","",INDEX(Suivi!$G:$G,288))</f>
        <v/>
      </c>
      <c r="T282">
        <f>IF($O282="","",IF(INDEX(Dossiers!$F$4:$F$63,6)="","",INDEX(Dossiers!$F$4:$F$63,6)))</f>
        <v/>
      </c>
      <c r="U282">
        <f>IF($O282="","",IF(INDEX(Dossiers!$G$4:$G$63,6)="","",INDEX(Dossiers!$G$4:$G$63,6)))</f>
        <v/>
      </c>
      <c r="V282">
        <f>IF(OR($O282="",NOT(ISNUMBER($Q282))),"",$Q282*1000000+282)</f>
        <v/>
      </c>
      <c r="W282" s="29">
        <f>IF($B282="","",IFERROR(INDEX($U$4:$U$3183,MATCH(SMALL($V$4:$V$3183,279),$V$4:$V$3183,0)),""))</f>
        <v/>
      </c>
    </row>
    <row r="283">
      <c r="A283">
        <f>IFERROR(INDEX($N$4:$N$3183,MATCH(SMALL($V$4:$V$3183,280),$V$4:$V$3183,0)),"")</f>
        <v/>
      </c>
      <c r="B283">
        <f>IFERROR(INDEX($O$4:$O$3183,MATCH(SMALL($V$4:$V$3183,280),$V$4:$V$3183,0)),"")</f>
        <v/>
      </c>
      <c r="C283">
        <f>IFERROR(INDEX($P$4:$P$3183,MATCH(SMALL($V$4:$V$3183,280),$V$4:$V$3183,0)),"")</f>
        <v/>
      </c>
      <c r="D283" s="29">
        <f>IFERROR(INDEX($Q$4:$Q$3183,MATCH(SMALL($V$4:$V$3183,280),$V$4:$V$3183,0)),"")</f>
        <v/>
      </c>
      <c r="E283" s="29">
        <f>IFERROR(INDEX($R$4:$R$3183,MATCH(SMALL($V$4:$V$3183,280),$V$4:$V$3183,0)),"")</f>
        <v/>
      </c>
      <c r="F283">
        <f>IFERROR(INDEX($S$4:$S$3183,MATCH(SMALL($V$4:$V$3183,280),$V$4:$V$3183,0)),"")</f>
        <v/>
      </c>
      <c r="I283" s="29">
        <f>IF($B283="","",IFERROR(INDEX($U$4:$U$3183,MATCH(SMALL($V$4:$V$3183,280),$V$4:$V$3183,0)),""))</f>
        <v/>
      </c>
      <c r="J283">
        <f>IF($B283="","",IF($D283&gt;$F$2,"À venir",IF($E283&lt;$D$2,"Passé","Dans la période")))</f>
        <v/>
      </c>
      <c r="K283">
        <f>IF(OR($B283="",NOT(ISNUMBER($D283))),"",IF(AND($E283&lt;$D$2,$G283&lt;&gt;"X",$F283&lt;&gt;"Réalisé",$F283&lt;&gt;"Clôturé"),"RETARD",""))</f>
        <v/>
      </c>
      <c r="L283">
        <f>IF(OR($B283="",NOT(ISNUMBER($D283))),"",IF(AND($D283&gt;=$D$2,$D283&lt;=$H$2,$G283&lt;&gt;"X",$F283&lt;&gt;"Réalisé",$F283&lt;&gt;"Clôturé"),"≤ 7 j",""))</f>
        <v/>
      </c>
      <c r="M283" s="29">
        <f>IF($B283="","",IFERROR(INDEX($T$4:$T$3183,MATCH(SMALL($V$4:$V$3183,280),$V$4:$V$3183,0)),""))</f>
        <v/>
      </c>
      <c r="O283">
        <f>IF(INDEX(Suivi!$B:$B,289)="","",INDEX(Suivi!$B:$B,289))</f>
        <v/>
      </c>
      <c r="P283">
        <f>IF($O283="","",IF(INDEX(Suivi!$D:$D,289)="",INDEX(Suivi!$C:$C,289),INDEX(Suivi!$D:$D,289)))</f>
        <v/>
      </c>
      <c r="Q283">
        <f>IF($O283="","",INDEX(Suivi!$E:$E,289))</f>
        <v/>
      </c>
      <c r="R283">
        <f>IF($O283="","",INDEX(Suivi!$F:$F,289))</f>
        <v/>
      </c>
      <c r="S283">
        <f>IF($O283="","",INDEX(Suivi!$G:$G,289))</f>
        <v/>
      </c>
      <c r="T283">
        <f>IF($O283="","",IF(INDEX(Dossiers!$F$4:$F$63,6)="","",INDEX(Dossiers!$F$4:$F$63,6)))</f>
        <v/>
      </c>
      <c r="U283">
        <f>IF($O283="","",IF(INDEX(Dossiers!$G$4:$G$63,6)="","",INDEX(Dossiers!$G$4:$G$63,6)))</f>
        <v/>
      </c>
      <c r="V283">
        <f>IF(OR($O283="",NOT(ISNUMBER($Q283))),"",$Q283*1000000+283)</f>
        <v/>
      </c>
      <c r="W283" s="29">
        <f>IF($B283="","",IFERROR(INDEX($U$4:$U$3183,MATCH(SMALL($V$4:$V$3183,280),$V$4:$V$3183,0)),""))</f>
        <v/>
      </c>
    </row>
    <row r="284">
      <c r="A284">
        <f>IFERROR(INDEX($N$4:$N$3183,MATCH(SMALL($V$4:$V$3183,281),$V$4:$V$3183,0)),"")</f>
        <v/>
      </c>
      <c r="B284">
        <f>IFERROR(INDEX($O$4:$O$3183,MATCH(SMALL($V$4:$V$3183,281),$V$4:$V$3183,0)),"")</f>
        <v/>
      </c>
      <c r="C284">
        <f>IFERROR(INDEX($P$4:$P$3183,MATCH(SMALL($V$4:$V$3183,281),$V$4:$V$3183,0)),"")</f>
        <v/>
      </c>
      <c r="D284" s="29">
        <f>IFERROR(INDEX($Q$4:$Q$3183,MATCH(SMALL($V$4:$V$3183,281),$V$4:$V$3183,0)),"")</f>
        <v/>
      </c>
      <c r="E284" s="29">
        <f>IFERROR(INDEX($R$4:$R$3183,MATCH(SMALL($V$4:$V$3183,281),$V$4:$V$3183,0)),"")</f>
        <v/>
      </c>
      <c r="F284">
        <f>IFERROR(INDEX($S$4:$S$3183,MATCH(SMALL($V$4:$V$3183,281),$V$4:$V$3183,0)),"")</f>
        <v/>
      </c>
      <c r="I284" s="29">
        <f>IF($B284="","",IFERROR(INDEX($U$4:$U$3183,MATCH(SMALL($V$4:$V$3183,281),$V$4:$V$3183,0)),""))</f>
        <v/>
      </c>
      <c r="J284">
        <f>IF($B284="","",IF($D284&gt;$F$2,"À venir",IF($E284&lt;$D$2,"Passé","Dans la période")))</f>
        <v/>
      </c>
      <c r="K284">
        <f>IF(OR($B284="",NOT(ISNUMBER($D284))),"",IF(AND($E284&lt;$D$2,$G284&lt;&gt;"X",$F284&lt;&gt;"Réalisé",$F284&lt;&gt;"Clôturé"),"RETARD",""))</f>
        <v/>
      </c>
      <c r="L284">
        <f>IF(OR($B284="",NOT(ISNUMBER($D284))),"",IF(AND($D284&gt;=$D$2,$D284&lt;=$H$2,$G284&lt;&gt;"X",$F284&lt;&gt;"Réalisé",$F284&lt;&gt;"Clôturé"),"≤ 7 j",""))</f>
        <v/>
      </c>
      <c r="M284" s="29">
        <f>IF($B284="","",IFERROR(INDEX($T$4:$T$3183,MATCH(SMALL($V$4:$V$3183,281),$V$4:$V$3183,0)),""))</f>
        <v/>
      </c>
      <c r="O284">
        <f>IF(INDEX(Suivi!$B:$B,290)="","",INDEX(Suivi!$B:$B,290))</f>
        <v/>
      </c>
      <c r="P284">
        <f>IF($O284="","",IF(INDEX(Suivi!$D:$D,290)="",INDEX(Suivi!$C:$C,290),INDEX(Suivi!$D:$D,290)))</f>
        <v/>
      </c>
      <c r="Q284">
        <f>IF($O284="","",INDEX(Suivi!$E:$E,290))</f>
        <v/>
      </c>
      <c r="R284">
        <f>IF($O284="","",INDEX(Suivi!$F:$F,290))</f>
        <v/>
      </c>
      <c r="S284">
        <f>IF($O284="","",INDEX(Suivi!$G:$G,290))</f>
        <v/>
      </c>
      <c r="T284">
        <f>IF($O284="","",IF(INDEX(Dossiers!$F$4:$F$63,6)="","",INDEX(Dossiers!$F$4:$F$63,6)))</f>
        <v/>
      </c>
      <c r="U284">
        <f>IF($O284="","",IF(INDEX(Dossiers!$G$4:$G$63,6)="","",INDEX(Dossiers!$G$4:$G$63,6)))</f>
        <v/>
      </c>
      <c r="V284">
        <f>IF(OR($O284="",NOT(ISNUMBER($Q284))),"",$Q284*1000000+284)</f>
        <v/>
      </c>
      <c r="W284" s="29">
        <f>IF($B284="","",IFERROR(INDEX($U$4:$U$3183,MATCH(SMALL($V$4:$V$3183,281),$V$4:$V$3183,0)),""))</f>
        <v/>
      </c>
    </row>
    <row r="285">
      <c r="A285">
        <f>IFERROR(INDEX($N$4:$N$3183,MATCH(SMALL($V$4:$V$3183,282),$V$4:$V$3183,0)),"")</f>
        <v/>
      </c>
      <c r="B285">
        <f>IFERROR(INDEX($O$4:$O$3183,MATCH(SMALL($V$4:$V$3183,282),$V$4:$V$3183,0)),"")</f>
        <v/>
      </c>
      <c r="C285">
        <f>IFERROR(INDEX($P$4:$P$3183,MATCH(SMALL($V$4:$V$3183,282),$V$4:$V$3183,0)),"")</f>
        <v/>
      </c>
      <c r="D285" s="29">
        <f>IFERROR(INDEX($Q$4:$Q$3183,MATCH(SMALL($V$4:$V$3183,282),$V$4:$V$3183,0)),"")</f>
        <v/>
      </c>
      <c r="E285" s="29">
        <f>IFERROR(INDEX($R$4:$R$3183,MATCH(SMALL($V$4:$V$3183,282),$V$4:$V$3183,0)),"")</f>
        <v/>
      </c>
      <c r="F285">
        <f>IFERROR(INDEX($S$4:$S$3183,MATCH(SMALL($V$4:$V$3183,282),$V$4:$V$3183,0)),"")</f>
        <v/>
      </c>
      <c r="I285" s="29">
        <f>IF($B285="","",IFERROR(INDEX($U$4:$U$3183,MATCH(SMALL($V$4:$V$3183,282),$V$4:$V$3183,0)),""))</f>
        <v/>
      </c>
      <c r="J285">
        <f>IF($B285="","",IF($D285&gt;$F$2,"À venir",IF($E285&lt;$D$2,"Passé","Dans la période")))</f>
        <v/>
      </c>
      <c r="K285">
        <f>IF(OR($B285="",NOT(ISNUMBER($D285))),"",IF(AND($E285&lt;$D$2,$G285&lt;&gt;"X",$F285&lt;&gt;"Réalisé",$F285&lt;&gt;"Clôturé"),"RETARD",""))</f>
        <v/>
      </c>
      <c r="L285">
        <f>IF(OR($B285="",NOT(ISNUMBER($D285))),"",IF(AND($D285&gt;=$D$2,$D285&lt;=$H$2,$G285&lt;&gt;"X",$F285&lt;&gt;"Réalisé",$F285&lt;&gt;"Clôturé"),"≤ 7 j",""))</f>
        <v/>
      </c>
      <c r="M285" s="29">
        <f>IF($B285="","",IFERROR(INDEX($T$4:$T$3183,MATCH(SMALL($V$4:$V$3183,282),$V$4:$V$3183,0)),""))</f>
        <v/>
      </c>
      <c r="O285">
        <f>IF(INDEX(Suivi!$B:$B,291)="","",INDEX(Suivi!$B:$B,291))</f>
        <v/>
      </c>
      <c r="P285">
        <f>IF($O285="","",IF(INDEX(Suivi!$D:$D,291)="",INDEX(Suivi!$C:$C,291),INDEX(Suivi!$D:$D,291)))</f>
        <v/>
      </c>
      <c r="Q285">
        <f>IF($O285="","",INDEX(Suivi!$E:$E,291))</f>
        <v/>
      </c>
      <c r="R285">
        <f>IF($O285="","",INDEX(Suivi!$F:$F,291))</f>
        <v/>
      </c>
      <c r="S285">
        <f>IF($O285="","",INDEX(Suivi!$G:$G,291))</f>
        <v/>
      </c>
      <c r="T285">
        <f>IF($O285="","",IF(INDEX(Dossiers!$F$4:$F$63,6)="","",INDEX(Dossiers!$F$4:$F$63,6)))</f>
        <v/>
      </c>
      <c r="U285">
        <f>IF($O285="","",IF(INDEX(Dossiers!$G$4:$G$63,6)="","",INDEX(Dossiers!$G$4:$G$63,6)))</f>
        <v/>
      </c>
      <c r="V285">
        <f>IF(OR($O285="",NOT(ISNUMBER($Q285))),"",$Q285*1000000+285)</f>
        <v/>
      </c>
      <c r="W285" s="29">
        <f>IF($B285="","",IFERROR(INDEX($U$4:$U$3183,MATCH(SMALL($V$4:$V$3183,282),$V$4:$V$3183,0)),""))</f>
        <v/>
      </c>
    </row>
    <row r="286">
      <c r="A286">
        <f>IFERROR(INDEX($N$4:$N$3183,MATCH(SMALL($V$4:$V$3183,283),$V$4:$V$3183,0)),"")</f>
        <v/>
      </c>
      <c r="B286">
        <f>IFERROR(INDEX($O$4:$O$3183,MATCH(SMALL($V$4:$V$3183,283),$V$4:$V$3183,0)),"")</f>
        <v/>
      </c>
      <c r="C286">
        <f>IFERROR(INDEX($P$4:$P$3183,MATCH(SMALL($V$4:$V$3183,283),$V$4:$V$3183,0)),"")</f>
        <v/>
      </c>
      <c r="D286" s="29">
        <f>IFERROR(INDEX($Q$4:$Q$3183,MATCH(SMALL($V$4:$V$3183,283),$V$4:$V$3183,0)),"")</f>
        <v/>
      </c>
      <c r="E286" s="29">
        <f>IFERROR(INDEX($R$4:$R$3183,MATCH(SMALL($V$4:$V$3183,283),$V$4:$V$3183,0)),"")</f>
        <v/>
      </c>
      <c r="F286">
        <f>IFERROR(INDEX($S$4:$S$3183,MATCH(SMALL($V$4:$V$3183,283),$V$4:$V$3183,0)),"")</f>
        <v/>
      </c>
      <c r="I286" s="29">
        <f>IF($B286="","",IFERROR(INDEX($U$4:$U$3183,MATCH(SMALL($V$4:$V$3183,283),$V$4:$V$3183,0)),""))</f>
        <v/>
      </c>
      <c r="J286">
        <f>IF($B286="","",IF($D286&gt;$F$2,"À venir",IF($E286&lt;$D$2,"Passé","Dans la période")))</f>
        <v/>
      </c>
      <c r="K286">
        <f>IF(OR($B286="",NOT(ISNUMBER($D286))),"",IF(AND($E286&lt;$D$2,$G286&lt;&gt;"X",$F286&lt;&gt;"Réalisé",$F286&lt;&gt;"Clôturé"),"RETARD",""))</f>
        <v/>
      </c>
      <c r="L286">
        <f>IF(OR($B286="",NOT(ISNUMBER($D286))),"",IF(AND($D286&gt;=$D$2,$D286&lt;=$H$2,$G286&lt;&gt;"X",$F286&lt;&gt;"Réalisé",$F286&lt;&gt;"Clôturé"),"≤ 7 j",""))</f>
        <v/>
      </c>
      <c r="M286" s="29">
        <f>IF($B286="","",IFERROR(INDEX($T$4:$T$3183,MATCH(SMALL($V$4:$V$3183,283),$V$4:$V$3183,0)),""))</f>
        <v/>
      </c>
      <c r="O286">
        <f>IF(INDEX(Suivi!$B:$B,292)="","",INDEX(Suivi!$B:$B,292))</f>
        <v/>
      </c>
      <c r="P286">
        <f>IF($O286="","",IF(INDEX(Suivi!$D:$D,292)="",INDEX(Suivi!$C:$C,292),INDEX(Suivi!$D:$D,292)))</f>
        <v/>
      </c>
      <c r="Q286">
        <f>IF($O286="","",INDEX(Suivi!$E:$E,292))</f>
        <v/>
      </c>
      <c r="R286">
        <f>IF($O286="","",INDEX(Suivi!$F:$F,292))</f>
        <v/>
      </c>
      <c r="S286">
        <f>IF($O286="","",INDEX(Suivi!$G:$G,292))</f>
        <v/>
      </c>
      <c r="T286">
        <f>IF($O286="","",IF(INDEX(Dossiers!$F$4:$F$63,6)="","",INDEX(Dossiers!$F$4:$F$63,6)))</f>
        <v/>
      </c>
      <c r="U286">
        <f>IF($O286="","",IF(INDEX(Dossiers!$G$4:$G$63,6)="","",INDEX(Dossiers!$G$4:$G$63,6)))</f>
        <v/>
      </c>
      <c r="V286">
        <f>IF(OR($O286="",NOT(ISNUMBER($Q286))),"",$Q286*1000000+286)</f>
        <v/>
      </c>
      <c r="W286" s="29">
        <f>IF($B286="","",IFERROR(INDEX($U$4:$U$3183,MATCH(SMALL($V$4:$V$3183,283),$V$4:$V$3183,0)),""))</f>
        <v/>
      </c>
    </row>
    <row r="287">
      <c r="A287">
        <f>IFERROR(INDEX($N$4:$N$3183,MATCH(SMALL($V$4:$V$3183,284),$V$4:$V$3183,0)),"")</f>
        <v/>
      </c>
      <c r="B287">
        <f>IFERROR(INDEX($O$4:$O$3183,MATCH(SMALL($V$4:$V$3183,284),$V$4:$V$3183,0)),"")</f>
        <v/>
      </c>
      <c r="C287">
        <f>IFERROR(INDEX($P$4:$P$3183,MATCH(SMALL($V$4:$V$3183,284),$V$4:$V$3183,0)),"")</f>
        <v/>
      </c>
      <c r="D287" s="29">
        <f>IFERROR(INDEX($Q$4:$Q$3183,MATCH(SMALL($V$4:$V$3183,284),$V$4:$V$3183,0)),"")</f>
        <v/>
      </c>
      <c r="E287" s="29">
        <f>IFERROR(INDEX($R$4:$R$3183,MATCH(SMALL($V$4:$V$3183,284),$V$4:$V$3183,0)),"")</f>
        <v/>
      </c>
      <c r="F287">
        <f>IFERROR(INDEX($S$4:$S$3183,MATCH(SMALL($V$4:$V$3183,284),$V$4:$V$3183,0)),"")</f>
        <v/>
      </c>
      <c r="I287" s="29">
        <f>IF($B287="","",IFERROR(INDEX($U$4:$U$3183,MATCH(SMALL($V$4:$V$3183,284),$V$4:$V$3183,0)),""))</f>
        <v/>
      </c>
      <c r="J287">
        <f>IF($B287="","",IF($D287&gt;$F$2,"À venir",IF($E287&lt;$D$2,"Passé","Dans la période")))</f>
        <v/>
      </c>
      <c r="K287">
        <f>IF(OR($B287="",NOT(ISNUMBER($D287))),"",IF(AND($E287&lt;$D$2,$G287&lt;&gt;"X",$F287&lt;&gt;"Réalisé",$F287&lt;&gt;"Clôturé"),"RETARD",""))</f>
        <v/>
      </c>
      <c r="L287">
        <f>IF(OR($B287="",NOT(ISNUMBER($D287))),"",IF(AND($D287&gt;=$D$2,$D287&lt;=$H$2,$G287&lt;&gt;"X",$F287&lt;&gt;"Réalisé",$F287&lt;&gt;"Clôturé"),"≤ 7 j",""))</f>
        <v/>
      </c>
      <c r="M287" s="29">
        <f>IF($B287="","",IFERROR(INDEX($T$4:$T$3183,MATCH(SMALL($V$4:$V$3183,284),$V$4:$V$3183,0)),""))</f>
        <v/>
      </c>
      <c r="O287">
        <f>IF(INDEX(Suivi!$B:$B,293)="","",INDEX(Suivi!$B:$B,293))</f>
        <v/>
      </c>
      <c r="P287">
        <f>IF($O287="","",IF(INDEX(Suivi!$D:$D,293)="",INDEX(Suivi!$C:$C,293),INDEX(Suivi!$D:$D,293)))</f>
        <v/>
      </c>
      <c r="Q287">
        <f>IF($O287="","",INDEX(Suivi!$E:$E,293))</f>
        <v/>
      </c>
      <c r="R287">
        <f>IF($O287="","",INDEX(Suivi!$F:$F,293))</f>
        <v/>
      </c>
      <c r="S287">
        <f>IF($O287="","",INDEX(Suivi!$G:$G,293))</f>
        <v/>
      </c>
      <c r="T287">
        <f>IF($O287="","",IF(INDEX(Dossiers!$F$4:$F$63,6)="","",INDEX(Dossiers!$F$4:$F$63,6)))</f>
        <v/>
      </c>
      <c r="U287">
        <f>IF($O287="","",IF(INDEX(Dossiers!$G$4:$G$63,6)="","",INDEX(Dossiers!$G$4:$G$63,6)))</f>
        <v/>
      </c>
      <c r="V287">
        <f>IF(OR($O287="",NOT(ISNUMBER($Q287))),"",$Q287*1000000+287)</f>
        <v/>
      </c>
      <c r="W287" s="29">
        <f>IF($B287="","",IFERROR(INDEX($U$4:$U$3183,MATCH(SMALL($V$4:$V$3183,284),$V$4:$V$3183,0)),""))</f>
        <v/>
      </c>
    </row>
    <row r="288">
      <c r="A288">
        <f>IFERROR(INDEX($N$4:$N$3183,MATCH(SMALL($V$4:$V$3183,285),$V$4:$V$3183,0)),"")</f>
        <v/>
      </c>
      <c r="B288">
        <f>IFERROR(INDEX($O$4:$O$3183,MATCH(SMALL($V$4:$V$3183,285),$V$4:$V$3183,0)),"")</f>
        <v/>
      </c>
      <c r="C288">
        <f>IFERROR(INDEX($P$4:$P$3183,MATCH(SMALL($V$4:$V$3183,285),$V$4:$V$3183,0)),"")</f>
        <v/>
      </c>
      <c r="D288" s="29">
        <f>IFERROR(INDEX($Q$4:$Q$3183,MATCH(SMALL($V$4:$V$3183,285),$V$4:$V$3183,0)),"")</f>
        <v/>
      </c>
      <c r="E288" s="29">
        <f>IFERROR(INDEX($R$4:$R$3183,MATCH(SMALL($V$4:$V$3183,285),$V$4:$V$3183,0)),"")</f>
        <v/>
      </c>
      <c r="F288">
        <f>IFERROR(INDEX($S$4:$S$3183,MATCH(SMALL($V$4:$V$3183,285),$V$4:$V$3183,0)),"")</f>
        <v/>
      </c>
      <c r="I288" s="29">
        <f>IF($B288="","",IFERROR(INDEX($U$4:$U$3183,MATCH(SMALL($V$4:$V$3183,285),$V$4:$V$3183,0)),""))</f>
        <v/>
      </c>
      <c r="J288">
        <f>IF($B288="","",IF($D288&gt;$F$2,"À venir",IF($E288&lt;$D$2,"Passé","Dans la période")))</f>
        <v/>
      </c>
      <c r="K288">
        <f>IF(OR($B288="",NOT(ISNUMBER($D288))),"",IF(AND($E288&lt;$D$2,$G288&lt;&gt;"X",$F288&lt;&gt;"Réalisé",$F288&lt;&gt;"Clôturé"),"RETARD",""))</f>
        <v/>
      </c>
      <c r="L288">
        <f>IF(OR($B288="",NOT(ISNUMBER($D288))),"",IF(AND($D288&gt;=$D$2,$D288&lt;=$H$2,$G288&lt;&gt;"X",$F288&lt;&gt;"Réalisé",$F288&lt;&gt;"Clôturé"),"≤ 7 j",""))</f>
        <v/>
      </c>
      <c r="M288" s="29">
        <f>IF($B288="","",IFERROR(INDEX($T$4:$T$3183,MATCH(SMALL($V$4:$V$3183,285),$V$4:$V$3183,0)),""))</f>
        <v/>
      </c>
      <c r="O288">
        <f>IF(INDEX(Suivi!$B:$B,294)="","",INDEX(Suivi!$B:$B,294))</f>
        <v/>
      </c>
      <c r="P288">
        <f>IF($O288="","",IF(INDEX(Suivi!$D:$D,294)="",INDEX(Suivi!$C:$C,294),INDEX(Suivi!$D:$D,294)))</f>
        <v/>
      </c>
      <c r="Q288">
        <f>IF($O288="","",INDEX(Suivi!$E:$E,294))</f>
        <v/>
      </c>
      <c r="R288">
        <f>IF($O288="","",INDEX(Suivi!$F:$F,294))</f>
        <v/>
      </c>
      <c r="S288">
        <f>IF($O288="","",INDEX(Suivi!$G:$G,294))</f>
        <v/>
      </c>
      <c r="T288">
        <f>IF($O288="","",IF(INDEX(Dossiers!$F$4:$F$63,6)="","",INDEX(Dossiers!$F$4:$F$63,6)))</f>
        <v/>
      </c>
      <c r="U288">
        <f>IF($O288="","",IF(INDEX(Dossiers!$G$4:$G$63,6)="","",INDEX(Dossiers!$G$4:$G$63,6)))</f>
        <v/>
      </c>
      <c r="V288">
        <f>IF(OR($O288="",NOT(ISNUMBER($Q288))),"",$Q288*1000000+288)</f>
        <v/>
      </c>
      <c r="W288" s="29">
        <f>IF($B288="","",IFERROR(INDEX($U$4:$U$3183,MATCH(SMALL($V$4:$V$3183,285),$V$4:$V$3183,0)),""))</f>
        <v/>
      </c>
    </row>
    <row r="289">
      <c r="A289">
        <f>IFERROR(INDEX($N$4:$N$3183,MATCH(SMALL($V$4:$V$3183,286),$V$4:$V$3183,0)),"")</f>
        <v/>
      </c>
      <c r="B289">
        <f>IFERROR(INDEX($O$4:$O$3183,MATCH(SMALL($V$4:$V$3183,286),$V$4:$V$3183,0)),"")</f>
        <v/>
      </c>
      <c r="C289">
        <f>IFERROR(INDEX($P$4:$P$3183,MATCH(SMALL($V$4:$V$3183,286),$V$4:$V$3183,0)),"")</f>
        <v/>
      </c>
      <c r="D289" s="29">
        <f>IFERROR(INDEX($Q$4:$Q$3183,MATCH(SMALL($V$4:$V$3183,286),$V$4:$V$3183,0)),"")</f>
        <v/>
      </c>
      <c r="E289" s="29">
        <f>IFERROR(INDEX($R$4:$R$3183,MATCH(SMALL($V$4:$V$3183,286),$V$4:$V$3183,0)),"")</f>
        <v/>
      </c>
      <c r="F289">
        <f>IFERROR(INDEX($S$4:$S$3183,MATCH(SMALL($V$4:$V$3183,286),$V$4:$V$3183,0)),"")</f>
        <v/>
      </c>
      <c r="I289" s="29">
        <f>IF($B289="","",IFERROR(INDEX($U$4:$U$3183,MATCH(SMALL($V$4:$V$3183,286),$V$4:$V$3183,0)),""))</f>
        <v/>
      </c>
      <c r="J289">
        <f>IF($B289="","",IF($D289&gt;$F$2,"À venir",IF($E289&lt;$D$2,"Passé","Dans la période")))</f>
        <v/>
      </c>
      <c r="K289">
        <f>IF(OR($B289="",NOT(ISNUMBER($D289))),"",IF(AND($E289&lt;$D$2,$G289&lt;&gt;"X",$F289&lt;&gt;"Réalisé",$F289&lt;&gt;"Clôturé"),"RETARD",""))</f>
        <v/>
      </c>
      <c r="L289">
        <f>IF(OR($B289="",NOT(ISNUMBER($D289))),"",IF(AND($D289&gt;=$D$2,$D289&lt;=$H$2,$G289&lt;&gt;"X",$F289&lt;&gt;"Réalisé",$F289&lt;&gt;"Clôturé"),"≤ 7 j",""))</f>
        <v/>
      </c>
      <c r="M289" s="29">
        <f>IF($B289="","",IFERROR(INDEX($T$4:$T$3183,MATCH(SMALL($V$4:$V$3183,286),$V$4:$V$3183,0)),""))</f>
        <v/>
      </c>
      <c r="O289">
        <f>IF(INDEX(Suivi!$B:$B,295)="","",INDEX(Suivi!$B:$B,295))</f>
        <v/>
      </c>
      <c r="P289">
        <f>IF($O289="","",IF(INDEX(Suivi!$D:$D,295)="",INDEX(Suivi!$C:$C,295),INDEX(Suivi!$D:$D,295)))</f>
        <v/>
      </c>
      <c r="Q289">
        <f>IF($O289="","",INDEX(Suivi!$E:$E,295))</f>
        <v/>
      </c>
      <c r="R289">
        <f>IF($O289="","",INDEX(Suivi!$F:$F,295))</f>
        <v/>
      </c>
      <c r="S289">
        <f>IF($O289="","",INDEX(Suivi!$G:$G,295))</f>
        <v/>
      </c>
      <c r="T289">
        <f>IF($O289="","",IF(INDEX(Dossiers!$F$4:$F$63,6)="","",INDEX(Dossiers!$F$4:$F$63,6)))</f>
        <v/>
      </c>
      <c r="U289">
        <f>IF($O289="","",IF(INDEX(Dossiers!$G$4:$G$63,6)="","",INDEX(Dossiers!$G$4:$G$63,6)))</f>
        <v/>
      </c>
      <c r="V289">
        <f>IF(OR($O289="",NOT(ISNUMBER($Q289))),"",$Q289*1000000+289)</f>
        <v/>
      </c>
      <c r="W289" s="29">
        <f>IF($B289="","",IFERROR(INDEX($U$4:$U$3183,MATCH(SMALL($V$4:$V$3183,286),$V$4:$V$3183,0)),""))</f>
        <v/>
      </c>
    </row>
    <row r="290">
      <c r="A290">
        <f>IFERROR(INDEX($N$4:$N$3183,MATCH(SMALL($V$4:$V$3183,287),$V$4:$V$3183,0)),"")</f>
        <v/>
      </c>
      <c r="B290">
        <f>IFERROR(INDEX($O$4:$O$3183,MATCH(SMALL($V$4:$V$3183,287),$V$4:$V$3183,0)),"")</f>
        <v/>
      </c>
      <c r="C290">
        <f>IFERROR(INDEX($P$4:$P$3183,MATCH(SMALL($V$4:$V$3183,287),$V$4:$V$3183,0)),"")</f>
        <v/>
      </c>
      <c r="D290" s="29">
        <f>IFERROR(INDEX($Q$4:$Q$3183,MATCH(SMALL($V$4:$V$3183,287),$V$4:$V$3183,0)),"")</f>
        <v/>
      </c>
      <c r="E290" s="29">
        <f>IFERROR(INDEX($R$4:$R$3183,MATCH(SMALL($V$4:$V$3183,287),$V$4:$V$3183,0)),"")</f>
        <v/>
      </c>
      <c r="F290">
        <f>IFERROR(INDEX($S$4:$S$3183,MATCH(SMALL($V$4:$V$3183,287),$V$4:$V$3183,0)),"")</f>
        <v/>
      </c>
      <c r="I290" s="29">
        <f>IF($B290="","",IFERROR(INDEX($U$4:$U$3183,MATCH(SMALL($V$4:$V$3183,287),$V$4:$V$3183,0)),""))</f>
        <v/>
      </c>
      <c r="J290">
        <f>IF($B290="","",IF($D290&gt;$F$2,"À venir",IF($E290&lt;$D$2,"Passé","Dans la période")))</f>
        <v/>
      </c>
      <c r="K290">
        <f>IF(OR($B290="",NOT(ISNUMBER($D290))),"",IF(AND($E290&lt;$D$2,$G290&lt;&gt;"X",$F290&lt;&gt;"Réalisé",$F290&lt;&gt;"Clôturé"),"RETARD",""))</f>
        <v/>
      </c>
      <c r="L290">
        <f>IF(OR($B290="",NOT(ISNUMBER($D290))),"",IF(AND($D290&gt;=$D$2,$D290&lt;=$H$2,$G290&lt;&gt;"X",$F290&lt;&gt;"Réalisé",$F290&lt;&gt;"Clôturé"),"≤ 7 j",""))</f>
        <v/>
      </c>
      <c r="M290" s="29">
        <f>IF($B290="","",IFERROR(INDEX($T$4:$T$3183,MATCH(SMALL($V$4:$V$3183,287),$V$4:$V$3183,0)),""))</f>
        <v/>
      </c>
      <c r="O290">
        <f>IF(INDEX(Suivi!$B:$B,296)="","",INDEX(Suivi!$B:$B,296))</f>
        <v/>
      </c>
      <c r="P290">
        <f>IF($O290="","",IF(INDEX(Suivi!$D:$D,296)="",INDEX(Suivi!$C:$C,296),INDEX(Suivi!$D:$D,296)))</f>
        <v/>
      </c>
      <c r="Q290">
        <f>IF($O290="","",INDEX(Suivi!$E:$E,296))</f>
        <v/>
      </c>
      <c r="R290">
        <f>IF($O290="","",INDEX(Suivi!$F:$F,296))</f>
        <v/>
      </c>
      <c r="S290">
        <f>IF($O290="","",INDEX(Suivi!$G:$G,296))</f>
        <v/>
      </c>
      <c r="T290">
        <f>IF($O290="","",IF(INDEX(Dossiers!$F$4:$F$63,6)="","",INDEX(Dossiers!$F$4:$F$63,6)))</f>
        <v/>
      </c>
      <c r="U290">
        <f>IF($O290="","",IF(INDEX(Dossiers!$G$4:$G$63,6)="","",INDEX(Dossiers!$G$4:$G$63,6)))</f>
        <v/>
      </c>
      <c r="V290">
        <f>IF(OR($O290="",NOT(ISNUMBER($Q290))),"",$Q290*1000000+290)</f>
        <v/>
      </c>
      <c r="W290" s="29">
        <f>IF($B290="","",IFERROR(INDEX($U$4:$U$3183,MATCH(SMALL($V$4:$V$3183,287),$V$4:$V$3183,0)),""))</f>
        <v/>
      </c>
    </row>
    <row r="291">
      <c r="A291">
        <f>IFERROR(INDEX($N$4:$N$3183,MATCH(SMALL($V$4:$V$3183,288),$V$4:$V$3183,0)),"")</f>
        <v/>
      </c>
      <c r="B291">
        <f>IFERROR(INDEX($O$4:$O$3183,MATCH(SMALL($V$4:$V$3183,288),$V$4:$V$3183,0)),"")</f>
        <v/>
      </c>
      <c r="C291">
        <f>IFERROR(INDEX($P$4:$P$3183,MATCH(SMALL($V$4:$V$3183,288),$V$4:$V$3183,0)),"")</f>
        <v/>
      </c>
      <c r="D291" s="29">
        <f>IFERROR(INDEX($Q$4:$Q$3183,MATCH(SMALL($V$4:$V$3183,288),$V$4:$V$3183,0)),"")</f>
        <v/>
      </c>
      <c r="E291" s="29">
        <f>IFERROR(INDEX($R$4:$R$3183,MATCH(SMALL($V$4:$V$3183,288),$V$4:$V$3183,0)),"")</f>
        <v/>
      </c>
      <c r="F291">
        <f>IFERROR(INDEX($S$4:$S$3183,MATCH(SMALL($V$4:$V$3183,288),$V$4:$V$3183,0)),"")</f>
        <v/>
      </c>
      <c r="I291" s="29">
        <f>IF($B291="","",IFERROR(INDEX($U$4:$U$3183,MATCH(SMALL($V$4:$V$3183,288),$V$4:$V$3183,0)),""))</f>
        <v/>
      </c>
      <c r="J291">
        <f>IF($B291="","",IF($D291&gt;$F$2,"À venir",IF($E291&lt;$D$2,"Passé","Dans la période")))</f>
        <v/>
      </c>
      <c r="K291">
        <f>IF(OR($B291="",NOT(ISNUMBER($D291))),"",IF(AND($E291&lt;$D$2,$G291&lt;&gt;"X",$F291&lt;&gt;"Réalisé",$F291&lt;&gt;"Clôturé"),"RETARD",""))</f>
        <v/>
      </c>
      <c r="L291">
        <f>IF(OR($B291="",NOT(ISNUMBER($D291))),"",IF(AND($D291&gt;=$D$2,$D291&lt;=$H$2,$G291&lt;&gt;"X",$F291&lt;&gt;"Réalisé",$F291&lt;&gt;"Clôturé"),"≤ 7 j",""))</f>
        <v/>
      </c>
      <c r="M291" s="29">
        <f>IF($B291="","",IFERROR(INDEX($T$4:$T$3183,MATCH(SMALL($V$4:$V$3183,288),$V$4:$V$3183,0)),""))</f>
        <v/>
      </c>
      <c r="O291">
        <f>IF(INDEX(Suivi!$B:$B,297)="","",INDEX(Suivi!$B:$B,297))</f>
        <v/>
      </c>
      <c r="P291">
        <f>IF($O291="","",IF(INDEX(Suivi!$D:$D,297)="",INDEX(Suivi!$C:$C,297),INDEX(Suivi!$D:$D,297)))</f>
        <v/>
      </c>
      <c r="Q291">
        <f>IF($O291="","",INDEX(Suivi!$E:$E,297))</f>
        <v/>
      </c>
      <c r="R291">
        <f>IF($O291="","",INDEX(Suivi!$F:$F,297))</f>
        <v/>
      </c>
      <c r="S291">
        <f>IF($O291="","",INDEX(Suivi!$G:$G,297))</f>
        <v/>
      </c>
      <c r="T291">
        <f>IF($O291="","",IF(INDEX(Dossiers!$F$4:$F$63,6)="","",INDEX(Dossiers!$F$4:$F$63,6)))</f>
        <v/>
      </c>
      <c r="U291">
        <f>IF($O291="","",IF(INDEX(Dossiers!$G$4:$G$63,6)="","",INDEX(Dossiers!$G$4:$G$63,6)))</f>
        <v/>
      </c>
      <c r="V291">
        <f>IF(OR($O291="",NOT(ISNUMBER($Q291))),"",$Q291*1000000+291)</f>
        <v/>
      </c>
      <c r="W291" s="29">
        <f>IF($B291="","",IFERROR(INDEX($U$4:$U$3183,MATCH(SMALL($V$4:$V$3183,288),$V$4:$V$3183,0)),""))</f>
        <v/>
      </c>
    </row>
    <row r="292">
      <c r="A292">
        <f>IFERROR(INDEX($N$4:$N$3183,MATCH(SMALL($V$4:$V$3183,289),$V$4:$V$3183,0)),"")</f>
        <v/>
      </c>
      <c r="B292">
        <f>IFERROR(INDEX($O$4:$O$3183,MATCH(SMALL($V$4:$V$3183,289),$V$4:$V$3183,0)),"")</f>
        <v/>
      </c>
      <c r="C292">
        <f>IFERROR(INDEX($P$4:$P$3183,MATCH(SMALL($V$4:$V$3183,289),$V$4:$V$3183,0)),"")</f>
        <v/>
      </c>
      <c r="D292" s="29">
        <f>IFERROR(INDEX($Q$4:$Q$3183,MATCH(SMALL($V$4:$V$3183,289),$V$4:$V$3183,0)),"")</f>
        <v/>
      </c>
      <c r="E292" s="29">
        <f>IFERROR(INDEX($R$4:$R$3183,MATCH(SMALL($V$4:$V$3183,289),$V$4:$V$3183,0)),"")</f>
        <v/>
      </c>
      <c r="F292">
        <f>IFERROR(INDEX($S$4:$S$3183,MATCH(SMALL($V$4:$V$3183,289),$V$4:$V$3183,0)),"")</f>
        <v/>
      </c>
      <c r="I292" s="29">
        <f>IF($B292="","",IFERROR(INDEX($U$4:$U$3183,MATCH(SMALL($V$4:$V$3183,289),$V$4:$V$3183,0)),""))</f>
        <v/>
      </c>
      <c r="J292">
        <f>IF($B292="","",IF($D292&gt;$F$2,"À venir",IF($E292&lt;$D$2,"Passé","Dans la période")))</f>
        <v/>
      </c>
      <c r="K292">
        <f>IF(OR($B292="",NOT(ISNUMBER($D292))),"",IF(AND($E292&lt;$D$2,$G292&lt;&gt;"X",$F292&lt;&gt;"Réalisé",$F292&lt;&gt;"Clôturé"),"RETARD",""))</f>
        <v/>
      </c>
      <c r="L292">
        <f>IF(OR($B292="",NOT(ISNUMBER($D292))),"",IF(AND($D292&gt;=$D$2,$D292&lt;=$H$2,$G292&lt;&gt;"X",$F292&lt;&gt;"Réalisé",$F292&lt;&gt;"Clôturé"),"≤ 7 j",""))</f>
        <v/>
      </c>
      <c r="M292" s="29">
        <f>IF($B292="","",IFERROR(INDEX($T$4:$T$3183,MATCH(SMALL($V$4:$V$3183,289),$V$4:$V$3183,0)),""))</f>
        <v/>
      </c>
      <c r="O292">
        <f>IF(INDEX(Suivi!$B:$B,298)="","",INDEX(Suivi!$B:$B,298))</f>
        <v/>
      </c>
      <c r="P292">
        <f>IF($O292="","",IF(INDEX(Suivi!$D:$D,298)="",INDEX(Suivi!$C:$C,298),INDEX(Suivi!$D:$D,298)))</f>
        <v/>
      </c>
      <c r="Q292">
        <f>IF($O292="","",INDEX(Suivi!$E:$E,298))</f>
        <v/>
      </c>
      <c r="R292">
        <f>IF($O292="","",INDEX(Suivi!$F:$F,298))</f>
        <v/>
      </c>
      <c r="S292">
        <f>IF($O292="","",INDEX(Suivi!$G:$G,298))</f>
        <v/>
      </c>
      <c r="T292">
        <f>IF($O292="","",IF(INDEX(Dossiers!$F$4:$F$63,6)="","",INDEX(Dossiers!$F$4:$F$63,6)))</f>
        <v/>
      </c>
      <c r="U292">
        <f>IF($O292="","",IF(INDEX(Dossiers!$G$4:$G$63,6)="","",INDEX(Dossiers!$G$4:$G$63,6)))</f>
        <v/>
      </c>
      <c r="V292">
        <f>IF(OR($O292="",NOT(ISNUMBER($Q292))),"",$Q292*1000000+292)</f>
        <v/>
      </c>
      <c r="W292" s="29">
        <f>IF($B292="","",IFERROR(INDEX($U$4:$U$3183,MATCH(SMALL($V$4:$V$3183,289),$V$4:$V$3183,0)),""))</f>
        <v/>
      </c>
    </row>
    <row r="293">
      <c r="A293">
        <f>IFERROR(INDEX($N$4:$N$3183,MATCH(SMALL($V$4:$V$3183,290),$V$4:$V$3183,0)),"")</f>
        <v/>
      </c>
      <c r="B293">
        <f>IFERROR(INDEX($O$4:$O$3183,MATCH(SMALL($V$4:$V$3183,290),$V$4:$V$3183,0)),"")</f>
        <v/>
      </c>
      <c r="C293">
        <f>IFERROR(INDEX($P$4:$P$3183,MATCH(SMALL($V$4:$V$3183,290),$V$4:$V$3183,0)),"")</f>
        <v/>
      </c>
      <c r="D293" s="29">
        <f>IFERROR(INDEX($Q$4:$Q$3183,MATCH(SMALL($V$4:$V$3183,290),$V$4:$V$3183,0)),"")</f>
        <v/>
      </c>
      <c r="E293" s="29">
        <f>IFERROR(INDEX($R$4:$R$3183,MATCH(SMALL($V$4:$V$3183,290),$V$4:$V$3183,0)),"")</f>
        <v/>
      </c>
      <c r="F293">
        <f>IFERROR(INDEX($S$4:$S$3183,MATCH(SMALL($V$4:$V$3183,290),$V$4:$V$3183,0)),"")</f>
        <v/>
      </c>
      <c r="I293" s="29">
        <f>IF($B293="","",IFERROR(INDEX($U$4:$U$3183,MATCH(SMALL($V$4:$V$3183,290),$V$4:$V$3183,0)),""))</f>
        <v/>
      </c>
      <c r="J293">
        <f>IF($B293="","",IF($D293&gt;$F$2,"À venir",IF($E293&lt;$D$2,"Passé","Dans la période")))</f>
        <v/>
      </c>
      <c r="K293">
        <f>IF(OR($B293="",NOT(ISNUMBER($D293))),"",IF(AND($E293&lt;$D$2,$G293&lt;&gt;"X",$F293&lt;&gt;"Réalisé",$F293&lt;&gt;"Clôturé"),"RETARD",""))</f>
        <v/>
      </c>
      <c r="L293">
        <f>IF(OR($B293="",NOT(ISNUMBER($D293))),"",IF(AND($D293&gt;=$D$2,$D293&lt;=$H$2,$G293&lt;&gt;"X",$F293&lt;&gt;"Réalisé",$F293&lt;&gt;"Clôturé"),"≤ 7 j",""))</f>
        <v/>
      </c>
      <c r="M293" s="29">
        <f>IF($B293="","",IFERROR(INDEX($T$4:$T$3183,MATCH(SMALL($V$4:$V$3183,290),$V$4:$V$3183,0)),""))</f>
        <v/>
      </c>
      <c r="O293">
        <f>IF(INDEX(Suivi!$B:$B,299)="","",INDEX(Suivi!$B:$B,299))</f>
        <v/>
      </c>
      <c r="P293">
        <f>IF($O293="","",IF(INDEX(Suivi!$D:$D,299)="",INDEX(Suivi!$C:$C,299),INDEX(Suivi!$D:$D,299)))</f>
        <v/>
      </c>
      <c r="Q293">
        <f>IF($O293="","",INDEX(Suivi!$E:$E,299))</f>
        <v/>
      </c>
      <c r="R293">
        <f>IF($O293="","",INDEX(Suivi!$F:$F,299))</f>
        <v/>
      </c>
      <c r="S293">
        <f>IF($O293="","",INDEX(Suivi!$G:$G,299))</f>
        <v/>
      </c>
      <c r="T293">
        <f>IF($O293="","",IF(INDEX(Dossiers!$F$4:$F$63,6)="","",INDEX(Dossiers!$F$4:$F$63,6)))</f>
        <v/>
      </c>
      <c r="U293">
        <f>IF($O293="","",IF(INDEX(Dossiers!$G$4:$G$63,6)="","",INDEX(Dossiers!$G$4:$G$63,6)))</f>
        <v/>
      </c>
      <c r="V293">
        <f>IF(OR($O293="",NOT(ISNUMBER($Q293))),"",$Q293*1000000+293)</f>
        <v/>
      </c>
      <c r="W293" s="29">
        <f>IF($B293="","",IFERROR(INDEX($U$4:$U$3183,MATCH(SMALL($V$4:$V$3183,290),$V$4:$V$3183,0)),""))</f>
        <v/>
      </c>
    </row>
    <row r="294">
      <c r="A294">
        <f>IFERROR(INDEX($N$4:$N$3183,MATCH(SMALL($V$4:$V$3183,291),$V$4:$V$3183,0)),"")</f>
        <v/>
      </c>
      <c r="B294">
        <f>IFERROR(INDEX($O$4:$O$3183,MATCH(SMALL($V$4:$V$3183,291),$V$4:$V$3183,0)),"")</f>
        <v/>
      </c>
      <c r="C294">
        <f>IFERROR(INDEX($P$4:$P$3183,MATCH(SMALL($V$4:$V$3183,291),$V$4:$V$3183,0)),"")</f>
        <v/>
      </c>
      <c r="D294" s="29">
        <f>IFERROR(INDEX($Q$4:$Q$3183,MATCH(SMALL($V$4:$V$3183,291),$V$4:$V$3183,0)),"")</f>
        <v/>
      </c>
      <c r="E294" s="29">
        <f>IFERROR(INDEX($R$4:$R$3183,MATCH(SMALL($V$4:$V$3183,291),$V$4:$V$3183,0)),"")</f>
        <v/>
      </c>
      <c r="F294">
        <f>IFERROR(INDEX($S$4:$S$3183,MATCH(SMALL($V$4:$V$3183,291),$V$4:$V$3183,0)),"")</f>
        <v/>
      </c>
      <c r="I294" s="29">
        <f>IF($B294="","",IFERROR(INDEX($U$4:$U$3183,MATCH(SMALL($V$4:$V$3183,291),$V$4:$V$3183,0)),""))</f>
        <v/>
      </c>
      <c r="J294">
        <f>IF($B294="","",IF($D294&gt;$F$2,"À venir",IF($E294&lt;$D$2,"Passé","Dans la période")))</f>
        <v/>
      </c>
      <c r="K294">
        <f>IF(OR($B294="",NOT(ISNUMBER($D294))),"",IF(AND($E294&lt;$D$2,$G294&lt;&gt;"X",$F294&lt;&gt;"Réalisé",$F294&lt;&gt;"Clôturé"),"RETARD",""))</f>
        <v/>
      </c>
      <c r="L294">
        <f>IF(OR($B294="",NOT(ISNUMBER($D294))),"",IF(AND($D294&gt;=$D$2,$D294&lt;=$H$2,$G294&lt;&gt;"X",$F294&lt;&gt;"Réalisé",$F294&lt;&gt;"Clôturé"),"≤ 7 j",""))</f>
        <v/>
      </c>
      <c r="M294" s="29">
        <f>IF($B294="","",IFERROR(INDEX($T$4:$T$3183,MATCH(SMALL($V$4:$V$3183,291),$V$4:$V$3183,0)),""))</f>
        <v/>
      </c>
      <c r="O294">
        <f>IF(INDEX(Suivi!$B:$B,300)="","",INDEX(Suivi!$B:$B,300))</f>
        <v/>
      </c>
      <c r="P294">
        <f>IF($O294="","",IF(INDEX(Suivi!$D:$D,300)="",INDEX(Suivi!$C:$C,300),INDEX(Suivi!$D:$D,300)))</f>
        <v/>
      </c>
      <c r="Q294">
        <f>IF($O294="","",INDEX(Suivi!$E:$E,300))</f>
        <v/>
      </c>
      <c r="R294">
        <f>IF($O294="","",INDEX(Suivi!$F:$F,300))</f>
        <v/>
      </c>
      <c r="S294">
        <f>IF($O294="","",INDEX(Suivi!$G:$G,300))</f>
        <v/>
      </c>
      <c r="T294">
        <f>IF($O294="","",IF(INDEX(Dossiers!$F$4:$F$63,6)="","",INDEX(Dossiers!$F$4:$F$63,6)))</f>
        <v/>
      </c>
      <c r="U294">
        <f>IF($O294="","",IF(INDEX(Dossiers!$G$4:$G$63,6)="","",INDEX(Dossiers!$G$4:$G$63,6)))</f>
        <v/>
      </c>
      <c r="V294">
        <f>IF(OR($O294="",NOT(ISNUMBER($Q294))),"",$Q294*1000000+294)</f>
        <v/>
      </c>
      <c r="W294" s="29">
        <f>IF($B294="","",IFERROR(INDEX($U$4:$U$3183,MATCH(SMALL($V$4:$V$3183,291),$V$4:$V$3183,0)),""))</f>
        <v/>
      </c>
    </row>
    <row r="295">
      <c r="A295">
        <f>IFERROR(INDEX($N$4:$N$3183,MATCH(SMALL($V$4:$V$3183,292),$V$4:$V$3183,0)),"")</f>
        <v/>
      </c>
      <c r="B295">
        <f>IFERROR(INDEX($O$4:$O$3183,MATCH(SMALL($V$4:$V$3183,292),$V$4:$V$3183,0)),"")</f>
        <v/>
      </c>
      <c r="C295">
        <f>IFERROR(INDEX($P$4:$P$3183,MATCH(SMALL($V$4:$V$3183,292),$V$4:$V$3183,0)),"")</f>
        <v/>
      </c>
      <c r="D295" s="29">
        <f>IFERROR(INDEX($Q$4:$Q$3183,MATCH(SMALL($V$4:$V$3183,292),$V$4:$V$3183,0)),"")</f>
        <v/>
      </c>
      <c r="E295" s="29">
        <f>IFERROR(INDEX($R$4:$R$3183,MATCH(SMALL($V$4:$V$3183,292),$V$4:$V$3183,0)),"")</f>
        <v/>
      </c>
      <c r="F295">
        <f>IFERROR(INDEX($S$4:$S$3183,MATCH(SMALL($V$4:$V$3183,292),$V$4:$V$3183,0)),"")</f>
        <v/>
      </c>
      <c r="I295" s="29">
        <f>IF($B295="","",IFERROR(INDEX($U$4:$U$3183,MATCH(SMALL($V$4:$V$3183,292),$V$4:$V$3183,0)),""))</f>
        <v/>
      </c>
      <c r="J295">
        <f>IF($B295="","",IF($D295&gt;$F$2,"À venir",IF($E295&lt;$D$2,"Passé","Dans la période")))</f>
        <v/>
      </c>
      <c r="K295">
        <f>IF(OR($B295="",NOT(ISNUMBER($D295))),"",IF(AND($E295&lt;$D$2,$G295&lt;&gt;"X",$F295&lt;&gt;"Réalisé",$F295&lt;&gt;"Clôturé"),"RETARD",""))</f>
        <v/>
      </c>
      <c r="L295">
        <f>IF(OR($B295="",NOT(ISNUMBER($D295))),"",IF(AND($D295&gt;=$D$2,$D295&lt;=$H$2,$G295&lt;&gt;"X",$F295&lt;&gt;"Réalisé",$F295&lt;&gt;"Clôturé"),"≤ 7 j",""))</f>
        <v/>
      </c>
      <c r="M295" s="29">
        <f>IF($B295="","",IFERROR(INDEX($T$4:$T$3183,MATCH(SMALL($V$4:$V$3183,292),$V$4:$V$3183,0)),""))</f>
        <v/>
      </c>
      <c r="O295">
        <f>IF(INDEX(Suivi!$B:$B,301)="","",INDEX(Suivi!$B:$B,301))</f>
        <v/>
      </c>
      <c r="P295">
        <f>IF($O295="","",IF(INDEX(Suivi!$D:$D,301)="",INDEX(Suivi!$C:$C,301),INDEX(Suivi!$D:$D,301)))</f>
        <v/>
      </c>
      <c r="Q295">
        <f>IF($O295="","",INDEX(Suivi!$E:$E,301))</f>
        <v/>
      </c>
      <c r="R295">
        <f>IF($O295="","",INDEX(Suivi!$F:$F,301))</f>
        <v/>
      </c>
      <c r="S295">
        <f>IF($O295="","",INDEX(Suivi!$G:$G,301))</f>
        <v/>
      </c>
      <c r="T295">
        <f>IF($O295="","",IF(INDEX(Dossiers!$F$4:$F$63,6)="","",INDEX(Dossiers!$F$4:$F$63,6)))</f>
        <v/>
      </c>
      <c r="U295">
        <f>IF($O295="","",IF(INDEX(Dossiers!$G$4:$G$63,6)="","",INDEX(Dossiers!$G$4:$G$63,6)))</f>
        <v/>
      </c>
      <c r="V295">
        <f>IF(OR($O295="",NOT(ISNUMBER($Q295))),"",$Q295*1000000+295)</f>
        <v/>
      </c>
      <c r="W295" s="29">
        <f>IF($B295="","",IFERROR(INDEX($U$4:$U$3183,MATCH(SMALL($V$4:$V$3183,292),$V$4:$V$3183,0)),""))</f>
        <v/>
      </c>
    </row>
    <row r="296">
      <c r="A296">
        <f>IFERROR(INDEX($N$4:$N$3183,MATCH(SMALL($V$4:$V$3183,293),$V$4:$V$3183,0)),"")</f>
        <v/>
      </c>
      <c r="B296">
        <f>IFERROR(INDEX($O$4:$O$3183,MATCH(SMALL($V$4:$V$3183,293),$V$4:$V$3183,0)),"")</f>
        <v/>
      </c>
      <c r="C296">
        <f>IFERROR(INDEX($P$4:$P$3183,MATCH(SMALL($V$4:$V$3183,293),$V$4:$V$3183,0)),"")</f>
        <v/>
      </c>
      <c r="D296" s="29">
        <f>IFERROR(INDEX($Q$4:$Q$3183,MATCH(SMALL($V$4:$V$3183,293),$V$4:$V$3183,0)),"")</f>
        <v/>
      </c>
      <c r="E296" s="29">
        <f>IFERROR(INDEX($R$4:$R$3183,MATCH(SMALL($V$4:$V$3183,293),$V$4:$V$3183,0)),"")</f>
        <v/>
      </c>
      <c r="F296">
        <f>IFERROR(INDEX($S$4:$S$3183,MATCH(SMALL($V$4:$V$3183,293),$V$4:$V$3183,0)),"")</f>
        <v/>
      </c>
      <c r="I296" s="29">
        <f>IF($B296="","",IFERROR(INDEX($U$4:$U$3183,MATCH(SMALL($V$4:$V$3183,293),$V$4:$V$3183,0)),""))</f>
        <v/>
      </c>
      <c r="J296">
        <f>IF($B296="","",IF($D296&gt;$F$2,"À venir",IF($E296&lt;$D$2,"Passé","Dans la période")))</f>
        <v/>
      </c>
      <c r="K296">
        <f>IF(OR($B296="",NOT(ISNUMBER($D296))),"",IF(AND($E296&lt;$D$2,$G296&lt;&gt;"X",$F296&lt;&gt;"Réalisé",$F296&lt;&gt;"Clôturé"),"RETARD",""))</f>
        <v/>
      </c>
      <c r="L296">
        <f>IF(OR($B296="",NOT(ISNUMBER($D296))),"",IF(AND($D296&gt;=$D$2,$D296&lt;=$H$2,$G296&lt;&gt;"X",$F296&lt;&gt;"Réalisé",$F296&lt;&gt;"Clôturé"),"≤ 7 j",""))</f>
        <v/>
      </c>
      <c r="M296" s="29">
        <f>IF($B296="","",IFERROR(INDEX($T$4:$T$3183,MATCH(SMALL($V$4:$V$3183,293),$V$4:$V$3183,0)),""))</f>
        <v/>
      </c>
      <c r="O296">
        <f>IF(INDEX(Suivi!$B:$B,302)="","",INDEX(Suivi!$B:$B,302))</f>
        <v/>
      </c>
      <c r="P296">
        <f>IF($O296="","",IF(INDEX(Suivi!$D:$D,302)="",INDEX(Suivi!$C:$C,302),INDEX(Suivi!$D:$D,302)))</f>
        <v/>
      </c>
      <c r="Q296">
        <f>IF($O296="","",INDEX(Suivi!$E:$E,302))</f>
        <v/>
      </c>
      <c r="R296">
        <f>IF($O296="","",INDEX(Suivi!$F:$F,302))</f>
        <v/>
      </c>
      <c r="S296">
        <f>IF($O296="","",INDEX(Suivi!$G:$G,302))</f>
        <v/>
      </c>
      <c r="T296">
        <f>IF($O296="","",IF(INDEX(Dossiers!$F$4:$F$63,6)="","",INDEX(Dossiers!$F$4:$F$63,6)))</f>
        <v/>
      </c>
      <c r="U296">
        <f>IF($O296="","",IF(INDEX(Dossiers!$G$4:$G$63,6)="","",INDEX(Dossiers!$G$4:$G$63,6)))</f>
        <v/>
      </c>
      <c r="V296">
        <f>IF(OR($O296="",NOT(ISNUMBER($Q296))),"",$Q296*1000000+296)</f>
        <v/>
      </c>
      <c r="W296" s="29">
        <f>IF($B296="","",IFERROR(INDEX($U$4:$U$3183,MATCH(SMALL($V$4:$V$3183,293),$V$4:$V$3183,0)),""))</f>
        <v/>
      </c>
    </row>
    <row r="297">
      <c r="A297">
        <f>IFERROR(INDEX($N$4:$N$3183,MATCH(SMALL($V$4:$V$3183,294),$V$4:$V$3183,0)),"")</f>
        <v/>
      </c>
      <c r="B297">
        <f>IFERROR(INDEX($O$4:$O$3183,MATCH(SMALL($V$4:$V$3183,294),$V$4:$V$3183,0)),"")</f>
        <v/>
      </c>
      <c r="C297">
        <f>IFERROR(INDEX($P$4:$P$3183,MATCH(SMALL($V$4:$V$3183,294),$V$4:$V$3183,0)),"")</f>
        <v/>
      </c>
      <c r="D297" s="29">
        <f>IFERROR(INDEX($Q$4:$Q$3183,MATCH(SMALL($V$4:$V$3183,294),$V$4:$V$3183,0)),"")</f>
        <v/>
      </c>
      <c r="E297" s="29">
        <f>IFERROR(INDEX($R$4:$R$3183,MATCH(SMALL($V$4:$V$3183,294),$V$4:$V$3183,0)),"")</f>
        <v/>
      </c>
      <c r="F297">
        <f>IFERROR(INDEX($S$4:$S$3183,MATCH(SMALL($V$4:$V$3183,294),$V$4:$V$3183,0)),"")</f>
        <v/>
      </c>
      <c r="I297" s="29">
        <f>IF($B297="","",IFERROR(INDEX($U$4:$U$3183,MATCH(SMALL($V$4:$V$3183,294),$V$4:$V$3183,0)),""))</f>
        <v/>
      </c>
      <c r="J297">
        <f>IF($B297="","",IF($D297&gt;$F$2,"À venir",IF($E297&lt;$D$2,"Passé","Dans la période")))</f>
        <v/>
      </c>
      <c r="K297">
        <f>IF(OR($B297="",NOT(ISNUMBER($D297))),"",IF(AND($E297&lt;$D$2,$G297&lt;&gt;"X",$F297&lt;&gt;"Réalisé",$F297&lt;&gt;"Clôturé"),"RETARD",""))</f>
        <v/>
      </c>
      <c r="L297">
        <f>IF(OR($B297="",NOT(ISNUMBER($D297))),"",IF(AND($D297&gt;=$D$2,$D297&lt;=$H$2,$G297&lt;&gt;"X",$F297&lt;&gt;"Réalisé",$F297&lt;&gt;"Clôturé"),"≤ 7 j",""))</f>
        <v/>
      </c>
      <c r="M297" s="29">
        <f>IF($B297="","",IFERROR(INDEX($T$4:$T$3183,MATCH(SMALL($V$4:$V$3183,294),$V$4:$V$3183,0)),""))</f>
        <v/>
      </c>
      <c r="O297">
        <f>IF(INDEX(Suivi!$B:$B,303)="","",INDEX(Suivi!$B:$B,303))</f>
        <v/>
      </c>
      <c r="P297">
        <f>IF($O297="","",IF(INDEX(Suivi!$D:$D,303)="",INDEX(Suivi!$C:$C,303),INDEX(Suivi!$D:$D,303)))</f>
        <v/>
      </c>
      <c r="Q297">
        <f>IF($O297="","",INDEX(Suivi!$E:$E,303))</f>
        <v/>
      </c>
      <c r="R297">
        <f>IF($O297="","",INDEX(Suivi!$F:$F,303))</f>
        <v/>
      </c>
      <c r="S297">
        <f>IF($O297="","",INDEX(Suivi!$G:$G,303))</f>
        <v/>
      </c>
      <c r="T297">
        <f>IF($O297="","",IF(INDEX(Dossiers!$F$4:$F$63,6)="","",INDEX(Dossiers!$F$4:$F$63,6)))</f>
        <v/>
      </c>
      <c r="U297">
        <f>IF($O297="","",IF(INDEX(Dossiers!$G$4:$G$63,6)="","",INDEX(Dossiers!$G$4:$G$63,6)))</f>
        <v/>
      </c>
      <c r="V297">
        <f>IF(OR($O297="",NOT(ISNUMBER($Q297))),"",$Q297*1000000+297)</f>
        <v/>
      </c>
      <c r="W297" s="29">
        <f>IF($B297="","",IFERROR(INDEX($U$4:$U$3183,MATCH(SMALL($V$4:$V$3183,294),$V$4:$V$3183,0)),""))</f>
        <v/>
      </c>
    </row>
    <row r="298">
      <c r="A298">
        <f>IFERROR(INDEX($N$4:$N$3183,MATCH(SMALL($V$4:$V$3183,295),$V$4:$V$3183,0)),"")</f>
        <v/>
      </c>
      <c r="B298">
        <f>IFERROR(INDEX($O$4:$O$3183,MATCH(SMALL($V$4:$V$3183,295),$V$4:$V$3183,0)),"")</f>
        <v/>
      </c>
      <c r="C298">
        <f>IFERROR(INDEX($P$4:$P$3183,MATCH(SMALL($V$4:$V$3183,295),$V$4:$V$3183,0)),"")</f>
        <v/>
      </c>
      <c r="D298" s="29">
        <f>IFERROR(INDEX($Q$4:$Q$3183,MATCH(SMALL($V$4:$V$3183,295),$V$4:$V$3183,0)),"")</f>
        <v/>
      </c>
      <c r="E298" s="29">
        <f>IFERROR(INDEX($R$4:$R$3183,MATCH(SMALL($V$4:$V$3183,295),$V$4:$V$3183,0)),"")</f>
        <v/>
      </c>
      <c r="F298">
        <f>IFERROR(INDEX($S$4:$S$3183,MATCH(SMALL($V$4:$V$3183,295),$V$4:$V$3183,0)),"")</f>
        <v/>
      </c>
      <c r="I298" s="29">
        <f>IF($B298="","",IFERROR(INDEX($U$4:$U$3183,MATCH(SMALL($V$4:$V$3183,295),$V$4:$V$3183,0)),""))</f>
        <v/>
      </c>
      <c r="J298">
        <f>IF($B298="","",IF($D298&gt;$F$2,"À venir",IF($E298&lt;$D$2,"Passé","Dans la période")))</f>
        <v/>
      </c>
      <c r="K298">
        <f>IF(OR($B298="",NOT(ISNUMBER($D298))),"",IF(AND($E298&lt;$D$2,$G298&lt;&gt;"X",$F298&lt;&gt;"Réalisé",$F298&lt;&gt;"Clôturé"),"RETARD",""))</f>
        <v/>
      </c>
      <c r="L298">
        <f>IF(OR($B298="",NOT(ISNUMBER($D298))),"",IF(AND($D298&gt;=$D$2,$D298&lt;=$H$2,$G298&lt;&gt;"X",$F298&lt;&gt;"Réalisé",$F298&lt;&gt;"Clôturé"),"≤ 7 j",""))</f>
        <v/>
      </c>
      <c r="M298" s="29">
        <f>IF($B298="","",IFERROR(INDEX($T$4:$T$3183,MATCH(SMALL($V$4:$V$3183,295),$V$4:$V$3183,0)),""))</f>
        <v/>
      </c>
      <c r="O298">
        <f>IF(INDEX(Suivi!$B:$B,304)="","",INDEX(Suivi!$B:$B,304))</f>
        <v/>
      </c>
      <c r="P298">
        <f>IF($O298="","",IF(INDEX(Suivi!$D:$D,304)="",INDEX(Suivi!$C:$C,304),INDEX(Suivi!$D:$D,304)))</f>
        <v/>
      </c>
      <c r="Q298">
        <f>IF($O298="","",INDEX(Suivi!$E:$E,304))</f>
        <v/>
      </c>
      <c r="R298">
        <f>IF($O298="","",INDEX(Suivi!$F:$F,304))</f>
        <v/>
      </c>
      <c r="S298">
        <f>IF($O298="","",INDEX(Suivi!$G:$G,304))</f>
        <v/>
      </c>
      <c r="T298">
        <f>IF($O298="","",IF(INDEX(Dossiers!$F$4:$F$63,6)="","",INDEX(Dossiers!$F$4:$F$63,6)))</f>
        <v/>
      </c>
      <c r="U298">
        <f>IF($O298="","",IF(INDEX(Dossiers!$G$4:$G$63,6)="","",INDEX(Dossiers!$G$4:$G$63,6)))</f>
        <v/>
      </c>
      <c r="V298">
        <f>IF(OR($O298="",NOT(ISNUMBER($Q298))),"",$Q298*1000000+298)</f>
        <v/>
      </c>
      <c r="W298" s="29">
        <f>IF($B298="","",IFERROR(INDEX($U$4:$U$3183,MATCH(SMALL($V$4:$V$3183,295),$V$4:$V$3183,0)),""))</f>
        <v/>
      </c>
    </row>
    <row r="299">
      <c r="A299">
        <f>IFERROR(INDEX($N$4:$N$3183,MATCH(SMALL($V$4:$V$3183,296),$V$4:$V$3183,0)),"")</f>
        <v/>
      </c>
      <c r="B299">
        <f>IFERROR(INDEX($O$4:$O$3183,MATCH(SMALL($V$4:$V$3183,296),$V$4:$V$3183,0)),"")</f>
        <v/>
      </c>
      <c r="C299">
        <f>IFERROR(INDEX($P$4:$P$3183,MATCH(SMALL($V$4:$V$3183,296),$V$4:$V$3183,0)),"")</f>
        <v/>
      </c>
      <c r="D299" s="29">
        <f>IFERROR(INDEX($Q$4:$Q$3183,MATCH(SMALL($V$4:$V$3183,296),$V$4:$V$3183,0)),"")</f>
        <v/>
      </c>
      <c r="E299" s="29">
        <f>IFERROR(INDEX($R$4:$R$3183,MATCH(SMALL($V$4:$V$3183,296),$V$4:$V$3183,0)),"")</f>
        <v/>
      </c>
      <c r="F299">
        <f>IFERROR(INDEX($S$4:$S$3183,MATCH(SMALL($V$4:$V$3183,296),$V$4:$V$3183,0)),"")</f>
        <v/>
      </c>
      <c r="I299" s="29">
        <f>IF($B299="","",IFERROR(INDEX($U$4:$U$3183,MATCH(SMALL($V$4:$V$3183,296),$V$4:$V$3183,0)),""))</f>
        <v/>
      </c>
      <c r="J299">
        <f>IF($B299="","",IF($D299&gt;$F$2,"À venir",IF($E299&lt;$D$2,"Passé","Dans la période")))</f>
        <v/>
      </c>
      <c r="K299">
        <f>IF(OR($B299="",NOT(ISNUMBER($D299))),"",IF(AND($E299&lt;$D$2,$G299&lt;&gt;"X",$F299&lt;&gt;"Réalisé",$F299&lt;&gt;"Clôturé"),"RETARD",""))</f>
        <v/>
      </c>
      <c r="L299">
        <f>IF(OR($B299="",NOT(ISNUMBER($D299))),"",IF(AND($D299&gt;=$D$2,$D299&lt;=$H$2,$G299&lt;&gt;"X",$F299&lt;&gt;"Réalisé",$F299&lt;&gt;"Clôturé"),"≤ 7 j",""))</f>
        <v/>
      </c>
      <c r="M299" s="29">
        <f>IF($B299="","",IFERROR(INDEX($T$4:$T$3183,MATCH(SMALL($V$4:$V$3183,296),$V$4:$V$3183,0)),""))</f>
        <v/>
      </c>
      <c r="O299">
        <f>IF(INDEX(Suivi!$B:$B,305)="","",INDEX(Suivi!$B:$B,305))</f>
        <v/>
      </c>
      <c r="P299">
        <f>IF($O299="","",IF(INDEX(Suivi!$D:$D,305)="",INDEX(Suivi!$C:$C,305),INDEX(Suivi!$D:$D,305)))</f>
        <v/>
      </c>
      <c r="Q299">
        <f>IF($O299="","",INDEX(Suivi!$E:$E,305))</f>
        <v/>
      </c>
      <c r="R299">
        <f>IF($O299="","",INDEX(Suivi!$F:$F,305))</f>
        <v/>
      </c>
      <c r="S299">
        <f>IF($O299="","",INDEX(Suivi!$G:$G,305))</f>
        <v/>
      </c>
      <c r="T299">
        <f>IF($O299="","",IF(INDEX(Dossiers!$F$4:$F$63,6)="","",INDEX(Dossiers!$F$4:$F$63,6)))</f>
        <v/>
      </c>
      <c r="U299">
        <f>IF($O299="","",IF(INDEX(Dossiers!$G$4:$G$63,6)="","",INDEX(Dossiers!$G$4:$G$63,6)))</f>
        <v/>
      </c>
      <c r="V299">
        <f>IF(OR($O299="",NOT(ISNUMBER($Q299))),"",$Q299*1000000+299)</f>
        <v/>
      </c>
      <c r="W299" s="29">
        <f>IF($B299="","",IFERROR(INDEX($U$4:$U$3183,MATCH(SMALL($V$4:$V$3183,296),$V$4:$V$3183,0)),""))</f>
        <v/>
      </c>
    </row>
    <row r="300">
      <c r="A300">
        <f>IFERROR(INDEX($N$4:$N$3183,MATCH(SMALL($V$4:$V$3183,297),$V$4:$V$3183,0)),"")</f>
        <v/>
      </c>
      <c r="B300">
        <f>IFERROR(INDEX($O$4:$O$3183,MATCH(SMALL($V$4:$V$3183,297),$V$4:$V$3183,0)),"")</f>
        <v/>
      </c>
      <c r="C300">
        <f>IFERROR(INDEX($P$4:$P$3183,MATCH(SMALL($V$4:$V$3183,297),$V$4:$V$3183,0)),"")</f>
        <v/>
      </c>
      <c r="D300" s="29">
        <f>IFERROR(INDEX($Q$4:$Q$3183,MATCH(SMALL($V$4:$V$3183,297),$V$4:$V$3183,0)),"")</f>
        <v/>
      </c>
      <c r="E300" s="29">
        <f>IFERROR(INDEX($R$4:$R$3183,MATCH(SMALL($V$4:$V$3183,297),$V$4:$V$3183,0)),"")</f>
        <v/>
      </c>
      <c r="F300">
        <f>IFERROR(INDEX($S$4:$S$3183,MATCH(SMALL($V$4:$V$3183,297),$V$4:$V$3183,0)),"")</f>
        <v/>
      </c>
      <c r="I300" s="29">
        <f>IF($B300="","",IFERROR(INDEX($U$4:$U$3183,MATCH(SMALL($V$4:$V$3183,297),$V$4:$V$3183,0)),""))</f>
        <v/>
      </c>
      <c r="J300">
        <f>IF($B300="","",IF($D300&gt;$F$2,"À venir",IF($E300&lt;$D$2,"Passé","Dans la période")))</f>
        <v/>
      </c>
      <c r="K300">
        <f>IF(OR($B300="",NOT(ISNUMBER($D300))),"",IF(AND($E300&lt;$D$2,$G300&lt;&gt;"X",$F300&lt;&gt;"Réalisé",$F300&lt;&gt;"Clôturé"),"RETARD",""))</f>
        <v/>
      </c>
      <c r="L300">
        <f>IF(OR($B300="",NOT(ISNUMBER($D300))),"",IF(AND($D300&gt;=$D$2,$D300&lt;=$H$2,$G300&lt;&gt;"X",$F300&lt;&gt;"Réalisé",$F300&lt;&gt;"Clôturé"),"≤ 7 j",""))</f>
        <v/>
      </c>
      <c r="M300" s="29">
        <f>IF($B300="","",IFERROR(INDEX($T$4:$T$3183,MATCH(SMALL($V$4:$V$3183,297),$V$4:$V$3183,0)),""))</f>
        <v/>
      </c>
      <c r="O300">
        <f>IF(INDEX(Suivi!$B:$B,306)="","",INDEX(Suivi!$B:$B,306))</f>
        <v/>
      </c>
      <c r="P300">
        <f>IF($O300="","",IF(INDEX(Suivi!$D:$D,306)="",INDEX(Suivi!$C:$C,306),INDEX(Suivi!$D:$D,306)))</f>
        <v/>
      </c>
      <c r="Q300">
        <f>IF($O300="","",INDEX(Suivi!$E:$E,306))</f>
        <v/>
      </c>
      <c r="R300">
        <f>IF($O300="","",INDEX(Suivi!$F:$F,306))</f>
        <v/>
      </c>
      <c r="S300">
        <f>IF($O300="","",INDEX(Suivi!$G:$G,306))</f>
        <v/>
      </c>
      <c r="T300">
        <f>IF($O300="","",IF(INDEX(Dossiers!$F$4:$F$63,6)="","",INDEX(Dossiers!$F$4:$F$63,6)))</f>
        <v/>
      </c>
      <c r="U300">
        <f>IF($O300="","",IF(INDEX(Dossiers!$G$4:$G$63,6)="","",INDEX(Dossiers!$G$4:$G$63,6)))</f>
        <v/>
      </c>
      <c r="V300">
        <f>IF(OR($O300="",NOT(ISNUMBER($Q300))),"",$Q300*1000000+300)</f>
        <v/>
      </c>
      <c r="W300" s="29">
        <f>IF($B300="","",IFERROR(INDEX($U$4:$U$3183,MATCH(SMALL($V$4:$V$3183,297),$V$4:$V$3183,0)),""))</f>
        <v/>
      </c>
    </row>
    <row r="301">
      <c r="A301">
        <f>IFERROR(INDEX($N$4:$N$3183,MATCH(SMALL($V$4:$V$3183,298),$V$4:$V$3183,0)),"")</f>
        <v/>
      </c>
      <c r="B301">
        <f>IFERROR(INDEX($O$4:$O$3183,MATCH(SMALL($V$4:$V$3183,298),$V$4:$V$3183,0)),"")</f>
        <v/>
      </c>
      <c r="C301">
        <f>IFERROR(INDEX($P$4:$P$3183,MATCH(SMALL($V$4:$V$3183,298),$V$4:$V$3183,0)),"")</f>
        <v/>
      </c>
      <c r="D301" s="29">
        <f>IFERROR(INDEX($Q$4:$Q$3183,MATCH(SMALL($V$4:$V$3183,298),$V$4:$V$3183,0)),"")</f>
        <v/>
      </c>
      <c r="E301" s="29">
        <f>IFERROR(INDEX($R$4:$R$3183,MATCH(SMALL($V$4:$V$3183,298),$V$4:$V$3183,0)),"")</f>
        <v/>
      </c>
      <c r="F301">
        <f>IFERROR(INDEX($S$4:$S$3183,MATCH(SMALL($V$4:$V$3183,298),$V$4:$V$3183,0)),"")</f>
        <v/>
      </c>
      <c r="I301" s="29">
        <f>IF($B301="","",IFERROR(INDEX($U$4:$U$3183,MATCH(SMALL($V$4:$V$3183,298),$V$4:$V$3183,0)),""))</f>
        <v/>
      </c>
      <c r="J301">
        <f>IF($B301="","",IF($D301&gt;$F$2,"À venir",IF($E301&lt;$D$2,"Passé","Dans la période")))</f>
        <v/>
      </c>
      <c r="K301">
        <f>IF(OR($B301="",NOT(ISNUMBER($D301))),"",IF(AND($E301&lt;$D$2,$G301&lt;&gt;"X",$F301&lt;&gt;"Réalisé",$F301&lt;&gt;"Clôturé"),"RETARD",""))</f>
        <v/>
      </c>
      <c r="L301">
        <f>IF(OR($B301="",NOT(ISNUMBER($D301))),"",IF(AND($D301&gt;=$D$2,$D301&lt;=$H$2,$G301&lt;&gt;"X",$F301&lt;&gt;"Réalisé",$F301&lt;&gt;"Clôturé"),"≤ 7 j",""))</f>
        <v/>
      </c>
      <c r="M301" s="29">
        <f>IF($B301="","",IFERROR(INDEX($T$4:$T$3183,MATCH(SMALL($V$4:$V$3183,298),$V$4:$V$3183,0)),""))</f>
        <v/>
      </c>
      <c r="O301">
        <f>IF(INDEX(Suivi!$B:$B,307)="","",INDEX(Suivi!$B:$B,307))</f>
        <v/>
      </c>
      <c r="P301">
        <f>IF($O301="","",IF(INDEX(Suivi!$D:$D,307)="",INDEX(Suivi!$C:$C,307),INDEX(Suivi!$D:$D,307)))</f>
        <v/>
      </c>
      <c r="Q301">
        <f>IF($O301="","",INDEX(Suivi!$E:$E,307))</f>
        <v/>
      </c>
      <c r="R301">
        <f>IF($O301="","",INDEX(Suivi!$F:$F,307))</f>
        <v/>
      </c>
      <c r="S301">
        <f>IF($O301="","",INDEX(Suivi!$G:$G,307))</f>
        <v/>
      </c>
      <c r="T301">
        <f>IF($O301="","",IF(INDEX(Dossiers!$F$4:$F$63,6)="","",INDEX(Dossiers!$F$4:$F$63,6)))</f>
        <v/>
      </c>
      <c r="U301">
        <f>IF($O301="","",IF(INDEX(Dossiers!$G$4:$G$63,6)="","",INDEX(Dossiers!$G$4:$G$63,6)))</f>
        <v/>
      </c>
      <c r="V301">
        <f>IF(OR($O301="",NOT(ISNUMBER($Q301))),"",$Q301*1000000+301)</f>
        <v/>
      </c>
      <c r="W301" s="29">
        <f>IF($B301="","",IFERROR(INDEX($U$4:$U$3183,MATCH(SMALL($V$4:$V$3183,298),$V$4:$V$3183,0)),""))</f>
        <v/>
      </c>
    </row>
    <row r="302">
      <c r="A302">
        <f>IFERROR(INDEX($N$4:$N$3183,MATCH(SMALL($V$4:$V$3183,299),$V$4:$V$3183,0)),"")</f>
        <v/>
      </c>
      <c r="B302">
        <f>IFERROR(INDEX($O$4:$O$3183,MATCH(SMALL($V$4:$V$3183,299),$V$4:$V$3183,0)),"")</f>
        <v/>
      </c>
      <c r="C302">
        <f>IFERROR(INDEX($P$4:$P$3183,MATCH(SMALL($V$4:$V$3183,299),$V$4:$V$3183,0)),"")</f>
        <v/>
      </c>
      <c r="D302" s="29">
        <f>IFERROR(INDEX($Q$4:$Q$3183,MATCH(SMALL($V$4:$V$3183,299),$V$4:$V$3183,0)),"")</f>
        <v/>
      </c>
      <c r="E302" s="29">
        <f>IFERROR(INDEX($R$4:$R$3183,MATCH(SMALL($V$4:$V$3183,299),$V$4:$V$3183,0)),"")</f>
        <v/>
      </c>
      <c r="F302">
        <f>IFERROR(INDEX($S$4:$S$3183,MATCH(SMALL($V$4:$V$3183,299),$V$4:$V$3183,0)),"")</f>
        <v/>
      </c>
      <c r="I302" s="29">
        <f>IF($B302="","",IFERROR(INDEX($U$4:$U$3183,MATCH(SMALL($V$4:$V$3183,299),$V$4:$V$3183,0)),""))</f>
        <v/>
      </c>
      <c r="J302">
        <f>IF($B302="","",IF($D302&gt;$F$2,"À venir",IF($E302&lt;$D$2,"Passé","Dans la période")))</f>
        <v/>
      </c>
      <c r="K302">
        <f>IF(OR($B302="",NOT(ISNUMBER($D302))),"",IF(AND($E302&lt;$D$2,$G302&lt;&gt;"X",$F302&lt;&gt;"Réalisé",$F302&lt;&gt;"Clôturé"),"RETARD",""))</f>
        <v/>
      </c>
      <c r="L302">
        <f>IF(OR($B302="",NOT(ISNUMBER($D302))),"",IF(AND($D302&gt;=$D$2,$D302&lt;=$H$2,$G302&lt;&gt;"X",$F302&lt;&gt;"Réalisé",$F302&lt;&gt;"Clôturé"),"≤ 7 j",""))</f>
        <v/>
      </c>
      <c r="M302" s="29">
        <f>IF($B302="","",IFERROR(INDEX($T$4:$T$3183,MATCH(SMALL($V$4:$V$3183,299),$V$4:$V$3183,0)),""))</f>
        <v/>
      </c>
      <c r="O302">
        <f>IF(INDEX(Suivi!$B:$B,308)="","",INDEX(Suivi!$B:$B,308))</f>
        <v/>
      </c>
      <c r="P302">
        <f>IF($O302="","",IF(INDEX(Suivi!$D:$D,308)="",INDEX(Suivi!$C:$C,308),INDEX(Suivi!$D:$D,308)))</f>
        <v/>
      </c>
      <c r="Q302">
        <f>IF($O302="","",INDEX(Suivi!$E:$E,308))</f>
        <v/>
      </c>
      <c r="R302">
        <f>IF($O302="","",INDEX(Suivi!$F:$F,308))</f>
        <v/>
      </c>
      <c r="S302">
        <f>IF($O302="","",INDEX(Suivi!$G:$G,308))</f>
        <v/>
      </c>
      <c r="T302">
        <f>IF($O302="","",IF(INDEX(Dossiers!$F$4:$F$63,6)="","",INDEX(Dossiers!$F$4:$F$63,6)))</f>
        <v/>
      </c>
      <c r="U302">
        <f>IF($O302="","",IF(INDEX(Dossiers!$G$4:$G$63,6)="","",INDEX(Dossiers!$G$4:$G$63,6)))</f>
        <v/>
      </c>
      <c r="V302">
        <f>IF(OR($O302="",NOT(ISNUMBER($Q302))),"",$Q302*1000000+302)</f>
        <v/>
      </c>
      <c r="W302" s="29">
        <f>IF($B302="","",IFERROR(INDEX($U$4:$U$3183,MATCH(SMALL($V$4:$V$3183,299),$V$4:$V$3183,0)),""))</f>
        <v/>
      </c>
    </row>
    <row r="303">
      <c r="A303">
        <f>IFERROR(INDEX($N$4:$N$3183,MATCH(SMALL($V$4:$V$3183,300),$V$4:$V$3183,0)),"")</f>
        <v/>
      </c>
      <c r="B303">
        <f>IFERROR(INDEX($O$4:$O$3183,MATCH(SMALL($V$4:$V$3183,300),$V$4:$V$3183,0)),"")</f>
        <v/>
      </c>
      <c r="C303">
        <f>IFERROR(INDEX($P$4:$P$3183,MATCH(SMALL($V$4:$V$3183,300),$V$4:$V$3183,0)),"")</f>
        <v/>
      </c>
      <c r="D303" s="29">
        <f>IFERROR(INDEX($Q$4:$Q$3183,MATCH(SMALL($V$4:$V$3183,300),$V$4:$V$3183,0)),"")</f>
        <v/>
      </c>
      <c r="E303" s="29">
        <f>IFERROR(INDEX($R$4:$R$3183,MATCH(SMALL($V$4:$V$3183,300),$V$4:$V$3183,0)),"")</f>
        <v/>
      </c>
      <c r="F303">
        <f>IFERROR(INDEX($S$4:$S$3183,MATCH(SMALL($V$4:$V$3183,300),$V$4:$V$3183,0)),"")</f>
        <v/>
      </c>
      <c r="I303" s="29">
        <f>IF($B303="","",IFERROR(INDEX($U$4:$U$3183,MATCH(SMALL($V$4:$V$3183,300),$V$4:$V$3183,0)),""))</f>
        <v/>
      </c>
      <c r="J303">
        <f>IF($B303="","",IF($D303&gt;$F$2,"À venir",IF($E303&lt;$D$2,"Passé","Dans la période")))</f>
        <v/>
      </c>
      <c r="K303">
        <f>IF(OR($B303="",NOT(ISNUMBER($D303))),"",IF(AND($E303&lt;$D$2,$G303&lt;&gt;"X",$F303&lt;&gt;"Réalisé",$F303&lt;&gt;"Clôturé"),"RETARD",""))</f>
        <v/>
      </c>
      <c r="L303">
        <f>IF(OR($B303="",NOT(ISNUMBER($D303))),"",IF(AND($D303&gt;=$D$2,$D303&lt;=$H$2,$G303&lt;&gt;"X",$F303&lt;&gt;"Réalisé",$F303&lt;&gt;"Clôturé"),"≤ 7 j",""))</f>
        <v/>
      </c>
      <c r="M303" s="29">
        <f>IF($B303="","",IFERROR(INDEX($T$4:$T$3183,MATCH(SMALL($V$4:$V$3183,300),$V$4:$V$3183,0)),""))</f>
        <v/>
      </c>
      <c r="O303">
        <f>IF(INDEX(Suivi!$B:$B,309)="","",INDEX(Suivi!$B:$B,309))</f>
        <v/>
      </c>
      <c r="P303">
        <f>IF($O303="","",IF(INDEX(Suivi!$D:$D,309)="",INDEX(Suivi!$C:$C,309),INDEX(Suivi!$D:$D,309)))</f>
        <v/>
      </c>
      <c r="Q303">
        <f>IF($O303="","",INDEX(Suivi!$E:$E,309))</f>
        <v/>
      </c>
      <c r="R303">
        <f>IF($O303="","",INDEX(Suivi!$F:$F,309))</f>
        <v/>
      </c>
      <c r="S303">
        <f>IF($O303="","",INDEX(Suivi!$G:$G,309))</f>
        <v/>
      </c>
      <c r="T303">
        <f>IF($O303="","",IF(INDEX(Dossiers!$F$4:$F$63,6)="","",INDEX(Dossiers!$F$4:$F$63,6)))</f>
        <v/>
      </c>
      <c r="U303">
        <f>IF($O303="","",IF(INDEX(Dossiers!$G$4:$G$63,6)="","",INDEX(Dossiers!$G$4:$G$63,6)))</f>
        <v/>
      </c>
      <c r="V303">
        <f>IF(OR($O303="",NOT(ISNUMBER($Q303))),"",$Q303*1000000+303)</f>
        <v/>
      </c>
      <c r="W303" s="29">
        <f>IF($B303="","",IFERROR(INDEX($U$4:$U$3183,MATCH(SMALL($V$4:$V$3183,300),$V$4:$V$3183,0)),""))</f>
        <v/>
      </c>
    </row>
    <row r="304">
      <c r="A304">
        <f>IFERROR(INDEX($N$4:$N$3183,MATCH(SMALL($V$4:$V$3183,301),$V$4:$V$3183,0)),"")</f>
        <v/>
      </c>
      <c r="B304">
        <f>IFERROR(INDEX($O$4:$O$3183,MATCH(SMALL($V$4:$V$3183,301),$V$4:$V$3183,0)),"")</f>
        <v/>
      </c>
      <c r="C304">
        <f>IFERROR(INDEX($P$4:$P$3183,MATCH(SMALL($V$4:$V$3183,301),$V$4:$V$3183,0)),"")</f>
        <v/>
      </c>
      <c r="D304" s="29">
        <f>IFERROR(INDEX($Q$4:$Q$3183,MATCH(SMALL($V$4:$V$3183,301),$V$4:$V$3183,0)),"")</f>
        <v/>
      </c>
      <c r="E304" s="29">
        <f>IFERROR(INDEX($R$4:$R$3183,MATCH(SMALL($V$4:$V$3183,301),$V$4:$V$3183,0)),"")</f>
        <v/>
      </c>
      <c r="F304">
        <f>IFERROR(INDEX($S$4:$S$3183,MATCH(SMALL($V$4:$V$3183,301),$V$4:$V$3183,0)),"")</f>
        <v/>
      </c>
      <c r="I304" s="29">
        <f>IF($B304="","",IFERROR(INDEX($U$4:$U$3183,MATCH(SMALL($V$4:$V$3183,301),$V$4:$V$3183,0)),""))</f>
        <v/>
      </c>
      <c r="J304">
        <f>IF($B304="","",IF($D304&gt;$F$2,"À venir",IF($E304&lt;$D$2,"Passé","Dans la période")))</f>
        <v/>
      </c>
      <c r="K304">
        <f>IF(OR($B304="",NOT(ISNUMBER($D304))),"",IF(AND($E304&lt;$D$2,$G304&lt;&gt;"X",$F304&lt;&gt;"Réalisé",$F304&lt;&gt;"Clôturé"),"RETARD",""))</f>
        <v/>
      </c>
      <c r="L304">
        <f>IF(OR($B304="",NOT(ISNUMBER($D304))),"",IF(AND($D304&gt;=$D$2,$D304&lt;=$H$2,$G304&lt;&gt;"X",$F304&lt;&gt;"Réalisé",$F304&lt;&gt;"Clôturé"),"≤ 7 j",""))</f>
        <v/>
      </c>
      <c r="M304" s="29">
        <f>IF($B304="","",IFERROR(INDEX($T$4:$T$3183,MATCH(SMALL($V$4:$V$3183,301),$V$4:$V$3183,0)),""))</f>
        <v/>
      </c>
      <c r="O304">
        <f>IF(INDEX(Suivi!$B:$B,310)="","",INDEX(Suivi!$B:$B,310))</f>
        <v/>
      </c>
      <c r="P304">
        <f>IF($O304="","",IF(INDEX(Suivi!$D:$D,310)="",INDEX(Suivi!$C:$C,310),INDEX(Suivi!$D:$D,310)))</f>
        <v/>
      </c>
      <c r="Q304">
        <f>IF($O304="","",INDEX(Suivi!$E:$E,310))</f>
        <v/>
      </c>
      <c r="R304">
        <f>IF($O304="","",INDEX(Suivi!$F:$F,310))</f>
        <v/>
      </c>
      <c r="S304">
        <f>IF($O304="","",INDEX(Suivi!$G:$G,310))</f>
        <v/>
      </c>
      <c r="T304">
        <f>IF($O304="","",IF(INDEX(Dossiers!$F$4:$F$63,6)="","",INDEX(Dossiers!$F$4:$F$63,6)))</f>
        <v/>
      </c>
      <c r="U304">
        <f>IF($O304="","",IF(INDEX(Dossiers!$G$4:$G$63,6)="","",INDEX(Dossiers!$G$4:$G$63,6)))</f>
        <v/>
      </c>
      <c r="V304">
        <f>IF(OR($O304="",NOT(ISNUMBER($Q304))),"",$Q304*1000000+304)</f>
        <v/>
      </c>
      <c r="W304" s="29">
        <f>IF($B304="","",IFERROR(INDEX($U$4:$U$3183,MATCH(SMALL($V$4:$V$3183,301),$V$4:$V$3183,0)),""))</f>
        <v/>
      </c>
    </row>
    <row r="305">
      <c r="A305">
        <f>IFERROR(INDEX($N$4:$N$3183,MATCH(SMALL($V$4:$V$3183,302),$V$4:$V$3183,0)),"")</f>
        <v/>
      </c>
      <c r="B305">
        <f>IFERROR(INDEX($O$4:$O$3183,MATCH(SMALL($V$4:$V$3183,302),$V$4:$V$3183,0)),"")</f>
        <v/>
      </c>
      <c r="C305">
        <f>IFERROR(INDEX($P$4:$P$3183,MATCH(SMALL($V$4:$V$3183,302),$V$4:$V$3183,0)),"")</f>
        <v/>
      </c>
      <c r="D305" s="29">
        <f>IFERROR(INDEX($Q$4:$Q$3183,MATCH(SMALL($V$4:$V$3183,302),$V$4:$V$3183,0)),"")</f>
        <v/>
      </c>
      <c r="E305" s="29">
        <f>IFERROR(INDEX($R$4:$R$3183,MATCH(SMALL($V$4:$V$3183,302),$V$4:$V$3183,0)),"")</f>
        <v/>
      </c>
      <c r="F305">
        <f>IFERROR(INDEX($S$4:$S$3183,MATCH(SMALL($V$4:$V$3183,302),$V$4:$V$3183,0)),"")</f>
        <v/>
      </c>
      <c r="I305" s="29">
        <f>IF($B305="","",IFERROR(INDEX($U$4:$U$3183,MATCH(SMALL($V$4:$V$3183,302),$V$4:$V$3183,0)),""))</f>
        <v/>
      </c>
      <c r="J305">
        <f>IF($B305="","",IF($D305&gt;$F$2,"À venir",IF($E305&lt;$D$2,"Passé","Dans la période")))</f>
        <v/>
      </c>
      <c r="K305">
        <f>IF(OR($B305="",NOT(ISNUMBER($D305))),"",IF(AND($E305&lt;$D$2,$G305&lt;&gt;"X",$F305&lt;&gt;"Réalisé",$F305&lt;&gt;"Clôturé"),"RETARD",""))</f>
        <v/>
      </c>
      <c r="L305">
        <f>IF(OR($B305="",NOT(ISNUMBER($D305))),"",IF(AND($D305&gt;=$D$2,$D305&lt;=$H$2,$G305&lt;&gt;"X",$F305&lt;&gt;"Réalisé",$F305&lt;&gt;"Clôturé"),"≤ 7 j",""))</f>
        <v/>
      </c>
      <c r="M305" s="29">
        <f>IF($B305="","",IFERROR(INDEX($T$4:$T$3183,MATCH(SMALL($V$4:$V$3183,302),$V$4:$V$3183,0)),""))</f>
        <v/>
      </c>
      <c r="O305">
        <f>IF(INDEX(Suivi!$B:$B,311)="","",INDEX(Suivi!$B:$B,311))</f>
        <v/>
      </c>
      <c r="P305">
        <f>IF($O305="","",IF(INDEX(Suivi!$D:$D,311)="",INDEX(Suivi!$C:$C,311),INDEX(Suivi!$D:$D,311)))</f>
        <v/>
      </c>
      <c r="Q305">
        <f>IF($O305="","",INDEX(Suivi!$E:$E,311))</f>
        <v/>
      </c>
      <c r="R305">
        <f>IF($O305="","",INDEX(Suivi!$F:$F,311))</f>
        <v/>
      </c>
      <c r="S305">
        <f>IF($O305="","",INDEX(Suivi!$G:$G,311))</f>
        <v/>
      </c>
      <c r="T305">
        <f>IF($O305="","",IF(INDEX(Dossiers!$F$4:$F$63,6)="","",INDEX(Dossiers!$F$4:$F$63,6)))</f>
        <v/>
      </c>
      <c r="U305">
        <f>IF($O305="","",IF(INDEX(Dossiers!$G$4:$G$63,6)="","",INDEX(Dossiers!$G$4:$G$63,6)))</f>
        <v/>
      </c>
      <c r="V305">
        <f>IF(OR($O305="",NOT(ISNUMBER($Q305))),"",$Q305*1000000+305)</f>
        <v/>
      </c>
      <c r="W305" s="29">
        <f>IF($B305="","",IFERROR(INDEX($U$4:$U$3183,MATCH(SMALL($V$4:$V$3183,302),$V$4:$V$3183,0)),""))</f>
        <v/>
      </c>
    </row>
    <row r="306">
      <c r="A306">
        <f>IFERROR(INDEX($N$4:$N$3183,MATCH(SMALL($V$4:$V$3183,303),$V$4:$V$3183,0)),"")</f>
        <v/>
      </c>
      <c r="B306">
        <f>IFERROR(INDEX($O$4:$O$3183,MATCH(SMALL($V$4:$V$3183,303),$V$4:$V$3183,0)),"")</f>
        <v/>
      </c>
      <c r="C306">
        <f>IFERROR(INDEX($P$4:$P$3183,MATCH(SMALL($V$4:$V$3183,303),$V$4:$V$3183,0)),"")</f>
        <v/>
      </c>
      <c r="D306" s="29">
        <f>IFERROR(INDEX($Q$4:$Q$3183,MATCH(SMALL($V$4:$V$3183,303),$V$4:$V$3183,0)),"")</f>
        <v/>
      </c>
      <c r="E306" s="29">
        <f>IFERROR(INDEX($R$4:$R$3183,MATCH(SMALL($V$4:$V$3183,303),$V$4:$V$3183,0)),"")</f>
        <v/>
      </c>
      <c r="F306">
        <f>IFERROR(INDEX($S$4:$S$3183,MATCH(SMALL($V$4:$V$3183,303),$V$4:$V$3183,0)),"")</f>
        <v/>
      </c>
      <c r="I306" s="29">
        <f>IF($B306="","",IFERROR(INDEX($U$4:$U$3183,MATCH(SMALL($V$4:$V$3183,303),$V$4:$V$3183,0)),""))</f>
        <v/>
      </c>
      <c r="J306">
        <f>IF($B306="","",IF($D306&gt;$F$2,"À venir",IF($E306&lt;$D$2,"Passé","Dans la période")))</f>
        <v/>
      </c>
      <c r="K306">
        <f>IF(OR($B306="",NOT(ISNUMBER($D306))),"",IF(AND($E306&lt;$D$2,$G306&lt;&gt;"X",$F306&lt;&gt;"Réalisé",$F306&lt;&gt;"Clôturé"),"RETARD",""))</f>
        <v/>
      </c>
      <c r="L306">
        <f>IF(OR($B306="",NOT(ISNUMBER($D306))),"",IF(AND($D306&gt;=$D$2,$D306&lt;=$H$2,$G306&lt;&gt;"X",$F306&lt;&gt;"Réalisé",$F306&lt;&gt;"Clôturé"),"≤ 7 j",""))</f>
        <v/>
      </c>
      <c r="M306" s="29">
        <f>IF($B306="","",IFERROR(INDEX($T$4:$T$3183,MATCH(SMALL($V$4:$V$3183,303),$V$4:$V$3183,0)),""))</f>
        <v/>
      </c>
      <c r="O306">
        <f>IF(INDEX(Suivi!$B:$B,312)="","",INDEX(Suivi!$B:$B,312))</f>
        <v/>
      </c>
      <c r="P306">
        <f>IF($O306="","",IF(INDEX(Suivi!$D:$D,312)="",INDEX(Suivi!$C:$C,312),INDEX(Suivi!$D:$D,312)))</f>
        <v/>
      </c>
      <c r="Q306">
        <f>IF($O306="","",INDEX(Suivi!$E:$E,312))</f>
        <v/>
      </c>
      <c r="R306">
        <f>IF($O306="","",INDEX(Suivi!$F:$F,312))</f>
        <v/>
      </c>
      <c r="S306">
        <f>IF($O306="","",INDEX(Suivi!$G:$G,312))</f>
        <v/>
      </c>
      <c r="T306">
        <f>IF($O306="","",IF(INDEX(Dossiers!$F$4:$F$63,6)="","",INDEX(Dossiers!$F$4:$F$63,6)))</f>
        <v/>
      </c>
      <c r="U306">
        <f>IF($O306="","",IF(INDEX(Dossiers!$G$4:$G$63,6)="","",INDEX(Dossiers!$G$4:$G$63,6)))</f>
        <v/>
      </c>
      <c r="V306">
        <f>IF(OR($O306="",NOT(ISNUMBER($Q306))),"",$Q306*1000000+306)</f>
        <v/>
      </c>
      <c r="W306" s="29">
        <f>IF($B306="","",IFERROR(INDEX($U$4:$U$3183,MATCH(SMALL($V$4:$V$3183,303),$V$4:$V$3183,0)),""))</f>
        <v/>
      </c>
    </row>
    <row r="307">
      <c r="A307">
        <f>IFERROR(INDEX($N$4:$N$3183,MATCH(SMALL($V$4:$V$3183,304),$V$4:$V$3183,0)),"")</f>
        <v/>
      </c>
      <c r="B307">
        <f>IFERROR(INDEX($O$4:$O$3183,MATCH(SMALL($V$4:$V$3183,304),$V$4:$V$3183,0)),"")</f>
        <v/>
      </c>
      <c r="C307">
        <f>IFERROR(INDEX($P$4:$P$3183,MATCH(SMALL($V$4:$V$3183,304),$V$4:$V$3183,0)),"")</f>
        <v/>
      </c>
      <c r="D307" s="29">
        <f>IFERROR(INDEX($Q$4:$Q$3183,MATCH(SMALL($V$4:$V$3183,304),$V$4:$V$3183,0)),"")</f>
        <v/>
      </c>
      <c r="E307" s="29">
        <f>IFERROR(INDEX($R$4:$R$3183,MATCH(SMALL($V$4:$V$3183,304),$V$4:$V$3183,0)),"")</f>
        <v/>
      </c>
      <c r="F307">
        <f>IFERROR(INDEX($S$4:$S$3183,MATCH(SMALL($V$4:$V$3183,304),$V$4:$V$3183,0)),"")</f>
        <v/>
      </c>
      <c r="I307" s="29">
        <f>IF($B307="","",IFERROR(INDEX($U$4:$U$3183,MATCH(SMALL($V$4:$V$3183,304),$V$4:$V$3183,0)),""))</f>
        <v/>
      </c>
      <c r="J307">
        <f>IF($B307="","",IF($D307&gt;$F$2,"À venir",IF($E307&lt;$D$2,"Passé","Dans la période")))</f>
        <v/>
      </c>
      <c r="K307">
        <f>IF(OR($B307="",NOT(ISNUMBER($D307))),"",IF(AND($E307&lt;$D$2,$G307&lt;&gt;"X",$F307&lt;&gt;"Réalisé",$F307&lt;&gt;"Clôturé"),"RETARD",""))</f>
        <v/>
      </c>
      <c r="L307">
        <f>IF(OR($B307="",NOT(ISNUMBER($D307))),"",IF(AND($D307&gt;=$D$2,$D307&lt;=$H$2,$G307&lt;&gt;"X",$F307&lt;&gt;"Réalisé",$F307&lt;&gt;"Clôturé"),"≤ 7 j",""))</f>
        <v/>
      </c>
      <c r="M307" s="29">
        <f>IF($B307="","",IFERROR(INDEX($T$4:$T$3183,MATCH(SMALL($V$4:$V$3183,304),$V$4:$V$3183,0)),""))</f>
        <v/>
      </c>
      <c r="O307">
        <f>IF(INDEX(Suivi!$B:$B,313)="","",INDEX(Suivi!$B:$B,313))</f>
        <v/>
      </c>
      <c r="P307">
        <f>IF($O307="","",IF(INDEX(Suivi!$D:$D,313)="",INDEX(Suivi!$C:$C,313),INDEX(Suivi!$D:$D,313)))</f>
        <v/>
      </c>
      <c r="Q307">
        <f>IF($O307="","",INDEX(Suivi!$E:$E,313))</f>
        <v/>
      </c>
      <c r="R307">
        <f>IF($O307="","",INDEX(Suivi!$F:$F,313))</f>
        <v/>
      </c>
      <c r="S307">
        <f>IF($O307="","",INDEX(Suivi!$G:$G,313))</f>
        <v/>
      </c>
      <c r="T307">
        <f>IF($O307="","",IF(INDEX(Dossiers!$F$4:$F$63,6)="","",INDEX(Dossiers!$F$4:$F$63,6)))</f>
        <v/>
      </c>
      <c r="U307">
        <f>IF($O307="","",IF(INDEX(Dossiers!$G$4:$G$63,6)="","",INDEX(Dossiers!$G$4:$G$63,6)))</f>
        <v/>
      </c>
      <c r="V307">
        <f>IF(OR($O307="",NOT(ISNUMBER($Q307))),"",$Q307*1000000+307)</f>
        <v/>
      </c>
      <c r="W307" s="29">
        <f>IF($B307="","",IFERROR(INDEX($U$4:$U$3183,MATCH(SMALL($V$4:$V$3183,304),$V$4:$V$3183,0)),""))</f>
        <v/>
      </c>
    </row>
    <row r="308">
      <c r="A308">
        <f>IFERROR(INDEX($N$4:$N$3183,MATCH(SMALL($V$4:$V$3183,305),$V$4:$V$3183,0)),"")</f>
        <v/>
      </c>
      <c r="B308">
        <f>IFERROR(INDEX($O$4:$O$3183,MATCH(SMALL($V$4:$V$3183,305),$V$4:$V$3183,0)),"")</f>
        <v/>
      </c>
      <c r="C308">
        <f>IFERROR(INDEX($P$4:$P$3183,MATCH(SMALL($V$4:$V$3183,305),$V$4:$V$3183,0)),"")</f>
        <v/>
      </c>
      <c r="D308" s="29">
        <f>IFERROR(INDEX($Q$4:$Q$3183,MATCH(SMALL($V$4:$V$3183,305),$V$4:$V$3183,0)),"")</f>
        <v/>
      </c>
      <c r="E308" s="29">
        <f>IFERROR(INDEX($R$4:$R$3183,MATCH(SMALL($V$4:$V$3183,305),$V$4:$V$3183,0)),"")</f>
        <v/>
      </c>
      <c r="F308">
        <f>IFERROR(INDEX($S$4:$S$3183,MATCH(SMALL($V$4:$V$3183,305),$V$4:$V$3183,0)),"")</f>
        <v/>
      </c>
      <c r="I308" s="29">
        <f>IF($B308="","",IFERROR(INDEX($U$4:$U$3183,MATCH(SMALL($V$4:$V$3183,305),$V$4:$V$3183,0)),""))</f>
        <v/>
      </c>
      <c r="J308">
        <f>IF($B308="","",IF($D308&gt;$F$2,"À venir",IF($E308&lt;$D$2,"Passé","Dans la période")))</f>
        <v/>
      </c>
      <c r="K308">
        <f>IF(OR($B308="",NOT(ISNUMBER($D308))),"",IF(AND($E308&lt;$D$2,$G308&lt;&gt;"X",$F308&lt;&gt;"Réalisé",$F308&lt;&gt;"Clôturé"),"RETARD",""))</f>
        <v/>
      </c>
      <c r="L308">
        <f>IF(OR($B308="",NOT(ISNUMBER($D308))),"",IF(AND($D308&gt;=$D$2,$D308&lt;=$H$2,$G308&lt;&gt;"X",$F308&lt;&gt;"Réalisé",$F308&lt;&gt;"Clôturé"),"≤ 7 j",""))</f>
        <v/>
      </c>
      <c r="M308" s="29">
        <f>IF($B308="","",IFERROR(INDEX($T$4:$T$3183,MATCH(SMALL($V$4:$V$3183,305),$V$4:$V$3183,0)),""))</f>
        <v/>
      </c>
      <c r="O308">
        <f>IF(INDEX(Suivi!$B:$B,314)="","",INDEX(Suivi!$B:$B,314))</f>
        <v/>
      </c>
      <c r="P308">
        <f>IF($O308="","",IF(INDEX(Suivi!$D:$D,314)="",INDEX(Suivi!$C:$C,314),INDEX(Suivi!$D:$D,314)))</f>
        <v/>
      </c>
      <c r="Q308">
        <f>IF($O308="","",INDEX(Suivi!$E:$E,314))</f>
        <v/>
      </c>
      <c r="R308">
        <f>IF($O308="","",INDEX(Suivi!$F:$F,314))</f>
        <v/>
      </c>
      <c r="S308">
        <f>IF($O308="","",INDEX(Suivi!$G:$G,314))</f>
        <v/>
      </c>
      <c r="T308">
        <f>IF($O308="","",IF(INDEX(Dossiers!$F$4:$F$63,6)="","",INDEX(Dossiers!$F$4:$F$63,6)))</f>
        <v/>
      </c>
      <c r="U308">
        <f>IF($O308="","",IF(INDEX(Dossiers!$G$4:$G$63,6)="","",INDEX(Dossiers!$G$4:$G$63,6)))</f>
        <v/>
      </c>
      <c r="V308">
        <f>IF(OR($O308="",NOT(ISNUMBER($Q308))),"",$Q308*1000000+308)</f>
        <v/>
      </c>
      <c r="W308" s="29">
        <f>IF($B308="","",IFERROR(INDEX($U$4:$U$3183,MATCH(SMALL($V$4:$V$3183,305),$V$4:$V$3183,0)),""))</f>
        <v/>
      </c>
    </row>
    <row r="309">
      <c r="A309">
        <f>IFERROR(INDEX($N$4:$N$3183,MATCH(SMALL($V$4:$V$3183,306),$V$4:$V$3183,0)),"")</f>
        <v/>
      </c>
      <c r="B309">
        <f>IFERROR(INDEX($O$4:$O$3183,MATCH(SMALL($V$4:$V$3183,306),$V$4:$V$3183,0)),"")</f>
        <v/>
      </c>
      <c r="C309">
        <f>IFERROR(INDEX($P$4:$P$3183,MATCH(SMALL($V$4:$V$3183,306),$V$4:$V$3183,0)),"")</f>
        <v/>
      </c>
      <c r="D309" s="29">
        <f>IFERROR(INDEX($Q$4:$Q$3183,MATCH(SMALL($V$4:$V$3183,306),$V$4:$V$3183,0)),"")</f>
        <v/>
      </c>
      <c r="E309" s="29">
        <f>IFERROR(INDEX($R$4:$R$3183,MATCH(SMALL($V$4:$V$3183,306),$V$4:$V$3183,0)),"")</f>
        <v/>
      </c>
      <c r="F309">
        <f>IFERROR(INDEX($S$4:$S$3183,MATCH(SMALL($V$4:$V$3183,306),$V$4:$V$3183,0)),"")</f>
        <v/>
      </c>
      <c r="I309" s="29">
        <f>IF($B309="","",IFERROR(INDEX($U$4:$U$3183,MATCH(SMALL($V$4:$V$3183,306),$V$4:$V$3183,0)),""))</f>
        <v/>
      </c>
      <c r="J309">
        <f>IF($B309="","",IF($D309&gt;$F$2,"À venir",IF($E309&lt;$D$2,"Passé","Dans la période")))</f>
        <v/>
      </c>
      <c r="K309">
        <f>IF(OR($B309="",NOT(ISNUMBER($D309))),"",IF(AND($E309&lt;$D$2,$G309&lt;&gt;"X",$F309&lt;&gt;"Réalisé",$F309&lt;&gt;"Clôturé"),"RETARD",""))</f>
        <v/>
      </c>
      <c r="L309">
        <f>IF(OR($B309="",NOT(ISNUMBER($D309))),"",IF(AND($D309&gt;=$D$2,$D309&lt;=$H$2,$G309&lt;&gt;"X",$F309&lt;&gt;"Réalisé",$F309&lt;&gt;"Clôturé"),"≤ 7 j",""))</f>
        <v/>
      </c>
      <c r="M309" s="29">
        <f>IF($B309="","",IFERROR(INDEX($T$4:$T$3183,MATCH(SMALL($V$4:$V$3183,306),$V$4:$V$3183,0)),""))</f>
        <v/>
      </c>
      <c r="O309">
        <f>IF(INDEX(Suivi!$B:$B,315)="","",INDEX(Suivi!$B:$B,315))</f>
        <v/>
      </c>
      <c r="P309">
        <f>IF($O309="","",IF(INDEX(Suivi!$D:$D,315)="",INDEX(Suivi!$C:$C,315),INDEX(Suivi!$D:$D,315)))</f>
        <v/>
      </c>
      <c r="Q309">
        <f>IF($O309="","",INDEX(Suivi!$E:$E,315))</f>
        <v/>
      </c>
      <c r="R309">
        <f>IF($O309="","",INDEX(Suivi!$F:$F,315))</f>
        <v/>
      </c>
      <c r="S309">
        <f>IF($O309="","",INDEX(Suivi!$G:$G,315))</f>
        <v/>
      </c>
      <c r="T309">
        <f>IF($O309="","",IF(INDEX(Dossiers!$F$4:$F$63,6)="","",INDEX(Dossiers!$F$4:$F$63,6)))</f>
        <v/>
      </c>
      <c r="U309">
        <f>IF($O309="","",IF(INDEX(Dossiers!$G$4:$G$63,6)="","",INDEX(Dossiers!$G$4:$G$63,6)))</f>
        <v/>
      </c>
      <c r="V309">
        <f>IF(OR($O309="",NOT(ISNUMBER($Q309))),"",$Q309*1000000+309)</f>
        <v/>
      </c>
      <c r="W309" s="29">
        <f>IF($B309="","",IFERROR(INDEX($U$4:$U$3183,MATCH(SMALL($V$4:$V$3183,306),$V$4:$V$3183,0)),""))</f>
        <v/>
      </c>
    </row>
    <row r="310">
      <c r="A310">
        <f>IFERROR(INDEX($N$4:$N$3183,MATCH(SMALL($V$4:$V$3183,307),$V$4:$V$3183,0)),"")</f>
        <v/>
      </c>
      <c r="B310">
        <f>IFERROR(INDEX($O$4:$O$3183,MATCH(SMALL($V$4:$V$3183,307),$V$4:$V$3183,0)),"")</f>
        <v/>
      </c>
      <c r="C310">
        <f>IFERROR(INDEX($P$4:$P$3183,MATCH(SMALL($V$4:$V$3183,307),$V$4:$V$3183,0)),"")</f>
        <v/>
      </c>
      <c r="D310" s="29">
        <f>IFERROR(INDEX($Q$4:$Q$3183,MATCH(SMALL($V$4:$V$3183,307),$V$4:$V$3183,0)),"")</f>
        <v/>
      </c>
      <c r="E310" s="29">
        <f>IFERROR(INDEX($R$4:$R$3183,MATCH(SMALL($V$4:$V$3183,307),$V$4:$V$3183,0)),"")</f>
        <v/>
      </c>
      <c r="F310">
        <f>IFERROR(INDEX($S$4:$S$3183,MATCH(SMALL($V$4:$V$3183,307),$V$4:$V$3183,0)),"")</f>
        <v/>
      </c>
      <c r="I310" s="29">
        <f>IF($B310="","",IFERROR(INDEX($U$4:$U$3183,MATCH(SMALL($V$4:$V$3183,307),$V$4:$V$3183,0)),""))</f>
        <v/>
      </c>
      <c r="J310">
        <f>IF($B310="","",IF($D310&gt;$F$2,"À venir",IF($E310&lt;$D$2,"Passé","Dans la période")))</f>
        <v/>
      </c>
      <c r="K310">
        <f>IF(OR($B310="",NOT(ISNUMBER($D310))),"",IF(AND($E310&lt;$D$2,$G310&lt;&gt;"X",$F310&lt;&gt;"Réalisé",$F310&lt;&gt;"Clôturé"),"RETARD",""))</f>
        <v/>
      </c>
      <c r="L310">
        <f>IF(OR($B310="",NOT(ISNUMBER($D310))),"",IF(AND($D310&gt;=$D$2,$D310&lt;=$H$2,$G310&lt;&gt;"X",$F310&lt;&gt;"Réalisé",$F310&lt;&gt;"Clôturé"),"≤ 7 j",""))</f>
        <v/>
      </c>
      <c r="M310" s="29">
        <f>IF($B310="","",IFERROR(INDEX($T$4:$T$3183,MATCH(SMALL($V$4:$V$3183,307),$V$4:$V$3183,0)),""))</f>
        <v/>
      </c>
      <c r="O310">
        <f>IF(INDEX(Suivi!$B:$B,316)="","",INDEX(Suivi!$B:$B,316))</f>
        <v/>
      </c>
      <c r="P310">
        <f>IF($O310="","",IF(INDEX(Suivi!$D:$D,316)="",INDEX(Suivi!$C:$C,316),INDEX(Suivi!$D:$D,316)))</f>
        <v/>
      </c>
      <c r="Q310">
        <f>IF($O310="","",INDEX(Suivi!$E:$E,316))</f>
        <v/>
      </c>
      <c r="R310">
        <f>IF($O310="","",INDEX(Suivi!$F:$F,316))</f>
        <v/>
      </c>
      <c r="S310">
        <f>IF($O310="","",INDEX(Suivi!$G:$G,316))</f>
        <v/>
      </c>
      <c r="T310">
        <f>IF($O310="","",IF(INDEX(Dossiers!$F$4:$F$63,6)="","",INDEX(Dossiers!$F$4:$F$63,6)))</f>
        <v/>
      </c>
      <c r="U310">
        <f>IF($O310="","",IF(INDEX(Dossiers!$G$4:$G$63,6)="","",INDEX(Dossiers!$G$4:$G$63,6)))</f>
        <v/>
      </c>
      <c r="V310">
        <f>IF(OR($O310="",NOT(ISNUMBER($Q310))),"",$Q310*1000000+310)</f>
        <v/>
      </c>
      <c r="W310" s="29">
        <f>IF($B310="","",IFERROR(INDEX($U$4:$U$3183,MATCH(SMALL($V$4:$V$3183,307),$V$4:$V$3183,0)),""))</f>
        <v/>
      </c>
    </row>
    <row r="311">
      <c r="A311">
        <f>IFERROR(INDEX($N$4:$N$3183,MATCH(SMALL($V$4:$V$3183,308),$V$4:$V$3183,0)),"")</f>
        <v/>
      </c>
      <c r="B311">
        <f>IFERROR(INDEX($O$4:$O$3183,MATCH(SMALL($V$4:$V$3183,308),$V$4:$V$3183,0)),"")</f>
        <v/>
      </c>
      <c r="C311">
        <f>IFERROR(INDEX($P$4:$P$3183,MATCH(SMALL($V$4:$V$3183,308),$V$4:$V$3183,0)),"")</f>
        <v/>
      </c>
      <c r="D311" s="29">
        <f>IFERROR(INDEX($Q$4:$Q$3183,MATCH(SMALL($V$4:$V$3183,308),$V$4:$V$3183,0)),"")</f>
        <v/>
      </c>
      <c r="E311" s="29">
        <f>IFERROR(INDEX($R$4:$R$3183,MATCH(SMALL($V$4:$V$3183,308),$V$4:$V$3183,0)),"")</f>
        <v/>
      </c>
      <c r="F311">
        <f>IFERROR(INDEX($S$4:$S$3183,MATCH(SMALL($V$4:$V$3183,308),$V$4:$V$3183,0)),"")</f>
        <v/>
      </c>
      <c r="I311" s="29">
        <f>IF($B311="","",IFERROR(INDEX($U$4:$U$3183,MATCH(SMALL($V$4:$V$3183,308),$V$4:$V$3183,0)),""))</f>
        <v/>
      </c>
      <c r="J311">
        <f>IF($B311="","",IF($D311&gt;$F$2,"À venir",IF($E311&lt;$D$2,"Passé","Dans la période")))</f>
        <v/>
      </c>
      <c r="K311">
        <f>IF(OR($B311="",NOT(ISNUMBER($D311))),"",IF(AND($E311&lt;$D$2,$G311&lt;&gt;"X",$F311&lt;&gt;"Réalisé",$F311&lt;&gt;"Clôturé"),"RETARD",""))</f>
        <v/>
      </c>
      <c r="L311">
        <f>IF(OR($B311="",NOT(ISNUMBER($D311))),"",IF(AND($D311&gt;=$D$2,$D311&lt;=$H$2,$G311&lt;&gt;"X",$F311&lt;&gt;"Réalisé",$F311&lt;&gt;"Clôturé"),"≤ 7 j",""))</f>
        <v/>
      </c>
      <c r="M311" s="29">
        <f>IF($B311="","",IFERROR(INDEX($T$4:$T$3183,MATCH(SMALL($V$4:$V$3183,308),$V$4:$V$3183,0)),""))</f>
        <v/>
      </c>
      <c r="O311">
        <f>IF(INDEX(Suivi!$B:$B,317)="","",INDEX(Suivi!$B:$B,317))</f>
        <v/>
      </c>
      <c r="P311">
        <f>IF($O311="","",IF(INDEX(Suivi!$D:$D,317)="",INDEX(Suivi!$C:$C,317),INDEX(Suivi!$D:$D,317)))</f>
        <v/>
      </c>
      <c r="Q311">
        <f>IF($O311="","",INDEX(Suivi!$E:$E,317))</f>
        <v/>
      </c>
      <c r="R311">
        <f>IF($O311="","",INDEX(Suivi!$F:$F,317))</f>
        <v/>
      </c>
      <c r="S311">
        <f>IF($O311="","",INDEX(Suivi!$G:$G,317))</f>
        <v/>
      </c>
      <c r="T311">
        <f>IF($O311="","",IF(INDEX(Dossiers!$F$4:$F$63,6)="","",INDEX(Dossiers!$F$4:$F$63,6)))</f>
        <v/>
      </c>
      <c r="U311">
        <f>IF($O311="","",IF(INDEX(Dossiers!$G$4:$G$63,6)="","",INDEX(Dossiers!$G$4:$G$63,6)))</f>
        <v/>
      </c>
      <c r="V311">
        <f>IF(OR($O311="",NOT(ISNUMBER($Q311))),"",$Q311*1000000+311)</f>
        <v/>
      </c>
      <c r="W311" s="29">
        <f>IF($B311="","",IFERROR(INDEX($U$4:$U$3183,MATCH(SMALL($V$4:$V$3183,308),$V$4:$V$3183,0)),""))</f>
        <v/>
      </c>
    </row>
    <row r="312">
      <c r="A312">
        <f>IFERROR(INDEX($N$4:$N$3183,MATCH(SMALL($V$4:$V$3183,309),$V$4:$V$3183,0)),"")</f>
        <v/>
      </c>
      <c r="B312">
        <f>IFERROR(INDEX($O$4:$O$3183,MATCH(SMALL($V$4:$V$3183,309),$V$4:$V$3183,0)),"")</f>
        <v/>
      </c>
      <c r="C312">
        <f>IFERROR(INDEX($P$4:$P$3183,MATCH(SMALL($V$4:$V$3183,309),$V$4:$V$3183,0)),"")</f>
        <v/>
      </c>
      <c r="D312" s="29">
        <f>IFERROR(INDEX($Q$4:$Q$3183,MATCH(SMALL($V$4:$V$3183,309),$V$4:$V$3183,0)),"")</f>
        <v/>
      </c>
      <c r="E312" s="29">
        <f>IFERROR(INDEX($R$4:$R$3183,MATCH(SMALL($V$4:$V$3183,309),$V$4:$V$3183,0)),"")</f>
        <v/>
      </c>
      <c r="F312">
        <f>IFERROR(INDEX($S$4:$S$3183,MATCH(SMALL($V$4:$V$3183,309),$V$4:$V$3183,0)),"")</f>
        <v/>
      </c>
      <c r="I312" s="29">
        <f>IF($B312="","",IFERROR(INDEX($U$4:$U$3183,MATCH(SMALL($V$4:$V$3183,309),$V$4:$V$3183,0)),""))</f>
        <v/>
      </c>
      <c r="J312">
        <f>IF($B312="","",IF($D312&gt;$F$2,"À venir",IF($E312&lt;$D$2,"Passé","Dans la période")))</f>
        <v/>
      </c>
      <c r="K312">
        <f>IF(OR($B312="",NOT(ISNUMBER($D312))),"",IF(AND($E312&lt;$D$2,$G312&lt;&gt;"X",$F312&lt;&gt;"Réalisé",$F312&lt;&gt;"Clôturé"),"RETARD",""))</f>
        <v/>
      </c>
      <c r="L312">
        <f>IF(OR($B312="",NOT(ISNUMBER($D312))),"",IF(AND($D312&gt;=$D$2,$D312&lt;=$H$2,$G312&lt;&gt;"X",$F312&lt;&gt;"Réalisé",$F312&lt;&gt;"Clôturé"),"≤ 7 j",""))</f>
        <v/>
      </c>
      <c r="M312" s="29">
        <f>IF($B312="","",IFERROR(INDEX($T$4:$T$3183,MATCH(SMALL($V$4:$V$3183,309),$V$4:$V$3183,0)),""))</f>
        <v/>
      </c>
      <c r="O312">
        <f>IF(INDEX(Suivi!$B:$B,318)="","",INDEX(Suivi!$B:$B,318))</f>
        <v/>
      </c>
      <c r="P312">
        <f>IF($O312="","",IF(INDEX(Suivi!$D:$D,318)="",INDEX(Suivi!$C:$C,318),INDEX(Suivi!$D:$D,318)))</f>
        <v/>
      </c>
      <c r="Q312">
        <f>IF($O312="","",INDEX(Suivi!$E:$E,318))</f>
        <v/>
      </c>
      <c r="R312">
        <f>IF($O312="","",INDEX(Suivi!$F:$F,318))</f>
        <v/>
      </c>
      <c r="S312">
        <f>IF($O312="","",INDEX(Suivi!$G:$G,318))</f>
        <v/>
      </c>
      <c r="T312">
        <f>IF($O312="","",IF(INDEX(Dossiers!$F$4:$F$63,6)="","",INDEX(Dossiers!$F$4:$F$63,6)))</f>
        <v/>
      </c>
      <c r="U312">
        <f>IF($O312="","",IF(INDEX(Dossiers!$G$4:$G$63,6)="","",INDEX(Dossiers!$G$4:$G$63,6)))</f>
        <v/>
      </c>
      <c r="V312">
        <f>IF(OR($O312="",NOT(ISNUMBER($Q312))),"",$Q312*1000000+312)</f>
        <v/>
      </c>
      <c r="W312" s="29">
        <f>IF($B312="","",IFERROR(INDEX($U$4:$U$3183,MATCH(SMALL($V$4:$V$3183,309),$V$4:$V$3183,0)),""))</f>
        <v/>
      </c>
    </row>
    <row r="313">
      <c r="A313">
        <f>IFERROR(INDEX($N$4:$N$3183,MATCH(SMALL($V$4:$V$3183,310),$V$4:$V$3183,0)),"")</f>
        <v/>
      </c>
      <c r="B313">
        <f>IFERROR(INDEX($O$4:$O$3183,MATCH(SMALL($V$4:$V$3183,310),$V$4:$V$3183,0)),"")</f>
        <v/>
      </c>
      <c r="C313">
        <f>IFERROR(INDEX($P$4:$P$3183,MATCH(SMALL($V$4:$V$3183,310),$V$4:$V$3183,0)),"")</f>
        <v/>
      </c>
      <c r="D313" s="29">
        <f>IFERROR(INDEX($Q$4:$Q$3183,MATCH(SMALL($V$4:$V$3183,310),$V$4:$V$3183,0)),"")</f>
        <v/>
      </c>
      <c r="E313" s="29">
        <f>IFERROR(INDEX($R$4:$R$3183,MATCH(SMALL($V$4:$V$3183,310),$V$4:$V$3183,0)),"")</f>
        <v/>
      </c>
      <c r="F313">
        <f>IFERROR(INDEX($S$4:$S$3183,MATCH(SMALL($V$4:$V$3183,310),$V$4:$V$3183,0)),"")</f>
        <v/>
      </c>
      <c r="I313" s="29">
        <f>IF($B313="","",IFERROR(INDEX($U$4:$U$3183,MATCH(SMALL($V$4:$V$3183,310),$V$4:$V$3183,0)),""))</f>
        <v/>
      </c>
      <c r="J313">
        <f>IF($B313="","",IF($D313&gt;$F$2,"À venir",IF($E313&lt;$D$2,"Passé","Dans la période")))</f>
        <v/>
      </c>
      <c r="K313">
        <f>IF(OR($B313="",NOT(ISNUMBER($D313))),"",IF(AND($E313&lt;$D$2,$G313&lt;&gt;"X",$F313&lt;&gt;"Réalisé",$F313&lt;&gt;"Clôturé"),"RETARD",""))</f>
        <v/>
      </c>
      <c r="L313">
        <f>IF(OR($B313="",NOT(ISNUMBER($D313))),"",IF(AND($D313&gt;=$D$2,$D313&lt;=$H$2,$G313&lt;&gt;"X",$F313&lt;&gt;"Réalisé",$F313&lt;&gt;"Clôturé"),"≤ 7 j",""))</f>
        <v/>
      </c>
      <c r="M313" s="29">
        <f>IF($B313="","",IFERROR(INDEX($T$4:$T$3183,MATCH(SMALL($V$4:$V$3183,310),$V$4:$V$3183,0)),""))</f>
        <v/>
      </c>
      <c r="O313">
        <f>IF(INDEX(Suivi!$B:$B,319)="","",INDEX(Suivi!$B:$B,319))</f>
        <v/>
      </c>
      <c r="P313">
        <f>IF($O313="","",IF(INDEX(Suivi!$D:$D,319)="",INDEX(Suivi!$C:$C,319),INDEX(Suivi!$D:$D,319)))</f>
        <v/>
      </c>
      <c r="Q313">
        <f>IF($O313="","",INDEX(Suivi!$E:$E,319))</f>
        <v/>
      </c>
      <c r="R313">
        <f>IF($O313="","",INDEX(Suivi!$F:$F,319))</f>
        <v/>
      </c>
      <c r="S313">
        <f>IF($O313="","",INDEX(Suivi!$G:$G,319))</f>
        <v/>
      </c>
      <c r="T313">
        <f>IF($O313="","",IF(INDEX(Dossiers!$F$4:$F$63,6)="","",INDEX(Dossiers!$F$4:$F$63,6)))</f>
        <v/>
      </c>
      <c r="U313">
        <f>IF($O313="","",IF(INDEX(Dossiers!$G$4:$G$63,6)="","",INDEX(Dossiers!$G$4:$G$63,6)))</f>
        <v/>
      </c>
      <c r="V313">
        <f>IF(OR($O313="",NOT(ISNUMBER($Q313))),"",$Q313*1000000+313)</f>
        <v/>
      </c>
      <c r="W313" s="29">
        <f>IF($B313="","",IFERROR(INDEX($U$4:$U$3183,MATCH(SMALL($V$4:$V$3183,310),$V$4:$V$3183,0)),""))</f>
        <v/>
      </c>
    </row>
    <row r="314">
      <c r="A314">
        <f>IFERROR(INDEX($N$4:$N$3183,MATCH(SMALL($V$4:$V$3183,311),$V$4:$V$3183,0)),"")</f>
        <v/>
      </c>
      <c r="B314">
        <f>IFERROR(INDEX($O$4:$O$3183,MATCH(SMALL($V$4:$V$3183,311),$V$4:$V$3183,0)),"")</f>
        <v/>
      </c>
      <c r="C314">
        <f>IFERROR(INDEX($P$4:$P$3183,MATCH(SMALL($V$4:$V$3183,311),$V$4:$V$3183,0)),"")</f>
        <v/>
      </c>
      <c r="D314" s="29">
        <f>IFERROR(INDEX($Q$4:$Q$3183,MATCH(SMALL($V$4:$V$3183,311),$V$4:$V$3183,0)),"")</f>
        <v/>
      </c>
      <c r="E314" s="29">
        <f>IFERROR(INDEX($R$4:$R$3183,MATCH(SMALL($V$4:$V$3183,311),$V$4:$V$3183,0)),"")</f>
        <v/>
      </c>
      <c r="F314">
        <f>IFERROR(INDEX($S$4:$S$3183,MATCH(SMALL($V$4:$V$3183,311),$V$4:$V$3183,0)),"")</f>
        <v/>
      </c>
      <c r="I314" s="29">
        <f>IF($B314="","",IFERROR(INDEX($U$4:$U$3183,MATCH(SMALL($V$4:$V$3183,311),$V$4:$V$3183,0)),""))</f>
        <v/>
      </c>
      <c r="J314">
        <f>IF($B314="","",IF($D314&gt;$F$2,"À venir",IF($E314&lt;$D$2,"Passé","Dans la période")))</f>
        <v/>
      </c>
      <c r="K314">
        <f>IF(OR($B314="",NOT(ISNUMBER($D314))),"",IF(AND($E314&lt;$D$2,$G314&lt;&gt;"X",$F314&lt;&gt;"Réalisé",$F314&lt;&gt;"Clôturé"),"RETARD",""))</f>
        <v/>
      </c>
      <c r="L314">
        <f>IF(OR($B314="",NOT(ISNUMBER($D314))),"",IF(AND($D314&gt;=$D$2,$D314&lt;=$H$2,$G314&lt;&gt;"X",$F314&lt;&gt;"Réalisé",$F314&lt;&gt;"Clôturé"),"≤ 7 j",""))</f>
        <v/>
      </c>
      <c r="M314" s="29">
        <f>IF($B314="","",IFERROR(INDEX($T$4:$T$3183,MATCH(SMALL($V$4:$V$3183,311),$V$4:$V$3183,0)),""))</f>
        <v/>
      </c>
      <c r="O314">
        <f>IF(INDEX(Suivi!$B:$B,320)="","",INDEX(Suivi!$B:$B,320))</f>
        <v/>
      </c>
      <c r="P314">
        <f>IF($O314="","",IF(INDEX(Suivi!$D:$D,320)="",INDEX(Suivi!$C:$C,320),INDEX(Suivi!$D:$D,320)))</f>
        <v/>
      </c>
      <c r="Q314">
        <f>IF($O314="","",INDEX(Suivi!$E:$E,320))</f>
        <v/>
      </c>
      <c r="R314">
        <f>IF($O314="","",INDEX(Suivi!$F:$F,320))</f>
        <v/>
      </c>
      <c r="S314">
        <f>IF($O314="","",INDEX(Suivi!$G:$G,320))</f>
        <v/>
      </c>
      <c r="T314">
        <f>IF($O314="","",IF(INDEX(Dossiers!$F$4:$F$63,6)="","",INDEX(Dossiers!$F$4:$F$63,6)))</f>
        <v/>
      </c>
      <c r="U314">
        <f>IF($O314="","",IF(INDEX(Dossiers!$G$4:$G$63,6)="","",INDEX(Dossiers!$G$4:$G$63,6)))</f>
        <v/>
      </c>
      <c r="V314">
        <f>IF(OR($O314="",NOT(ISNUMBER($Q314))),"",$Q314*1000000+314)</f>
        <v/>
      </c>
      <c r="W314" s="29">
        <f>IF($B314="","",IFERROR(INDEX($U$4:$U$3183,MATCH(SMALL($V$4:$V$3183,311),$V$4:$V$3183,0)),""))</f>
        <v/>
      </c>
    </row>
    <row r="315">
      <c r="A315">
        <f>IFERROR(INDEX($N$4:$N$3183,MATCH(SMALL($V$4:$V$3183,312),$V$4:$V$3183,0)),"")</f>
        <v/>
      </c>
      <c r="B315">
        <f>IFERROR(INDEX($O$4:$O$3183,MATCH(SMALL($V$4:$V$3183,312),$V$4:$V$3183,0)),"")</f>
        <v/>
      </c>
      <c r="C315">
        <f>IFERROR(INDEX($P$4:$P$3183,MATCH(SMALL($V$4:$V$3183,312),$V$4:$V$3183,0)),"")</f>
        <v/>
      </c>
      <c r="D315" s="29">
        <f>IFERROR(INDEX($Q$4:$Q$3183,MATCH(SMALL($V$4:$V$3183,312),$V$4:$V$3183,0)),"")</f>
        <v/>
      </c>
      <c r="E315" s="29">
        <f>IFERROR(INDEX($R$4:$R$3183,MATCH(SMALL($V$4:$V$3183,312),$V$4:$V$3183,0)),"")</f>
        <v/>
      </c>
      <c r="F315">
        <f>IFERROR(INDEX($S$4:$S$3183,MATCH(SMALL($V$4:$V$3183,312),$V$4:$V$3183,0)),"")</f>
        <v/>
      </c>
      <c r="I315" s="29">
        <f>IF($B315="","",IFERROR(INDEX($U$4:$U$3183,MATCH(SMALL($V$4:$V$3183,312),$V$4:$V$3183,0)),""))</f>
        <v/>
      </c>
      <c r="J315">
        <f>IF($B315="","",IF($D315&gt;$F$2,"À venir",IF($E315&lt;$D$2,"Passé","Dans la période")))</f>
        <v/>
      </c>
      <c r="K315">
        <f>IF(OR($B315="",NOT(ISNUMBER($D315))),"",IF(AND($E315&lt;$D$2,$G315&lt;&gt;"X",$F315&lt;&gt;"Réalisé",$F315&lt;&gt;"Clôturé"),"RETARD",""))</f>
        <v/>
      </c>
      <c r="L315">
        <f>IF(OR($B315="",NOT(ISNUMBER($D315))),"",IF(AND($D315&gt;=$D$2,$D315&lt;=$H$2,$G315&lt;&gt;"X",$F315&lt;&gt;"Réalisé",$F315&lt;&gt;"Clôturé"),"≤ 7 j",""))</f>
        <v/>
      </c>
      <c r="M315" s="29">
        <f>IF($B315="","",IFERROR(INDEX($T$4:$T$3183,MATCH(SMALL($V$4:$V$3183,312),$V$4:$V$3183,0)),""))</f>
        <v/>
      </c>
      <c r="O315">
        <f>IF(INDEX(Suivi!$B:$B,321)="","",INDEX(Suivi!$B:$B,321))</f>
        <v/>
      </c>
      <c r="P315">
        <f>IF($O315="","",IF(INDEX(Suivi!$D:$D,321)="",INDEX(Suivi!$C:$C,321),INDEX(Suivi!$D:$D,321)))</f>
        <v/>
      </c>
      <c r="Q315">
        <f>IF($O315="","",INDEX(Suivi!$E:$E,321))</f>
        <v/>
      </c>
      <c r="R315">
        <f>IF($O315="","",INDEX(Suivi!$F:$F,321))</f>
        <v/>
      </c>
      <c r="S315">
        <f>IF($O315="","",INDEX(Suivi!$G:$G,321))</f>
        <v/>
      </c>
      <c r="T315">
        <f>IF($O315="","",IF(INDEX(Dossiers!$F$4:$F$63,6)="","",INDEX(Dossiers!$F$4:$F$63,6)))</f>
        <v/>
      </c>
      <c r="U315">
        <f>IF($O315="","",IF(INDEX(Dossiers!$G$4:$G$63,6)="","",INDEX(Dossiers!$G$4:$G$63,6)))</f>
        <v/>
      </c>
      <c r="V315">
        <f>IF(OR($O315="",NOT(ISNUMBER($Q315))),"",$Q315*1000000+315)</f>
        <v/>
      </c>
      <c r="W315" s="29">
        <f>IF($B315="","",IFERROR(INDEX($U$4:$U$3183,MATCH(SMALL($V$4:$V$3183,312),$V$4:$V$3183,0)),""))</f>
        <v/>
      </c>
    </row>
    <row r="316">
      <c r="A316">
        <f>IFERROR(INDEX($N$4:$N$3183,MATCH(SMALL($V$4:$V$3183,313),$V$4:$V$3183,0)),"")</f>
        <v/>
      </c>
      <c r="B316">
        <f>IFERROR(INDEX($O$4:$O$3183,MATCH(SMALL($V$4:$V$3183,313),$V$4:$V$3183,0)),"")</f>
        <v/>
      </c>
      <c r="C316">
        <f>IFERROR(INDEX($P$4:$P$3183,MATCH(SMALL($V$4:$V$3183,313),$V$4:$V$3183,0)),"")</f>
        <v/>
      </c>
      <c r="D316" s="29">
        <f>IFERROR(INDEX($Q$4:$Q$3183,MATCH(SMALL($V$4:$V$3183,313),$V$4:$V$3183,0)),"")</f>
        <v/>
      </c>
      <c r="E316" s="29">
        <f>IFERROR(INDEX($R$4:$R$3183,MATCH(SMALL($V$4:$V$3183,313),$V$4:$V$3183,0)),"")</f>
        <v/>
      </c>
      <c r="F316">
        <f>IFERROR(INDEX($S$4:$S$3183,MATCH(SMALL($V$4:$V$3183,313),$V$4:$V$3183,0)),"")</f>
        <v/>
      </c>
      <c r="I316" s="29">
        <f>IF($B316="","",IFERROR(INDEX($U$4:$U$3183,MATCH(SMALL($V$4:$V$3183,313),$V$4:$V$3183,0)),""))</f>
        <v/>
      </c>
      <c r="J316">
        <f>IF($B316="","",IF($D316&gt;$F$2,"À venir",IF($E316&lt;$D$2,"Passé","Dans la période")))</f>
        <v/>
      </c>
      <c r="K316">
        <f>IF(OR($B316="",NOT(ISNUMBER($D316))),"",IF(AND($E316&lt;$D$2,$G316&lt;&gt;"X",$F316&lt;&gt;"Réalisé",$F316&lt;&gt;"Clôturé"),"RETARD",""))</f>
        <v/>
      </c>
      <c r="L316">
        <f>IF(OR($B316="",NOT(ISNUMBER($D316))),"",IF(AND($D316&gt;=$D$2,$D316&lt;=$H$2,$G316&lt;&gt;"X",$F316&lt;&gt;"Réalisé",$F316&lt;&gt;"Clôturé"),"≤ 7 j",""))</f>
        <v/>
      </c>
      <c r="M316" s="29">
        <f>IF($B316="","",IFERROR(INDEX($T$4:$T$3183,MATCH(SMALL($V$4:$V$3183,313),$V$4:$V$3183,0)),""))</f>
        <v/>
      </c>
      <c r="O316">
        <f>IF(INDEX(Suivi!$B:$B,322)="","",INDEX(Suivi!$B:$B,322))</f>
        <v/>
      </c>
      <c r="P316">
        <f>IF($O316="","",IF(INDEX(Suivi!$D:$D,322)="",INDEX(Suivi!$C:$C,322),INDEX(Suivi!$D:$D,322)))</f>
        <v/>
      </c>
      <c r="Q316">
        <f>IF($O316="","",INDEX(Suivi!$E:$E,322))</f>
        <v/>
      </c>
      <c r="R316">
        <f>IF($O316="","",INDEX(Suivi!$F:$F,322))</f>
        <v/>
      </c>
      <c r="S316">
        <f>IF($O316="","",INDEX(Suivi!$G:$G,322))</f>
        <v/>
      </c>
      <c r="T316">
        <f>IF($O316="","",IF(INDEX(Dossiers!$F$4:$F$63,6)="","",INDEX(Dossiers!$F$4:$F$63,6)))</f>
        <v/>
      </c>
      <c r="U316">
        <f>IF($O316="","",IF(INDEX(Dossiers!$G$4:$G$63,6)="","",INDEX(Dossiers!$G$4:$G$63,6)))</f>
        <v/>
      </c>
      <c r="V316">
        <f>IF(OR($O316="",NOT(ISNUMBER($Q316))),"",$Q316*1000000+316)</f>
        <v/>
      </c>
      <c r="W316" s="29">
        <f>IF($B316="","",IFERROR(INDEX($U$4:$U$3183,MATCH(SMALL($V$4:$V$3183,313),$V$4:$V$3183,0)),""))</f>
        <v/>
      </c>
    </row>
    <row r="317">
      <c r="A317">
        <f>IFERROR(INDEX($N$4:$N$3183,MATCH(SMALL($V$4:$V$3183,314),$V$4:$V$3183,0)),"")</f>
        <v/>
      </c>
      <c r="B317">
        <f>IFERROR(INDEX($O$4:$O$3183,MATCH(SMALL($V$4:$V$3183,314),$V$4:$V$3183,0)),"")</f>
        <v/>
      </c>
      <c r="C317">
        <f>IFERROR(INDEX($P$4:$P$3183,MATCH(SMALL($V$4:$V$3183,314),$V$4:$V$3183,0)),"")</f>
        <v/>
      </c>
      <c r="D317" s="29">
        <f>IFERROR(INDEX($Q$4:$Q$3183,MATCH(SMALL($V$4:$V$3183,314),$V$4:$V$3183,0)),"")</f>
        <v/>
      </c>
      <c r="E317" s="29">
        <f>IFERROR(INDEX($R$4:$R$3183,MATCH(SMALL($V$4:$V$3183,314),$V$4:$V$3183,0)),"")</f>
        <v/>
      </c>
      <c r="F317">
        <f>IFERROR(INDEX($S$4:$S$3183,MATCH(SMALL($V$4:$V$3183,314),$V$4:$V$3183,0)),"")</f>
        <v/>
      </c>
      <c r="I317" s="29">
        <f>IF($B317="","",IFERROR(INDEX($U$4:$U$3183,MATCH(SMALL($V$4:$V$3183,314),$V$4:$V$3183,0)),""))</f>
        <v/>
      </c>
      <c r="J317">
        <f>IF($B317="","",IF($D317&gt;$F$2,"À venir",IF($E317&lt;$D$2,"Passé","Dans la période")))</f>
        <v/>
      </c>
      <c r="K317">
        <f>IF(OR($B317="",NOT(ISNUMBER($D317))),"",IF(AND($E317&lt;$D$2,$G317&lt;&gt;"X",$F317&lt;&gt;"Réalisé",$F317&lt;&gt;"Clôturé"),"RETARD",""))</f>
        <v/>
      </c>
      <c r="L317">
        <f>IF(OR($B317="",NOT(ISNUMBER($D317))),"",IF(AND($D317&gt;=$D$2,$D317&lt;=$H$2,$G317&lt;&gt;"X",$F317&lt;&gt;"Réalisé",$F317&lt;&gt;"Clôturé"),"≤ 7 j",""))</f>
        <v/>
      </c>
      <c r="M317" s="29">
        <f>IF($B317="","",IFERROR(INDEX($T$4:$T$3183,MATCH(SMALL($V$4:$V$3183,314),$V$4:$V$3183,0)),""))</f>
        <v/>
      </c>
      <c r="O317">
        <f>IF(INDEX(Suivi!$B:$B,323)="","",INDEX(Suivi!$B:$B,323))</f>
        <v/>
      </c>
      <c r="P317">
        <f>IF($O317="","",IF(INDEX(Suivi!$D:$D,323)="",INDEX(Suivi!$C:$C,323),INDEX(Suivi!$D:$D,323)))</f>
        <v/>
      </c>
      <c r="Q317">
        <f>IF($O317="","",INDEX(Suivi!$E:$E,323))</f>
        <v/>
      </c>
      <c r="R317">
        <f>IF($O317="","",INDEX(Suivi!$F:$F,323))</f>
        <v/>
      </c>
      <c r="S317">
        <f>IF($O317="","",INDEX(Suivi!$G:$G,323))</f>
        <v/>
      </c>
      <c r="T317">
        <f>IF($O317="","",IF(INDEX(Dossiers!$F$4:$F$63,6)="","",INDEX(Dossiers!$F$4:$F$63,6)))</f>
        <v/>
      </c>
      <c r="U317">
        <f>IF($O317="","",IF(INDEX(Dossiers!$G$4:$G$63,6)="","",INDEX(Dossiers!$G$4:$G$63,6)))</f>
        <v/>
      </c>
      <c r="V317">
        <f>IF(OR($O317="",NOT(ISNUMBER($Q317))),"",$Q317*1000000+317)</f>
        <v/>
      </c>
      <c r="W317" s="29">
        <f>IF($B317="","",IFERROR(INDEX($U$4:$U$3183,MATCH(SMALL($V$4:$V$3183,314),$V$4:$V$3183,0)),""))</f>
        <v/>
      </c>
    </row>
    <row r="318">
      <c r="A318">
        <f>IFERROR(INDEX($N$4:$N$3183,MATCH(SMALL($V$4:$V$3183,315),$V$4:$V$3183,0)),"")</f>
        <v/>
      </c>
      <c r="B318">
        <f>IFERROR(INDEX($O$4:$O$3183,MATCH(SMALL($V$4:$V$3183,315),$V$4:$V$3183,0)),"")</f>
        <v/>
      </c>
      <c r="C318">
        <f>IFERROR(INDEX($P$4:$P$3183,MATCH(SMALL($V$4:$V$3183,315),$V$4:$V$3183,0)),"")</f>
        <v/>
      </c>
      <c r="D318" s="29">
        <f>IFERROR(INDEX($Q$4:$Q$3183,MATCH(SMALL($V$4:$V$3183,315),$V$4:$V$3183,0)),"")</f>
        <v/>
      </c>
      <c r="E318" s="29">
        <f>IFERROR(INDEX($R$4:$R$3183,MATCH(SMALL($V$4:$V$3183,315),$V$4:$V$3183,0)),"")</f>
        <v/>
      </c>
      <c r="F318">
        <f>IFERROR(INDEX($S$4:$S$3183,MATCH(SMALL($V$4:$V$3183,315),$V$4:$V$3183,0)),"")</f>
        <v/>
      </c>
      <c r="I318" s="29">
        <f>IF($B318="","",IFERROR(INDEX($U$4:$U$3183,MATCH(SMALL($V$4:$V$3183,315),$V$4:$V$3183,0)),""))</f>
        <v/>
      </c>
      <c r="J318">
        <f>IF($B318="","",IF($D318&gt;$F$2,"À venir",IF($E318&lt;$D$2,"Passé","Dans la période")))</f>
        <v/>
      </c>
      <c r="K318">
        <f>IF(OR($B318="",NOT(ISNUMBER($D318))),"",IF(AND($E318&lt;$D$2,$G318&lt;&gt;"X",$F318&lt;&gt;"Réalisé",$F318&lt;&gt;"Clôturé"),"RETARD",""))</f>
        <v/>
      </c>
      <c r="L318">
        <f>IF(OR($B318="",NOT(ISNUMBER($D318))),"",IF(AND($D318&gt;=$D$2,$D318&lt;=$H$2,$G318&lt;&gt;"X",$F318&lt;&gt;"Réalisé",$F318&lt;&gt;"Clôturé"),"≤ 7 j",""))</f>
        <v/>
      </c>
      <c r="M318" s="29">
        <f>IF($B318="","",IFERROR(INDEX($T$4:$T$3183,MATCH(SMALL($V$4:$V$3183,315),$V$4:$V$3183,0)),""))</f>
        <v/>
      </c>
      <c r="O318">
        <f>IF(INDEX(Suivi!$B:$B,324)="","",INDEX(Suivi!$B:$B,324))</f>
        <v/>
      </c>
      <c r="P318">
        <f>IF($O318="","",IF(INDEX(Suivi!$D:$D,324)="",INDEX(Suivi!$C:$C,324),INDEX(Suivi!$D:$D,324)))</f>
        <v/>
      </c>
      <c r="Q318">
        <f>IF($O318="","",INDEX(Suivi!$E:$E,324))</f>
        <v/>
      </c>
      <c r="R318">
        <f>IF($O318="","",INDEX(Suivi!$F:$F,324))</f>
        <v/>
      </c>
      <c r="S318">
        <f>IF($O318="","",INDEX(Suivi!$G:$G,324))</f>
        <v/>
      </c>
      <c r="T318">
        <f>IF($O318="","",IF(INDEX(Dossiers!$F$4:$F$63,6)="","",INDEX(Dossiers!$F$4:$F$63,6)))</f>
        <v/>
      </c>
      <c r="U318">
        <f>IF($O318="","",IF(INDEX(Dossiers!$G$4:$G$63,6)="","",INDEX(Dossiers!$G$4:$G$63,6)))</f>
        <v/>
      </c>
      <c r="V318">
        <f>IF(OR($O318="",NOT(ISNUMBER($Q318))),"",$Q318*1000000+318)</f>
        <v/>
      </c>
      <c r="W318" s="29">
        <f>IF($B318="","",IFERROR(INDEX($U$4:$U$3183,MATCH(SMALL($V$4:$V$3183,315),$V$4:$V$3183,0)),""))</f>
        <v/>
      </c>
    </row>
    <row r="319">
      <c r="A319">
        <f>IFERROR(INDEX($N$4:$N$3183,MATCH(SMALL($V$4:$V$3183,316),$V$4:$V$3183,0)),"")</f>
        <v/>
      </c>
      <c r="B319">
        <f>IFERROR(INDEX($O$4:$O$3183,MATCH(SMALL($V$4:$V$3183,316),$V$4:$V$3183,0)),"")</f>
        <v/>
      </c>
      <c r="C319">
        <f>IFERROR(INDEX($P$4:$P$3183,MATCH(SMALL($V$4:$V$3183,316),$V$4:$V$3183,0)),"")</f>
        <v/>
      </c>
      <c r="D319" s="29">
        <f>IFERROR(INDEX($Q$4:$Q$3183,MATCH(SMALL($V$4:$V$3183,316),$V$4:$V$3183,0)),"")</f>
        <v/>
      </c>
      <c r="E319" s="29">
        <f>IFERROR(INDEX($R$4:$R$3183,MATCH(SMALL($V$4:$V$3183,316),$V$4:$V$3183,0)),"")</f>
        <v/>
      </c>
      <c r="F319">
        <f>IFERROR(INDEX($S$4:$S$3183,MATCH(SMALL($V$4:$V$3183,316),$V$4:$V$3183,0)),"")</f>
        <v/>
      </c>
      <c r="I319" s="29">
        <f>IF($B319="","",IFERROR(INDEX($U$4:$U$3183,MATCH(SMALL($V$4:$V$3183,316),$V$4:$V$3183,0)),""))</f>
        <v/>
      </c>
      <c r="J319">
        <f>IF($B319="","",IF($D319&gt;$F$2,"À venir",IF($E319&lt;$D$2,"Passé","Dans la période")))</f>
        <v/>
      </c>
      <c r="K319">
        <f>IF(OR($B319="",NOT(ISNUMBER($D319))),"",IF(AND($E319&lt;$D$2,$G319&lt;&gt;"X",$F319&lt;&gt;"Réalisé",$F319&lt;&gt;"Clôturé"),"RETARD",""))</f>
        <v/>
      </c>
      <c r="L319">
        <f>IF(OR($B319="",NOT(ISNUMBER($D319))),"",IF(AND($D319&gt;=$D$2,$D319&lt;=$H$2,$G319&lt;&gt;"X",$F319&lt;&gt;"Réalisé",$F319&lt;&gt;"Clôturé"),"≤ 7 j",""))</f>
        <v/>
      </c>
      <c r="M319" s="29">
        <f>IF($B319="","",IFERROR(INDEX($T$4:$T$3183,MATCH(SMALL($V$4:$V$3183,316),$V$4:$V$3183,0)),""))</f>
        <v/>
      </c>
      <c r="O319">
        <f>IF(INDEX(Suivi!$B:$B,325)="","",INDEX(Suivi!$B:$B,325))</f>
        <v/>
      </c>
      <c r="P319">
        <f>IF($O319="","",IF(INDEX(Suivi!$D:$D,325)="",INDEX(Suivi!$C:$C,325),INDEX(Suivi!$D:$D,325)))</f>
        <v/>
      </c>
      <c r="Q319">
        <f>IF($O319="","",INDEX(Suivi!$E:$E,325))</f>
        <v/>
      </c>
      <c r="R319">
        <f>IF($O319="","",INDEX(Suivi!$F:$F,325))</f>
        <v/>
      </c>
      <c r="S319">
        <f>IF($O319="","",INDEX(Suivi!$G:$G,325))</f>
        <v/>
      </c>
      <c r="T319">
        <f>IF($O319="","",IF(INDEX(Dossiers!$F$4:$F$63,6)="","",INDEX(Dossiers!$F$4:$F$63,6)))</f>
        <v/>
      </c>
      <c r="U319">
        <f>IF($O319="","",IF(INDEX(Dossiers!$G$4:$G$63,6)="","",INDEX(Dossiers!$G$4:$G$63,6)))</f>
        <v/>
      </c>
      <c r="V319">
        <f>IF(OR($O319="",NOT(ISNUMBER($Q319))),"",$Q319*1000000+319)</f>
        <v/>
      </c>
      <c r="W319" s="29">
        <f>IF($B319="","",IFERROR(INDEX($U$4:$U$3183,MATCH(SMALL($V$4:$V$3183,316),$V$4:$V$3183,0)),""))</f>
        <v/>
      </c>
    </row>
    <row r="320">
      <c r="A320">
        <f>IFERROR(INDEX($N$4:$N$3183,MATCH(SMALL($V$4:$V$3183,317),$V$4:$V$3183,0)),"")</f>
        <v/>
      </c>
      <c r="B320">
        <f>IFERROR(INDEX($O$4:$O$3183,MATCH(SMALL($V$4:$V$3183,317),$V$4:$V$3183,0)),"")</f>
        <v/>
      </c>
      <c r="C320">
        <f>IFERROR(INDEX($P$4:$P$3183,MATCH(SMALL($V$4:$V$3183,317),$V$4:$V$3183,0)),"")</f>
        <v/>
      </c>
      <c r="D320" s="29">
        <f>IFERROR(INDEX($Q$4:$Q$3183,MATCH(SMALL($V$4:$V$3183,317),$V$4:$V$3183,0)),"")</f>
        <v/>
      </c>
      <c r="E320" s="29">
        <f>IFERROR(INDEX($R$4:$R$3183,MATCH(SMALL($V$4:$V$3183,317),$V$4:$V$3183,0)),"")</f>
        <v/>
      </c>
      <c r="F320">
        <f>IFERROR(INDEX($S$4:$S$3183,MATCH(SMALL($V$4:$V$3183,317),$V$4:$V$3183,0)),"")</f>
        <v/>
      </c>
      <c r="I320" s="29">
        <f>IF($B320="","",IFERROR(INDEX($U$4:$U$3183,MATCH(SMALL($V$4:$V$3183,317),$V$4:$V$3183,0)),""))</f>
        <v/>
      </c>
      <c r="J320">
        <f>IF($B320="","",IF($D320&gt;$F$2,"À venir",IF($E320&lt;$D$2,"Passé","Dans la période")))</f>
        <v/>
      </c>
      <c r="K320">
        <f>IF(OR($B320="",NOT(ISNUMBER($D320))),"",IF(AND($E320&lt;$D$2,$G320&lt;&gt;"X",$F320&lt;&gt;"Réalisé",$F320&lt;&gt;"Clôturé"),"RETARD",""))</f>
        <v/>
      </c>
      <c r="L320">
        <f>IF(OR($B320="",NOT(ISNUMBER($D320))),"",IF(AND($D320&gt;=$D$2,$D320&lt;=$H$2,$G320&lt;&gt;"X",$F320&lt;&gt;"Réalisé",$F320&lt;&gt;"Clôturé"),"≤ 7 j",""))</f>
        <v/>
      </c>
      <c r="M320" s="29">
        <f>IF($B320="","",IFERROR(INDEX($T$4:$T$3183,MATCH(SMALL($V$4:$V$3183,317),$V$4:$V$3183,0)),""))</f>
        <v/>
      </c>
      <c r="O320">
        <f>IF(INDEX(Suivi!$B:$B,326)="","",INDEX(Suivi!$B:$B,326))</f>
        <v/>
      </c>
      <c r="P320">
        <f>IF($O320="","",IF(INDEX(Suivi!$D:$D,326)="",INDEX(Suivi!$C:$C,326),INDEX(Suivi!$D:$D,326)))</f>
        <v/>
      </c>
      <c r="Q320">
        <f>IF($O320="","",INDEX(Suivi!$E:$E,326))</f>
        <v/>
      </c>
      <c r="R320">
        <f>IF($O320="","",INDEX(Suivi!$F:$F,326))</f>
        <v/>
      </c>
      <c r="S320">
        <f>IF($O320="","",INDEX(Suivi!$G:$G,326))</f>
        <v/>
      </c>
      <c r="T320">
        <f>IF($O320="","",IF(INDEX(Dossiers!$F$4:$F$63,6)="","",INDEX(Dossiers!$F$4:$F$63,6)))</f>
        <v/>
      </c>
      <c r="U320">
        <f>IF($O320="","",IF(INDEX(Dossiers!$G$4:$G$63,6)="","",INDEX(Dossiers!$G$4:$G$63,6)))</f>
        <v/>
      </c>
      <c r="V320">
        <f>IF(OR($O320="",NOT(ISNUMBER($Q320))),"",$Q320*1000000+320)</f>
        <v/>
      </c>
      <c r="W320" s="29">
        <f>IF($B320="","",IFERROR(INDEX($U$4:$U$3183,MATCH(SMALL($V$4:$V$3183,317),$V$4:$V$3183,0)),""))</f>
        <v/>
      </c>
    </row>
    <row r="321">
      <c r="A321">
        <f>IFERROR(INDEX($N$4:$N$3183,MATCH(SMALL($V$4:$V$3183,318),$V$4:$V$3183,0)),"")</f>
        <v/>
      </c>
      <c r="B321">
        <f>IFERROR(INDEX($O$4:$O$3183,MATCH(SMALL($V$4:$V$3183,318),$V$4:$V$3183,0)),"")</f>
        <v/>
      </c>
      <c r="C321">
        <f>IFERROR(INDEX($P$4:$P$3183,MATCH(SMALL($V$4:$V$3183,318),$V$4:$V$3183,0)),"")</f>
        <v/>
      </c>
      <c r="D321" s="29">
        <f>IFERROR(INDEX($Q$4:$Q$3183,MATCH(SMALL($V$4:$V$3183,318),$V$4:$V$3183,0)),"")</f>
        <v/>
      </c>
      <c r="E321" s="29">
        <f>IFERROR(INDEX($R$4:$R$3183,MATCH(SMALL($V$4:$V$3183,318),$V$4:$V$3183,0)),"")</f>
        <v/>
      </c>
      <c r="F321">
        <f>IFERROR(INDEX($S$4:$S$3183,MATCH(SMALL($V$4:$V$3183,318),$V$4:$V$3183,0)),"")</f>
        <v/>
      </c>
      <c r="I321" s="29">
        <f>IF($B321="","",IFERROR(INDEX($U$4:$U$3183,MATCH(SMALL($V$4:$V$3183,318),$V$4:$V$3183,0)),""))</f>
        <v/>
      </c>
      <c r="J321">
        <f>IF($B321="","",IF($D321&gt;$F$2,"À venir",IF($E321&lt;$D$2,"Passé","Dans la période")))</f>
        <v/>
      </c>
      <c r="K321">
        <f>IF(OR($B321="",NOT(ISNUMBER($D321))),"",IF(AND($E321&lt;$D$2,$G321&lt;&gt;"X",$F321&lt;&gt;"Réalisé",$F321&lt;&gt;"Clôturé"),"RETARD",""))</f>
        <v/>
      </c>
      <c r="L321">
        <f>IF(OR($B321="",NOT(ISNUMBER($D321))),"",IF(AND($D321&gt;=$D$2,$D321&lt;=$H$2,$G321&lt;&gt;"X",$F321&lt;&gt;"Réalisé",$F321&lt;&gt;"Clôturé"),"≤ 7 j",""))</f>
        <v/>
      </c>
      <c r="M321" s="29">
        <f>IF($B321="","",IFERROR(INDEX($T$4:$T$3183,MATCH(SMALL($V$4:$V$3183,318),$V$4:$V$3183,0)),""))</f>
        <v/>
      </c>
      <c r="O321">
        <f>IF(INDEX(Suivi!$B:$B,327)="","",INDEX(Suivi!$B:$B,327))</f>
        <v/>
      </c>
      <c r="P321">
        <f>IF($O321="","",IF(INDEX(Suivi!$D:$D,327)="",INDEX(Suivi!$C:$C,327),INDEX(Suivi!$D:$D,327)))</f>
        <v/>
      </c>
      <c r="Q321">
        <f>IF($O321="","",INDEX(Suivi!$E:$E,327))</f>
        <v/>
      </c>
      <c r="R321">
        <f>IF($O321="","",INDEX(Suivi!$F:$F,327))</f>
        <v/>
      </c>
      <c r="S321">
        <f>IF($O321="","",INDEX(Suivi!$G:$G,327))</f>
        <v/>
      </c>
      <c r="T321">
        <f>IF($O321="","",IF(INDEX(Dossiers!$F$4:$F$63,6)="","",INDEX(Dossiers!$F$4:$F$63,6)))</f>
        <v/>
      </c>
      <c r="U321">
        <f>IF($O321="","",IF(INDEX(Dossiers!$G$4:$G$63,6)="","",INDEX(Dossiers!$G$4:$G$63,6)))</f>
        <v/>
      </c>
      <c r="V321">
        <f>IF(OR($O321="",NOT(ISNUMBER($Q321))),"",$Q321*1000000+321)</f>
        <v/>
      </c>
      <c r="W321" s="29">
        <f>IF($B321="","",IFERROR(INDEX($U$4:$U$3183,MATCH(SMALL($V$4:$V$3183,318),$V$4:$V$3183,0)),""))</f>
        <v/>
      </c>
    </row>
    <row r="322">
      <c r="A322">
        <f>IFERROR(INDEX($N$4:$N$3183,MATCH(SMALL($V$4:$V$3183,319),$V$4:$V$3183,0)),"")</f>
        <v/>
      </c>
      <c r="B322">
        <f>IFERROR(INDEX($O$4:$O$3183,MATCH(SMALL($V$4:$V$3183,319),$V$4:$V$3183,0)),"")</f>
        <v/>
      </c>
      <c r="C322">
        <f>IFERROR(INDEX($P$4:$P$3183,MATCH(SMALL($V$4:$V$3183,319),$V$4:$V$3183,0)),"")</f>
        <v/>
      </c>
      <c r="D322" s="29">
        <f>IFERROR(INDEX($Q$4:$Q$3183,MATCH(SMALL($V$4:$V$3183,319),$V$4:$V$3183,0)),"")</f>
        <v/>
      </c>
      <c r="E322" s="29">
        <f>IFERROR(INDEX($R$4:$R$3183,MATCH(SMALL($V$4:$V$3183,319),$V$4:$V$3183,0)),"")</f>
        <v/>
      </c>
      <c r="F322">
        <f>IFERROR(INDEX($S$4:$S$3183,MATCH(SMALL($V$4:$V$3183,319),$V$4:$V$3183,0)),"")</f>
        <v/>
      </c>
      <c r="I322" s="29">
        <f>IF($B322="","",IFERROR(INDEX($U$4:$U$3183,MATCH(SMALL($V$4:$V$3183,319),$V$4:$V$3183,0)),""))</f>
        <v/>
      </c>
      <c r="J322">
        <f>IF($B322="","",IF($D322&gt;$F$2,"À venir",IF($E322&lt;$D$2,"Passé","Dans la période")))</f>
        <v/>
      </c>
      <c r="K322">
        <f>IF(OR($B322="",NOT(ISNUMBER($D322))),"",IF(AND($E322&lt;$D$2,$G322&lt;&gt;"X",$F322&lt;&gt;"Réalisé",$F322&lt;&gt;"Clôturé"),"RETARD",""))</f>
        <v/>
      </c>
      <c r="L322">
        <f>IF(OR($B322="",NOT(ISNUMBER($D322))),"",IF(AND($D322&gt;=$D$2,$D322&lt;=$H$2,$G322&lt;&gt;"X",$F322&lt;&gt;"Réalisé",$F322&lt;&gt;"Clôturé"),"≤ 7 j",""))</f>
        <v/>
      </c>
      <c r="M322" s="29">
        <f>IF($B322="","",IFERROR(INDEX($T$4:$T$3183,MATCH(SMALL($V$4:$V$3183,319),$V$4:$V$3183,0)),""))</f>
        <v/>
      </c>
      <c r="O322">
        <f>IF(INDEX(Suivi!$B:$B,329)="","",INDEX(Suivi!$B:$B,329))</f>
        <v/>
      </c>
      <c r="P322">
        <f>IF($O322="","",IF(INDEX(Suivi!$D:$D,329)="",INDEX(Suivi!$C:$C,329),INDEX(Suivi!$D:$D,329)))</f>
        <v/>
      </c>
      <c r="Q322">
        <f>IF($O322="","",INDEX(Suivi!$E:$E,329))</f>
        <v/>
      </c>
      <c r="R322">
        <f>IF($O322="","",INDEX(Suivi!$F:$F,329))</f>
        <v/>
      </c>
      <c r="S322">
        <f>IF($O322="","",INDEX(Suivi!$G:$G,329))</f>
        <v/>
      </c>
      <c r="T322">
        <f>IF($O322="","",IF(INDEX(Dossiers!$F$4:$F$63,7)="","",INDEX(Dossiers!$F$4:$F$63,7)))</f>
        <v/>
      </c>
      <c r="U322">
        <f>IF($O322="","",IF(INDEX(Dossiers!$G$4:$G$63,7)="","",INDEX(Dossiers!$G$4:$G$63,7)))</f>
        <v/>
      </c>
      <c r="V322">
        <f>IF(OR($O322="",NOT(ISNUMBER($Q322))),"",$Q322*1000000+322)</f>
        <v/>
      </c>
      <c r="W322" s="29">
        <f>IF($B322="","",IFERROR(INDEX($U$4:$U$3183,MATCH(SMALL($V$4:$V$3183,319),$V$4:$V$3183,0)),""))</f>
        <v/>
      </c>
    </row>
    <row r="323">
      <c r="A323">
        <f>IFERROR(INDEX($N$4:$N$3183,MATCH(SMALL($V$4:$V$3183,320),$V$4:$V$3183,0)),"")</f>
        <v/>
      </c>
      <c r="B323">
        <f>IFERROR(INDEX($O$4:$O$3183,MATCH(SMALL($V$4:$V$3183,320),$V$4:$V$3183,0)),"")</f>
        <v/>
      </c>
      <c r="C323">
        <f>IFERROR(INDEX($P$4:$P$3183,MATCH(SMALL($V$4:$V$3183,320),$V$4:$V$3183,0)),"")</f>
        <v/>
      </c>
      <c r="D323" s="29">
        <f>IFERROR(INDEX($Q$4:$Q$3183,MATCH(SMALL($V$4:$V$3183,320),$V$4:$V$3183,0)),"")</f>
        <v/>
      </c>
      <c r="E323" s="29">
        <f>IFERROR(INDEX($R$4:$R$3183,MATCH(SMALL($V$4:$V$3183,320),$V$4:$V$3183,0)),"")</f>
        <v/>
      </c>
      <c r="F323">
        <f>IFERROR(INDEX($S$4:$S$3183,MATCH(SMALL($V$4:$V$3183,320),$V$4:$V$3183,0)),"")</f>
        <v/>
      </c>
      <c r="I323" s="29">
        <f>IF($B323="","",IFERROR(INDEX($U$4:$U$3183,MATCH(SMALL($V$4:$V$3183,320),$V$4:$V$3183,0)),""))</f>
        <v/>
      </c>
      <c r="J323">
        <f>IF($B323="","",IF($D323&gt;$F$2,"À venir",IF($E323&lt;$D$2,"Passé","Dans la période")))</f>
        <v/>
      </c>
      <c r="K323">
        <f>IF(OR($B323="",NOT(ISNUMBER($D323))),"",IF(AND($E323&lt;$D$2,$G323&lt;&gt;"X",$F323&lt;&gt;"Réalisé",$F323&lt;&gt;"Clôturé"),"RETARD",""))</f>
        <v/>
      </c>
      <c r="L323">
        <f>IF(OR($B323="",NOT(ISNUMBER($D323))),"",IF(AND($D323&gt;=$D$2,$D323&lt;=$H$2,$G323&lt;&gt;"X",$F323&lt;&gt;"Réalisé",$F323&lt;&gt;"Clôturé"),"≤ 7 j",""))</f>
        <v/>
      </c>
      <c r="M323" s="29">
        <f>IF($B323="","",IFERROR(INDEX($T$4:$T$3183,MATCH(SMALL($V$4:$V$3183,320),$V$4:$V$3183,0)),""))</f>
        <v/>
      </c>
      <c r="O323">
        <f>IF(INDEX(Suivi!$B:$B,330)="","",INDEX(Suivi!$B:$B,330))</f>
        <v/>
      </c>
      <c r="P323">
        <f>IF($O323="","",IF(INDEX(Suivi!$D:$D,330)="",INDEX(Suivi!$C:$C,330),INDEX(Suivi!$D:$D,330)))</f>
        <v/>
      </c>
      <c r="Q323">
        <f>IF($O323="","",INDEX(Suivi!$E:$E,330))</f>
        <v/>
      </c>
      <c r="R323">
        <f>IF($O323="","",INDEX(Suivi!$F:$F,330))</f>
        <v/>
      </c>
      <c r="S323">
        <f>IF($O323="","",INDEX(Suivi!$G:$G,330))</f>
        <v/>
      </c>
      <c r="T323">
        <f>IF($O323="","",IF(INDEX(Dossiers!$F$4:$F$63,7)="","",INDEX(Dossiers!$F$4:$F$63,7)))</f>
        <v/>
      </c>
      <c r="U323">
        <f>IF($O323="","",IF(INDEX(Dossiers!$G$4:$G$63,7)="","",INDEX(Dossiers!$G$4:$G$63,7)))</f>
        <v/>
      </c>
      <c r="V323">
        <f>IF(OR($O323="",NOT(ISNUMBER($Q323))),"",$Q323*1000000+323)</f>
        <v/>
      </c>
      <c r="W323" s="29">
        <f>IF($B323="","",IFERROR(INDEX($U$4:$U$3183,MATCH(SMALL($V$4:$V$3183,320),$V$4:$V$3183,0)),""))</f>
        <v/>
      </c>
    </row>
    <row r="324">
      <c r="A324">
        <f>IFERROR(INDEX($N$4:$N$3183,MATCH(SMALL($V$4:$V$3183,321),$V$4:$V$3183,0)),"")</f>
        <v/>
      </c>
      <c r="B324">
        <f>IFERROR(INDEX($O$4:$O$3183,MATCH(SMALL($V$4:$V$3183,321),$V$4:$V$3183,0)),"")</f>
        <v/>
      </c>
      <c r="C324">
        <f>IFERROR(INDEX($P$4:$P$3183,MATCH(SMALL($V$4:$V$3183,321),$V$4:$V$3183,0)),"")</f>
        <v/>
      </c>
      <c r="D324" s="29">
        <f>IFERROR(INDEX($Q$4:$Q$3183,MATCH(SMALL($V$4:$V$3183,321),$V$4:$V$3183,0)),"")</f>
        <v/>
      </c>
      <c r="E324" s="29">
        <f>IFERROR(INDEX($R$4:$R$3183,MATCH(SMALL($V$4:$V$3183,321),$V$4:$V$3183,0)),"")</f>
        <v/>
      </c>
      <c r="F324">
        <f>IFERROR(INDEX($S$4:$S$3183,MATCH(SMALL($V$4:$V$3183,321),$V$4:$V$3183,0)),"")</f>
        <v/>
      </c>
      <c r="I324" s="29">
        <f>IF($B324="","",IFERROR(INDEX($U$4:$U$3183,MATCH(SMALL($V$4:$V$3183,321),$V$4:$V$3183,0)),""))</f>
        <v/>
      </c>
      <c r="J324">
        <f>IF($B324="","",IF($D324&gt;$F$2,"À venir",IF($E324&lt;$D$2,"Passé","Dans la période")))</f>
        <v/>
      </c>
      <c r="K324">
        <f>IF(OR($B324="",NOT(ISNUMBER($D324))),"",IF(AND($E324&lt;$D$2,$G324&lt;&gt;"X",$F324&lt;&gt;"Réalisé",$F324&lt;&gt;"Clôturé"),"RETARD",""))</f>
        <v/>
      </c>
      <c r="L324">
        <f>IF(OR($B324="",NOT(ISNUMBER($D324))),"",IF(AND($D324&gt;=$D$2,$D324&lt;=$H$2,$G324&lt;&gt;"X",$F324&lt;&gt;"Réalisé",$F324&lt;&gt;"Clôturé"),"≤ 7 j",""))</f>
        <v/>
      </c>
      <c r="M324" s="29">
        <f>IF($B324="","",IFERROR(INDEX($T$4:$T$3183,MATCH(SMALL($V$4:$V$3183,321),$V$4:$V$3183,0)),""))</f>
        <v/>
      </c>
      <c r="O324">
        <f>IF(INDEX(Suivi!$B:$B,331)="","",INDEX(Suivi!$B:$B,331))</f>
        <v/>
      </c>
      <c r="P324">
        <f>IF($O324="","",IF(INDEX(Suivi!$D:$D,331)="",INDEX(Suivi!$C:$C,331),INDEX(Suivi!$D:$D,331)))</f>
        <v/>
      </c>
      <c r="Q324">
        <f>IF($O324="","",INDEX(Suivi!$E:$E,331))</f>
        <v/>
      </c>
      <c r="R324">
        <f>IF($O324="","",INDEX(Suivi!$F:$F,331))</f>
        <v/>
      </c>
      <c r="S324">
        <f>IF($O324="","",INDEX(Suivi!$G:$G,331))</f>
        <v/>
      </c>
      <c r="T324">
        <f>IF($O324="","",IF(INDEX(Dossiers!$F$4:$F$63,7)="","",INDEX(Dossiers!$F$4:$F$63,7)))</f>
        <v/>
      </c>
      <c r="U324">
        <f>IF($O324="","",IF(INDEX(Dossiers!$G$4:$G$63,7)="","",INDEX(Dossiers!$G$4:$G$63,7)))</f>
        <v/>
      </c>
      <c r="V324">
        <f>IF(OR($O324="",NOT(ISNUMBER($Q324))),"",$Q324*1000000+324)</f>
        <v/>
      </c>
      <c r="W324" s="29">
        <f>IF($B324="","",IFERROR(INDEX($U$4:$U$3183,MATCH(SMALL($V$4:$V$3183,321),$V$4:$V$3183,0)),""))</f>
        <v/>
      </c>
    </row>
    <row r="325">
      <c r="A325">
        <f>IFERROR(INDEX($N$4:$N$3183,MATCH(SMALL($V$4:$V$3183,322),$V$4:$V$3183,0)),"")</f>
        <v/>
      </c>
      <c r="B325">
        <f>IFERROR(INDEX($O$4:$O$3183,MATCH(SMALL($V$4:$V$3183,322),$V$4:$V$3183,0)),"")</f>
        <v/>
      </c>
      <c r="C325">
        <f>IFERROR(INDEX($P$4:$P$3183,MATCH(SMALL($V$4:$V$3183,322),$V$4:$V$3183,0)),"")</f>
        <v/>
      </c>
      <c r="D325" s="29">
        <f>IFERROR(INDEX($Q$4:$Q$3183,MATCH(SMALL($V$4:$V$3183,322),$V$4:$V$3183,0)),"")</f>
        <v/>
      </c>
      <c r="E325" s="29">
        <f>IFERROR(INDEX($R$4:$R$3183,MATCH(SMALL($V$4:$V$3183,322),$V$4:$V$3183,0)),"")</f>
        <v/>
      </c>
      <c r="F325">
        <f>IFERROR(INDEX($S$4:$S$3183,MATCH(SMALL($V$4:$V$3183,322),$V$4:$V$3183,0)),"")</f>
        <v/>
      </c>
      <c r="I325" s="29">
        <f>IF($B325="","",IFERROR(INDEX($U$4:$U$3183,MATCH(SMALL($V$4:$V$3183,322),$V$4:$V$3183,0)),""))</f>
        <v/>
      </c>
      <c r="J325">
        <f>IF($B325="","",IF($D325&gt;$F$2,"À venir",IF($E325&lt;$D$2,"Passé","Dans la période")))</f>
        <v/>
      </c>
      <c r="K325">
        <f>IF(OR($B325="",NOT(ISNUMBER($D325))),"",IF(AND($E325&lt;$D$2,$G325&lt;&gt;"X",$F325&lt;&gt;"Réalisé",$F325&lt;&gt;"Clôturé"),"RETARD",""))</f>
        <v/>
      </c>
      <c r="L325">
        <f>IF(OR($B325="",NOT(ISNUMBER($D325))),"",IF(AND($D325&gt;=$D$2,$D325&lt;=$H$2,$G325&lt;&gt;"X",$F325&lt;&gt;"Réalisé",$F325&lt;&gt;"Clôturé"),"≤ 7 j",""))</f>
        <v/>
      </c>
      <c r="M325" s="29">
        <f>IF($B325="","",IFERROR(INDEX($T$4:$T$3183,MATCH(SMALL($V$4:$V$3183,322),$V$4:$V$3183,0)),""))</f>
        <v/>
      </c>
      <c r="O325">
        <f>IF(INDEX(Suivi!$B:$B,332)="","",INDEX(Suivi!$B:$B,332))</f>
        <v/>
      </c>
      <c r="P325">
        <f>IF($O325="","",IF(INDEX(Suivi!$D:$D,332)="",INDEX(Suivi!$C:$C,332),INDEX(Suivi!$D:$D,332)))</f>
        <v/>
      </c>
      <c r="Q325">
        <f>IF($O325="","",INDEX(Suivi!$E:$E,332))</f>
        <v/>
      </c>
      <c r="R325">
        <f>IF($O325="","",INDEX(Suivi!$F:$F,332))</f>
        <v/>
      </c>
      <c r="S325">
        <f>IF($O325="","",INDEX(Suivi!$G:$G,332))</f>
        <v/>
      </c>
      <c r="T325">
        <f>IF($O325="","",IF(INDEX(Dossiers!$F$4:$F$63,7)="","",INDEX(Dossiers!$F$4:$F$63,7)))</f>
        <v/>
      </c>
      <c r="U325">
        <f>IF($O325="","",IF(INDEX(Dossiers!$G$4:$G$63,7)="","",INDEX(Dossiers!$G$4:$G$63,7)))</f>
        <v/>
      </c>
      <c r="V325">
        <f>IF(OR($O325="",NOT(ISNUMBER($Q325))),"",$Q325*1000000+325)</f>
        <v/>
      </c>
      <c r="W325" s="29">
        <f>IF($B325="","",IFERROR(INDEX($U$4:$U$3183,MATCH(SMALL($V$4:$V$3183,322),$V$4:$V$3183,0)),""))</f>
        <v/>
      </c>
    </row>
    <row r="326">
      <c r="A326">
        <f>IFERROR(INDEX($N$4:$N$3183,MATCH(SMALL($V$4:$V$3183,323),$V$4:$V$3183,0)),"")</f>
        <v/>
      </c>
      <c r="B326">
        <f>IFERROR(INDEX($O$4:$O$3183,MATCH(SMALL($V$4:$V$3183,323),$V$4:$V$3183,0)),"")</f>
        <v/>
      </c>
      <c r="C326">
        <f>IFERROR(INDEX($P$4:$P$3183,MATCH(SMALL($V$4:$V$3183,323),$V$4:$V$3183,0)),"")</f>
        <v/>
      </c>
      <c r="D326" s="29">
        <f>IFERROR(INDEX($Q$4:$Q$3183,MATCH(SMALL($V$4:$V$3183,323),$V$4:$V$3183,0)),"")</f>
        <v/>
      </c>
      <c r="E326" s="29">
        <f>IFERROR(INDEX($R$4:$R$3183,MATCH(SMALL($V$4:$V$3183,323),$V$4:$V$3183,0)),"")</f>
        <v/>
      </c>
      <c r="F326">
        <f>IFERROR(INDEX($S$4:$S$3183,MATCH(SMALL($V$4:$V$3183,323),$V$4:$V$3183,0)),"")</f>
        <v/>
      </c>
      <c r="I326" s="29">
        <f>IF($B326="","",IFERROR(INDEX($U$4:$U$3183,MATCH(SMALL($V$4:$V$3183,323),$V$4:$V$3183,0)),""))</f>
        <v/>
      </c>
      <c r="J326">
        <f>IF($B326="","",IF($D326&gt;$F$2,"À venir",IF($E326&lt;$D$2,"Passé","Dans la période")))</f>
        <v/>
      </c>
      <c r="K326">
        <f>IF(OR($B326="",NOT(ISNUMBER($D326))),"",IF(AND($E326&lt;$D$2,$G326&lt;&gt;"X",$F326&lt;&gt;"Réalisé",$F326&lt;&gt;"Clôturé"),"RETARD",""))</f>
        <v/>
      </c>
      <c r="L326">
        <f>IF(OR($B326="",NOT(ISNUMBER($D326))),"",IF(AND($D326&gt;=$D$2,$D326&lt;=$H$2,$G326&lt;&gt;"X",$F326&lt;&gt;"Réalisé",$F326&lt;&gt;"Clôturé"),"≤ 7 j",""))</f>
        <v/>
      </c>
      <c r="M326" s="29">
        <f>IF($B326="","",IFERROR(INDEX($T$4:$T$3183,MATCH(SMALL($V$4:$V$3183,323),$V$4:$V$3183,0)),""))</f>
        <v/>
      </c>
      <c r="O326">
        <f>IF(INDEX(Suivi!$B:$B,333)="","",INDEX(Suivi!$B:$B,333))</f>
        <v/>
      </c>
      <c r="P326">
        <f>IF($O326="","",IF(INDEX(Suivi!$D:$D,333)="",INDEX(Suivi!$C:$C,333),INDEX(Suivi!$D:$D,333)))</f>
        <v/>
      </c>
      <c r="Q326">
        <f>IF($O326="","",INDEX(Suivi!$E:$E,333))</f>
        <v/>
      </c>
      <c r="R326">
        <f>IF($O326="","",INDEX(Suivi!$F:$F,333))</f>
        <v/>
      </c>
      <c r="S326">
        <f>IF($O326="","",INDEX(Suivi!$G:$G,333))</f>
        <v/>
      </c>
      <c r="T326">
        <f>IF($O326="","",IF(INDEX(Dossiers!$F$4:$F$63,7)="","",INDEX(Dossiers!$F$4:$F$63,7)))</f>
        <v/>
      </c>
      <c r="U326">
        <f>IF($O326="","",IF(INDEX(Dossiers!$G$4:$G$63,7)="","",INDEX(Dossiers!$G$4:$G$63,7)))</f>
        <v/>
      </c>
      <c r="V326">
        <f>IF(OR($O326="",NOT(ISNUMBER($Q326))),"",$Q326*1000000+326)</f>
        <v/>
      </c>
      <c r="W326" s="29">
        <f>IF($B326="","",IFERROR(INDEX($U$4:$U$3183,MATCH(SMALL($V$4:$V$3183,323),$V$4:$V$3183,0)),""))</f>
        <v/>
      </c>
    </row>
    <row r="327">
      <c r="A327">
        <f>IFERROR(INDEX($N$4:$N$3183,MATCH(SMALL($V$4:$V$3183,324),$V$4:$V$3183,0)),"")</f>
        <v/>
      </c>
      <c r="B327">
        <f>IFERROR(INDEX($O$4:$O$3183,MATCH(SMALL($V$4:$V$3183,324),$V$4:$V$3183,0)),"")</f>
        <v/>
      </c>
      <c r="C327">
        <f>IFERROR(INDEX($P$4:$P$3183,MATCH(SMALL($V$4:$V$3183,324),$V$4:$V$3183,0)),"")</f>
        <v/>
      </c>
      <c r="D327" s="29">
        <f>IFERROR(INDEX($Q$4:$Q$3183,MATCH(SMALL($V$4:$V$3183,324),$V$4:$V$3183,0)),"")</f>
        <v/>
      </c>
      <c r="E327" s="29">
        <f>IFERROR(INDEX($R$4:$R$3183,MATCH(SMALL($V$4:$V$3183,324),$V$4:$V$3183,0)),"")</f>
        <v/>
      </c>
      <c r="F327">
        <f>IFERROR(INDEX($S$4:$S$3183,MATCH(SMALL($V$4:$V$3183,324),$V$4:$V$3183,0)),"")</f>
        <v/>
      </c>
      <c r="I327" s="29">
        <f>IF($B327="","",IFERROR(INDEX($U$4:$U$3183,MATCH(SMALL($V$4:$V$3183,324),$V$4:$V$3183,0)),""))</f>
        <v/>
      </c>
      <c r="J327">
        <f>IF($B327="","",IF($D327&gt;$F$2,"À venir",IF($E327&lt;$D$2,"Passé","Dans la période")))</f>
        <v/>
      </c>
      <c r="K327">
        <f>IF(OR($B327="",NOT(ISNUMBER($D327))),"",IF(AND($E327&lt;$D$2,$G327&lt;&gt;"X",$F327&lt;&gt;"Réalisé",$F327&lt;&gt;"Clôturé"),"RETARD",""))</f>
        <v/>
      </c>
      <c r="L327">
        <f>IF(OR($B327="",NOT(ISNUMBER($D327))),"",IF(AND($D327&gt;=$D$2,$D327&lt;=$H$2,$G327&lt;&gt;"X",$F327&lt;&gt;"Réalisé",$F327&lt;&gt;"Clôturé"),"≤ 7 j",""))</f>
        <v/>
      </c>
      <c r="M327" s="29">
        <f>IF($B327="","",IFERROR(INDEX($T$4:$T$3183,MATCH(SMALL($V$4:$V$3183,324),$V$4:$V$3183,0)),""))</f>
        <v/>
      </c>
      <c r="O327">
        <f>IF(INDEX(Suivi!$B:$B,334)="","",INDEX(Suivi!$B:$B,334))</f>
        <v/>
      </c>
      <c r="P327">
        <f>IF($O327="","",IF(INDEX(Suivi!$D:$D,334)="",INDEX(Suivi!$C:$C,334),INDEX(Suivi!$D:$D,334)))</f>
        <v/>
      </c>
      <c r="Q327">
        <f>IF($O327="","",INDEX(Suivi!$E:$E,334))</f>
        <v/>
      </c>
      <c r="R327">
        <f>IF($O327="","",INDEX(Suivi!$F:$F,334))</f>
        <v/>
      </c>
      <c r="S327">
        <f>IF($O327="","",INDEX(Suivi!$G:$G,334))</f>
        <v/>
      </c>
      <c r="T327">
        <f>IF($O327="","",IF(INDEX(Dossiers!$F$4:$F$63,7)="","",INDEX(Dossiers!$F$4:$F$63,7)))</f>
        <v/>
      </c>
      <c r="U327">
        <f>IF($O327="","",IF(INDEX(Dossiers!$G$4:$G$63,7)="","",INDEX(Dossiers!$G$4:$G$63,7)))</f>
        <v/>
      </c>
      <c r="V327">
        <f>IF(OR($O327="",NOT(ISNUMBER($Q327))),"",$Q327*1000000+327)</f>
        <v/>
      </c>
      <c r="W327" s="29">
        <f>IF($B327="","",IFERROR(INDEX($U$4:$U$3183,MATCH(SMALL($V$4:$V$3183,324),$V$4:$V$3183,0)),""))</f>
        <v/>
      </c>
    </row>
    <row r="328">
      <c r="A328">
        <f>IFERROR(INDEX($N$4:$N$3183,MATCH(SMALL($V$4:$V$3183,325),$V$4:$V$3183,0)),"")</f>
        <v/>
      </c>
      <c r="B328">
        <f>IFERROR(INDEX($O$4:$O$3183,MATCH(SMALL($V$4:$V$3183,325),$V$4:$V$3183,0)),"")</f>
        <v/>
      </c>
      <c r="C328">
        <f>IFERROR(INDEX($P$4:$P$3183,MATCH(SMALL($V$4:$V$3183,325),$V$4:$V$3183,0)),"")</f>
        <v/>
      </c>
      <c r="D328" s="29">
        <f>IFERROR(INDEX($Q$4:$Q$3183,MATCH(SMALL($V$4:$V$3183,325),$V$4:$V$3183,0)),"")</f>
        <v/>
      </c>
      <c r="E328" s="29">
        <f>IFERROR(INDEX($R$4:$R$3183,MATCH(SMALL($V$4:$V$3183,325),$V$4:$V$3183,0)),"")</f>
        <v/>
      </c>
      <c r="F328">
        <f>IFERROR(INDEX($S$4:$S$3183,MATCH(SMALL($V$4:$V$3183,325),$V$4:$V$3183,0)),"")</f>
        <v/>
      </c>
      <c r="I328" s="29">
        <f>IF($B328="","",IFERROR(INDEX($U$4:$U$3183,MATCH(SMALL($V$4:$V$3183,325),$V$4:$V$3183,0)),""))</f>
        <v/>
      </c>
      <c r="J328">
        <f>IF($B328="","",IF($D328&gt;$F$2,"À venir",IF($E328&lt;$D$2,"Passé","Dans la période")))</f>
        <v/>
      </c>
      <c r="K328">
        <f>IF(OR($B328="",NOT(ISNUMBER($D328))),"",IF(AND($E328&lt;$D$2,$G328&lt;&gt;"X",$F328&lt;&gt;"Réalisé",$F328&lt;&gt;"Clôturé"),"RETARD",""))</f>
        <v/>
      </c>
      <c r="L328">
        <f>IF(OR($B328="",NOT(ISNUMBER($D328))),"",IF(AND($D328&gt;=$D$2,$D328&lt;=$H$2,$G328&lt;&gt;"X",$F328&lt;&gt;"Réalisé",$F328&lt;&gt;"Clôturé"),"≤ 7 j",""))</f>
        <v/>
      </c>
      <c r="M328" s="29">
        <f>IF($B328="","",IFERROR(INDEX($T$4:$T$3183,MATCH(SMALL($V$4:$V$3183,325),$V$4:$V$3183,0)),""))</f>
        <v/>
      </c>
      <c r="O328">
        <f>IF(INDEX(Suivi!$B:$B,335)="","",INDEX(Suivi!$B:$B,335))</f>
        <v/>
      </c>
      <c r="P328">
        <f>IF($O328="","",IF(INDEX(Suivi!$D:$D,335)="",INDEX(Suivi!$C:$C,335),INDEX(Suivi!$D:$D,335)))</f>
        <v/>
      </c>
      <c r="Q328">
        <f>IF($O328="","",INDEX(Suivi!$E:$E,335))</f>
        <v/>
      </c>
      <c r="R328">
        <f>IF($O328="","",INDEX(Suivi!$F:$F,335))</f>
        <v/>
      </c>
      <c r="S328">
        <f>IF($O328="","",INDEX(Suivi!$G:$G,335))</f>
        <v/>
      </c>
      <c r="T328">
        <f>IF($O328="","",IF(INDEX(Dossiers!$F$4:$F$63,7)="","",INDEX(Dossiers!$F$4:$F$63,7)))</f>
        <v/>
      </c>
      <c r="U328">
        <f>IF($O328="","",IF(INDEX(Dossiers!$G$4:$G$63,7)="","",INDEX(Dossiers!$G$4:$G$63,7)))</f>
        <v/>
      </c>
      <c r="V328">
        <f>IF(OR($O328="",NOT(ISNUMBER($Q328))),"",$Q328*1000000+328)</f>
        <v/>
      </c>
      <c r="W328" s="29">
        <f>IF($B328="","",IFERROR(INDEX($U$4:$U$3183,MATCH(SMALL($V$4:$V$3183,325),$V$4:$V$3183,0)),""))</f>
        <v/>
      </c>
    </row>
    <row r="329">
      <c r="A329">
        <f>IFERROR(INDEX($N$4:$N$3183,MATCH(SMALL($V$4:$V$3183,326),$V$4:$V$3183,0)),"")</f>
        <v/>
      </c>
      <c r="B329">
        <f>IFERROR(INDEX($O$4:$O$3183,MATCH(SMALL($V$4:$V$3183,326),$V$4:$V$3183,0)),"")</f>
        <v/>
      </c>
      <c r="C329">
        <f>IFERROR(INDEX($P$4:$P$3183,MATCH(SMALL($V$4:$V$3183,326),$V$4:$V$3183,0)),"")</f>
        <v/>
      </c>
      <c r="D329" s="29">
        <f>IFERROR(INDEX($Q$4:$Q$3183,MATCH(SMALL($V$4:$V$3183,326),$V$4:$V$3183,0)),"")</f>
        <v/>
      </c>
      <c r="E329" s="29">
        <f>IFERROR(INDEX($R$4:$R$3183,MATCH(SMALL($V$4:$V$3183,326),$V$4:$V$3183,0)),"")</f>
        <v/>
      </c>
      <c r="F329">
        <f>IFERROR(INDEX($S$4:$S$3183,MATCH(SMALL($V$4:$V$3183,326),$V$4:$V$3183,0)),"")</f>
        <v/>
      </c>
      <c r="I329" s="29">
        <f>IF($B329="","",IFERROR(INDEX($U$4:$U$3183,MATCH(SMALL($V$4:$V$3183,326),$V$4:$V$3183,0)),""))</f>
        <v/>
      </c>
      <c r="J329">
        <f>IF($B329="","",IF($D329&gt;$F$2,"À venir",IF($E329&lt;$D$2,"Passé","Dans la période")))</f>
        <v/>
      </c>
      <c r="K329">
        <f>IF(OR($B329="",NOT(ISNUMBER($D329))),"",IF(AND($E329&lt;$D$2,$G329&lt;&gt;"X",$F329&lt;&gt;"Réalisé",$F329&lt;&gt;"Clôturé"),"RETARD",""))</f>
        <v/>
      </c>
      <c r="L329">
        <f>IF(OR($B329="",NOT(ISNUMBER($D329))),"",IF(AND($D329&gt;=$D$2,$D329&lt;=$H$2,$G329&lt;&gt;"X",$F329&lt;&gt;"Réalisé",$F329&lt;&gt;"Clôturé"),"≤ 7 j",""))</f>
        <v/>
      </c>
      <c r="M329" s="29">
        <f>IF($B329="","",IFERROR(INDEX($T$4:$T$3183,MATCH(SMALL($V$4:$V$3183,326),$V$4:$V$3183,0)),""))</f>
        <v/>
      </c>
      <c r="O329">
        <f>IF(INDEX(Suivi!$B:$B,336)="","",INDEX(Suivi!$B:$B,336))</f>
        <v/>
      </c>
      <c r="P329">
        <f>IF($O329="","",IF(INDEX(Suivi!$D:$D,336)="",INDEX(Suivi!$C:$C,336),INDEX(Suivi!$D:$D,336)))</f>
        <v/>
      </c>
      <c r="Q329">
        <f>IF($O329="","",INDEX(Suivi!$E:$E,336))</f>
        <v/>
      </c>
      <c r="R329">
        <f>IF($O329="","",INDEX(Suivi!$F:$F,336))</f>
        <v/>
      </c>
      <c r="S329">
        <f>IF($O329="","",INDEX(Suivi!$G:$G,336))</f>
        <v/>
      </c>
      <c r="T329">
        <f>IF($O329="","",IF(INDEX(Dossiers!$F$4:$F$63,7)="","",INDEX(Dossiers!$F$4:$F$63,7)))</f>
        <v/>
      </c>
      <c r="U329">
        <f>IF($O329="","",IF(INDEX(Dossiers!$G$4:$G$63,7)="","",INDEX(Dossiers!$G$4:$G$63,7)))</f>
        <v/>
      </c>
      <c r="V329">
        <f>IF(OR($O329="",NOT(ISNUMBER($Q329))),"",$Q329*1000000+329)</f>
        <v/>
      </c>
      <c r="W329" s="29">
        <f>IF($B329="","",IFERROR(INDEX($U$4:$U$3183,MATCH(SMALL($V$4:$V$3183,326),$V$4:$V$3183,0)),""))</f>
        <v/>
      </c>
    </row>
    <row r="330">
      <c r="A330">
        <f>IFERROR(INDEX($N$4:$N$3183,MATCH(SMALL($V$4:$V$3183,327),$V$4:$V$3183,0)),"")</f>
        <v/>
      </c>
      <c r="B330">
        <f>IFERROR(INDEX($O$4:$O$3183,MATCH(SMALL($V$4:$V$3183,327),$V$4:$V$3183,0)),"")</f>
        <v/>
      </c>
      <c r="C330">
        <f>IFERROR(INDEX($P$4:$P$3183,MATCH(SMALL($V$4:$V$3183,327),$V$4:$V$3183,0)),"")</f>
        <v/>
      </c>
      <c r="D330" s="29">
        <f>IFERROR(INDEX($Q$4:$Q$3183,MATCH(SMALL($V$4:$V$3183,327),$V$4:$V$3183,0)),"")</f>
        <v/>
      </c>
      <c r="E330" s="29">
        <f>IFERROR(INDEX($R$4:$R$3183,MATCH(SMALL($V$4:$V$3183,327),$V$4:$V$3183,0)),"")</f>
        <v/>
      </c>
      <c r="F330">
        <f>IFERROR(INDEX($S$4:$S$3183,MATCH(SMALL($V$4:$V$3183,327),$V$4:$V$3183,0)),"")</f>
        <v/>
      </c>
      <c r="I330" s="29">
        <f>IF($B330="","",IFERROR(INDEX($U$4:$U$3183,MATCH(SMALL($V$4:$V$3183,327),$V$4:$V$3183,0)),""))</f>
        <v/>
      </c>
      <c r="J330">
        <f>IF($B330="","",IF($D330&gt;$F$2,"À venir",IF($E330&lt;$D$2,"Passé","Dans la période")))</f>
        <v/>
      </c>
      <c r="K330">
        <f>IF(OR($B330="",NOT(ISNUMBER($D330))),"",IF(AND($E330&lt;$D$2,$G330&lt;&gt;"X",$F330&lt;&gt;"Réalisé",$F330&lt;&gt;"Clôturé"),"RETARD",""))</f>
        <v/>
      </c>
      <c r="L330">
        <f>IF(OR($B330="",NOT(ISNUMBER($D330))),"",IF(AND($D330&gt;=$D$2,$D330&lt;=$H$2,$G330&lt;&gt;"X",$F330&lt;&gt;"Réalisé",$F330&lt;&gt;"Clôturé"),"≤ 7 j",""))</f>
        <v/>
      </c>
      <c r="M330" s="29">
        <f>IF($B330="","",IFERROR(INDEX($T$4:$T$3183,MATCH(SMALL($V$4:$V$3183,327),$V$4:$V$3183,0)),""))</f>
        <v/>
      </c>
      <c r="O330">
        <f>IF(INDEX(Suivi!$B:$B,337)="","",INDEX(Suivi!$B:$B,337))</f>
        <v/>
      </c>
      <c r="P330">
        <f>IF($O330="","",IF(INDEX(Suivi!$D:$D,337)="",INDEX(Suivi!$C:$C,337),INDEX(Suivi!$D:$D,337)))</f>
        <v/>
      </c>
      <c r="Q330">
        <f>IF($O330="","",INDEX(Suivi!$E:$E,337))</f>
        <v/>
      </c>
      <c r="R330">
        <f>IF($O330="","",INDEX(Suivi!$F:$F,337))</f>
        <v/>
      </c>
      <c r="S330">
        <f>IF($O330="","",INDEX(Suivi!$G:$G,337))</f>
        <v/>
      </c>
      <c r="T330">
        <f>IF($O330="","",IF(INDEX(Dossiers!$F$4:$F$63,7)="","",INDEX(Dossiers!$F$4:$F$63,7)))</f>
        <v/>
      </c>
      <c r="U330">
        <f>IF($O330="","",IF(INDEX(Dossiers!$G$4:$G$63,7)="","",INDEX(Dossiers!$G$4:$G$63,7)))</f>
        <v/>
      </c>
      <c r="V330">
        <f>IF(OR($O330="",NOT(ISNUMBER($Q330))),"",$Q330*1000000+330)</f>
        <v/>
      </c>
      <c r="W330" s="29">
        <f>IF($B330="","",IFERROR(INDEX($U$4:$U$3183,MATCH(SMALL($V$4:$V$3183,327),$V$4:$V$3183,0)),""))</f>
        <v/>
      </c>
    </row>
    <row r="331">
      <c r="A331">
        <f>IFERROR(INDEX($N$4:$N$3183,MATCH(SMALL($V$4:$V$3183,328),$V$4:$V$3183,0)),"")</f>
        <v/>
      </c>
      <c r="B331">
        <f>IFERROR(INDEX($O$4:$O$3183,MATCH(SMALL($V$4:$V$3183,328),$V$4:$V$3183,0)),"")</f>
        <v/>
      </c>
      <c r="C331">
        <f>IFERROR(INDEX($P$4:$P$3183,MATCH(SMALL($V$4:$V$3183,328),$V$4:$V$3183,0)),"")</f>
        <v/>
      </c>
      <c r="D331" s="29">
        <f>IFERROR(INDEX($Q$4:$Q$3183,MATCH(SMALL($V$4:$V$3183,328),$V$4:$V$3183,0)),"")</f>
        <v/>
      </c>
      <c r="E331" s="29">
        <f>IFERROR(INDEX($R$4:$R$3183,MATCH(SMALL($V$4:$V$3183,328),$V$4:$V$3183,0)),"")</f>
        <v/>
      </c>
      <c r="F331">
        <f>IFERROR(INDEX($S$4:$S$3183,MATCH(SMALL($V$4:$V$3183,328),$V$4:$V$3183,0)),"")</f>
        <v/>
      </c>
      <c r="I331" s="29">
        <f>IF($B331="","",IFERROR(INDEX($U$4:$U$3183,MATCH(SMALL($V$4:$V$3183,328),$V$4:$V$3183,0)),""))</f>
        <v/>
      </c>
      <c r="J331">
        <f>IF($B331="","",IF($D331&gt;$F$2,"À venir",IF($E331&lt;$D$2,"Passé","Dans la période")))</f>
        <v/>
      </c>
      <c r="K331">
        <f>IF(OR($B331="",NOT(ISNUMBER($D331))),"",IF(AND($E331&lt;$D$2,$G331&lt;&gt;"X",$F331&lt;&gt;"Réalisé",$F331&lt;&gt;"Clôturé"),"RETARD",""))</f>
        <v/>
      </c>
      <c r="L331">
        <f>IF(OR($B331="",NOT(ISNUMBER($D331))),"",IF(AND($D331&gt;=$D$2,$D331&lt;=$H$2,$G331&lt;&gt;"X",$F331&lt;&gt;"Réalisé",$F331&lt;&gt;"Clôturé"),"≤ 7 j",""))</f>
        <v/>
      </c>
      <c r="M331" s="29">
        <f>IF($B331="","",IFERROR(INDEX($T$4:$T$3183,MATCH(SMALL($V$4:$V$3183,328),$V$4:$V$3183,0)),""))</f>
        <v/>
      </c>
      <c r="O331">
        <f>IF(INDEX(Suivi!$B:$B,338)="","",INDEX(Suivi!$B:$B,338))</f>
        <v/>
      </c>
      <c r="P331">
        <f>IF($O331="","",IF(INDEX(Suivi!$D:$D,338)="",INDEX(Suivi!$C:$C,338),INDEX(Suivi!$D:$D,338)))</f>
        <v/>
      </c>
      <c r="Q331">
        <f>IF($O331="","",INDEX(Suivi!$E:$E,338))</f>
        <v/>
      </c>
      <c r="R331">
        <f>IF($O331="","",INDEX(Suivi!$F:$F,338))</f>
        <v/>
      </c>
      <c r="S331">
        <f>IF($O331="","",INDEX(Suivi!$G:$G,338))</f>
        <v/>
      </c>
      <c r="T331">
        <f>IF($O331="","",IF(INDEX(Dossiers!$F$4:$F$63,7)="","",INDEX(Dossiers!$F$4:$F$63,7)))</f>
        <v/>
      </c>
      <c r="U331">
        <f>IF($O331="","",IF(INDEX(Dossiers!$G$4:$G$63,7)="","",INDEX(Dossiers!$G$4:$G$63,7)))</f>
        <v/>
      </c>
      <c r="V331">
        <f>IF(OR($O331="",NOT(ISNUMBER($Q331))),"",$Q331*1000000+331)</f>
        <v/>
      </c>
      <c r="W331" s="29">
        <f>IF($B331="","",IFERROR(INDEX($U$4:$U$3183,MATCH(SMALL($V$4:$V$3183,328),$V$4:$V$3183,0)),""))</f>
        <v/>
      </c>
    </row>
    <row r="332">
      <c r="A332">
        <f>IFERROR(INDEX($N$4:$N$3183,MATCH(SMALL($V$4:$V$3183,329),$V$4:$V$3183,0)),"")</f>
        <v/>
      </c>
      <c r="B332">
        <f>IFERROR(INDEX($O$4:$O$3183,MATCH(SMALL($V$4:$V$3183,329),$V$4:$V$3183,0)),"")</f>
        <v/>
      </c>
      <c r="C332">
        <f>IFERROR(INDEX($P$4:$P$3183,MATCH(SMALL($V$4:$V$3183,329),$V$4:$V$3183,0)),"")</f>
        <v/>
      </c>
      <c r="D332" s="29">
        <f>IFERROR(INDEX($Q$4:$Q$3183,MATCH(SMALL($V$4:$V$3183,329),$V$4:$V$3183,0)),"")</f>
        <v/>
      </c>
      <c r="E332" s="29">
        <f>IFERROR(INDEX($R$4:$R$3183,MATCH(SMALL($V$4:$V$3183,329),$V$4:$V$3183,0)),"")</f>
        <v/>
      </c>
      <c r="F332">
        <f>IFERROR(INDEX($S$4:$S$3183,MATCH(SMALL($V$4:$V$3183,329),$V$4:$V$3183,0)),"")</f>
        <v/>
      </c>
      <c r="I332" s="29">
        <f>IF($B332="","",IFERROR(INDEX($U$4:$U$3183,MATCH(SMALL($V$4:$V$3183,329),$V$4:$V$3183,0)),""))</f>
        <v/>
      </c>
      <c r="J332">
        <f>IF($B332="","",IF($D332&gt;$F$2,"À venir",IF($E332&lt;$D$2,"Passé","Dans la période")))</f>
        <v/>
      </c>
      <c r="K332">
        <f>IF(OR($B332="",NOT(ISNUMBER($D332))),"",IF(AND($E332&lt;$D$2,$G332&lt;&gt;"X",$F332&lt;&gt;"Réalisé",$F332&lt;&gt;"Clôturé"),"RETARD",""))</f>
        <v/>
      </c>
      <c r="L332">
        <f>IF(OR($B332="",NOT(ISNUMBER($D332))),"",IF(AND($D332&gt;=$D$2,$D332&lt;=$H$2,$G332&lt;&gt;"X",$F332&lt;&gt;"Réalisé",$F332&lt;&gt;"Clôturé"),"≤ 7 j",""))</f>
        <v/>
      </c>
      <c r="M332" s="29">
        <f>IF($B332="","",IFERROR(INDEX($T$4:$T$3183,MATCH(SMALL($V$4:$V$3183,329),$V$4:$V$3183,0)),""))</f>
        <v/>
      </c>
      <c r="O332">
        <f>IF(INDEX(Suivi!$B:$B,339)="","",INDEX(Suivi!$B:$B,339))</f>
        <v/>
      </c>
      <c r="P332">
        <f>IF($O332="","",IF(INDEX(Suivi!$D:$D,339)="",INDEX(Suivi!$C:$C,339),INDEX(Suivi!$D:$D,339)))</f>
        <v/>
      </c>
      <c r="Q332">
        <f>IF($O332="","",INDEX(Suivi!$E:$E,339))</f>
        <v/>
      </c>
      <c r="R332">
        <f>IF($O332="","",INDEX(Suivi!$F:$F,339))</f>
        <v/>
      </c>
      <c r="S332">
        <f>IF($O332="","",INDEX(Suivi!$G:$G,339))</f>
        <v/>
      </c>
      <c r="T332">
        <f>IF($O332="","",IF(INDEX(Dossiers!$F$4:$F$63,7)="","",INDEX(Dossiers!$F$4:$F$63,7)))</f>
        <v/>
      </c>
      <c r="U332">
        <f>IF($O332="","",IF(INDEX(Dossiers!$G$4:$G$63,7)="","",INDEX(Dossiers!$G$4:$G$63,7)))</f>
        <v/>
      </c>
      <c r="V332">
        <f>IF(OR($O332="",NOT(ISNUMBER($Q332))),"",$Q332*1000000+332)</f>
        <v/>
      </c>
      <c r="W332" s="29">
        <f>IF($B332="","",IFERROR(INDEX($U$4:$U$3183,MATCH(SMALL($V$4:$V$3183,329),$V$4:$V$3183,0)),""))</f>
        <v/>
      </c>
    </row>
    <row r="333">
      <c r="A333">
        <f>IFERROR(INDEX($N$4:$N$3183,MATCH(SMALL($V$4:$V$3183,330),$V$4:$V$3183,0)),"")</f>
        <v/>
      </c>
      <c r="B333">
        <f>IFERROR(INDEX($O$4:$O$3183,MATCH(SMALL($V$4:$V$3183,330),$V$4:$V$3183,0)),"")</f>
        <v/>
      </c>
      <c r="C333">
        <f>IFERROR(INDEX($P$4:$P$3183,MATCH(SMALL($V$4:$V$3183,330),$V$4:$V$3183,0)),"")</f>
        <v/>
      </c>
      <c r="D333" s="29">
        <f>IFERROR(INDEX($Q$4:$Q$3183,MATCH(SMALL($V$4:$V$3183,330),$V$4:$V$3183,0)),"")</f>
        <v/>
      </c>
      <c r="E333" s="29">
        <f>IFERROR(INDEX($R$4:$R$3183,MATCH(SMALL($V$4:$V$3183,330),$V$4:$V$3183,0)),"")</f>
        <v/>
      </c>
      <c r="F333">
        <f>IFERROR(INDEX($S$4:$S$3183,MATCH(SMALL($V$4:$V$3183,330),$V$4:$V$3183,0)),"")</f>
        <v/>
      </c>
      <c r="I333" s="29">
        <f>IF($B333="","",IFERROR(INDEX($U$4:$U$3183,MATCH(SMALL($V$4:$V$3183,330),$V$4:$V$3183,0)),""))</f>
        <v/>
      </c>
      <c r="J333">
        <f>IF($B333="","",IF($D333&gt;$F$2,"À venir",IF($E333&lt;$D$2,"Passé","Dans la période")))</f>
        <v/>
      </c>
      <c r="K333">
        <f>IF(OR($B333="",NOT(ISNUMBER($D333))),"",IF(AND($E333&lt;$D$2,$G333&lt;&gt;"X",$F333&lt;&gt;"Réalisé",$F333&lt;&gt;"Clôturé"),"RETARD",""))</f>
        <v/>
      </c>
      <c r="L333">
        <f>IF(OR($B333="",NOT(ISNUMBER($D333))),"",IF(AND($D333&gt;=$D$2,$D333&lt;=$H$2,$G333&lt;&gt;"X",$F333&lt;&gt;"Réalisé",$F333&lt;&gt;"Clôturé"),"≤ 7 j",""))</f>
        <v/>
      </c>
      <c r="M333" s="29">
        <f>IF($B333="","",IFERROR(INDEX($T$4:$T$3183,MATCH(SMALL($V$4:$V$3183,330),$V$4:$V$3183,0)),""))</f>
        <v/>
      </c>
      <c r="O333">
        <f>IF(INDEX(Suivi!$B:$B,340)="","",INDEX(Suivi!$B:$B,340))</f>
        <v/>
      </c>
      <c r="P333">
        <f>IF($O333="","",IF(INDEX(Suivi!$D:$D,340)="",INDEX(Suivi!$C:$C,340),INDEX(Suivi!$D:$D,340)))</f>
        <v/>
      </c>
      <c r="Q333">
        <f>IF($O333="","",INDEX(Suivi!$E:$E,340))</f>
        <v/>
      </c>
      <c r="R333">
        <f>IF($O333="","",INDEX(Suivi!$F:$F,340))</f>
        <v/>
      </c>
      <c r="S333">
        <f>IF($O333="","",INDEX(Suivi!$G:$G,340))</f>
        <v/>
      </c>
      <c r="T333">
        <f>IF($O333="","",IF(INDEX(Dossiers!$F$4:$F$63,7)="","",INDEX(Dossiers!$F$4:$F$63,7)))</f>
        <v/>
      </c>
      <c r="U333">
        <f>IF($O333="","",IF(INDEX(Dossiers!$G$4:$G$63,7)="","",INDEX(Dossiers!$G$4:$G$63,7)))</f>
        <v/>
      </c>
      <c r="V333">
        <f>IF(OR($O333="",NOT(ISNUMBER($Q333))),"",$Q333*1000000+333)</f>
        <v/>
      </c>
      <c r="W333" s="29">
        <f>IF($B333="","",IFERROR(INDEX($U$4:$U$3183,MATCH(SMALL($V$4:$V$3183,330),$V$4:$V$3183,0)),""))</f>
        <v/>
      </c>
    </row>
    <row r="334">
      <c r="A334">
        <f>IFERROR(INDEX($N$4:$N$3183,MATCH(SMALL($V$4:$V$3183,331),$V$4:$V$3183,0)),"")</f>
        <v/>
      </c>
      <c r="B334">
        <f>IFERROR(INDEX($O$4:$O$3183,MATCH(SMALL($V$4:$V$3183,331),$V$4:$V$3183,0)),"")</f>
        <v/>
      </c>
      <c r="C334">
        <f>IFERROR(INDEX($P$4:$P$3183,MATCH(SMALL($V$4:$V$3183,331),$V$4:$V$3183,0)),"")</f>
        <v/>
      </c>
      <c r="D334" s="29">
        <f>IFERROR(INDEX($Q$4:$Q$3183,MATCH(SMALL($V$4:$V$3183,331),$V$4:$V$3183,0)),"")</f>
        <v/>
      </c>
      <c r="E334" s="29">
        <f>IFERROR(INDEX($R$4:$R$3183,MATCH(SMALL($V$4:$V$3183,331),$V$4:$V$3183,0)),"")</f>
        <v/>
      </c>
      <c r="F334">
        <f>IFERROR(INDEX($S$4:$S$3183,MATCH(SMALL($V$4:$V$3183,331),$V$4:$V$3183,0)),"")</f>
        <v/>
      </c>
      <c r="I334" s="29">
        <f>IF($B334="","",IFERROR(INDEX($U$4:$U$3183,MATCH(SMALL($V$4:$V$3183,331),$V$4:$V$3183,0)),""))</f>
        <v/>
      </c>
      <c r="J334">
        <f>IF($B334="","",IF($D334&gt;$F$2,"À venir",IF($E334&lt;$D$2,"Passé","Dans la période")))</f>
        <v/>
      </c>
      <c r="K334">
        <f>IF(OR($B334="",NOT(ISNUMBER($D334))),"",IF(AND($E334&lt;$D$2,$G334&lt;&gt;"X",$F334&lt;&gt;"Réalisé",$F334&lt;&gt;"Clôturé"),"RETARD",""))</f>
        <v/>
      </c>
      <c r="L334">
        <f>IF(OR($B334="",NOT(ISNUMBER($D334))),"",IF(AND($D334&gt;=$D$2,$D334&lt;=$H$2,$G334&lt;&gt;"X",$F334&lt;&gt;"Réalisé",$F334&lt;&gt;"Clôturé"),"≤ 7 j",""))</f>
        <v/>
      </c>
      <c r="M334" s="29">
        <f>IF($B334="","",IFERROR(INDEX($T$4:$T$3183,MATCH(SMALL($V$4:$V$3183,331),$V$4:$V$3183,0)),""))</f>
        <v/>
      </c>
      <c r="O334">
        <f>IF(INDEX(Suivi!$B:$B,341)="","",INDEX(Suivi!$B:$B,341))</f>
        <v/>
      </c>
      <c r="P334">
        <f>IF($O334="","",IF(INDEX(Suivi!$D:$D,341)="",INDEX(Suivi!$C:$C,341),INDEX(Suivi!$D:$D,341)))</f>
        <v/>
      </c>
      <c r="Q334">
        <f>IF($O334="","",INDEX(Suivi!$E:$E,341))</f>
        <v/>
      </c>
      <c r="R334">
        <f>IF($O334="","",INDEX(Suivi!$F:$F,341))</f>
        <v/>
      </c>
      <c r="S334">
        <f>IF($O334="","",INDEX(Suivi!$G:$G,341))</f>
        <v/>
      </c>
      <c r="T334">
        <f>IF($O334="","",IF(INDEX(Dossiers!$F$4:$F$63,7)="","",INDEX(Dossiers!$F$4:$F$63,7)))</f>
        <v/>
      </c>
      <c r="U334">
        <f>IF($O334="","",IF(INDEX(Dossiers!$G$4:$G$63,7)="","",INDEX(Dossiers!$G$4:$G$63,7)))</f>
        <v/>
      </c>
      <c r="V334">
        <f>IF(OR($O334="",NOT(ISNUMBER($Q334))),"",$Q334*1000000+334)</f>
        <v/>
      </c>
      <c r="W334" s="29">
        <f>IF($B334="","",IFERROR(INDEX($U$4:$U$3183,MATCH(SMALL($V$4:$V$3183,331),$V$4:$V$3183,0)),""))</f>
        <v/>
      </c>
    </row>
    <row r="335">
      <c r="A335">
        <f>IFERROR(INDEX($N$4:$N$3183,MATCH(SMALL($V$4:$V$3183,332),$V$4:$V$3183,0)),"")</f>
        <v/>
      </c>
      <c r="B335">
        <f>IFERROR(INDEX($O$4:$O$3183,MATCH(SMALL($V$4:$V$3183,332),$V$4:$V$3183,0)),"")</f>
        <v/>
      </c>
      <c r="C335">
        <f>IFERROR(INDEX($P$4:$P$3183,MATCH(SMALL($V$4:$V$3183,332),$V$4:$V$3183,0)),"")</f>
        <v/>
      </c>
      <c r="D335" s="29">
        <f>IFERROR(INDEX($Q$4:$Q$3183,MATCH(SMALL($V$4:$V$3183,332),$V$4:$V$3183,0)),"")</f>
        <v/>
      </c>
      <c r="E335" s="29">
        <f>IFERROR(INDEX($R$4:$R$3183,MATCH(SMALL($V$4:$V$3183,332),$V$4:$V$3183,0)),"")</f>
        <v/>
      </c>
      <c r="F335">
        <f>IFERROR(INDEX($S$4:$S$3183,MATCH(SMALL($V$4:$V$3183,332),$V$4:$V$3183,0)),"")</f>
        <v/>
      </c>
      <c r="I335" s="29">
        <f>IF($B335="","",IFERROR(INDEX($U$4:$U$3183,MATCH(SMALL($V$4:$V$3183,332),$V$4:$V$3183,0)),""))</f>
        <v/>
      </c>
      <c r="J335">
        <f>IF($B335="","",IF($D335&gt;$F$2,"À venir",IF($E335&lt;$D$2,"Passé","Dans la période")))</f>
        <v/>
      </c>
      <c r="K335">
        <f>IF(OR($B335="",NOT(ISNUMBER($D335))),"",IF(AND($E335&lt;$D$2,$G335&lt;&gt;"X",$F335&lt;&gt;"Réalisé",$F335&lt;&gt;"Clôturé"),"RETARD",""))</f>
        <v/>
      </c>
      <c r="L335">
        <f>IF(OR($B335="",NOT(ISNUMBER($D335))),"",IF(AND($D335&gt;=$D$2,$D335&lt;=$H$2,$G335&lt;&gt;"X",$F335&lt;&gt;"Réalisé",$F335&lt;&gt;"Clôturé"),"≤ 7 j",""))</f>
        <v/>
      </c>
      <c r="M335" s="29">
        <f>IF($B335="","",IFERROR(INDEX($T$4:$T$3183,MATCH(SMALL($V$4:$V$3183,332),$V$4:$V$3183,0)),""))</f>
        <v/>
      </c>
      <c r="O335">
        <f>IF(INDEX(Suivi!$B:$B,342)="","",INDEX(Suivi!$B:$B,342))</f>
        <v/>
      </c>
      <c r="P335">
        <f>IF($O335="","",IF(INDEX(Suivi!$D:$D,342)="",INDEX(Suivi!$C:$C,342),INDEX(Suivi!$D:$D,342)))</f>
        <v/>
      </c>
      <c r="Q335">
        <f>IF($O335="","",INDEX(Suivi!$E:$E,342))</f>
        <v/>
      </c>
      <c r="R335">
        <f>IF($O335="","",INDEX(Suivi!$F:$F,342))</f>
        <v/>
      </c>
      <c r="S335">
        <f>IF($O335="","",INDEX(Suivi!$G:$G,342))</f>
        <v/>
      </c>
      <c r="T335">
        <f>IF($O335="","",IF(INDEX(Dossiers!$F$4:$F$63,7)="","",INDEX(Dossiers!$F$4:$F$63,7)))</f>
        <v/>
      </c>
      <c r="U335">
        <f>IF($O335="","",IF(INDEX(Dossiers!$G$4:$G$63,7)="","",INDEX(Dossiers!$G$4:$G$63,7)))</f>
        <v/>
      </c>
      <c r="V335">
        <f>IF(OR($O335="",NOT(ISNUMBER($Q335))),"",$Q335*1000000+335)</f>
        <v/>
      </c>
      <c r="W335" s="29">
        <f>IF($B335="","",IFERROR(INDEX($U$4:$U$3183,MATCH(SMALL($V$4:$V$3183,332),$V$4:$V$3183,0)),""))</f>
        <v/>
      </c>
    </row>
    <row r="336">
      <c r="A336">
        <f>IFERROR(INDEX($N$4:$N$3183,MATCH(SMALL($V$4:$V$3183,333),$V$4:$V$3183,0)),"")</f>
        <v/>
      </c>
      <c r="B336">
        <f>IFERROR(INDEX($O$4:$O$3183,MATCH(SMALL($V$4:$V$3183,333),$V$4:$V$3183,0)),"")</f>
        <v/>
      </c>
      <c r="C336">
        <f>IFERROR(INDEX($P$4:$P$3183,MATCH(SMALL($V$4:$V$3183,333),$V$4:$V$3183,0)),"")</f>
        <v/>
      </c>
      <c r="D336" s="29">
        <f>IFERROR(INDEX($Q$4:$Q$3183,MATCH(SMALL($V$4:$V$3183,333),$V$4:$V$3183,0)),"")</f>
        <v/>
      </c>
      <c r="E336" s="29">
        <f>IFERROR(INDEX($R$4:$R$3183,MATCH(SMALL($V$4:$V$3183,333),$V$4:$V$3183,0)),"")</f>
        <v/>
      </c>
      <c r="F336">
        <f>IFERROR(INDEX($S$4:$S$3183,MATCH(SMALL($V$4:$V$3183,333),$V$4:$V$3183,0)),"")</f>
        <v/>
      </c>
      <c r="I336" s="29">
        <f>IF($B336="","",IFERROR(INDEX($U$4:$U$3183,MATCH(SMALL($V$4:$V$3183,333),$V$4:$V$3183,0)),""))</f>
        <v/>
      </c>
      <c r="J336">
        <f>IF($B336="","",IF($D336&gt;$F$2,"À venir",IF($E336&lt;$D$2,"Passé","Dans la période")))</f>
        <v/>
      </c>
      <c r="K336">
        <f>IF(OR($B336="",NOT(ISNUMBER($D336))),"",IF(AND($E336&lt;$D$2,$G336&lt;&gt;"X",$F336&lt;&gt;"Réalisé",$F336&lt;&gt;"Clôturé"),"RETARD",""))</f>
        <v/>
      </c>
      <c r="L336">
        <f>IF(OR($B336="",NOT(ISNUMBER($D336))),"",IF(AND($D336&gt;=$D$2,$D336&lt;=$H$2,$G336&lt;&gt;"X",$F336&lt;&gt;"Réalisé",$F336&lt;&gt;"Clôturé"),"≤ 7 j",""))</f>
        <v/>
      </c>
      <c r="M336" s="29">
        <f>IF($B336="","",IFERROR(INDEX($T$4:$T$3183,MATCH(SMALL($V$4:$V$3183,333),$V$4:$V$3183,0)),""))</f>
        <v/>
      </c>
      <c r="O336">
        <f>IF(INDEX(Suivi!$B:$B,343)="","",INDEX(Suivi!$B:$B,343))</f>
        <v/>
      </c>
      <c r="P336">
        <f>IF($O336="","",IF(INDEX(Suivi!$D:$D,343)="",INDEX(Suivi!$C:$C,343),INDEX(Suivi!$D:$D,343)))</f>
        <v/>
      </c>
      <c r="Q336">
        <f>IF($O336="","",INDEX(Suivi!$E:$E,343))</f>
        <v/>
      </c>
      <c r="R336">
        <f>IF($O336="","",INDEX(Suivi!$F:$F,343))</f>
        <v/>
      </c>
      <c r="S336">
        <f>IF($O336="","",INDEX(Suivi!$G:$G,343))</f>
        <v/>
      </c>
      <c r="T336">
        <f>IF($O336="","",IF(INDEX(Dossiers!$F$4:$F$63,7)="","",INDEX(Dossiers!$F$4:$F$63,7)))</f>
        <v/>
      </c>
      <c r="U336">
        <f>IF($O336="","",IF(INDEX(Dossiers!$G$4:$G$63,7)="","",INDEX(Dossiers!$G$4:$G$63,7)))</f>
        <v/>
      </c>
      <c r="V336">
        <f>IF(OR($O336="",NOT(ISNUMBER($Q336))),"",$Q336*1000000+336)</f>
        <v/>
      </c>
      <c r="W336" s="29">
        <f>IF($B336="","",IFERROR(INDEX($U$4:$U$3183,MATCH(SMALL($V$4:$V$3183,333),$V$4:$V$3183,0)),""))</f>
        <v/>
      </c>
    </row>
    <row r="337">
      <c r="A337">
        <f>IFERROR(INDEX($N$4:$N$3183,MATCH(SMALL($V$4:$V$3183,334),$V$4:$V$3183,0)),"")</f>
        <v/>
      </c>
      <c r="B337">
        <f>IFERROR(INDEX($O$4:$O$3183,MATCH(SMALL($V$4:$V$3183,334),$V$4:$V$3183,0)),"")</f>
        <v/>
      </c>
      <c r="C337">
        <f>IFERROR(INDEX($P$4:$P$3183,MATCH(SMALL($V$4:$V$3183,334),$V$4:$V$3183,0)),"")</f>
        <v/>
      </c>
      <c r="D337" s="29">
        <f>IFERROR(INDEX($Q$4:$Q$3183,MATCH(SMALL($V$4:$V$3183,334),$V$4:$V$3183,0)),"")</f>
        <v/>
      </c>
      <c r="E337" s="29">
        <f>IFERROR(INDEX($R$4:$R$3183,MATCH(SMALL($V$4:$V$3183,334),$V$4:$V$3183,0)),"")</f>
        <v/>
      </c>
      <c r="F337">
        <f>IFERROR(INDEX($S$4:$S$3183,MATCH(SMALL($V$4:$V$3183,334),$V$4:$V$3183,0)),"")</f>
        <v/>
      </c>
      <c r="I337" s="29">
        <f>IF($B337="","",IFERROR(INDEX($U$4:$U$3183,MATCH(SMALL($V$4:$V$3183,334),$V$4:$V$3183,0)),""))</f>
        <v/>
      </c>
      <c r="J337">
        <f>IF($B337="","",IF($D337&gt;$F$2,"À venir",IF($E337&lt;$D$2,"Passé","Dans la période")))</f>
        <v/>
      </c>
      <c r="K337">
        <f>IF(OR($B337="",NOT(ISNUMBER($D337))),"",IF(AND($E337&lt;$D$2,$G337&lt;&gt;"X",$F337&lt;&gt;"Réalisé",$F337&lt;&gt;"Clôturé"),"RETARD",""))</f>
        <v/>
      </c>
      <c r="L337">
        <f>IF(OR($B337="",NOT(ISNUMBER($D337))),"",IF(AND($D337&gt;=$D$2,$D337&lt;=$H$2,$G337&lt;&gt;"X",$F337&lt;&gt;"Réalisé",$F337&lt;&gt;"Clôturé"),"≤ 7 j",""))</f>
        <v/>
      </c>
      <c r="M337" s="29">
        <f>IF($B337="","",IFERROR(INDEX($T$4:$T$3183,MATCH(SMALL($V$4:$V$3183,334),$V$4:$V$3183,0)),""))</f>
        <v/>
      </c>
      <c r="O337">
        <f>IF(INDEX(Suivi!$B:$B,344)="","",INDEX(Suivi!$B:$B,344))</f>
        <v/>
      </c>
      <c r="P337">
        <f>IF($O337="","",IF(INDEX(Suivi!$D:$D,344)="",INDEX(Suivi!$C:$C,344),INDEX(Suivi!$D:$D,344)))</f>
        <v/>
      </c>
      <c r="Q337">
        <f>IF($O337="","",INDEX(Suivi!$E:$E,344))</f>
        <v/>
      </c>
      <c r="R337">
        <f>IF($O337="","",INDEX(Suivi!$F:$F,344))</f>
        <v/>
      </c>
      <c r="S337">
        <f>IF($O337="","",INDEX(Suivi!$G:$G,344))</f>
        <v/>
      </c>
      <c r="T337">
        <f>IF($O337="","",IF(INDEX(Dossiers!$F$4:$F$63,7)="","",INDEX(Dossiers!$F$4:$F$63,7)))</f>
        <v/>
      </c>
      <c r="U337">
        <f>IF($O337="","",IF(INDEX(Dossiers!$G$4:$G$63,7)="","",INDEX(Dossiers!$G$4:$G$63,7)))</f>
        <v/>
      </c>
      <c r="V337">
        <f>IF(OR($O337="",NOT(ISNUMBER($Q337))),"",$Q337*1000000+337)</f>
        <v/>
      </c>
      <c r="W337" s="29">
        <f>IF($B337="","",IFERROR(INDEX($U$4:$U$3183,MATCH(SMALL($V$4:$V$3183,334),$V$4:$V$3183,0)),""))</f>
        <v/>
      </c>
    </row>
    <row r="338">
      <c r="A338">
        <f>IFERROR(INDEX($N$4:$N$3183,MATCH(SMALL($V$4:$V$3183,335),$V$4:$V$3183,0)),"")</f>
        <v/>
      </c>
      <c r="B338">
        <f>IFERROR(INDEX($O$4:$O$3183,MATCH(SMALL($V$4:$V$3183,335),$V$4:$V$3183,0)),"")</f>
        <v/>
      </c>
      <c r="C338">
        <f>IFERROR(INDEX($P$4:$P$3183,MATCH(SMALL($V$4:$V$3183,335),$V$4:$V$3183,0)),"")</f>
        <v/>
      </c>
      <c r="D338" s="29">
        <f>IFERROR(INDEX($Q$4:$Q$3183,MATCH(SMALL($V$4:$V$3183,335),$V$4:$V$3183,0)),"")</f>
        <v/>
      </c>
      <c r="E338" s="29">
        <f>IFERROR(INDEX($R$4:$R$3183,MATCH(SMALL($V$4:$V$3183,335),$V$4:$V$3183,0)),"")</f>
        <v/>
      </c>
      <c r="F338">
        <f>IFERROR(INDEX($S$4:$S$3183,MATCH(SMALL($V$4:$V$3183,335),$V$4:$V$3183,0)),"")</f>
        <v/>
      </c>
      <c r="I338" s="29">
        <f>IF($B338="","",IFERROR(INDEX($U$4:$U$3183,MATCH(SMALL($V$4:$V$3183,335),$V$4:$V$3183,0)),""))</f>
        <v/>
      </c>
      <c r="J338">
        <f>IF($B338="","",IF($D338&gt;$F$2,"À venir",IF($E338&lt;$D$2,"Passé","Dans la période")))</f>
        <v/>
      </c>
      <c r="K338">
        <f>IF(OR($B338="",NOT(ISNUMBER($D338))),"",IF(AND($E338&lt;$D$2,$G338&lt;&gt;"X",$F338&lt;&gt;"Réalisé",$F338&lt;&gt;"Clôturé"),"RETARD",""))</f>
        <v/>
      </c>
      <c r="L338">
        <f>IF(OR($B338="",NOT(ISNUMBER($D338))),"",IF(AND($D338&gt;=$D$2,$D338&lt;=$H$2,$G338&lt;&gt;"X",$F338&lt;&gt;"Réalisé",$F338&lt;&gt;"Clôturé"),"≤ 7 j",""))</f>
        <v/>
      </c>
      <c r="M338" s="29">
        <f>IF($B338="","",IFERROR(INDEX($T$4:$T$3183,MATCH(SMALL($V$4:$V$3183,335),$V$4:$V$3183,0)),""))</f>
        <v/>
      </c>
      <c r="O338">
        <f>IF(INDEX(Suivi!$B:$B,345)="","",INDEX(Suivi!$B:$B,345))</f>
        <v/>
      </c>
      <c r="P338">
        <f>IF($O338="","",IF(INDEX(Suivi!$D:$D,345)="",INDEX(Suivi!$C:$C,345),INDEX(Suivi!$D:$D,345)))</f>
        <v/>
      </c>
      <c r="Q338">
        <f>IF($O338="","",INDEX(Suivi!$E:$E,345))</f>
        <v/>
      </c>
      <c r="R338">
        <f>IF($O338="","",INDEX(Suivi!$F:$F,345))</f>
        <v/>
      </c>
      <c r="S338">
        <f>IF($O338="","",INDEX(Suivi!$G:$G,345))</f>
        <v/>
      </c>
      <c r="T338">
        <f>IF($O338="","",IF(INDEX(Dossiers!$F$4:$F$63,7)="","",INDEX(Dossiers!$F$4:$F$63,7)))</f>
        <v/>
      </c>
      <c r="U338">
        <f>IF($O338="","",IF(INDEX(Dossiers!$G$4:$G$63,7)="","",INDEX(Dossiers!$G$4:$G$63,7)))</f>
        <v/>
      </c>
      <c r="V338">
        <f>IF(OR($O338="",NOT(ISNUMBER($Q338))),"",$Q338*1000000+338)</f>
        <v/>
      </c>
      <c r="W338" s="29">
        <f>IF($B338="","",IFERROR(INDEX($U$4:$U$3183,MATCH(SMALL($V$4:$V$3183,335),$V$4:$V$3183,0)),""))</f>
        <v/>
      </c>
    </row>
    <row r="339">
      <c r="A339">
        <f>IFERROR(INDEX($N$4:$N$3183,MATCH(SMALL($V$4:$V$3183,336),$V$4:$V$3183,0)),"")</f>
        <v/>
      </c>
      <c r="B339">
        <f>IFERROR(INDEX($O$4:$O$3183,MATCH(SMALL($V$4:$V$3183,336),$V$4:$V$3183,0)),"")</f>
        <v/>
      </c>
      <c r="C339">
        <f>IFERROR(INDEX($P$4:$P$3183,MATCH(SMALL($V$4:$V$3183,336),$V$4:$V$3183,0)),"")</f>
        <v/>
      </c>
      <c r="D339" s="29">
        <f>IFERROR(INDEX($Q$4:$Q$3183,MATCH(SMALL($V$4:$V$3183,336),$V$4:$V$3183,0)),"")</f>
        <v/>
      </c>
      <c r="E339" s="29">
        <f>IFERROR(INDEX($R$4:$R$3183,MATCH(SMALL($V$4:$V$3183,336),$V$4:$V$3183,0)),"")</f>
        <v/>
      </c>
      <c r="F339">
        <f>IFERROR(INDEX($S$4:$S$3183,MATCH(SMALL($V$4:$V$3183,336),$V$4:$V$3183,0)),"")</f>
        <v/>
      </c>
      <c r="I339" s="29">
        <f>IF($B339="","",IFERROR(INDEX($U$4:$U$3183,MATCH(SMALL($V$4:$V$3183,336),$V$4:$V$3183,0)),""))</f>
        <v/>
      </c>
      <c r="J339">
        <f>IF($B339="","",IF($D339&gt;$F$2,"À venir",IF($E339&lt;$D$2,"Passé","Dans la période")))</f>
        <v/>
      </c>
      <c r="K339">
        <f>IF(OR($B339="",NOT(ISNUMBER($D339))),"",IF(AND($E339&lt;$D$2,$G339&lt;&gt;"X",$F339&lt;&gt;"Réalisé",$F339&lt;&gt;"Clôturé"),"RETARD",""))</f>
        <v/>
      </c>
      <c r="L339">
        <f>IF(OR($B339="",NOT(ISNUMBER($D339))),"",IF(AND($D339&gt;=$D$2,$D339&lt;=$H$2,$G339&lt;&gt;"X",$F339&lt;&gt;"Réalisé",$F339&lt;&gt;"Clôturé"),"≤ 7 j",""))</f>
        <v/>
      </c>
      <c r="M339" s="29">
        <f>IF($B339="","",IFERROR(INDEX($T$4:$T$3183,MATCH(SMALL($V$4:$V$3183,336),$V$4:$V$3183,0)),""))</f>
        <v/>
      </c>
      <c r="O339">
        <f>IF(INDEX(Suivi!$B:$B,346)="","",INDEX(Suivi!$B:$B,346))</f>
        <v/>
      </c>
      <c r="P339">
        <f>IF($O339="","",IF(INDEX(Suivi!$D:$D,346)="",INDEX(Suivi!$C:$C,346),INDEX(Suivi!$D:$D,346)))</f>
        <v/>
      </c>
      <c r="Q339">
        <f>IF($O339="","",INDEX(Suivi!$E:$E,346))</f>
        <v/>
      </c>
      <c r="R339">
        <f>IF($O339="","",INDEX(Suivi!$F:$F,346))</f>
        <v/>
      </c>
      <c r="S339">
        <f>IF($O339="","",INDEX(Suivi!$G:$G,346))</f>
        <v/>
      </c>
      <c r="T339">
        <f>IF($O339="","",IF(INDEX(Dossiers!$F$4:$F$63,7)="","",INDEX(Dossiers!$F$4:$F$63,7)))</f>
        <v/>
      </c>
      <c r="U339">
        <f>IF($O339="","",IF(INDEX(Dossiers!$G$4:$G$63,7)="","",INDEX(Dossiers!$G$4:$G$63,7)))</f>
        <v/>
      </c>
      <c r="V339">
        <f>IF(OR($O339="",NOT(ISNUMBER($Q339))),"",$Q339*1000000+339)</f>
        <v/>
      </c>
      <c r="W339" s="29">
        <f>IF($B339="","",IFERROR(INDEX($U$4:$U$3183,MATCH(SMALL($V$4:$V$3183,336),$V$4:$V$3183,0)),""))</f>
        <v/>
      </c>
    </row>
    <row r="340">
      <c r="A340">
        <f>IFERROR(INDEX($N$4:$N$3183,MATCH(SMALL($V$4:$V$3183,337),$V$4:$V$3183,0)),"")</f>
        <v/>
      </c>
      <c r="B340">
        <f>IFERROR(INDEX($O$4:$O$3183,MATCH(SMALL($V$4:$V$3183,337),$V$4:$V$3183,0)),"")</f>
        <v/>
      </c>
      <c r="C340">
        <f>IFERROR(INDEX($P$4:$P$3183,MATCH(SMALL($V$4:$V$3183,337),$V$4:$V$3183,0)),"")</f>
        <v/>
      </c>
      <c r="D340" s="29">
        <f>IFERROR(INDEX($Q$4:$Q$3183,MATCH(SMALL($V$4:$V$3183,337),$V$4:$V$3183,0)),"")</f>
        <v/>
      </c>
      <c r="E340" s="29">
        <f>IFERROR(INDEX($R$4:$R$3183,MATCH(SMALL($V$4:$V$3183,337),$V$4:$V$3183,0)),"")</f>
        <v/>
      </c>
      <c r="F340">
        <f>IFERROR(INDEX($S$4:$S$3183,MATCH(SMALL($V$4:$V$3183,337),$V$4:$V$3183,0)),"")</f>
        <v/>
      </c>
      <c r="I340" s="29">
        <f>IF($B340="","",IFERROR(INDEX($U$4:$U$3183,MATCH(SMALL($V$4:$V$3183,337),$V$4:$V$3183,0)),""))</f>
        <v/>
      </c>
      <c r="J340">
        <f>IF($B340="","",IF($D340&gt;$F$2,"À venir",IF($E340&lt;$D$2,"Passé","Dans la période")))</f>
        <v/>
      </c>
      <c r="K340">
        <f>IF(OR($B340="",NOT(ISNUMBER($D340))),"",IF(AND($E340&lt;$D$2,$G340&lt;&gt;"X",$F340&lt;&gt;"Réalisé",$F340&lt;&gt;"Clôturé"),"RETARD",""))</f>
        <v/>
      </c>
      <c r="L340">
        <f>IF(OR($B340="",NOT(ISNUMBER($D340))),"",IF(AND($D340&gt;=$D$2,$D340&lt;=$H$2,$G340&lt;&gt;"X",$F340&lt;&gt;"Réalisé",$F340&lt;&gt;"Clôturé"),"≤ 7 j",""))</f>
        <v/>
      </c>
      <c r="M340" s="29">
        <f>IF($B340="","",IFERROR(INDEX($T$4:$T$3183,MATCH(SMALL($V$4:$V$3183,337),$V$4:$V$3183,0)),""))</f>
        <v/>
      </c>
      <c r="O340">
        <f>IF(INDEX(Suivi!$B:$B,347)="","",INDEX(Suivi!$B:$B,347))</f>
        <v/>
      </c>
      <c r="P340">
        <f>IF($O340="","",IF(INDEX(Suivi!$D:$D,347)="",INDEX(Suivi!$C:$C,347),INDEX(Suivi!$D:$D,347)))</f>
        <v/>
      </c>
      <c r="Q340">
        <f>IF($O340="","",INDEX(Suivi!$E:$E,347))</f>
        <v/>
      </c>
      <c r="R340">
        <f>IF($O340="","",INDEX(Suivi!$F:$F,347))</f>
        <v/>
      </c>
      <c r="S340">
        <f>IF($O340="","",INDEX(Suivi!$G:$G,347))</f>
        <v/>
      </c>
      <c r="T340">
        <f>IF($O340="","",IF(INDEX(Dossiers!$F$4:$F$63,7)="","",INDEX(Dossiers!$F$4:$F$63,7)))</f>
        <v/>
      </c>
      <c r="U340">
        <f>IF($O340="","",IF(INDEX(Dossiers!$G$4:$G$63,7)="","",INDEX(Dossiers!$G$4:$G$63,7)))</f>
        <v/>
      </c>
      <c r="V340">
        <f>IF(OR($O340="",NOT(ISNUMBER($Q340))),"",$Q340*1000000+340)</f>
        <v/>
      </c>
      <c r="W340" s="29">
        <f>IF($B340="","",IFERROR(INDEX($U$4:$U$3183,MATCH(SMALL($V$4:$V$3183,337),$V$4:$V$3183,0)),""))</f>
        <v/>
      </c>
    </row>
    <row r="341">
      <c r="A341">
        <f>IFERROR(INDEX($N$4:$N$3183,MATCH(SMALL($V$4:$V$3183,338),$V$4:$V$3183,0)),"")</f>
        <v/>
      </c>
      <c r="B341">
        <f>IFERROR(INDEX($O$4:$O$3183,MATCH(SMALL($V$4:$V$3183,338),$V$4:$V$3183,0)),"")</f>
        <v/>
      </c>
      <c r="C341">
        <f>IFERROR(INDEX($P$4:$P$3183,MATCH(SMALL($V$4:$V$3183,338),$V$4:$V$3183,0)),"")</f>
        <v/>
      </c>
      <c r="D341" s="29">
        <f>IFERROR(INDEX($Q$4:$Q$3183,MATCH(SMALL($V$4:$V$3183,338),$V$4:$V$3183,0)),"")</f>
        <v/>
      </c>
      <c r="E341" s="29">
        <f>IFERROR(INDEX($R$4:$R$3183,MATCH(SMALL($V$4:$V$3183,338),$V$4:$V$3183,0)),"")</f>
        <v/>
      </c>
      <c r="F341">
        <f>IFERROR(INDEX($S$4:$S$3183,MATCH(SMALL($V$4:$V$3183,338),$V$4:$V$3183,0)),"")</f>
        <v/>
      </c>
      <c r="I341" s="29">
        <f>IF($B341="","",IFERROR(INDEX($U$4:$U$3183,MATCH(SMALL($V$4:$V$3183,338),$V$4:$V$3183,0)),""))</f>
        <v/>
      </c>
      <c r="J341">
        <f>IF($B341="","",IF($D341&gt;$F$2,"À venir",IF($E341&lt;$D$2,"Passé","Dans la période")))</f>
        <v/>
      </c>
      <c r="K341">
        <f>IF(OR($B341="",NOT(ISNUMBER($D341))),"",IF(AND($E341&lt;$D$2,$G341&lt;&gt;"X",$F341&lt;&gt;"Réalisé",$F341&lt;&gt;"Clôturé"),"RETARD",""))</f>
        <v/>
      </c>
      <c r="L341">
        <f>IF(OR($B341="",NOT(ISNUMBER($D341))),"",IF(AND($D341&gt;=$D$2,$D341&lt;=$H$2,$G341&lt;&gt;"X",$F341&lt;&gt;"Réalisé",$F341&lt;&gt;"Clôturé"),"≤ 7 j",""))</f>
        <v/>
      </c>
      <c r="M341" s="29">
        <f>IF($B341="","",IFERROR(INDEX($T$4:$T$3183,MATCH(SMALL($V$4:$V$3183,338),$V$4:$V$3183,0)),""))</f>
        <v/>
      </c>
      <c r="O341">
        <f>IF(INDEX(Suivi!$B:$B,348)="","",INDEX(Suivi!$B:$B,348))</f>
        <v/>
      </c>
      <c r="P341">
        <f>IF($O341="","",IF(INDEX(Suivi!$D:$D,348)="",INDEX(Suivi!$C:$C,348),INDEX(Suivi!$D:$D,348)))</f>
        <v/>
      </c>
      <c r="Q341">
        <f>IF($O341="","",INDEX(Suivi!$E:$E,348))</f>
        <v/>
      </c>
      <c r="R341">
        <f>IF($O341="","",INDEX(Suivi!$F:$F,348))</f>
        <v/>
      </c>
      <c r="S341">
        <f>IF($O341="","",INDEX(Suivi!$G:$G,348))</f>
        <v/>
      </c>
      <c r="T341">
        <f>IF($O341="","",IF(INDEX(Dossiers!$F$4:$F$63,7)="","",INDEX(Dossiers!$F$4:$F$63,7)))</f>
        <v/>
      </c>
      <c r="U341">
        <f>IF($O341="","",IF(INDEX(Dossiers!$G$4:$G$63,7)="","",INDEX(Dossiers!$G$4:$G$63,7)))</f>
        <v/>
      </c>
      <c r="V341">
        <f>IF(OR($O341="",NOT(ISNUMBER($Q341))),"",$Q341*1000000+341)</f>
        <v/>
      </c>
      <c r="W341" s="29">
        <f>IF($B341="","",IFERROR(INDEX($U$4:$U$3183,MATCH(SMALL($V$4:$V$3183,338),$V$4:$V$3183,0)),""))</f>
        <v/>
      </c>
    </row>
    <row r="342">
      <c r="A342">
        <f>IFERROR(INDEX($N$4:$N$3183,MATCH(SMALL($V$4:$V$3183,339),$V$4:$V$3183,0)),"")</f>
        <v/>
      </c>
      <c r="B342">
        <f>IFERROR(INDEX($O$4:$O$3183,MATCH(SMALL($V$4:$V$3183,339),$V$4:$V$3183,0)),"")</f>
        <v/>
      </c>
      <c r="C342">
        <f>IFERROR(INDEX($P$4:$P$3183,MATCH(SMALL($V$4:$V$3183,339),$V$4:$V$3183,0)),"")</f>
        <v/>
      </c>
      <c r="D342" s="29">
        <f>IFERROR(INDEX($Q$4:$Q$3183,MATCH(SMALL($V$4:$V$3183,339),$V$4:$V$3183,0)),"")</f>
        <v/>
      </c>
      <c r="E342" s="29">
        <f>IFERROR(INDEX($R$4:$R$3183,MATCH(SMALL($V$4:$V$3183,339),$V$4:$V$3183,0)),"")</f>
        <v/>
      </c>
      <c r="F342">
        <f>IFERROR(INDEX($S$4:$S$3183,MATCH(SMALL($V$4:$V$3183,339),$V$4:$V$3183,0)),"")</f>
        <v/>
      </c>
      <c r="I342" s="29">
        <f>IF($B342="","",IFERROR(INDEX($U$4:$U$3183,MATCH(SMALL($V$4:$V$3183,339),$V$4:$V$3183,0)),""))</f>
        <v/>
      </c>
      <c r="J342">
        <f>IF($B342="","",IF($D342&gt;$F$2,"À venir",IF($E342&lt;$D$2,"Passé","Dans la période")))</f>
        <v/>
      </c>
      <c r="K342">
        <f>IF(OR($B342="",NOT(ISNUMBER($D342))),"",IF(AND($E342&lt;$D$2,$G342&lt;&gt;"X",$F342&lt;&gt;"Réalisé",$F342&lt;&gt;"Clôturé"),"RETARD",""))</f>
        <v/>
      </c>
      <c r="L342">
        <f>IF(OR($B342="",NOT(ISNUMBER($D342))),"",IF(AND($D342&gt;=$D$2,$D342&lt;=$H$2,$G342&lt;&gt;"X",$F342&lt;&gt;"Réalisé",$F342&lt;&gt;"Clôturé"),"≤ 7 j",""))</f>
        <v/>
      </c>
      <c r="M342" s="29">
        <f>IF($B342="","",IFERROR(INDEX($T$4:$T$3183,MATCH(SMALL($V$4:$V$3183,339),$V$4:$V$3183,0)),""))</f>
        <v/>
      </c>
      <c r="O342">
        <f>IF(INDEX(Suivi!$B:$B,349)="","",INDEX(Suivi!$B:$B,349))</f>
        <v/>
      </c>
      <c r="P342">
        <f>IF($O342="","",IF(INDEX(Suivi!$D:$D,349)="",INDEX(Suivi!$C:$C,349),INDEX(Suivi!$D:$D,349)))</f>
        <v/>
      </c>
      <c r="Q342">
        <f>IF($O342="","",INDEX(Suivi!$E:$E,349))</f>
        <v/>
      </c>
      <c r="R342">
        <f>IF($O342="","",INDEX(Suivi!$F:$F,349))</f>
        <v/>
      </c>
      <c r="S342">
        <f>IF($O342="","",INDEX(Suivi!$G:$G,349))</f>
        <v/>
      </c>
      <c r="T342">
        <f>IF($O342="","",IF(INDEX(Dossiers!$F$4:$F$63,7)="","",INDEX(Dossiers!$F$4:$F$63,7)))</f>
        <v/>
      </c>
      <c r="U342">
        <f>IF($O342="","",IF(INDEX(Dossiers!$G$4:$G$63,7)="","",INDEX(Dossiers!$G$4:$G$63,7)))</f>
        <v/>
      </c>
      <c r="V342">
        <f>IF(OR($O342="",NOT(ISNUMBER($Q342))),"",$Q342*1000000+342)</f>
        <v/>
      </c>
      <c r="W342" s="29">
        <f>IF($B342="","",IFERROR(INDEX($U$4:$U$3183,MATCH(SMALL($V$4:$V$3183,339),$V$4:$V$3183,0)),""))</f>
        <v/>
      </c>
    </row>
    <row r="343">
      <c r="A343">
        <f>IFERROR(INDEX($N$4:$N$3183,MATCH(SMALL($V$4:$V$3183,340),$V$4:$V$3183,0)),"")</f>
        <v/>
      </c>
      <c r="B343">
        <f>IFERROR(INDEX($O$4:$O$3183,MATCH(SMALL($V$4:$V$3183,340),$V$4:$V$3183,0)),"")</f>
        <v/>
      </c>
      <c r="C343">
        <f>IFERROR(INDEX($P$4:$P$3183,MATCH(SMALL($V$4:$V$3183,340),$V$4:$V$3183,0)),"")</f>
        <v/>
      </c>
      <c r="D343" s="29">
        <f>IFERROR(INDEX($Q$4:$Q$3183,MATCH(SMALL($V$4:$V$3183,340),$V$4:$V$3183,0)),"")</f>
        <v/>
      </c>
      <c r="E343" s="29">
        <f>IFERROR(INDEX($R$4:$R$3183,MATCH(SMALL($V$4:$V$3183,340),$V$4:$V$3183,0)),"")</f>
        <v/>
      </c>
      <c r="F343">
        <f>IFERROR(INDEX($S$4:$S$3183,MATCH(SMALL($V$4:$V$3183,340),$V$4:$V$3183,0)),"")</f>
        <v/>
      </c>
      <c r="I343" s="29">
        <f>IF($B343="","",IFERROR(INDEX($U$4:$U$3183,MATCH(SMALL($V$4:$V$3183,340),$V$4:$V$3183,0)),""))</f>
        <v/>
      </c>
      <c r="J343">
        <f>IF($B343="","",IF($D343&gt;$F$2,"À venir",IF($E343&lt;$D$2,"Passé","Dans la période")))</f>
        <v/>
      </c>
      <c r="K343">
        <f>IF(OR($B343="",NOT(ISNUMBER($D343))),"",IF(AND($E343&lt;$D$2,$G343&lt;&gt;"X",$F343&lt;&gt;"Réalisé",$F343&lt;&gt;"Clôturé"),"RETARD",""))</f>
        <v/>
      </c>
      <c r="L343">
        <f>IF(OR($B343="",NOT(ISNUMBER($D343))),"",IF(AND($D343&gt;=$D$2,$D343&lt;=$H$2,$G343&lt;&gt;"X",$F343&lt;&gt;"Réalisé",$F343&lt;&gt;"Clôturé"),"≤ 7 j",""))</f>
        <v/>
      </c>
      <c r="M343" s="29">
        <f>IF($B343="","",IFERROR(INDEX($T$4:$T$3183,MATCH(SMALL($V$4:$V$3183,340),$V$4:$V$3183,0)),""))</f>
        <v/>
      </c>
      <c r="O343">
        <f>IF(INDEX(Suivi!$B:$B,350)="","",INDEX(Suivi!$B:$B,350))</f>
        <v/>
      </c>
      <c r="P343">
        <f>IF($O343="","",IF(INDEX(Suivi!$D:$D,350)="",INDEX(Suivi!$C:$C,350),INDEX(Suivi!$D:$D,350)))</f>
        <v/>
      </c>
      <c r="Q343">
        <f>IF($O343="","",INDEX(Suivi!$E:$E,350))</f>
        <v/>
      </c>
      <c r="R343">
        <f>IF($O343="","",INDEX(Suivi!$F:$F,350))</f>
        <v/>
      </c>
      <c r="S343">
        <f>IF($O343="","",INDEX(Suivi!$G:$G,350))</f>
        <v/>
      </c>
      <c r="T343">
        <f>IF($O343="","",IF(INDEX(Dossiers!$F$4:$F$63,7)="","",INDEX(Dossiers!$F$4:$F$63,7)))</f>
        <v/>
      </c>
      <c r="U343">
        <f>IF($O343="","",IF(INDEX(Dossiers!$G$4:$G$63,7)="","",INDEX(Dossiers!$G$4:$G$63,7)))</f>
        <v/>
      </c>
      <c r="V343">
        <f>IF(OR($O343="",NOT(ISNUMBER($Q343))),"",$Q343*1000000+343)</f>
        <v/>
      </c>
      <c r="W343" s="29">
        <f>IF($B343="","",IFERROR(INDEX($U$4:$U$3183,MATCH(SMALL($V$4:$V$3183,340),$V$4:$V$3183,0)),""))</f>
        <v/>
      </c>
    </row>
    <row r="344">
      <c r="A344">
        <f>IFERROR(INDEX($N$4:$N$3183,MATCH(SMALL($V$4:$V$3183,341),$V$4:$V$3183,0)),"")</f>
        <v/>
      </c>
      <c r="B344">
        <f>IFERROR(INDEX($O$4:$O$3183,MATCH(SMALL($V$4:$V$3183,341),$V$4:$V$3183,0)),"")</f>
        <v/>
      </c>
      <c r="C344">
        <f>IFERROR(INDEX($P$4:$P$3183,MATCH(SMALL($V$4:$V$3183,341),$V$4:$V$3183,0)),"")</f>
        <v/>
      </c>
      <c r="D344" s="29">
        <f>IFERROR(INDEX($Q$4:$Q$3183,MATCH(SMALL($V$4:$V$3183,341),$V$4:$V$3183,0)),"")</f>
        <v/>
      </c>
      <c r="E344" s="29">
        <f>IFERROR(INDEX($R$4:$R$3183,MATCH(SMALL($V$4:$V$3183,341),$V$4:$V$3183,0)),"")</f>
        <v/>
      </c>
      <c r="F344">
        <f>IFERROR(INDEX($S$4:$S$3183,MATCH(SMALL($V$4:$V$3183,341),$V$4:$V$3183,0)),"")</f>
        <v/>
      </c>
      <c r="I344" s="29">
        <f>IF($B344="","",IFERROR(INDEX($U$4:$U$3183,MATCH(SMALL($V$4:$V$3183,341),$V$4:$V$3183,0)),""))</f>
        <v/>
      </c>
      <c r="J344">
        <f>IF($B344="","",IF($D344&gt;$F$2,"À venir",IF($E344&lt;$D$2,"Passé","Dans la période")))</f>
        <v/>
      </c>
      <c r="K344">
        <f>IF(OR($B344="",NOT(ISNUMBER($D344))),"",IF(AND($E344&lt;$D$2,$G344&lt;&gt;"X",$F344&lt;&gt;"Réalisé",$F344&lt;&gt;"Clôturé"),"RETARD",""))</f>
        <v/>
      </c>
      <c r="L344">
        <f>IF(OR($B344="",NOT(ISNUMBER($D344))),"",IF(AND($D344&gt;=$D$2,$D344&lt;=$H$2,$G344&lt;&gt;"X",$F344&lt;&gt;"Réalisé",$F344&lt;&gt;"Clôturé"),"≤ 7 j",""))</f>
        <v/>
      </c>
      <c r="M344" s="29">
        <f>IF($B344="","",IFERROR(INDEX($T$4:$T$3183,MATCH(SMALL($V$4:$V$3183,341),$V$4:$V$3183,0)),""))</f>
        <v/>
      </c>
      <c r="O344">
        <f>IF(INDEX(Suivi!$B:$B,351)="","",INDEX(Suivi!$B:$B,351))</f>
        <v/>
      </c>
      <c r="P344">
        <f>IF($O344="","",IF(INDEX(Suivi!$D:$D,351)="",INDEX(Suivi!$C:$C,351),INDEX(Suivi!$D:$D,351)))</f>
        <v/>
      </c>
      <c r="Q344">
        <f>IF($O344="","",INDEX(Suivi!$E:$E,351))</f>
        <v/>
      </c>
      <c r="R344">
        <f>IF($O344="","",INDEX(Suivi!$F:$F,351))</f>
        <v/>
      </c>
      <c r="S344">
        <f>IF($O344="","",INDEX(Suivi!$G:$G,351))</f>
        <v/>
      </c>
      <c r="T344">
        <f>IF($O344="","",IF(INDEX(Dossiers!$F$4:$F$63,7)="","",INDEX(Dossiers!$F$4:$F$63,7)))</f>
        <v/>
      </c>
      <c r="U344">
        <f>IF($O344="","",IF(INDEX(Dossiers!$G$4:$G$63,7)="","",INDEX(Dossiers!$G$4:$G$63,7)))</f>
        <v/>
      </c>
      <c r="V344">
        <f>IF(OR($O344="",NOT(ISNUMBER($Q344))),"",$Q344*1000000+344)</f>
        <v/>
      </c>
      <c r="W344" s="29">
        <f>IF($B344="","",IFERROR(INDEX($U$4:$U$3183,MATCH(SMALL($V$4:$V$3183,341),$V$4:$V$3183,0)),""))</f>
        <v/>
      </c>
    </row>
    <row r="345">
      <c r="A345">
        <f>IFERROR(INDEX($N$4:$N$3183,MATCH(SMALL($V$4:$V$3183,342),$V$4:$V$3183,0)),"")</f>
        <v/>
      </c>
      <c r="B345">
        <f>IFERROR(INDEX($O$4:$O$3183,MATCH(SMALL($V$4:$V$3183,342),$V$4:$V$3183,0)),"")</f>
        <v/>
      </c>
      <c r="C345">
        <f>IFERROR(INDEX($P$4:$P$3183,MATCH(SMALL($V$4:$V$3183,342),$V$4:$V$3183,0)),"")</f>
        <v/>
      </c>
      <c r="D345" s="29">
        <f>IFERROR(INDEX($Q$4:$Q$3183,MATCH(SMALL($V$4:$V$3183,342),$V$4:$V$3183,0)),"")</f>
        <v/>
      </c>
      <c r="E345" s="29">
        <f>IFERROR(INDEX($R$4:$R$3183,MATCH(SMALL($V$4:$V$3183,342),$V$4:$V$3183,0)),"")</f>
        <v/>
      </c>
      <c r="F345">
        <f>IFERROR(INDEX($S$4:$S$3183,MATCH(SMALL($V$4:$V$3183,342),$V$4:$V$3183,0)),"")</f>
        <v/>
      </c>
      <c r="I345" s="29">
        <f>IF($B345="","",IFERROR(INDEX($U$4:$U$3183,MATCH(SMALL($V$4:$V$3183,342),$V$4:$V$3183,0)),""))</f>
        <v/>
      </c>
      <c r="J345">
        <f>IF($B345="","",IF($D345&gt;$F$2,"À venir",IF($E345&lt;$D$2,"Passé","Dans la période")))</f>
        <v/>
      </c>
      <c r="K345">
        <f>IF(OR($B345="",NOT(ISNUMBER($D345))),"",IF(AND($E345&lt;$D$2,$G345&lt;&gt;"X",$F345&lt;&gt;"Réalisé",$F345&lt;&gt;"Clôturé"),"RETARD",""))</f>
        <v/>
      </c>
      <c r="L345">
        <f>IF(OR($B345="",NOT(ISNUMBER($D345))),"",IF(AND($D345&gt;=$D$2,$D345&lt;=$H$2,$G345&lt;&gt;"X",$F345&lt;&gt;"Réalisé",$F345&lt;&gt;"Clôturé"),"≤ 7 j",""))</f>
        <v/>
      </c>
      <c r="M345" s="29">
        <f>IF($B345="","",IFERROR(INDEX($T$4:$T$3183,MATCH(SMALL($V$4:$V$3183,342),$V$4:$V$3183,0)),""))</f>
        <v/>
      </c>
      <c r="O345">
        <f>IF(INDEX(Suivi!$B:$B,352)="","",INDEX(Suivi!$B:$B,352))</f>
        <v/>
      </c>
      <c r="P345">
        <f>IF($O345="","",IF(INDEX(Suivi!$D:$D,352)="",INDEX(Suivi!$C:$C,352),INDEX(Suivi!$D:$D,352)))</f>
        <v/>
      </c>
      <c r="Q345">
        <f>IF($O345="","",INDEX(Suivi!$E:$E,352))</f>
        <v/>
      </c>
      <c r="R345">
        <f>IF($O345="","",INDEX(Suivi!$F:$F,352))</f>
        <v/>
      </c>
      <c r="S345">
        <f>IF($O345="","",INDEX(Suivi!$G:$G,352))</f>
        <v/>
      </c>
      <c r="T345">
        <f>IF($O345="","",IF(INDEX(Dossiers!$F$4:$F$63,7)="","",INDEX(Dossiers!$F$4:$F$63,7)))</f>
        <v/>
      </c>
      <c r="U345">
        <f>IF($O345="","",IF(INDEX(Dossiers!$G$4:$G$63,7)="","",INDEX(Dossiers!$G$4:$G$63,7)))</f>
        <v/>
      </c>
      <c r="V345">
        <f>IF(OR($O345="",NOT(ISNUMBER($Q345))),"",$Q345*1000000+345)</f>
        <v/>
      </c>
      <c r="W345" s="29">
        <f>IF($B345="","",IFERROR(INDEX($U$4:$U$3183,MATCH(SMALL($V$4:$V$3183,342),$V$4:$V$3183,0)),""))</f>
        <v/>
      </c>
    </row>
    <row r="346">
      <c r="A346">
        <f>IFERROR(INDEX($N$4:$N$3183,MATCH(SMALL($V$4:$V$3183,343),$V$4:$V$3183,0)),"")</f>
        <v/>
      </c>
      <c r="B346">
        <f>IFERROR(INDEX($O$4:$O$3183,MATCH(SMALL($V$4:$V$3183,343),$V$4:$V$3183,0)),"")</f>
        <v/>
      </c>
      <c r="C346">
        <f>IFERROR(INDEX($P$4:$P$3183,MATCH(SMALL($V$4:$V$3183,343),$V$4:$V$3183,0)),"")</f>
        <v/>
      </c>
      <c r="D346" s="29">
        <f>IFERROR(INDEX($Q$4:$Q$3183,MATCH(SMALL($V$4:$V$3183,343),$V$4:$V$3183,0)),"")</f>
        <v/>
      </c>
      <c r="E346" s="29">
        <f>IFERROR(INDEX($R$4:$R$3183,MATCH(SMALL($V$4:$V$3183,343),$V$4:$V$3183,0)),"")</f>
        <v/>
      </c>
      <c r="F346">
        <f>IFERROR(INDEX($S$4:$S$3183,MATCH(SMALL($V$4:$V$3183,343),$V$4:$V$3183,0)),"")</f>
        <v/>
      </c>
      <c r="I346" s="29">
        <f>IF($B346="","",IFERROR(INDEX($U$4:$U$3183,MATCH(SMALL($V$4:$V$3183,343),$V$4:$V$3183,0)),""))</f>
        <v/>
      </c>
      <c r="J346">
        <f>IF($B346="","",IF($D346&gt;$F$2,"À venir",IF($E346&lt;$D$2,"Passé","Dans la période")))</f>
        <v/>
      </c>
      <c r="K346">
        <f>IF(OR($B346="",NOT(ISNUMBER($D346))),"",IF(AND($E346&lt;$D$2,$G346&lt;&gt;"X",$F346&lt;&gt;"Réalisé",$F346&lt;&gt;"Clôturé"),"RETARD",""))</f>
        <v/>
      </c>
      <c r="L346">
        <f>IF(OR($B346="",NOT(ISNUMBER($D346))),"",IF(AND($D346&gt;=$D$2,$D346&lt;=$H$2,$G346&lt;&gt;"X",$F346&lt;&gt;"Réalisé",$F346&lt;&gt;"Clôturé"),"≤ 7 j",""))</f>
        <v/>
      </c>
      <c r="M346" s="29">
        <f>IF($B346="","",IFERROR(INDEX($T$4:$T$3183,MATCH(SMALL($V$4:$V$3183,343),$V$4:$V$3183,0)),""))</f>
        <v/>
      </c>
      <c r="O346">
        <f>IF(INDEX(Suivi!$B:$B,353)="","",INDEX(Suivi!$B:$B,353))</f>
        <v/>
      </c>
      <c r="P346">
        <f>IF($O346="","",IF(INDEX(Suivi!$D:$D,353)="",INDEX(Suivi!$C:$C,353),INDEX(Suivi!$D:$D,353)))</f>
        <v/>
      </c>
      <c r="Q346">
        <f>IF($O346="","",INDEX(Suivi!$E:$E,353))</f>
        <v/>
      </c>
      <c r="R346">
        <f>IF($O346="","",INDEX(Suivi!$F:$F,353))</f>
        <v/>
      </c>
      <c r="S346">
        <f>IF($O346="","",INDEX(Suivi!$G:$G,353))</f>
        <v/>
      </c>
      <c r="T346">
        <f>IF($O346="","",IF(INDEX(Dossiers!$F$4:$F$63,7)="","",INDEX(Dossiers!$F$4:$F$63,7)))</f>
        <v/>
      </c>
      <c r="U346">
        <f>IF($O346="","",IF(INDEX(Dossiers!$G$4:$G$63,7)="","",INDEX(Dossiers!$G$4:$G$63,7)))</f>
        <v/>
      </c>
      <c r="V346">
        <f>IF(OR($O346="",NOT(ISNUMBER($Q346))),"",$Q346*1000000+346)</f>
        <v/>
      </c>
      <c r="W346" s="29">
        <f>IF($B346="","",IFERROR(INDEX($U$4:$U$3183,MATCH(SMALL($V$4:$V$3183,343),$V$4:$V$3183,0)),""))</f>
        <v/>
      </c>
    </row>
    <row r="347">
      <c r="A347">
        <f>IFERROR(INDEX($N$4:$N$3183,MATCH(SMALL($V$4:$V$3183,344),$V$4:$V$3183,0)),"")</f>
        <v/>
      </c>
      <c r="B347">
        <f>IFERROR(INDEX($O$4:$O$3183,MATCH(SMALL($V$4:$V$3183,344),$V$4:$V$3183,0)),"")</f>
        <v/>
      </c>
      <c r="C347">
        <f>IFERROR(INDEX($P$4:$P$3183,MATCH(SMALL($V$4:$V$3183,344),$V$4:$V$3183,0)),"")</f>
        <v/>
      </c>
      <c r="D347" s="29">
        <f>IFERROR(INDEX($Q$4:$Q$3183,MATCH(SMALL($V$4:$V$3183,344),$V$4:$V$3183,0)),"")</f>
        <v/>
      </c>
      <c r="E347" s="29">
        <f>IFERROR(INDEX($R$4:$R$3183,MATCH(SMALL($V$4:$V$3183,344),$V$4:$V$3183,0)),"")</f>
        <v/>
      </c>
      <c r="F347">
        <f>IFERROR(INDEX($S$4:$S$3183,MATCH(SMALL($V$4:$V$3183,344),$V$4:$V$3183,0)),"")</f>
        <v/>
      </c>
      <c r="I347" s="29">
        <f>IF($B347="","",IFERROR(INDEX($U$4:$U$3183,MATCH(SMALL($V$4:$V$3183,344),$V$4:$V$3183,0)),""))</f>
        <v/>
      </c>
      <c r="J347">
        <f>IF($B347="","",IF($D347&gt;$F$2,"À venir",IF($E347&lt;$D$2,"Passé","Dans la période")))</f>
        <v/>
      </c>
      <c r="K347">
        <f>IF(OR($B347="",NOT(ISNUMBER($D347))),"",IF(AND($E347&lt;$D$2,$G347&lt;&gt;"X",$F347&lt;&gt;"Réalisé",$F347&lt;&gt;"Clôturé"),"RETARD",""))</f>
        <v/>
      </c>
      <c r="L347">
        <f>IF(OR($B347="",NOT(ISNUMBER($D347))),"",IF(AND($D347&gt;=$D$2,$D347&lt;=$H$2,$G347&lt;&gt;"X",$F347&lt;&gt;"Réalisé",$F347&lt;&gt;"Clôturé"),"≤ 7 j",""))</f>
        <v/>
      </c>
      <c r="M347" s="29">
        <f>IF($B347="","",IFERROR(INDEX($T$4:$T$3183,MATCH(SMALL($V$4:$V$3183,344),$V$4:$V$3183,0)),""))</f>
        <v/>
      </c>
      <c r="O347">
        <f>IF(INDEX(Suivi!$B:$B,354)="","",INDEX(Suivi!$B:$B,354))</f>
        <v/>
      </c>
      <c r="P347">
        <f>IF($O347="","",IF(INDEX(Suivi!$D:$D,354)="",INDEX(Suivi!$C:$C,354),INDEX(Suivi!$D:$D,354)))</f>
        <v/>
      </c>
      <c r="Q347">
        <f>IF($O347="","",INDEX(Suivi!$E:$E,354))</f>
        <v/>
      </c>
      <c r="R347">
        <f>IF($O347="","",INDEX(Suivi!$F:$F,354))</f>
        <v/>
      </c>
      <c r="S347">
        <f>IF($O347="","",INDEX(Suivi!$G:$G,354))</f>
        <v/>
      </c>
      <c r="T347">
        <f>IF($O347="","",IF(INDEX(Dossiers!$F$4:$F$63,7)="","",INDEX(Dossiers!$F$4:$F$63,7)))</f>
        <v/>
      </c>
      <c r="U347">
        <f>IF($O347="","",IF(INDEX(Dossiers!$G$4:$G$63,7)="","",INDEX(Dossiers!$G$4:$G$63,7)))</f>
        <v/>
      </c>
      <c r="V347">
        <f>IF(OR($O347="",NOT(ISNUMBER($Q347))),"",$Q347*1000000+347)</f>
        <v/>
      </c>
      <c r="W347" s="29">
        <f>IF($B347="","",IFERROR(INDEX($U$4:$U$3183,MATCH(SMALL($V$4:$V$3183,344),$V$4:$V$3183,0)),""))</f>
        <v/>
      </c>
    </row>
    <row r="348">
      <c r="A348">
        <f>IFERROR(INDEX($N$4:$N$3183,MATCH(SMALL($V$4:$V$3183,345),$V$4:$V$3183,0)),"")</f>
        <v/>
      </c>
      <c r="B348">
        <f>IFERROR(INDEX($O$4:$O$3183,MATCH(SMALL($V$4:$V$3183,345),$V$4:$V$3183,0)),"")</f>
        <v/>
      </c>
      <c r="C348">
        <f>IFERROR(INDEX($P$4:$P$3183,MATCH(SMALL($V$4:$V$3183,345),$V$4:$V$3183,0)),"")</f>
        <v/>
      </c>
      <c r="D348" s="29">
        <f>IFERROR(INDEX($Q$4:$Q$3183,MATCH(SMALL($V$4:$V$3183,345),$V$4:$V$3183,0)),"")</f>
        <v/>
      </c>
      <c r="E348" s="29">
        <f>IFERROR(INDEX($R$4:$R$3183,MATCH(SMALL($V$4:$V$3183,345),$V$4:$V$3183,0)),"")</f>
        <v/>
      </c>
      <c r="F348">
        <f>IFERROR(INDEX($S$4:$S$3183,MATCH(SMALL($V$4:$V$3183,345),$V$4:$V$3183,0)),"")</f>
        <v/>
      </c>
      <c r="I348" s="29">
        <f>IF($B348="","",IFERROR(INDEX($U$4:$U$3183,MATCH(SMALL($V$4:$V$3183,345),$V$4:$V$3183,0)),""))</f>
        <v/>
      </c>
      <c r="J348">
        <f>IF($B348="","",IF($D348&gt;$F$2,"À venir",IF($E348&lt;$D$2,"Passé","Dans la période")))</f>
        <v/>
      </c>
      <c r="K348">
        <f>IF(OR($B348="",NOT(ISNUMBER($D348))),"",IF(AND($E348&lt;$D$2,$G348&lt;&gt;"X",$F348&lt;&gt;"Réalisé",$F348&lt;&gt;"Clôturé"),"RETARD",""))</f>
        <v/>
      </c>
      <c r="L348">
        <f>IF(OR($B348="",NOT(ISNUMBER($D348))),"",IF(AND($D348&gt;=$D$2,$D348&lt;=$H$2,$G348&lt;&gt;"X",$F348&lt;&gt;"Réalisé",$F348&lt;&gt;"Clôturé"),"≤ 7 j",""))</f>
        <v/>
      </c>
      <c r="M348" s="29">
        <f>IF($B348="","",IFERROR(INDEX($T$4:$T$3183,MATCH(SMALL($V$4:$V$3183,345),$V$4:$V$3183,0)),""))</f>
        <v/>
      </c>
      <c r="O348">
        <f>IF(INDEX(Suivi!$B:$B,355)="","",INDEX(Suivi!$B:$B,355))</f>
        <v/>
      </c>
      <c r="P348">
        <f>IF($O348="","",IF(INDEX(Suivi!$D:$D,355)="",INDEX(Suivi!$C:$C,355),INDEX(Suivi!$D:$D,355)))</f>
        <v/>
      </c>
      <c r="Q348">
        <f>IF($O348="","",INDEX(Suivi!$E:$E,355))</f>
        <v/>
      </c>
      <c r="R348">
        <f>IF($O348="","",INDEX(Suivi!$F:$F,355))</f>
        <v/>
      </c>
      <c r="S348">
        <f>IF($O348="","",INDEX(Suivi!$G:$G,355))</f>
        <v/>
      </c>
      <c r="T348">
        <f>IF($O348="","",IF(INDEX(Dossiers!$F$4:$F$63,7)="","",INDEX(Dossiers!$F$4:$F$63,7)))</f>
        <v/>
      </c>
      <c r="U348">
        <f>IF($O348="","",IF(INDEX(Dossiers!$G$4:$G$63,7)="","",INDEX(Dossiers!$G$4:$G$63,7)))</f>
        <v/>
      </c>
      <c r="V348">
        <f>IF(OR($O348="",NOT(ISNUMBER($Q348))),"",$Q348*1000000+348)</f>
        <v/>
      </c>
      <c r="W348" s="29">
        <f>IF($B348="","",IFERROR(INDEX($U$4:$U$3183,MATCH(SMALL($V$4:$V$3183,345),$V$4:$V$3183,0)),""))</f>
        <v/>
      </c>
    </row>
    <row r="349">
      <c r="A349">
        <f>IFERROR(INDEX($N$4:$N$3183,MATCH(SMALL($V$4:$V$3183,346),$V$4:$V$3183,0)),"")</f>
        <v/>
      </c>
      <c r="B349">
        <f>IFERROR(INDEX($O$4:$O$3183,MATCH(SMALL($V$4:$V$3183,346),$V$4:$V$3183,0)),"")</f>
        <v/>
      </c>
      <c r="C349">
        <f>IFERROR(INDEX($P$4:$P$3183,MATCH(SMALL($V$4:$V$3183,346),$V$4:$V$3183,0)),"")</f>
        <v/>
      </c>
      <c r="D349" s="29">
        <f>IFERROR(INDEX($Q$4:$Q$3183,MATCH(SMALL($V$4:$V$3183,346),$V$4:$V$3183,0)),"")</f>
        <v/>
      </c>
      <c r="E349" s="29">
        <f>IFERROR(INDEX($R$4:$R$3183,MATCH(SMALL($V$4:$V$3183,346),$V$4:$V$3183,0)),"")</f>
        <v/>
      </c>
      <c r="F349">
        <f>IFERROR(INDEX($S$4:$S$3183,MATCH(SMALL($V$4:$V$3183,346),$V$4:$V$3183,0)),"")</f>
        <v/>
      </c>
      <c r="I349" s="29">
        <f>IF($B349="","",IFERROR(INDEX($U$4:$U$3183,MATCH(SMALL($V$4:$V$3183,346),$V$4:$V$3183,0)),""))</f>
        <v/>
      </c>
      <c r="J349">
        <f>IF($B349="","",IF($D349&gt;$F$2,"À venir",IF($E349&lt;$D$2,"Passé","Dans la période")))</f>
        <v/>
      </c>
      <c r="K349">
        <f>IF(OR($B349="",NOT(ISNUMBER($D349))),"",IF(AND($E349&lt;$D$2,$G349&lt;&gt;"X",$F349&lt;&gt;"Réalisé",$F349&lt;&gt;"Clôturé"),"RETARD",""))</f>
        <v/>
      </c>
      <c r="L349">
        <f>IF(OR($B349="",NOT(ISNUMBER($D349))),"",IF(AND($D349&gt;=$D$2,$D349&lt;=$H$2,$G349&lt;&gt;"X",$F349&lt;&gt;"Réalisé",$F349&lt;&gt;"Clôturé"),"≤ 7 j",""))</f>
        <v/>
      </c>
      <c r="M349" s="29">
        <f>IF($B349="","",IFERROR(INDEX($T$4:$T$3183,MATCH(SMALL($V$4:$V$3183,346),$V$4:$V$3183,0)),""))</f>
        <v/>
      </c>
      <c r="O349">
        <f>IF(INDEX(Suivi!$B:$B,356)="","",INDEX(Suivi!$B:$B,356))</f>
        <v/>
      </c>
      <c r="P349">
        <f>IF($O349="","",IF(INDEX(Suivi!$D:$D,356)="",INDEX(Suivi!$C:$C,356),INDEX(Suivi!$D:$D,356)))</f>
        <v/>
      </c>
      <c r="Q349">
        <f>IF($O349="","",INDEX(Suivi!$E:$E,356))</f>
        <v/>
      </c>
      <c r="R349">
        <f>IF($O349="","",INDEX(Suivi!$F:$F,356))</f>
        <v/>
      </c>
      <c r="S349">
        <f>IF($O349="","",INDEX(Suivi!$G:$G,356))</f>
        <v/>
      </c>
      <c r="T349">
        <f>IF($O349="","",IF(INDEX(Dossiers!$F$4:$F$63,7)="","",INDEX(Dossiers!$F$4:$F$63,7)))</f>
        <v/>
      </c>
      <c r="U349">
        <f>IF($O349="","",IF(INDEX(Dossiers!$G$4:$G$63,7)="","",INDEX(Dossiers!$G$4:$G$63,7)))</f>
        <v/>
      </c>
      <c r="V349">
        <f>IF(OR($O349="",NOT(ISNUMBER($Q349))),"",$Q349*1000000+349)</f>
        <v/>
      </c>
      <c r="W349" s="29">
        <f>IF($B349="","",IFERROR(INDEX($U$4:$U$3183,MATCH(SMALL($V$4:$V$3183,346),$V$4:$V$3183,0)),""))</f>
        <v/>
      </c>
    </row>
    <row r="350">
      <c r="A350">
        <f>IFERROR(INDEX($N$4:$N$3183,MATCH(SMALL($V$4:$V$3183,347),$V$4:$V$3183,0)),"")</f>
        <v/>
      </c>
      <c r="B350">
        <f>IFERROR(INDEX($O$4:$O$3183,MATCH(SMALL($V$4:$V$3183,347),$V$4:$V$3183,0)),"")</f>
        <v/>
      </c>
      <c r="C350">
        <f>IFERROR(INDEX($P$4:$P$3183,MATCH(SMALL($V$4:$V$3183,347),$V$4:$V$3183,0)),"")</f>
        <v/>
      </c>
      <c r="D350" s="29">
        <f>IFERROR(INDEX($Q$4:$Q$3183,MATCH(SMALL($V$4:$V$3183,347),$V$4:$V$3183,0)),"")</f>
        <v/>
      </c>
      <c r="E350" s="29">
        <f>IFERROR(INDEX($R$4:$R$3183,MATCH(SMALL($V$4:$V$3183,347),$V$4:$V$3183,0)),"")</f>
        <v/>
      </c>
      <c r="F350">
        <f>IFERROR(INDEX($S$4:$S$3183,MATCH(SMALL($V$4:$V$3183,347),$V$4:$V$3183,0)),"")</f>
        <v/>
      </c>
      <c r="I350" s="29">
        <f>IF($B350="","",IFERROR(INDEX($U$4:$U$3183,MATCH(SMALL($V$4:$V$3183,347),$V$4:$V$3183,0)),""))</f>
        <v/>
      </c>
      <c r="J350">
        <f>IF($B350="","",IF($D350&gt;$F$2,"À venir",IF($E350&lt;$D$2,"Passé","Dans la période")))</f>
        <v/>
      </c>
      <c r="K350">
        <f>IF(OR($B350="",NOT(ISNUMBER($D350))),"",IF(AND($E350&lt;$D$2,$G350&lt;&gt;"X",$F350&lt;&gt;"Réalisé",$F350&lt;&gt;"Clôturé"),"RETARD",""))</f>
        <v/>
      </c>
      <c r="L350">
        <f>IF(OR($B350="",NOT(ISNUMBER($D350))),"",IF(AND($D350&gt;=$D$2,$D350&lt;=$H$2,$G350&lt;&gt;"X",$F350&lt;&gt;"Réalisé",$F350&lt;&gt;"Clôturé"),"≤ 7 j",""))</f>
        <v/>
      </c>
      <c r="M350" s="29">
        <f>IF($B350="","",IFERROR(INDEX($T$4:$T$3183,MATCH(SMALL($V$4:$V$3183,347),$V$4:$V$3183,0)),""))</f>
        <v/>
      </c>
      <c r="O350">
        <f>IF(INDEX(Suivi!$B:$B,357)="","",INDEX(Suivi!$B:$B,357))</f>
        <v/>
      </c>
      <c r="P350">
        <f>IF($O350="","",IF(INDEX(Suivi!$D:$D,357)="",INDEX(Suivi!$C:$C,357),INDEX(Suivi!$D:$D,357)))</f>
        <v/>
      </c>
      <c r="Q350">
        <f>IF($O350="","",INDEX(Suivi!$E:$E,357))</f>
        <v/>
      </c>
      <c r="R350">
        <f>IF($O350="","",INDEX(Suivi!$F:$F,357))</f>
        <v/>
      </c>
      <c r="S350">
        <f>IF($O350="","",INDEX(Suivi!$G:$G,357))</f>
        <v/>
      </c>
      <c r="T350">
        <f>IF($O350="","",IF(INDEX(Dossiers!$F$4:$F$63,7)="","",INDEX(Dossiers!$F$4:$F$63,7)))</f>
        <v/>
      </c>
      <c r="U350">
        <f>IF($O350="","",IF(INDEX(Dossiers!$G$4:$G$63,7)="","",INDEX(Dossiers!$G$4:$G$63,7)))</f>
        <v/>
      </c>
      <c r="V350">
        <f>IF(OR($O350="",NOT(ISNUMBER($Q350))),"",$Q350*1000000+350)</f>
        <v/>
      </c>
      <c r="W350" s="29">
        <f>IF($B350="","",IFERROR(INDEX($U$4:$U$3183,MATCH(SMALL($V$4:$V$3183,347),$V$4:$V$3183,0)),""))</f>
        <v/>
      </c>
    </row>
    <row r="351">
      <c r="A351">
        <f>IFERROR(INDEX($N$4:$N$3183,MATCH(SMALL($V$4:$V$3183,348),$V$4:$V$3183,0)),"")</f>
        <v/>
      </c>
      <c r="B351">
        <f>IFERROR(INDEX($O$4:$O$3183,MATCH(SMALL($V$4:$V$3183,348),$V$4:$V$3183,0)),"")</f>
        <v/>
      </c>
      <c r="C351">
        <f>IFERROR(INDEX($P$4:$P$3183,MATCH(SMALL($V$4:$V$3183,348),$V$4:$V$3183,0)),"")</f>
        <v/>
      </c>
      <c r="D351" s="29">
        <f>IFERROR(INDEX($Q$4:$Q$3183,MATCH(SMALL($V$4:$V$3183,348),$V$4:$V$3183,0)),"")</f>
        <v/>
      </c>
      <c r="E351" s="29">
        <f>IFERROR(INDEX($R$4:$R$3183,MATCH(SMALL($V$4:$V$3183,348),$V$4:$V$3183,0)),"")</f>
        <v/>
      </c>
      <c r="F351">
        <f>IFERROR(INDEX($S$4:$S$3183,MATCH(SMALL($V$4:$V$3183,348),$V$4:$V$3183,0)),"")</f>
        <v/>
      </c>
      <c r="I351" s="29">
        <f>IF($B351="","",IFERROR(INDEX($U$4:$U$3183,MATCH(SMALL($V$4:$V$3183,348),$V$4:$V$3183,0)),""))</f>
        <v/>
      </c>
      <c r="J351">
        <f>IF($B351="","",IF($D351&gt;$F$2,"À venir",IF($E351&lt;$D$2,"Passé","Dans la période")))</f>
        <v/>
      </c>
      <c r="K351">
        <f>IF(OR($B351="",NOT(ISNUMBER($D351))),"",IF(AND($E351&lt;$D$2,$G351&lt;&gt;"X",$F351&lt;&gt;"Réalisé",$F351&lt;&gt;"Clôturé"),"RETARD",""))</f>
        <v/>
      </c>
      <c r="L351">
        <f>IF(OR($B351="",NOT(ISNUMBER($D351))),"",IF(AND($D351&gt;=$D$2,$D351&lt;=$H$2,$G351&lt;&gt;"X",$F351&lt;&gt;"Réalisé",$F351&lt;&gt;"Clôturé"),"≤ 7 j",""))</f>
        <v/>
      </c>
      <c r="M351" s="29">
        <f>IF($B351="","",IFERROR(INDEX($T$4:$T$3183,MATCH(SMALL($V$4:$V$3183,348),$V$4:$V$3183,0)),""))</f>
        <v/>
      </c>
      <c r="O351">
        <f>IF(INDEX(Suivi!$B:$B,358)="","",INDEX(Suivi!$B:$B,358))</f>
        <v/>
      </c>
      <c r="P351">
        <f>IF($O351="","",IF(INDEX(Suivi!$D:$D,358)="",INDEX(Suivi!$C:$C,358),INDEX(Suivi!$D:$D,358)))</f>
        <v/>
      </c>
      <c r="Q351">
        <f>IF($O351="","",INDEX(Suivi!$E:$E,358))</f>
        <v/>
      </c>
      <c r="R351">
        <f>IF($O351="","",INDEX(Suivi!$F:$F,358))</f>
        <v/>
      </c>
      <c r="S351">
        <f>IF($O351="","",INDEX(Suivi!$G:$G,358))</f>
        <v/>
      </c>
      <c r="T351">
        <f>IF($O351="","",IF(INDEX(Dossiers!$F$4:$F$63,7)="","",INDEX(Dossiers!$F$4:$F$63,7)))</f>
        <v/>
      </c>
      <c r="U351">
        <f>IF($O351="","",IF(INDEX(Dossiers!$G$4:$G$63,7)="","",INDEX(Dossiers!$G$4:$G$63,7)))</f>
        <v/>
      </c>
      <c r="V351">
        <f>IF(OR($O351="",NOT(ISNUMBER($Q351))),"",$Q351*1000000+351)</f>
        <v/>
      </c>
      <c r="W351" s="29">
        <f>IF($B351="","",IFERROR(INDEX($U$4:$U$3183,MATCH(SMALL($V$4:$V$3183,348),$V$4:$V$3183,0)),""))</f>
        <v/>
      </c>
    </row>
    <row r="352">
      <c r="A352">
        <f>IFERROR(INDEX($N$4:$N$3183,MATCH(SMALL($V$4:$V$3183,349),$V$4:$V$3183,0)),"")</f>
        <v/>
      </c>
      <c r="B352">
        <f>IFERROR(INDEX($O$4:$O$3183,MATCH(SMALL($V$4:$V$3183,349),$V$4:$V$3183,0)),"")</f>
        <v/>
      </c>
      <c r="C352">
        <f>IFERROR(INDEX($P$4:$P$3183,MATCH(SMALL($V$4:$V$3183,349),$V$4:$V$3183,0)),"")</f>
        <v/>
      </c>
      <c r="D352" s="29">
        <f>IFERROR(INDEX($Q$4:$Q$3183,MATCH(SMALL($V$4:$V$3183,349),$V$4:$V$3183,0)),"")</f>
        <v/>
      </c>
      <c r="E352" s="29">
        <f>IFERROR(INDEX($R$4:$R$3183,MATCH(SMALL($V$4:$V$3183,349),$V$4:$V$3183,0)),"")</f>
        <v/>
      </c>
      <c r="F352">
        <f>IFERROR(INDEX($S$4:$S$3183,MATCH(SMALL($V$4:$V$3183,349),$V$4:$V$3183,0)),"")</f>
        <v/>
      </c>
      <c r="I352" s="29">
        <f>IF($B352="","",IFERROR(INDEX($U$4:$U$3183,MATCH(SMALL($V$4:$V$3183,349),$V$4:$V$3183,0)),""))</f>
        <v/>
      </c>
      <c r="J352">
        <f>IF($B352="","",IF($D352&gt;$F$2,"À venir",IF($E352&lt;$D$2,"Passé","Dans la période")))</f>
        <v/>
      </c>
      <c r="K352">
        <f>IF(OR($B352="",NOT(ISNUMBER($D352))),"",IF(AND($E352&lt;$D$2,$G352&lt;&gt;"X",$F352&lt;&gt;"Réalisé",$F352&lt;&gt;"Clôturé"),"RETARD",""))</f>
        <v/>
      </c>
      <c r="L352">
        <f>IF(OR($B352="",NOT(ISNUMBER($D352))),"",IF(AND($D352&gt;=$D$2,$D352&lt;=$H$2,$G352&lt;&gt;"X",$F352&lt;&gt;"Réalisé",$F352&lt;&gt;"Clôturé"),"≤ 7 j",""))</f>
        <v/>
      </c>
      <c r="M352" s="29">
        <f>IF($B352="","",IFERROR(INDEX($T$4:$T$3183,MATCH(SMALL($V$4:$V$3183,349),$V$4:$V$3183,0)),""))</f>
        <v/>
      </c>
      <c r="O352">
        <f>IF(INDEX(Suivi!$B:$B,359)="","",INDEX(Suivi!$B:$B,359))</f>
        <v/>
      </c>
      <c r="P352">
        <f>IF($O352="","",IF(INDEX(Suivi!$D:$D,359)="",INDEX(Suivi!$C:$C,359),INDEX(Suivi!$D:$D,359)))</f>
        <v/>
      </c>
      <c r="Q352">
        <f>IF($O352="","",INDEX(Suivi!$E:$E,359))</f>
        <v/>
      </c>
      <c r="R352">
        <f>IF($O352="","",INDEX(Suivi!$F:$F,359))</f>
        <v/>
      </c>
      <c r="S352">
        <f>IF($O352="","",INDEX(Suivi!$G:$G,359))</f>
        <v/>
      </c>
      <c r="T352">
        <f>IF($O352="","",IF(INDEX(Dossiers!$F$4:$F$63,7)="","",INDEX(Dossiers!$F$4:$F$63,7)))</f>
        <v/>
      </c>
      <c r="U352">
        <f>IF($O352="","",IF(INDEX(Dossiers!$G$4:$G$63,7)="","",INDEX(Dossiers!$G$4:$G$63,7)))</f>
        <v/>
      </c>
      <c r="V352">
        <f>IF(OR($O352="",NOT(ISNUMBER($Q352))),"",$Q352*1000000+352)</f>
        <v/>
      </c>
      <c r="W352" s="29">
        <f>IF($B352="","",IFERROR(INDEX($U$4:$U$3183,MATCH(SMALL($V$4:$V$3183,349),$V$4:$V$3183,0)),""))</f>
        <v/>
      </c>
    </row>
    <row r="353">
      <c r="A353">
        <f>IFERROR(INDEX($N$4:$N$3183,MATCH(SMALL($V$4:$V$3183,350),$V$4:$V$3183,0)),"")</f>
        <v/>
      </c>
      <c r="B353">
        <f>IFERROR(INDEX($O$4:$O$3183,MATCH(SMALL($V$4:$V$3183,350),$V$4:$V$3183,0)),"")</f>
        <v/>
      </c>
      <c r="C353">
        <f>IFERROR(INDEX($P$4:$P$3183,MATCH(SMALL($V$4:$V$3183,350),$V$4:$V$3183,0)),"")</f>
        <v/>
      </c>
      <c r="D353" s="29">
        <f>IFERROR(INDEX($Q$4:$Q$3183,MATCH(SMALL($V$4:$V$3183,350),$V$4:$V$3183,0)),"")</f>
        <v/>
      </c>
      <c r="E353" s="29">
        <f>IFERROR(INDEX($R$4:$R$3183,MATCH(SMALL($V$4:$V$3183,350),$V$4:$V$3183,0)),"")</f>
        <v/>
      </c>
      <c r="F353">
        <f>IFERROR(INDEX($S$4:$S$3183,MATCH(SMALL($V$4:$V$3183,350),$V$4:$V$3183,0)),"")</f>
        <v/>
      </c>
      <c r="I353" s="29">
        <f>IF($B353="","",IFERROR(INDEX($U$4:$U$3183,MATCH(SMALL($V$4:$V$3183,350),$V$4:$V$3183,0)),""))</f>
        <v/>
      </c>
      <c r="J353">
        <f>IF($B353="","",IF($D353&gt;$F$2,"À venir",IF($E353&lt;$D$2,"Passé","Dans la période")))</f>
        <v/>
      </c>
      <c r="K353">
        <f>IF(OR($B353="",NOT(ISNUMBER($D353))),"",IF(AND($E353&lt;$D$2,$G353&lt;&gt;"X",$F353&lt;&gt;"Réalisé",$F353&lt;&gt;"Clôturé"),"RETARD",""))</f>
        <v/>
      </c>
      <c r="L353">
        <f>IF(OR($B353="",NOT(ISNUMBER($D353))),"",IF(AND($D353&gt;=$D$2,$D353&lt;=$H$2,$G353&lt;&gt;"X",$F353&lt;&gt;"Réalisé",$F353&lt;&gt;"Clôturé"),"≤ 7 j",""))</f>
        <v/>
      </c>
      <c r="M353" s="29">
        <f>IF($B353="","",IFERROR(INDEX($T$4:$T$3183,MATCH(SMALL($V$4:$V$3183,350),$V$4:$V$3183,0)),""))</f>
        <v/>
      </c>
      <c r="O353">
        <f>IF(INDEX(Suivi!$B:$B,360)="","",INDEX(Suivi!$B:$B,360))</f>
        <v/>
      </c>
      <c r="P353">
        <f>IF($O353="","",IF(INDEX(Suivi!$D:$D,360)="",INDEX(Suivi!$C:$C,360),INDEX(Suivi!$D:$D,360)))</f>
        <v/>
      </c>
      <c r="Q353">
        <f>IF($O353="","",INDEX(Suivi!$E:$E,360))</f>
        <v/>
      </c>
      <c r="R353">
        <f>IF($O353="","",INDEX(Suivi!$F:$F,360))</f>
        <v/>
      </c>
      <c r="S353">
        <f>IF($O353="","",INDEX(Suivi!$G:$G,360))</f>
        <v/>
      </c>
      <c r="T353">
        <f>IF($O353="","",IF(INDEX(Dossiers!$F$4:$F$63,7)="","",INDEX(Dossiers!$F$4:$F$63,7)))</f>
        <v/>
      </c>
      <c r="U353">
        <f>IF($O353="","",IF(INDEX(Dossiers!$G$4:$G$63,7)="","",INDEX(Dossiers!$G$4:$G$63,7)))</f>
        <v/>
      </c>
      <c r="V353">
        <f>IF(OR($O353="",NOT(ISNUMBER($Q353))),"",$Q353*1000000+353)</f>
        <v/>
      </c>
      <c r="W353" s="29">
        <f>IF($B353="","",IFERROR(INDEX($U$4:$U$3183,MATCH(SMALL($V$4:$V$3183,350),$V$4:$V$3183,0)),""))</f>
        <v/>
      </c>
    </row>
    <row r="354">
      <c r="A354">
        <f>IFERROR(INDEX($N$4:$N$3183,MATCH(SMALL($V$4:$V$3183,351),$V$4:$V$3183,0)),"")</f>
        <v/>
      </c>
      <c r="B354">
        <f>IFERROR(INDEX($O$4:$O$3183,MATCH(SMALL($V$4:$V$3183,351),$V$4:$V$3183,0)),"")</f>
        <v/>
      </c>
      <c r="C354">
        <f>IFERROR(INDEX($P$4:$P$3183,MATCH(SMALL($V$4:$V$3183,351),$V$4:$V$3183,0)),"")</f>
        <v/>
      </c>
      <c r="D354" s="29">
        <f>IFERROR(INDEX($Q$4:$Q$3183,MATCH(SMALL($V$4:$V$3183,351),$V$4:$V$3183,0)),"")</f>
        <v/>
      </c>
      <c r="E354" s="29">
        <f>IFERROR(INDEX($R$4:$R$3183,MATCH(SMALL($V$4:$V$3183,351),$V$4:$V$3183,0)),"")</f>
        <v/>
      </c>
      <c r="F354">
        <f>IFERROR(INDEX($S$4:$S$3183,MATCH(SMALL($V$4:$V$3183,351),$V$4:$V$3183,0)),"")</f>
        <v/>
      </c>
      <c r="I354" s="29">
        <f>IF($B354="","",IFERROR(INDEX($U$4:$U$3183,MATCH(SMALL($V$4:$V$3183,351),$V$4:$V$3183,0)),""))</f>
        <v/>
      </c>
      <c r="J354">
        <f>IF($B354="","",IF($D354&gt;$F$2,"À venir",IF($E354&lt;$D$2,"Passé","Dans la période")))</f>
        <v/>
      </c>
      <c r="K354">
        <f>IF(OR($B354="",NOT(ISNUMBER($D354))),"",IF(AND($E354&lt;$D$2,$G354&lt;&gt;"X",$F354&lt;&gt;"Réalisé",$F354&lt;&gt;"Clôturé"),"RETARD",""))</f>
        <v/>
      </c>
      <c r="L354">
        <f>IF(OR($B354="",NOT(ISNUMBER($D354))),"",IF(AND($D354&gt;=$D$2,$D354&lt;=$H$2,$G354&lt;&gt;"X",$F354&lt;&gt;"Réalisé",$F354&lt;&gt;"Clôturé"),"≤ 7 j",""))</f>
        <v/>
      </c>
      <c r="M354" s="29">
        <f>IF($B354="","",IFERROR(INDEX($T$4:$T$3183,MATCH(SMALL($V$4:$V$3183,351),$V$4:$V$3183,0)),""))</f>
        <v/>
      </c>
      <c r="O354">
        <f>IF(INDEX(Suivi!$B:$B,361)="","",INDEX(Suivi!$B:$B,361))</f>
        <v/>
      </c>
      <c r="P354">
        <f>IF($O354="","",IF(INDEX(Suivi!$D:$D,361)="",INDEX(Suivi!$C:$C,361),INDEX(Suivi!$D:$D,361)))</f>
        <v/>
      </c>
      <c r="Q354">
        <f>IF($O354="","",INDEX(Suivi!$E:$E,361))</f>
        <v/>
      </c>
      <c r="R354">
        <f>IF($O354="","",INDEX(Suivi!$F:$F,361))</f>
        <v/>
      </c>
      <c r="S354">
        <f>IF($O354="","",INDEX(Suivi!$G:$G,361))</f>
        <v/>
      </c>
      <c r="T354">
        <f>IF($O354="","",IF(INDEX(Dossiers!$F$4:$F$63,7)="","",INDEX(Dossiers!$F$4:$F$63,7)))</f>
        <v/>
      </c>
      <c r="U354">
        <f>IF($O354="","",IF(INDEX(Dossiers!$G$4:$G$63,7)="","",INDEX(Dossiers!$G$4:$G$63,7)))</f>
        <v/>
      </c>
      <c r="V354">
        <f>IF(OR($O354="",NOT(ISNUMBER($Q354))),"",$Q354*1000000+354)</f>
        <v/>
      </c>
      <c r="W354" s="29">
        <f>IF($B354="","",IFERROR(INDEX($U$4:$U$3183,MATCH(SMALL($V$4:$V$3183,351),$V$4:$V$3183,0)),""))</f>
        <v/>
      </c>
    </row>
    <row r="355">
      <c r="A355">
        <f>IFERROR(INDEX($N$4:$N$3183,MATCH(SMALL($V$4:$V$3183,352),$V$4:$V$3183,0)),"")</f>
        <v/>
      </c>
      <c r="B355">
        <f>IFERROR(INDEX($O$4:$O$3183,MATCH(SMALL($V$4:$V$3183,352),$V$4:$V$3183,0)),"")</f>
        <v/>
      </c>
      <c r="C355">
        <f>IFERROR(INDEX($P$4:$P$3183,MATCH(SMALL($V$4:$V$3183,352),$V$4:$V$3183,0)),"")</f>
        <v/>
      </c>
      <c r="D355" s="29">
        <f>IFERROR(INDEX($Q$4:$Q$3183,MATCH(SMALL($V$4:$V$3183,352),$V$4:$V$3183,0)),"")</f>
        <v/>
      </c>
      <c r="E355" s="29">
        <f>IFERROR(INDEX($R$4:$R$3183,MATCH(SMALL($V$4:$V$3183,352),$V$4:$V$3183,0)),"")</f>
        <v/>
      </c>
      <c r="F355">
        <f>IFERROR(INDEX($S$4:$S$3183,MATCH(SMALL($V$4:$V$3183,352),$V$4:$V$3183,0)),"")</f>
        <v/>
      </c>
      <c r="I355" s="29">
        <f>IF($B355="","",IFERROR(INDEX($U$4:$U$3183,MATCH(SMALL($V$4:$V$3183,352),$V$4:$V$3183,0)),""))</f>
        <v/>
      </c>
      <c r="J355">
        <f>IF($B355="","",IF($D355&gt;$F$2,"À venir",IF($E355&lt;$D$2,"Passé","Dans la période")))</f>
        <v/>
      </c>
      <c r="K355">
        <f>IF(OR($B355="",NOT(ISNUMBER($D355))),"",IF(AND($E355&lt;$D$2,$G355&lt;&gt;"X",$F355&lt;&gt;"Réalisé",$F355&lt;&gt;"Clôturé"),"RETARD",""))</f>
        <v/>
      </c>
      <c r="L355">
        <f>IF(OR($B355="",NOT(ISNUMBER($D355))),"",IF(AND($D355&gt;=$D$2,$D355&lt;=$H$2,$G355&lt;&gt;"X",$F355&lt;&gt;"Réalisé",$F355&lt;&gt;"Clôturé"),"≤ 7 j",""))</f>
        <v/>
      </c>
      <c r="M355" s="29">
        <f>IF($B355="","",IFERROR(INDEX($T$4:$T$3183,MATCH(SMALL($V$4:$V$3183,352),$V$4:$V$3183,0)),""))</f>
        <v/>
      </c>
      <c r="O355">
        <f>IF(INDEX(Suivi!$B:$B,362)="","",INDEX(Suivi!$B:$B,362))</f>
        <v/>
      </c>
      <c r="P355">
        <f>IF($O355="","",IF(INDEX(Suivi!$D:$D,362)="",INDEX(Suivi!$C:$C,362),INDEX(Suivi!$D:$D,362)))</f>
        <v/>
      </c>
      <c r="Q355">
        <f>IF($O355="","",INDEX(Suivi!$E:$E,362))</f>
        <v/>
      </c>
      <c r="R355">
        <f>IF($O355="","",INDEX(Suivi!$F:$F,362))</f>
        <v/>
      </c>
      <c r="S355">
        <f>IF($O355="","",INDEX(Suivi!$G:$G,362))</f>
        <v/>
      </c>
      <c r="T355">
        <f>IF($O355="","",IF(INDEX(Dossiers!$F$4:$F$63,7)="","",INDEX(Dossiers!$F$4:$F$63,7)))</f>
        <v/>
      </c>
      <c r="U355">
        <f>IF($O355="","",IF(INDEX(Dossiers!$G$4:$G$63,7)="","",INDEX(Dossiers!$G$4:$G$63,7)))</f>
        <v/>
      </c>
      <c r="V355">
        <f>IF(OR($O355="",NOT(ISNUMBER($Q355))),"",$Q355*1000000+355)</f>
        <v/>
      </c>
      <c r="W355" s="29">
        <f>IF($B355="","",IFERROR(INDEX($U$4:$U$3183,MATCH(SMALL($V$4:$V$3183,352),$V$4:$V$3183,0)),""))</f>
        <v/>
      </c>
    </row>
    <row r="356">
      <c r="A356">
        <f>IFERROR(INDEX($N$4:$N$3183,MATCH(SMALL($V$4:$V$3183,353),$V$4:$V$3183,0)),"")</f>
        <v/>
      </c>
      <c r="B356">
        <f>IFERROR(INDEX($O$4:$O$3183,MATCH(SMALL($V$4:$V$3183,353),$V$4:$V$3183,0)),"")</f>
        <v/>
      </c>
      <c r="C356">
        <f>IFERROR(INDEX($P$4:$P$3183,MATCH(SMALL($V$4:$V$3183,353),$V$4:$V$3183,0)),"")</f>
        <v/>
      </c>
      <c r="D356" s="29">
        <f>IFERROR(INDEX($Q$4:$Q$3183,MATCH(SMALL($V$4:$V$3183,353),$V$4:$V$3183,0)),"")</f>
        <v/>
      </c>
      <c r="E356" s="29">
        <f>IFERROR(INDEX($R$4:$R$3183,MATCH(SMALL($V$4:$V$3183,353),$V$4:$V$3183,0)),"")</f>
        <v/>
      </c>
      <c r="F356">
        <f>IFERROR(INDEX($S$4:$S$3183,MATCH(SMALL($V$4:$V$3183,353),$V$4:$V$3183,0)),"")</f>
        <v/>
      </c>
      <c r="I356" s="29">
        <f>IF($B356="","",IFERROR(INDEX($U$4:$U$3183,MATCH(SMALL($V$4:$V$3183,353),$V$4:$V$3183,0)),""))</f>
        <v/>
      </c>
      <c r="J356">
        <f>IF($B356="","",IF($D356&gt;$F$2,"À venir",IF($E356&lt;$D$2,"Passé","Dans la période")))</f>
        <v/>
      </c>
      <c r="K356">
        <f>IF(OR($B356="",NOT(ISNUMBER($D356))),"",IF(AND($E356&lt;$D$2,$G356&lt;&gt;"X",$F356&lt;&gt;"Réalisé",$F356&lt;&gt;"Clôturé"),"RETARD",""))</f>
        <v/>
      </c>
      <c r="L356">
        <f>IF(OR($B356="",NOT(ISNUMBER($D356))),"",IF(AND($D356&gt;=$D$2,$D356&lt;=$H$2,$G356&lt;&gt;"X",$F356&lt;&gt;"Réalisé",$F356&lt;&gt;"Clôturé"),"≤ 7 j",""))</f>
        <v/>
      </c>
      <c r="M356" s="29">
        <f>IF($B356="","",IFERROR(INDEX($T$4:$T$3183,MATCH(SMALL($V$4:$V$3183,353),$V$4:$V$3183,0)),""))</f>
        <v/>
      </c>
      <c r="O356">
        <f>IF(INDEX(Suivi!$B:$B,363)="","",INDEX(Suivi!$B:$B,363))</f>
        <v/>
      </c>
      <c r="P356">
        <f>IF($O356="","",IF(INDEX(Suivi!$D:$D,363)="",INDEX(Suivi!$C:$C,363),INDEX(Suivi!$D:$D,363)))</f>
        <v/>
      </c>
      <c r="Q356">
        <f>IF($O356="","",INDEX(Suivi!$E:$E,363))</f>
        <v/>
      </c>
      <c r="R356">
        <f>IF($O356="","",INDEX(Suivi!$F:$F,363))</f>
        <v/>
      </c>
      <c r="S356">
        <f>IF($O356="","",INDEX(Suivi!$G:$G,363))</f>
        <v/>
      </c>
      <c r="T356">
        <f>IF($O356="","",IF(INDEX(Dossiers!$F$4:$F$63,7)="","",INDEX(Dossiers!$F$4:$F$63,7)))</f>
        <v/>
      </c>
      <c r="U356">
        <f>IF($O356="","",IF(INDEX(Dossiers!$G$4:$G$63,7)="","",INDEX(Dossiers!$G$4:$G$63,7)))</f>
        <v/>
      </c>
      <c r="V356">
        <f>IF(OR($O356="",NOT(ISNUMBER($Q356))),"",$Q356*1000000+356)</f>
        <v/>
      </c>
      <c r="W356" s="29">
        <f>IF($B356="","",IFERROR(INDEX($U$4:$U$3183,MATCH(SMALL($V$4:$V$3183,353),$V$4:$V$3183,0)),""))</f>
        <v/>
      </c>
    </row>
    <row r="357">
      <c r="A357">
        <f>IFERROR(INDEX($N$4:$N$3183,MATCH(SMALL($V$4:$V$3183,354),$V$4:$V$3183,0)),"")</f>
        <v/>
      </c>
      <c r="B357">
        <f>IFERROR(INDEX($O$4:$O$3183,MATCH(SMALL($V$4:$V$3183,354),$V$4:$V$3183,0)),"")</f>
        <v/>
      </c>
      <c r="C357">
        <f>IFERROR(INDEX($P$4:$P$3183,MATCH(SMALL($V$4:$V$3183,354),$V$4:$V$3183,0)),"")</f>
        <v/>
      </c>
      <c r="D357" s="29">
        <f>IFERROR(INDEX($Q$4:$Q$3183,MATCH(SMALL($V$4:$V$3183,354),$V$4:$V$3183,0)),"")</f>
        <v/>
      </c>
      <c r="E357" s="29">
        <f>IFERROR(INDEX($R$4:$R$3183,MATCH(SMALL($V$4:$V$3183,354),$V$4:$V$3183,0)),"")</f>
        <v/>
      </c>
      <c r="F357">
        <f>IFERROR(INDEX($S$4:$S$3183,MATCH(SMALL($V$4:$V$3183,354),$V$4:$V$3183,0)),"")</f>
        <v/>
      </c>
      <c r="I357" s="29">
        <f>IF($B357="","",IFERROR(INDEX($U$4:$U$3183,MATCH(SMALL($V$4:$V$3183,354),$V$4:$V$3183,0)),""))</f>
        <v/>
      </c>
      <c r="J357">
        <f>IF($B357="","",IF($D357&gt;$F$2,"À venir",IF($E357&lt;$D$2,"Passé","Dans la période")))</f>
        <v/>
      </c>
      <c r="K357">
        <f>IF(OR($B357="",NOT(ISNUMBER($D357))),"",IF(AND($E357&lt;$D$2,$G357&lt;&gt;"X",$F357&lt;&gt;"Réalisé",$F357&lt;&gt;"Clôturé"),"RETARD",""))</f>
        <v/>
      </c>
      <c r="L357">
        <f>IF(OR($B357="",NOT(ISNUMBER($D357))),"",IF(AND($D357&gt;=$D$2,$D357&lt;=$H$2,$G357&lt;&gt;"X",$F357&lt;&gt;"Réalisé",$F357&lt;&gt;"Clôturé"),"≤ 7 j",""))</f>
        <v/>
      </c>
      <c r="M357" s="29">
        <f>IF($B357="","",IFERROR(INDEX($T$4:$T$3183,MATCH(SMALL($V$4:$V$3183,354),$V$4:$V$3183,0)),""))</f>
        <v/>
      </c>
      <c r="O357">
        <f>IF(INDEX(Suivi!$B:$B,364)="","",INDEX(Suivi!$B:$B,364))</f>
        <v/>
      </c>
      <c r="P357">
        <f>IF($O357="","",IF(INDEX(Suivi!$D:$D,364)="",INDEX(Suivi!$C:$C,364),INDEX(Suivi!$D:$D,364)))</f>
        <v/>
      </c>
      <c r="Q357">
        <f>IF($O357="","",INDEX(Suivi!$E:$E,364))</f>
        <v/>
      </c>
      <c r="R357">
        <f>IF($O357="","",INDEX(Suivi!$F:$F,364))</f>
        <v/>
      </c>
      <c r="S357">
        <f>IF($O357="","",INDEX(Suivi!$G:$G,364))</f>
        <v/>
      </c>
      <c r="T357">
        <f>IF($O357="","",IF(INDEX(Dossiers!$F$4:$F$63,7)="","",INDEX(Dossiers!$F$4:$F$63,7)))</f>
        <v/>
      </c>
      <c r="U357">
        <f>IF($O357="","",IF(INDEX(Dossiers!$G$4:$G$63,7)="","",INDEX(Dossiers!$G$4:$G$63,7)))</f>
        <v/>
      </c>
      <c r="V357">
        <f>IF(OR($O357="",NOT(ISNUMBER($Q357))),"",$Q357*1000000+357)</f>
        <v/>
      </c>
      <c r="W357" s="29">
        <f>IF($B357="","",IFERROR(INDEX($U$4:$U$3183,MATCH(SMALL($V$4:$V$3183,354),$V$4:$V$3183,0)),""))</f>
        <v/>
      </c>
    </row>
    <row r="358">
      <c r="A358">
        <f>IFERROR(INDEX($N$4:$N$3183,MATCH(SMALL($V$4:$V$3183,355),$V$4:$V$3183,0)),"")</f>
        <v/>
      </c>
      <c r="B358">
        <f>IFERROR(INDEX($O$4:$O$3183,MATCH(SMALL($V$4:$V$3183,355),$V$4:$V$3183,0)),"")</f>
        <v/>
      </c>
      <c r="C358">
        <f>IFERROR(INDEX($P$4:$P$3183,MATCH(SMALL($V$4:$V$3183,355),$V$4:$V$3183,0)),"")</f>
        <v/>
      </c>
      <c r="D358" s="29">
        <f>IFERROR(INDEX($Q$4:$Q$3183,MATCH(SMALL($V$4:$V$3183,355),$V$4:$V$3183,0)),"")</f>
        <v/>
      </c>
      <c r="E358" s="29">
        <f>IFERROR(INDEX($R$4:$R$3183,MATCH(SMALL($V$4:$V$3183,355),$V$4:$V$3183,0)),"")</f>
        <v/>
      </c>
      <c r="F358">
        <f>IFERROR(INDEX($S$4:$S$3183,MATCH(SMALL($V$4:$V$3183,355),$V$4:$V$3183,0)),"")</f>
        <v/>
      </c>
      <c r="I358" s="29">
        <f>IF($B358="","",IFERROR(INDEX($U$4:$U$3183,MATCH(SMALL($V$4:$V$3183,355),$V$4:$V$3183,0)),""))</f>
        <v/>
      </c>
      <c r="J358">
        <f>IF($B358="","",IF($D358&gt;$F$2,"À venir",IF($E358&lt;$D$2,"Passé","Dans la période")))</f>
        <v/>
      </c>
      <c r="K358">
        <f>IF(OR($B358="",NOT(ISNUMBER($D358))),"",IF(AND($E358&lt;$D$2,$G358&lt;&gt;"X",$F358&lt;&gt;"Réalisé",$F358&lt;&gt;"Clôturé"),"RETARD",""))</f>
        <v/>
      </c>
      <c r="L358">
        <f>IF(OR($B358="",NOT(ISNUMBER($D358))),"",IF(AND($D358&gt;=$D$2,$D358&lt;=$H$2,$G358&lt;&gt;"X",$F358&lt;&gt;"Réalisé",$F358&lt;&gt;"Clôturé"),"≤ 7 j",""))</f>
        <v/>
      </c>
      <c r="M358" s="29">
        <f>IF($B358="","",IFERROR(INDEX($T$4:$T$3183,MATCH(SMALL($V$4:$V$3183,355),$V$4:$V$3183,0)),""))</f>
        <v/>
      </c>
      <c r="O358">
        <f>IF(INDEX(Suivi!$B:$B,365)="","",INDEX(Suivi!$B:$B,365))</f>
        <v/>
      </c>
      <c r="P358">
        <f>IF($O358="","",IF(INDEX(Suivi!$D:$D,365)="",INDEX(Suivi!$C:$C,365),INDEX(Suivi!$D:$D,365)))</f>
        <v/>
      </c>
      <c r="Q358">
        <f>IF($O358="","",INDEX(Suivi!$E:$E,365))</f>
        <v/>
      </c>
      <c r="R358">
        <f>IF($O358="","",INDEX(Suivi!$F:$F,365))</f>
        <v/>
      </c>
      <c r="S358">
        <f>IF($O358="","",INDEX(Suivi!$G:$G,365))</f>
        <v/>
      </c>
      <c r="T358">
        <f>IF($O358="","",IF(INDEX(Dossiers!$F$4:$F$63,7)="","",INDEX(Dossiers!$F$4:$F$63,7)))</f>
        <v/>
      </c>
      <c r="U358">
        <f>IF($O358="","",IF(INDEX(Dossiers!$G$4:$G$63,7)="","",INDEX(Dossiers!$G$4:$G$63,7)))</f>
        <v/>
      </c>
      <c r="V358">
        <f>IF(OR($O358="",NOT(ISNUMBER($Q358))),"",$Q358*1000000+358)</f>
        <v/>
      </c>
      <c r="W358" s="29">
        <f>IF($B358="","",IFERROR(INDEX($U$4:$U$3183,MATCH(SMALL($V$4:$V$3183,355),$V$4:$V$3183,0)),""))</f>
        <v/>
      </c>
    </row>
    <row r="359">
      <c r="A359">
        <f>IFERROR(INDEX($N$4:$N$3183,MATCH(SMALL($V$4:$V$3183,356),$V$4:$V$3183,0)),"")</f>
        <v/>
      </c>
      <c r="B359">
        <f>IFERROR(INDEX($O$4:$O$3183,MATCH(SMALL($V$4:$V$3183,356),$V$4:$V$3183,0)),"")</f>
        <v/>
      </c>
      <c r="C359">
        <f>IFERROR(INDEX($P$4:$P$3183,MATCH(SMALL($V$4:$V$3183,356),$V$4:$V$3183,0)),"")</f>
        <v/>
      </c>
      <c r="D359" s="29">
        <f>IFERROR(INDEX($Q$4:$Q$3183,MATCH(SMALL($V$4:$V$3183,356),$V$4:$V$3183,0)),"")</f>
        <v/>
      </c>
      <c r="E359" s="29">
        <f>IFERROR(INDEX($R$4:$R$3183,MATCH(SMALL($V$4:$V$3183,356),$V$4:$V$3183,0)),"")</f>
        <v/>
      </c>
      <c r="F359">
        <f>IFERROR(INDEX($S$4:$S$3183,MATCH(SMALL($V$4:$V$3183,356),$V$4:$V$3183,0)),"")</f>
        <v/>
      </c>
      <c r="I359" s="29">
        <f>IF($B359="","",IFERROR(INDEX($U$4:$U$3183,MATCH(SMALL($V$4:$V$3183,356),$V$4:$V$3183,0)),""))</f>
        <v/>
      </c>
      <c r="J359">
        <f>IF($B359="","",IF($D359&gt;$F$2,"À venir",IF($E359&lt;$D$2,"Passé","Dans la période")))</f>
        <v/>
      </c>
      <c r="K359">
        <f>IF(OR($B359="",NOT(ISNUMBER($D359))),"",IF(AND($E359&lt;$D$2,$G359&lt;&gt;"X",$F359&lt;&gt;"Réalisé",$F359&lt;&gt;"Clôturé"),"RETARD",""))</f>
        <v/>
      </c>
      <c r="L359">
        <f>IF(OR($B359="",NOT(ISNUMBER($D359))),"",IF(AND($D359&gt;=$D$2,$D359&lt;=$H$2,$G359&lt;&gt;"X",$F359&lt;&gt;"Réalisé",$F359&lt;&gt;"Clôturé"),"≤ 7 j",""))</f>
        <v/>
      </c>
      <c r="M359" s="29">
        <f>IF($B359="","",IFERROR(INDEX($T$4:$T$3183,MATCH(SMALL($V$4:$V$3183,356),$V$4:$V$3183,0)),""))</f>
        <v/>
      </c>
      <c r="O359">
        <f>IF(INDEX(Suivi!$B:$B,366)="","",INDEX(Suivi!$B:$B,366))</f>
        <v/>
      </c>
      <c r="P359">
        <f>IF($O359="","",IF(INDEX(Suivi!$D:$D,366)="",INDEX(Suivi!$C:$C,366),INDEX(Suivi!$D:$D,366)))</f>
        <v/>
      </c>
      <c r="Q359">
        <f>IF($O359="","",INDEX(Suivi!$E:$E,366))</f>
        <v/>
      </c>
      <c r="R359">
        <f>IF($O359="","",INDEX(Suivi!$F:$F,366))</f>
        <v/>
      </c>
      <c r="S359">
        <f>IF($O359="","",INDEX(Suivi!$G:$G,366))</f>
        <v/>
      </c>
      <c r="T359">
        <f>IF($O359="","",IF(INDEX(Dossiers!$F$4:$F$63,7)="","",INDEX(Dossiers!$F$4:$F$63,7)))</f>
        <v/>
      </c>
      <c r="U359">
        <f>IF($O359="","",IF(INDEX(Dossiers!$G$4:$G$63,7)="","",INDEX(Dossiers!$G$4:$G$63,7)))</f>
        <v/>
      </c>
      <c r="V359">
        <f>IF(OR($O359="",NOT(ISNUMBER($Q359))),"",$Q359*1000000+359)</f>
        <v/>
      </c>
      <c r="W359" s="29">
        <f>IF($B359="","",IFERROR(INDEX($U$4:$U$3183,MATCH(SMALL($V$4:$V$3183,356),$V$4:$V$3183,0)),""))</f>
        <v/>
      </c>
    </row>
    <row r="360">
      <c r="A360">
        <f>IFERROR(INDEX($N$4:$N$3183,MATCH(SMALL($V$4:$V$3183,357),$V$4:$V$3183,0)),"")</f>
        <v/>
      </c>
      <c r="B360">
        <f>IFERROR(INDEX($O$4:$O$3183,MATCH(SMALL($V$4:$V$3183,357),$V$4:$V$3183,0)),"")</f>
        <v/>
      </c>
      <c r="C360">
        <f>IFERROR(INDEX($P$4:$P$3183,MATCH(SMALL($V$4:$V$3183,357),$V$4:$V$3183,0)),"")</f>
        <v/>
      </c>
      <c r="D360" s="29">
        <f>IFERROR(INDEX($Q$4:$Q$3183,MATCH(SMALL($V$4:$V$3183,357),$V$4:$V$3183,0)),"")</f>
        <v/>
      </c>
      <c r="E360" s="29">
        <f>IFERROR(INDEX($R$4:$R$3183,MATCH(SMALL($V$4:$V$3183,357),$V$4:$V$3183,0)),"")</f>
        <v/>
      </c>
      <c r="F360">
        <f>IFERROR(INDEX($S$4:$S$3183,MATCH(SMALL($V$4:$V$3183,357),$V$4:$V$3183,0)),"")</f>
        <v/>
      </c>
      <c r="I360" s="29">
        <f>IF($B360="","",IFERROR(INDEX($U$4:$U$3183,MATCH(SMALL($V$4:$V$3183,357),$V$4:$V$3183,0)),""))</f>
        <v/>
      </c>
      <c r="J360">
        <f>IF($B360="","",IF($D360&gt;$F$2,"À venir",IF($E360&lt;$D$2,"Passé","Dans la période")))</f>
        <v/>
      </c>
      <c r="K360">
        <f>IF(OR($B360="",NOT(ISNUMBER($D360))),"",IF(AND($E360&lt;$D$2,$G360&lt;&gt;"X",$F360&lt;&gt;"Réalisé",$F360&lt;&gt;"Clôturé"),"RETARD",""))</f>
        <v/>
      </c>
      <c r="L360">
        <f>IF(OR($B360="",NOT(ISNUMBER($D360))),"",IF(AND($D360&gt;=$D$2,$D360&lt;=$H$2,$G360&lt;&gt;"X",$F360&lt;&gt;"Réalisé",$F360&lt;&gt;"Clôturé"),"≤ 7 j",""))</f>
        <v/>
      </c>
      <c r="M360" s="29">
        <f>IF($B360="","",IFERROR(INDEX($T$4:$T$3183,MATCH(SMALL($V$4:$V$3183,357),$V$4:$V$3183,0)),""))</f>
        <v/>
      </c>
      <c r="O360">
        <f>IF(INDEX(Suivi!$B:$B,367)="","",INDEX(Suivi!$B:$B,367))</f>
        <v/>
      </c>
      <c r="P360">
        <f>IF($O360="","",IF(INDEX(Suivi!$D:$D,367)="",INDEX(Suivi!$C:$C,367),INDEX(Suivi!$D:$D,367)))</f>
        <v/>
      </c>
      <c r="Q360">
        <f>IF($O360="","",INDEX(Suivi!$E:$E,367))</f>
        <v/>
      </c>
      <c r="R360">
        <f>IF($O360="","",INDEX(Suivi!$F:$F,367))</f>
        <v/>
      </c>
      <c r="S360">
        <f>IF($O360="","",INDEX(Suivi!$G:$G,367))</f>
        <v/>
      </c>
      <c r="T360">
        <f>IF($O360="","",IF(INDEX(Dossiers!$F$4:$F$63,7)="","",INDEX(Dossiers!$F$4:$F$63,7)))</f>
        <v/>
      </c>
      <c r="U360">
        <f>IF($O360="","",IF(INDEX(Dossiers!$G$4:$G$63,7)="","",INDEX(Dossiers!$G$4:$G$63,7)))</f>
        <v/>
      </c>
      <c r="V360">
        <f>IF(OR($O360="",NOT(ISNUMBER($Q360))),"",$Q360*1000000+360)</f>
        <v/>
      </c>
      <c r="W360" s="29">
        <f>IF($B360="","",IFERROR(INDEX($U$4:$U$3183,MATCH(SMALL($V$4:$V$3183,357),$V$4:$V$3183,0)),""))</f>
        <v/>
      </c>
    </row>
    <row r="361">
      <c r="A361">
        <f>IFERROR(INDEX($N$4:$N$3183,MATCH(SMALL($V$4:$V$3183,358),$V$4:$V$3183,0)),"")</f>
        <v/>
      </c>
      <c r="B361">
        <f>IFERROR(INDEX($O$4:$O$3183,MATCH(SMALL($V$4:$V$3183,358),$V$4:$V$3183,0)),"")</f>
        <v/>
      </c>
      <c r="C361">
        <f>IFERROR(INDEX($P$4:$P$3183,MATCH(SMALL($V$4:$V$3183,358),$V$4:$V$3183,0)),"")</f>
        <v/>
      </c>
      <c r="D361" s="29">
        <f>IFERROR(INDEX($Q$4:$Q$3183,MATCH(SMALL($V$4:$V$3183,358),$V$4:$V$3183,0)),"")</f>
        <v/>
      </c>
      <c r="E361" s="29">
        <f>IFERROR(INDEX($R$4:$R$3183,MATCH(SMALL($V$4:$V$3183,358),$V$4:$V$3183,0)),"")</f>
        <v/>
      </c>
      <c r="F361">
        <f>IFERROR(INDEX($S$4:$S$3183,MATCH(SMALL($V$4:$V$3183,358),$V$4:$V$3183,0)),"")</f>
        <v/>
      </c>
      <c r="I361" s="29">
        <f>IF($B361="","",IFERROR(INDEX($U$4:$U$3183,MATCH(SMALL($V$4:$V$3183,358),$V$4:$V$3183,0)),""))</f>
        <v/>
      </c>
      <c r="J361">
        <f>IF($B361="","",IF($D361&gt;$F$2,"À venir",IF($E361&lt;$D$2,"Passé","Dans la période")))</f>
        <v/>
      </c>
      <c r="K361">
        <f>IF(OR($B361="",NOT(ISNUMBER($D361))),"",IF(AND($E361&lt;$D$2,$G361&lt;&gt;"X",$F361&lt;&gt;"Réalisé",$F361&lt;&gt;"Clôturé"),"RETARD",""))</f>
        <v/>
      </c>
      <c r="L361">
        <f>IF(OR($B361="",NOT(ISNUMBER($D361))),"",IF(AND($D361&gt;=$D$2,$D361&lt;=$H$2,$G361&lt;&gt;"X",$F361&lt;&gt;"Réalisé",$F361&lt;&gt;"Clôturé"),"≤ 7 j",""))</f>
        <v/>
      </c>
      <c r="M361" s="29">
        <f>IF($B361="","",IFERROR(INDEX($T$4:$T$3183,MATCH(SMALL($V$4:$V$3183,358),$V$4:$V$3183,0)),""))</f>
        <v/>
      </c>
      <c r="O361">
        <f>IF(INDEX(Suivi!$B:$B,368)="","",INDEX(Suivi!$B:$B,368))</f>
        <v/>
      </c>
      <c r="P361">
        <f>IF($O361="","",IF(INDEX(Suivi!$D:$D,368)="",INDEX(Suivi!$C:$C,368),INDEX(Suivi!$D:$D,368)))</f>
        <v/>
      </c>
      <c r="Q361">
        <f>IF($O361="","",INDEX(Suivi!$E:$E,368))</f>
        <v/>
      </c>
      <c r="R361">
        <f>IF($O361="","",INDEX(Suivi!$F:$F,368))</f>
        <v/>
      </c>
      <c r="S361">
        <f>IF($O361="","",INDEX(Suivi!$G:$G,368))</f>
        <v/>
      </c>
      <c r="T361">
        <f>IF($O361="","",IF(INDEX(Dossiers!$F$4:$F$63,7)="","",INDEX(Dossiers!$F$4:$F$63,7)))</f>
        <v/>
      </c>
      <c r="U361">
        <f>IF($O361="","",IF(INDEX(Dossiers!$G$4:$G$63,7)="","",INDEX(Dossiers!$G$4:$G$63,7)))</f>
        <v/>
      </c>
      <c r="V361">
        <f>IF(OR($O361="",NOT(ISNUMBER($Q361))),"",$Q361*1000000+361)</f>
        <v/>
      </c>
      <c r="W361" s="29">
        <f>IF($B361="","",IFERROR(INDEX($U$4:$U$3183,MATCH(SMALL($V$4:$V$3183,358),$V$4:$V$3183,0)),""))</f>
        <v/>
      </c>
    </row>
    <row r="362">
      <c r="A362">
        <f>IFERROR(INDEX($N$4:$N$3183,MATCH(SMALL($V$4:$V$3183,359),$V$4:$V$3183,0)),"")</f>
        <v/>
      </c>
      <c r="B362">
        <f>IFERROR(INDEX($O$4:$O$3183,MATCH(SMALL($V$4:$V$3183,359),$V$4:$V$3183,0)),"")</f>
        <v/>
      </c>
      <c r="C362">
        <f>IFERROR(INDEX($P$4:$P$3183,MATCH(SMALL($V$4:$V$3183,359),$V$4:$V$3183,0)),"")</f>
        <v/>
      </c>
      <c r="D362" s="29">
        <f>IFERROR(INDEX($Q$4:$Q$3183,MATCH(SMALL($V$4:$V$3183,359),$V$4:$V$3183,0)),"")</f>
        <v/>
      </c>
      <c r="E362" s="29">
        <f>IFERROR(INDEX($R$4:$R$3183,MATCH(SMALL($V$4:$V$3183,359),$V$4:$V$3183,0)),"")</f>
        <v/>
      </c>
      <c r="F362">
        <f>IFERROR(INDEX($S$4:$S$3183,MATCH(SMALL($V$4:$V$3183,359),$V$4:$V$3183,0)),"")</f>
        <v/>
      </c>
      <c r="I362" s="29">
        <f>IF($B362="","",IFERROR(INDEX($U$4:$U$3183,MATCH(SMALL($V$4:$V$3183,359),$V$4:$V$3183,0)),""))</f>
        <v/>
      </c>
      <c r="J362">
        <f>IF($B362="","",IF($D362&gt;$F$2,"À venir",IF($E362&lt;$D$2,"Passé","Dans la période")))</f>
        <v/>
      </c>
      <c r="K362">
        <f>IF(OR($B362="",NOT(ISNUMBER($D362))),"",IF(AND($E362&lt;$D$2,$G362&lt;&gt;"X",$F362&lt;&gt;"Réalisé",$F362&lt;&gt;"Clôturé"),"RETARD",""))</f>
        <v/>
      </c>
      <c r="L362">
        <f>IF(OR($B362="",NOT(ISNUMBER($D362))),"",IF(AND($D362&gt;=$D$2,$D362&lt;=$H$2,$G362&lt;&gt;"X",$F362&lt;&gt;"Réalisé",$F362&lt;&gt;"Clôturé"),"≤ 7 j",""))</f>
        <v/>
      </c>
      <c r="M362" s="29">
        <f>IF($B362="","",IFERROR(INDEX($T$4:$T$3183,MATCH(SMALL($V$4:$V$3183,359),$V$4:$V$3183,0)),""))</f>
        <v/>
      </c>
      <c r="O362">
        <f>IF(INDEX(Suivi!$B:$B,369)="","",INDEX(Suivi!$B:$B,369))</f>
        <v/>
      </c>
      <c r="P362">
        <f>IF($O362="","",IF(INDEX(Suivi!$D:$D,369)="",INDEX(Suivi!$C:$C,369),INDEX(Suivi!$D:$D,369)))</f>
        <v/>
      </c>
      <c r="Q362">
        <f>IF($O362="","",INDEX(Suivi!$E:$E,369))</f>
        <v/>
      </c>
      <c r="R362">
        <f>IF($O362="","",INDEX(Suivi!$F:$F,369))</f>
        <v/>
      </c>
      <c r="S362">
        <f>IF($O362="","",INDEX(Suivi!$G:$G,369))</f>
        <v/>
      </c>
      <c r="T362">
        <f>IF($O362="","",IF(INDEX(Dossiers!$F$4:$F$63,7)="","",INDEX(Dossiers!$F$4:$F$63,7)))</f>
        <v/>
      </c>
      <c r="U362">
        <f>IF($O362="","",IF(INDEX(Dossiers!$G$4:$G$63,7)="","",INDEX(Dossiers!$G$4:$G$63,7)))</f>
        <v/>
      </c>
      <c r="V362">
        <f>IF(OR($O362="",NOT(ISNUMBER($Q362))),"",$Q362*1000000+362)</f>
        <v/>
      </c>
      <c r="W362" s="29">
        <f>IF($B362="","",IFERROR(INDEX($U$4:$U$3183,MATCH(SMALL($V$4:$V$3183,359),$V$4:$V$3183,0)),""))</f>
        <v/>
      </c>
    </row>
    <row r="363">
      <c r="A363">
        <f>IFERROR(INDEX($N$4:$N$3183,MATCH(SMALL($V$4:$V$3183,360),$V$4:$V$3183,0)),"")</f>
        <v/>
      </c>
      <c r="B363">
        <f>IFERROR(INDEX($O$4:$O$3183,MATCH(SMALL($V$4:$V$3183,360),$V$4:$V$3183,0)),"")</f>
        <v/>
      </c>
      <c r="C363">
        <f>IFERROR(INDEX($P$4:$P$3183,MATCH(SMALL($V$4:$V$3183,360),$V$4:$V$3183,0)),"")</f>
        <v/>
      </c>
      <c r="D363" s="29">
        <f>IFERROR(INDEX($Q$4:$Q$3183,MATCH(SMALL($V$4:$V$3183,360),$V$4:$V$3183,0)),"")</f>
        <v/>
      </c>
      <c r="E363" s="29">
        <f>IFERROR(INDEX($R$4:$R$3183,MATCH(SMALL($V$4:$V$3183,360),$V$4:$V$3183,0)),"")</f>
        <v/>
      </c>
      <c r="F363">
        <f>IFERROR(INDEX($S$4:$S$3183,MATCH(SMALL($V$4:$V$3183,360),$V$4:$V$3183,0)),"")</f>
        <v/>
      </c>
      <c r="I363" s="29">
        <f>IF($B363="","",IFERROR(INDEX($U$4:$U$3183,MATCH(SMALL($V$4:$V$3183,360),$V$4:$V$3183,0)),""))</f>
        <v/>
      </c>
      <c r="J363">
        <f>IF($B363="","",IF($D363&gt;$F$2,"À venir",IF($E363&lt;$D$2,"Passé","Dans la période")))</f>
        <v/>
      </c>
      <c r="K363">
        <f>IF(OR($B363="",NOT(ISNUMBER($D363))),"",IF(AND($E363&lt;$D$2,$G363&lt;&gt;"X",$F363&lt;&gt;"Réalisé",$F363&lt;&gt;"Clôturé"),"RETARD",""))</f>
        <v/>
      </c>
      <c r="L363">
        <f>IF(OR($B363="",NOT(ISNUMBER($D363))),"",IF(AND($D363&gt;=$D$2,$D363&lt;=$H$2,$G363&lt;&gt;"X",$F363&lt;&gt;"Réalisé",$F363&lt;&gt;"Clôturé"),"≤ 7 j",""))</f>
        <v/>
      </c>
      <c r="M363" s="29">
        <f>IF($B363="","",IFERROR(INDEX($T$4:$T$3183,MATCH(SMALL($V$4:$V$3183,360),$V$4:$V$3183,0)),""))</f>
        <v/>
      </c>
      <c r="O363">
        <f>IF(INDEX(Suivi!$B:$B,370)="","",INDEX(Suivi!$B:$B,370))</f>
        <v/>
      </c>
      <c r="P363">
        <f>IF($O363="","",IF(INDEX(Suivi!$D:$D,370)="",INDEX(Suivi!$C:$C,370),INDEX(Suivi!$D:$D,370)))</f>
        <v/>
      </c>
      <c r="Q363">
        <f>IF($O363="","",INDEX(Suivi!$E:$E,370))</f>
        <v/>
      </c>
      <c r="R363">
        <f>IF($O363="","",INDEX(Suivi!$F:$F,370))</f>
        <v/>
      </c>
      <c r="S363">
        <f>IF($O363="","",INDEX(Suivi!$G:$G,370))</f>
        <v/>
      </c>
      <c r="T363">
        <f>IF($O363="","",IF(INDEX(Dossiers!$F$4:$F$63,7)="","",INDEX(Dossiers!$F$4:$F$63,7)))</f>
        <v/>
      </c>
      <c r="U363">
        <f>IF($O363="","",IF(INDEX(Dossiers!$G$4:$G$63,7)="","",INDEX(Dossiers!$G$4:$G$63,7)))</f>
        <v/>
      </c>
      <c r="V363">
        <f>IF(OR($O363="",NOT(ISNUMBER($Q363))),"",$Q363*1000000+363)</f>
        <v/>
      </c>
      <c r="W363" s="29">
        <f>IF($B363="","",IFERROR(INDEX($U$4:$U$3183,MATCH(SMALL($V$4:$V$3183,360),$V$4:$V$3183,0)),""))</f>
        <v/>
      </c>
    </row>
    <row r="364">
      <c r="A364">
        <f>IFERROR(INDEX($N$4:$N$3183,MATCH(SMALL($V$4:$V$3183,361),$V$4:$V$3183,0)),"")</f>
        <v/>
      </c>
      <c r="B364">
        <f>IFERROR(INDEX($O$4:$O$3183,MATCH(SMALL($V$4:$V$3183,361),$V$4:$V$3183,0)),"")</f>
        <v/>
      </c>
      <c r="C364">
        <f>IFERROR(INDEX($P$4:$P$3183,MATCH(SMALL($V$4:$V$3183,361),$V$4:$V$3183,0)),"")</f>
        <v/>
      </c>
      <c r="D364" s="29">
        <f>IFERROR(INDEX($Q$4:$Q$3183,MATCH(SMALL($V$4:$V$3183,361),$V$4:$V$3183,0)),"")</f>
        <v/>
      </c>
      <c r="E364" s="29">
        <f>IFERROR(INDEX($R$4:$R$3183,MATCH(SMALL($V$4:$V$3183,361),$V$4:$V$3183,0)),"")</f>
        <v/>
      </c>
      <c r="F364">
        <f>IFERROR(INDEX($S$4:$S$3183,MATCH(SMALL($V$4:$V$3183,361),$V$4:$V$3183,0)),"")</f>
        <v/>
      </c>
      <c r="I364" s="29">
        <f>IF($B364="","",IFERROR(INDEX($U$4:$U$3183,MATCH(SMALL($V$4:$V$3183,361),$V$4:$V$3183,0)),""))</f>
        <v/>
      </c>
      <c r="J364">
        <f>IF($B364="","",IF($D364&gt;$F$2,"À venir",IF($E364&lt;$D$2,"Passé","Dans la période")))</f>
        <v/>
      </c>
      <c r="K364">
        <f>IF(OR($B364="",NOT(ISNUMBER($D364))),"",IF(AND($E364&lt;$D$2,$G364&lt;&gt;"X",$F364&lt;&gt;"Réalisé",$F364&lt;&gt;"Clôturé"),"RETARD",""))</f>
        <v/>
      </c>
      <c r="L364">
        <f>IF(OR($B364="",NOT(ISNUMBER($D364))),"",IF(AND($D364&gt;=$D$2,$D364&lt;=$H$2,$G364&lt;&gt;"X",$F364&lt;&gt;"Réalisé",$F364&lt;&gt;"Clôturé"),"≤ 7 j",""))</f>
        <v/>
      </c>
      <c r="M364" s="29">
        <f>IF($B364="","",IFERROR(INDEX($T$4:$T$3183,MATCH(SMALL($V$4:$V$3183,361),$V$4:$V$3183,0)),""))</f>
        <v/>
      </c>
      <c r="O364">
        <f>IF(INDEX(Suivi!$B:$B,371)="","",INDEX(Suivi!$B:$B,371))</f>
        <v/>
      </c>
      <c r="P364">
        <f>IF($O364="","",IF(INDEX(Suivi!$D:$D,371)="",INDEX(Suivi!$C:$C,371),INDEX(Suivi!$D:$D,371)))</f>
        <v/>
      </c>
      <c r="Q364">
        <f>IF($O364="","",INDEX(Suivi!$E:$E,371))</f>
        <v/>
      </c>
      <c r="R364">
        <f>IF($O364="","",INDEX(Suivi!$F:$F,371))</f>
        <v/>
      </c>
      <c r="S364">
        <f>IF($O364="","",INDEX(Suivi!$G:$G,371))</f>
        <v/>
      </c>
      <c r="T364">
        <f>IF($O364="","",IF(INDEX(Dossiers!$F$4:$F$63,7)="","",INDEX(Dossiers!$F$4:$F$63,7)))</f>
        <v/>
      </c>
      <c r="U364">
        <f>IF($O364="","",IF(INDEX(Dossiers!$G$4:$G$63,7)="","",INDEX(Dossiers!$G$4:$G$63,7)))</f>
        <v/>
      </c>
      <c r="V364">
        <f>IF(OR($O364="",NOT(ISNUMBER($Q364))),"",$Q364*1000000+364)</f>
        <v/>
      </c>
      <c r="W364" s="29">
        <f>IF($B364="","",IFERROR(INDEX($U$4:$U$3183,MATCH(SMALL($V$4:$V$3183,361),$V$4:$V$3183,0)),""))</f>
        <v/>
      </c>
    </row>
    <row r="365">
      <c r="A365">
        <f>IFERROR(INDEX($N$4:$N$3183,MATCH(SMALL($V$4:$V$3183,362),$V$4:$V$3183,0)),"")</f>
        <v/>
      </c>
      <c r="B365">
        <f>IFERROR(INDEX($O$4:$O$3183,MATCH(SMALL($V$4:$V$3183,362),$V$4:$V$3183,0)),"")</f>
        <v/>
      </c>
      <c r="C365">
        <f>IFERROR(INDEX($P$4:$P$3183,MATCH(SMALL($V$4:$V$3183,362),$V$4:$V$3183,0)),"")</f>
        <v/>
      </c>
      <c r="D365" s="29">
        <f>IFERROR(INDEX($Q$4:$Q$3183,MATCH(SMALL($V$4:$V$3183,362),$V$4:$V$3183,0)),"")</f>
        <v/>
      </c>
      <c r="E365" s="29">
        <f>IFERROR(INDEX($R$4:$R$3183,MATCH(SMALL($V$4:$V$3183,362),$V$4:$V$3183,0)),"")</f>
        <v/>
      </c>
      <c r="F365">
        <f>IFERROR(INDEX($S$4:$S$3183,MATCH(SMALL($V$4:$V$3183,362),$V$4:$V$3183,0)),"")</f>
        <v/>
      </c>
      <c r="I365" s="29">
        <f>IF($B365="","",IFERROR(INDEX($U$4:$U$3183,MATCH(SMALL($V$4:$V$3183,362),$V$4:$V$3183,0)),""))</f>
        <v/>
      </c>
      <c r="J365">
        <f>IF($B365="","",IF($D365&gt;$F$2,"À venir",IF($E365&lt;$D$2,"Passé","Dans la période")))</f>
        <v/>
      </c>
      <c r="K365">
        <f>IF(OR($B365="",NOT(ISNUMBER($D365))),"",IF(AND($E365&lt;$D$2,$G365&lt;&gt;"X",$F365&lt;&gt;"Réalisé",$F365&lt;&gt;"Clôturé"),"RETARD",""))</f>
        <v/>
      </c>
      <c r="L365">
        <f>IF(OR($B365="",NOT(ISNUMBER($D365))),"",IF(AND($D365&gt;=$D$2,$D365&lt;=$H$2,$G365&lt;&gt;"X",$F365&lt;&gt;"Réalisé",$F365&lt;&gt;"Clôturé"),"≤ 7 j",""))</f>
        <v/>
      </c>
      <c r="M365" s="29">
        <f>IF($B365="","",IFERROR(INDEX($T$4:$T$3183,MATCH(SMALL($V$4:$V$3183,362),$V$4:$V$3183,0)),""))</f>
        <v/>
      </c>
      <c r="O365">
        <f>IF(INDEX(Suivi!$B:$B,372)="","",INDEX(Suivi!$B:$B,372))</f>
        <v/>
      </c>
      <c r="P365">
        <f>IF($O365="","",IF(INDEX(Suivi!$D:$D,372)="",INDEX(Suivi!$C:$C,372),INDEX(Suivi!$D:$D,372)))</f>
        <v/>
      </c>
      <c r="Q365">
        <f>IF($O365="","",INDEX(Suivi!$E:$E,372))</f>
        <v/>
      </c>
      <c r="R365">
        <f>IF($O365="","",INDEX(Suivi!$F:$F,372))</f>
        <v/>
      </c>
      <c r="S365">
        <f>IF($O365="","",INDEX(Suivi!$G:$G,372))</f>
        <v/>
      </c>
      <c r="T365">
        <f>IF($O365="","",IF(INDEX(Dossiers!$F$4:$F$63,7)="","",INDEX(Dossiers!$F$4:$F$63,7)))</f>
        <v/>
      </c>
      <c r="U365">
        <f>IF($O365="","",IF(INDEX(Dossiers!$G$4:$G$63,7)="","",INDEX(Dossiers!$G$4:$G$63,7)))</f>
        <v/>
      </c>
      <c r="V365">
        <f>IF(OR($O365="",NOT(ISNUMBER($Q365))),"",$Q365*1000000+365)</f>
        <v/>
      </c>
      <c r="W365" s="29">
        <f>IF($B365="","",IFERROR(INDEX($U$4:$U$3183,MATCH(SMALL($V$4:$V$3183,362),$V$4:$V$3183,0)),""))</f>
        <v/>
      </c>
    </row>
    <row r="366">
      <c r="A366">
        <f>IFERROR(INDEX($N$4:$N$3183,MATCH(SMALL($V$4:$V$3183,363),$V$4:$V$3183,0)),"")</f>
        <v/>
      </c>
      <c r="B366">
        <f>IFERROR(INDEX($O$4:$O$3183,MATCH(SMALL($V$4:$V$3183,363),$V$4:$V$3183,0)),"")</f>
        <v/>
      </c>
      <c r="C366">
        <f>IFERROR(INDEX($P$4:$P$3183,MATCH(SMALL($V$4:$V$3183,363),$V$4:$V$3183,0)),"")</f>
        <v/>
      </c>
      <c r="D366" s="29">
        <f>IFERROR(INDEX($Q$4:$Q$3183,MATCH(SMALL($V$4:$V$3183,363),$V$4:$V$3183,0)),"")</f>
        <v/>
      </c>
      <c r="E366" s="29">
        <f>IFERROR(INDEX($R$4:$R$3183,MATCH(SMALL($V$4:$V$3183,363),$V$4:$V$3183,0)),"")</f>
        <v/>
      </c>
      <c r="F366">
        <f>IFERROR(INDEX($S$4:$S$3183,MATCH(SMALL($V$4:$V$3183,363),$V$4:$V$3183,0)),"")</f>
        <v/>
      </c>
      <c r="I366" s="29">
        <f>IF($B366="","",IFERROR(INDEX($U$4:$U$3183,MATCH(SMALL($V$4:$V$3183,363),$V$4:$V$3183,0)),""))</f>
        <v/>
      </c>
      <c r="J366">
        <f>IF($B366="","",IF($D366&gt;$F$2,"À venir",IF($E366&lt;$D$2,"Passé","Dans la période")))</f>
        <v/>
      </c>
      <c r="K366">
        <f>IF(OR($B366="",NOT(ISNUMBER($D366))),"",IF(AND($E366&lt;$D$2,$G366&lt;&gt;"X",$F366&lt;&gt;"Réalisé",$F366&lt;&gt;"Clôturé"),"RETARD",""))</f>
        <v/>
      </c>
      <c r="L366">
        <f>IF(OR($B366="",NOT(ISNUMBER($D366))),"",IF(AND($D366&gt;=$D$2,$D366&lt;=$H$2,$G366&lt;&gt;"X",$F366&lt;&gt;"Réalisé",$F366&lt;&gt;"Clôturé"),"≤ 7 j",""))</f>
        <v/>
      </c>
      <c r="M366" s="29">
        <f>IF($B366="","",IFERROR(INDEX($T$4:$T$3183,MATCH(SMALL($V$4:$V$3183,363),$V$4:$V$3183,0)),""))</f>
        <v/>
      </c>
      <c r="O366">
        <f>IF(INDEX(Suivi!$B:$B,373)="","",INDEX(Suivi!$B:$B,373))</f>
        <v/>
      </c>
      <c r="P366">
        <f>IF($O366="","",IF(INDEX(Suivi!$D:$D,373)="",INDEX(Suivi!$C:$C,373),INDEX(Suivi!$D:$D,373)))</f>
        <v/>
      </c>
      <c r="Q366">
        <f>IF($O366="","",INDEX(Suivi!$E:$E,373))</f>
        <v/>
      </c>
      <c r="R366">
        <f>IF($O366="","",INDEX(Suivi!$F:$F,373))</f>
        <v/>
      </c>
      <c r="S366">
        <f>IF($O366="","",INDEX(Suivi!$G:$G,373))</f>
        <v/>
      </c>
      <c r="T366">
        <f>IF($O366="","",IF(INDEX(Dossiers!$F$4:$F$63,7)="","",INDEX(Dossiers!$F$4:$F$63,7)))</f>
        <v/>
      </c>
      <c r="U366">
        <f>IF($O366="","",IF(INDEX(Dossiers!$G$4:$G$63,7)="","",INDEX(Dossiers!$G$4:$G$63,7)))</f>
        <v/>
      </c>
      <c r="V366">
        <f>IF(OR($O366="",NOT(ISNUMBER($Q366))),"",$Q366*1000000+366)</f>
        <v/>
      </c>
      <c r="W366" s="29">
        <f>IF($B366="","",IFERROR(INDEX($U$4:$U$3183,MATCH(SMALL($V$4:$V$3183,363),$V$4:$V$3183,0)),""))</f>
        <v/>
      </c>
    </row>
    <row r="367">
      <c r="A367">
        <f>IFERROR(INDEX($N$4:$N$3183,MATCH(SMALL($V$4:$V$3183,364),$V$4:$V$3183,0)),"")</f>
        <v/>
      </c>
      <c r="B367">
        <f>IFERROR(INDEX($O$4:$O$3183,MATCH(SMALL($V$4:$V$3183,364),$V$4:$V$3183,0)),"")</f>
        <v/>
      </c>
      <c r="C367">
        <f>IFERROR(INDEX($P$4:$P$3183,MATCH(SMALL($V$4:$V$3183,364),$V$4:$V$3183,0)),"")</f>
        <v/>
      </c>
      <c r="D367" s="29">
        <f>IFERROR(INDEX($Q$4:$Q$3183,MATCH(SMALL($V$4:$V$3183,364),$V$4:$V$3183,0)),"")</f>
        <v/>
      </c>
      <c r="E367" s="29">
        <f>IFERROR(INDEX($R$4:$R$3183,MATCH(SMALL($V$4:$V$3183,364),$V$4:$V$3183,0)),"")</f>
        <v/>
      </c>
      <c r="F367">
        <f>IFERROR(INDEX($S$4:$S$3183,MATCH(SMALL($V$4:$V$3183,364),$V$4:$V$3183,0)),"")</f>
        <v/>
      </c>
      <c r="I367" s="29">
        <f>IF($B367="","",IFERROR(INDEX($U$4:$U$3183,MATCH(SMALL($V$4:$V$3183,364),$V$4:$V$3183,0)),""))</f>
        <v/>
      </c>
      <c r="J367">
        <f>IF($B367="","",IF($D367&gt;$F$2,"À venir",IF($E367&lt;$D$2,"Passé","Dans la période")))</f>
        <v/>
      </c>
      <c r="K367">
        <f>IF(OR($B367="",NOT(ISNUMBER($D367))),"",IF(AND($E367&lt;$D$2,$G367&lt;&gt;"X",$F367&lt;&gt;"Réalisé",$F367&lt;&gt;"Clôturé"),"RETARD",""))</f>
        <v/>
      </c>
      <c r="L367">
        <f>IF(OR($B367="",NOT(ISNUMBER($D367))),"",IF(AND($D367&gt;=$D$2,$D367&lt;=$H$2,$G367&lt;&gt;"X",$F367&lt;&gt;"Réalisé",$F367&lt;&gt;"Clôturé"),"≤ 7 j",""))</f>
        <v/>
      </c>
      <c r="M367" s="29">
        <f>IF($B367="","",IFERROR(INDEX($T$4:$T$3183,MATCH(SMALL($V$4:$V$3183,364),$V$4:$V$3183,0)),""))</f>
        <v/>
      </c>
      <c r="O367">
        <f>IF(INDEX(Suivi!$B:$B,374)="","",INDEX(Suivi!$B:$B,374))</f>
        <v/>
      </c>
      <c r="P367">
        <f>IF($O367="","",IF(INDEX(Suivi!$D:$D,374)="",INDEX(Suivi!$C:$C,374),INDEX(Suivi!$D:$D,374)))</f>
        <v/>
      </c>
      <c r="Q367">
        <f>IF($O367="","",INDEX(Suivi!$E:$E,374))</f>
        <v/>
      </c>
      <c r="R367">
        <f>IF($O367="","",INDEX(Suivi!$F:$F,374))</f>
        <v/>
      </c>
      <c r="S367">
        <f>IF($O367="","",INDEX(Suivi!$G:$G,374))</f>
        <v/>
      </c>
      <c r="T367">
        <f>IF($O367="","",IF(INDEX(Dossiers!$F$4:$F$63,7)="","",INDEX(Dossiers!$F$4:$F$63,7)))</f>
        <v/>
      </c>
      <c r="U367">
        <f>IF($O367="","",IF(INDEX(Dossiers!$G$4:$G$63,7)="","",INDEX(Dossiers!$G$4:$G$63,7)))</f>
        <v/>
      </c>
      <c r="V367">
        <f>IF(OR($O367="",NOT(ISNUMBER($Q367))),"",$Q367*1000000+367)</f>
        <v/>
      </c>
      <c r="W367" s="29">
        <f>IF($B367="","",IFERROR(INDEX($U$4:$U$3183,MATCH(SMALL($V$4:$V$3183,364),$V$4:$V$3183,0)),""))</f>
        <v/>
      </c>
    </row>
    <row r="368">
      <c r="A368">
        <f>IFERROR(INDEX($N$4:$N$3183,MATCH(SMALL($V$4:$V$3183,365),$V$4:$V$3183,0)),"")</f>
        <v/>
      </c>
      <c r="B368">
        <f>IFERROR(INDEX($O$4:$O$3183,MATCH(SMALL($V$4:$V$3183,365),$V$4:$V$3183,0)),"")</f>
        <v/>
      </c>
      <c r="C368">
        <f>IFERROR(INDEX($P$4:$P$3183,MATCH(SMALL($V$4:$V$3183,365),$V$4:$V$3183,0)),"")</f>
        <v/>
      </c>
      <c r="D368" s="29">
        <f>IFERROR(INDEX($Q$4:$Q$3183,MATCH(SMALL($V$4:$V$3183,365),$V$4:$V$3183,0)),"")</f>
        <v/>
      </c>
      <c r="E368" s="29">
        <f>IFERROR(INDEX($R$4:$R$3183,MATCH(SMALL($V$4:$V$3183,365),$V$4:$V$3183,0)),"")</f>
        <v/>
      </c>
      <c r="F368">
        <f>IFERROR(INDEX($S$4:$S$3183,MATCH(SMALL($V$4:$V$3183,365),$V$4:$V$3183,0)),"")</f>
        <v/>
      </c>
      <c r="I368" s="29">
        <f>IF($B368="","",IFERROR(INDEX($U$4:$U$3183,MATCH(SMALL($V$4:$V$3183,365),$V$4:$V$3183,0)),""))</f>
        <v/>
      </c>
      <c r="J368">
        <f>IF($B368="","",IF($D368&gt;$F$2,"À venir",IF($E368&lt;$D$2,"Passé","Dans la période")))</f>
        <v/>
      </c>
      <c r="K368">
        <f>IF(OR($B368="",NOT(ISNUMBER($D368))),"",IF(AND($E368&lt;$D$2,$G368&lt;&gt;"X",$F368&lt;&gt;"Réalisé",$F368&lt;&gt;"Clôturé"),"RETARD",""))</f>
        <v/>
      </c>
      <c r="L368">
        <f>IF(OR($B368="",NOT(ISNUMBER($D368))),"",IF(AND($D368&gt;=$D$2,$D368&lt;=$H$2,$G368&lt;&gt;"X",$F368&lt;&gt;"Réalisé",$F368&lt;&gt;"Clôturé"),"≤ 7 j",""))</f>
        <v/>
      </c>
      <c r="M368" s="29">
        <f>IF($B368="","",IFERROR(INDEX($T$4:$T$3183,MATCH(SMALL($V$4:$V$3183,365),$V$4:$V$3183,0)),""))</f>
        <v/>
      </c>
      <c r="O368">
        <f>IF(INDEX(Suivi!$B:$B,375)="","",INDEX(Suivi!$B:$B,375))</f>
        <v/>
      </c>
      <c r="P368">
        <f>IF($O368="","",IF(INDEX(Suivi!$D:$D,375)="",INDEX(Suivi!$C:$C,375),INDEX(Suivi!$D:$D,375)))</f>
        <v/>
      </c>
      <c r="Q368">
        <f>IF($O368="","",INDEX(Suivi!$E:$E,375))</f>
        <v/>
      </c>
      <c r="R368">
        <f>IF($O368="","",INDEX(Suivi!$F:$F,375))</f>
        <v/>
      </c>
      <c r="S368">
        <f>IF($O368="","",INDEX(Suivi!$G:$G,375))</f>
        <v/>
      </c>
      <c r="T368">
        <f>IF($O368="","",IF(INDEX(Dossiers!$F$4:$F$63,7)="","",INDEX(Dossiers!$F$4:$F$63,7)))</f>
        <v/>
      </c>
      <c r="U368">
        <f>IF($O368="","",IF(INDEX(Dossiers!$G$4:$G$63,7)="","",INDEX(Dossiers!$G$4:$G$63,7)))</f>
        <v/>
      </c>
      <c r="V368">
        <f>IF(OR($O368="",NOT(ISNUMBER($Q368))),"",$Q368*1000000+368)</f>
        <v/>
      </c>
      <c r="W368" s="29">
        <f>IF($B368="","",IFERROR(INDEX($U$4:$U$3183,MATCH(SMALL($V$4:$V$3183,365),$V$4:$V$3183,0)),""))</f>
        <v/>
      </c>
    </row>
    <row r="369">
      <c r="A369">
        <f>IFERROR(INDEX($N$4:$N$3183,MATCH(SMALL($V$4:$V$3183,366),$V$4:$V$3183,0)),"")</f>
        <v/>
      </c>
      <c r="B369">
        <f>IFERROR(INDEX($O$4:$O$3183,MATCH(SMALL($V$4:$V$3183,366),$V$4:$V$3183,0)),"")</f>
        <v/>
      </c>
      <c r="C369">
        <f>IFERROR(INDEX($P$4:$P$3183,MATCH(SMALL($V$4:$V$3183,366),$V$4:$V$3183,0)),"")</f>
        <v/>
      </c>
      <c r="D369" s="29">
        <f>IFERROR(INDEX($Q$4:$Q$3183,MATCH(SMALL($V$4:$V$3183,366),$V$4:$V$3183,0)),"")</f>
        <v/>
      </c>
      <c r="E369" s="29">
        <f>IFERROR(INDEX($R$4:$R$3183,MATCH(SMALL($V$4:$V$3183,366),$V$4:$V$3183,0)),"")</f>
        <v/>
      </c>
      <c r="F369">
        <f>IFERROR(INDEX($S$4:$S$3183,MATCH(SMALL($V$4:$V$3183,366),$V$4:$V$3183,0)),"")</f>
        <v/>
      </c>
      <c r="I369" s="29">
        <f>IF($B369="","",IFERROR(INDEX($U$4:$U$3183,MATCH(SMALL($V$4:$V$3183,366),$V$4:$V$3183,0)),""))</f>
        <v/>
      </c>
      <c r="J369">
        <f>IF($B369="","",IF($D369&gt;$F$2,"À venir",IF($E369&lt;$D$2,"Passé","Dans la période")))</f>
        <v/>
      </c>
      <c r="K369">
        <f>IF(OR($B369="",NOT(ISNUMBER($D369))),"",IF(AND($E369&lt;$D$2,$G369&lt;&gt;"X",$F369&lt;&gt;"Réalisé",$F369&lt;&gt;"Clôturé"),"RETARD",""))</f>
        <v/>
      </c>
      <c r="L369">
        <f>IF(OR($B369="",NOT(ISNUMBER($D369))),"",IF(AND($D369&gt;=$D$2,$D369&lt;=$H$2,$G369&lt;&gt;"X",$F369&lt;&gt;"Réalisé",$F369&lt;&gt;"Clôturé"),"≤ 7 j",""))</f>
        <v/>
      </c>
      <c r="M369" s="29">
        <f>IF($B369="","",IFERROR(INDEX($T$4:$T$3183,MATCH(SMALL($V$4:$V$3183,366),$V$4:$V$3183,0)),""))</f>
        <v/>
      </c>
      <c r="O369">
        <f>IF(INDEX(Suivi!$B:$B,376)="","",INDEX(Suivi!$B:$B,376))</f>
        <v/>
      </c>
      <c r="P369">
        <f>IF($O369="","",IF(INDEX(Suivi!$D:$D,376)="",INDEX(Suivi!$C:$C,376),INDEX(Suivi!$D:$D,376)))</f>
        <v/>
      </c>
      <c r="Q369">
        <f>IF($O369="","",INDEX(Suivi!$E:$E,376))</f>
        <v/>
      </c>
      <c r="R369">
        <f>IF($O369="","",INDEX(Suivi!$F:$F,376))</f>
        <v/>
      </c>
      <c r="S369">
        <f>IF($O369="","",INDEX(Suivi!$G:$G,376))</f>
        <v/>
      </c>
      <c r="T369">
        <f>IF($O369="","",IF(INDEX(Dossiers!$F$4:$F$63,7)="","",INDEX(Dossiers!$F$4:$F$63,7)))</f>
        <v/>
      </c>
      <c r="U369">
        <f>IF($O369="","",IF(INDEX(Dossiers!$G$4:$G$63,7)="","",INDEX(Dossiers!$G$4:$G$63,7)))</f>
        <v/>
      </c>
      <c r="V369">
        <f>IF(OR($O369="",NOT(ISNUMBER($Q369))),"",$Q369*1000000+369)</f>
        <v/>
      </c>
      <c r="W369" s="29">
        <f>IF($B369="","",IFERROR(INDEX($U$4:$U$3183,MATCH(SMALL($V$4:$V$3183,366),$V$4:$V$3183,0)),""))</f>
        <v/>
      </c>
    </row>
    <row r="370">
      <c r="A370">
        <f>IFERROR(INDEX($N$4:$N$3183,MATCH(SMALL($V$4:$V$3183,367),$V$4:$V$3183,0)),"")</f>
        <v/>
      </c>
      <c r="B370">
        <f>IFERROR(INDEX($O$4:$O$3183,MATCH(SMALL($V$4:$V$3183,367),$V$4:$V$3183,0)),"")</f>
        <v/>
      </c>
      <c r="C370">
        <f>IFERROR(INDEX($P$4:$P$3183,MATCH(SMALL($V$4:$V$3183,367),$V$4:$V$3183,0)),"")</f>
        <v/>
      </c>
      <c r="D370" s="29">
        <f>IFERROR(INDEX($Q$4:$Q$3183,MATCH(SMALL($V$4:$V$3183,367),$V$4:$V$3183,0)),"")</f>
        <v/>
      </c>
      <c r="E370" s="29">
        <f>IFERROR(INDEX($R$4:$R$3183,MATCH(SMALL($V$4:$V$3183,367),$V$4:$V$3183,0)),"")</f>
        <v/>
      </c>
      <c r="F370">
        <f>IFERROR(INDEX($S$4:$S$3183,MATCH(SMALL($V$4:$V$3183,367),$V$4:$V$3183,0)),"")</f>
        <v/>
      </c>
      <c r="I370" s="29">
        <f>IF($B370="","",IFERROR(INDEX($U$4:$U$3183,MATCH(SMALL($V$4:$V$3183,367),$V$4:$V$3183,0)),""))</f>
        <v/>
      </c>
      <c r="J370">
        <f>IF($B370="","",IF($D370&gt;$F$2,"À venir",IF($E370&lt;$D$2,"Passé","Dans la période")))</f>
        <v/>
      </c>
      <c r="K370">
        <f>IF(OR($B370="",NOT(ISNUMBER($D370))),"",IF(AND($E370&lt;$D$2,$G370&lt;&gt;"X",$F370&lt;&gt;"Réalisé",$F370&lt;&gt;"Clôturé"),"RETARD",""))</f>
        <v/>
      </c>
      <c r="L370">
        <f>IF(OR($B370="",NOT(ISNUMBER($D370))),"",IF(AND($D370&gt;=$D$2,$D370&lt;=$H$2,$G370&lt;&gt;"X",$F370&lt;&gt;"Réalisé",$F370&lt;&gt;"Clôturé"),"≤ 7 j",""))</f>
        <v/>
      </c>
      <c r="M370" s="29">
        <f>IF($B370="","",IFERROR(INDEX($T$4:$T$3183,MATCH(SMALL($V$4:$V$3183,367),$V$4:$V$3183,0)),""))</f>
        <v/>
      </c>
      <c r="O370">
        <f>IF(INDEX(Suivi!$B:$B,377)="","",INDEX(Suivi!$B:$B,377))</f>
        <v/>
      </c>
      <c r="P370">
        <f>IF($O370="","",IF(INDEX(Suivi!$D:$D,377)="",INDEX(Suivi!$C:$C,377),INDEX(Suivi!$D:$D,377)))</f>
        <v/>
      </c>
      <c r="Q370">
        <f>IF($O370="","",INDEX(Suivi!$E:$E,377))</f>
        <v/>
      </c>
      <c r="R370">
        <f>IF($O370="","",INDEX(Suivi!$F:$F,377))</f>
        <v/>
      </c>
      <c r="S370">
        <f>IF($O370="","",INDEX(Suivi!$G:$G,377))</f>
        <v/>
      </c>
      <c r="T370">
        <f>IF($O370="","",IF(INDEX(Dossiers!$F$4:$F$63,7)="","",INDEX(Dossiers!$F$4:$F$63,7)))</f>
        <v/>
      </c>
      <c r="U370">
        <f>IF($O370="","",IF(INDEX(Dossiers!$G$4:$G$63,7)="","",INDEX(Dossiers!$G$4:$G$63,7)))</f>
        <v/>
      </c>
      <c r="V370">
        <f>IF(OR($O370="",NOT(ISNUMBER($Q370))),"",$Q370*1000000+370)</f>
        <v/>
      </c>
      <c r="W370" s="29">
        <f>IF($B370="","",IFERROR(INDEX($U$4:$U$3183,MATCH(SMALL($V$4:$V$3183,367),$V$4:$V$3183,0)),""))</f>
        <v/>
      </c>
    </row>
    <row r="371">
      <c r="A371">
        <f>IFERROR(INDEX($N$4:$N$3183,MATCH(SMALL($V$4:$V$3183,368),$V$4:$V$3183,0)),"")</f>
        <v/>
      </c>
      <c r="B371">
        <f>IFERROR(INDEX($O$4:$O$3183,MATCH(SMALL($V$4:$V$3183,368),$V$4:$V$3183,0)),"")</f>
        <v/>
      </c>
      <c r="C371">
        <f>IFERROR(INDEX($P$4:$P$3183,MATCH(SMALL($V$4:$V$3183,368),$V$4:$V$3183,0)),"")</f>
        <v/>
      </c>
      <c r="D371" s="29">
        <f>IFERROR(INDEX($Q$4:$Q$3183,MATCH(SMALL($V$4:$V$3183,368),$V$4:$V$3183,0)),"")</f>
        <v/>
      </c>
      <c r="E371" s="29">
        <f>IFERROR(INDEX($R$4:$R$3183,MATCH(SMALL($V$4:$V$3183,368),$V$4:$V$3183,0)),"")</f>
        <v/>
      </c>
      <c r="F371">
        <f>IFERROR(INDEX($S$4:$S$3183,MATCH(SMALL($V$4:$V$3183,368),$V$4:$V$3183,0)),"")</f>
        <v/>
      </c>
      <c r="I371" s="29">
        <f>IF($B371="","",IFERROR(INDEX($U$4:$U$3183,MATCH(SMALL($V$4:$V$3183,368),$V$4:$V$3183,0)),""))</f>
        <v/>
      </c>
      <c r="J371">
        <f>IF($B371="","",IF($D371&gt;$F$2,"À venir",IF($E371&lt;$D$2,"Passé","Dans la période")))</f>
        <v/>
      </c>
      <c r="K371">
        <f>IF(OR($B371="",NOT(ISNUMBER($D371))),"",IF(AND($E371&lt;$D$2,$G371&lt;&gt;"X",$F371&lt;&gt;"Réalisé",$F371&lt;&gt;"Clôturé"),"RETARD",""))</f>
        <v/>
      </c>
      <c r="L371">
        <f>IF(OR($B371="",NOT(ISNUMBER($D371))),"",IF(AND($D371&gt;=$D$2,$D371&lt;=$H$2,$G371&lt;&gt;"X",$F371&lt;&gt;"Réalisé",$F371&lt;&gt;"Clôturé"),"≤ 7 j",""))</f>
        <v/>
      </c>
      <c r="M371" s="29">
        <f>IF($B371="","",IFERROR(INDEX($T$4:$T$3183,MATCH(SMALL($V$4:$V$3183,368),$V$4:$V$3183,0)),""))</f>
        <v/>
      </c>
      <c r="O371">
        <f>IF(INDEX(Suivi!$B:$B,378)="","",INDEX(Suivi!$B:$B,378))</f>
        <v/>
      </c>
      <c r="P371">
        <f>IF($O371="","",IF(INDEX(Suivi!$D:$D,378)="",INDEX(Suivi!$C:$C,378),INDEX(Suivi!$D:$D,378)))</f>
        <v/>
      </c>
      <c r="Q371">
        <f>IF($O371="","",INDEX(Suivi!$E:$E,378))</f>
        <v/>
      </c>
      <c r="R371">
        <f>IF($O371="","",INDEX(Suivi!$F:$F,378))</f>
        <v/>
      </c>
      <c r="S371">
        <f>IF($O371="","",INDEX(Suivi!$G:$G,378))</f>
        <v/>
      </c>
      <c r="T371">
        <f>IF($O371="","",IF(INDEX(Dossiers!$F$4:$F$63,7)="","",INDEX(Dossiers!$F$4:$F$63,7)))</f>
        <v/>
      </c>
      <c r="U371">
        <f>IF($O371="","",IF(INDEX(Dossiers!$G$4:$G$63,7)="","",INDEX(Dossiers!$G$4:$G$63,7)))</f>
        <v/>
      </c>
      <c r="V371">
        <f>IF(OR($O371="",NOT(ISNUMBER($Q371))),"",$Q371*1000000+371)</f>
        <v/>
      </c>
      <c r="W371" s="29">
        <f>IF($B371="","",IFERROR(INDEX($U$4:$U$3183,MATCH(SMALL($V$4:$V$3183,368),$V$4:$V$3183,0)),""))</f>
        <v/>
      </c>
    </row>
    <row r="372">
      <c r="A372">
        <f>IFERROR(INDEX($N$4:$N$3183,MATCH(SMALL($V$4:$V$3183,369),$V$4:$V$3183,0)),"")</f>
        <v/>
      </c>
      <c r="B372">
        <f>IFERROR(INDEX($O$4:$O$3183,MATCH(SMALL($V$4:$V$3183,369),$V$4:$V$3183,0)),"")</f>
        <v/>
      </c>
      <c r="C372">
        <f>IFERROR(INDEX($P$4:$P$3183,MATCH(SMALL($V$4:$V$3183,369),$V$4:$V$3183,0)),"")</f>
        <v/>
      </c>
      <c r="D372" s="29">
        <f>IFERROR(INDEX($Q$4:$Q$3183,MATCH(SMALL($V$4:$V$3183,369),$V$4:$V$3183,0)),"")</f>
        <v/>
      </c>
      <c r="E372" s="29">
        <f>IFERROR(INDEX($R$4:$R$3183,MATCH(SMALL($V$4:$V$3183,369),$V$4:$V$3183,0)),"")</f>
        <v/>
      </c>
      <c r="F372">
        <f>IFERROR(INDEX($S$4:$S$3183,MATCH(SMALL($V$4:$V$3183,369),$V$4:$V$3183,0)),"")</f>
        <v/>
      </c>
      <c r="I372" s="29">
        <f>IF($B372="","",IFERROR(INDEX($U$4:$U$3183,MATCH(SMALL($V$4:$V$3183,369),$V$4:$V$3183,0)),""))</f>
        <v/>
      </c>
      <c r="J372">
        <f>IF($B372="","",IF($D372&gt;$F$2,"À venir",IF($E372&lt;$D$2,"Passé","Dans la période")))</f>
        <v/>
      </c>
      <c r="K372">
        <f>IF(OR($B372="",NOT(ISNUMBER($D372))),"",IF(AND($E372&lt;$D$2,$G372&lt;&gt;"X",$F372&lt;&gt;"Réalisé",$F372&lt;&gt;"Clôturé"),"RETARD",""))</f>
        <v/>
      </c>
      <c r="L372">
        <f>IF(OR($B372="",NOT(ISNUMBER($D372))),"",IF(AND($D372&gt;=$D$2,$D372&lt;=$H$2,$G372&lt;&gt;"X",$F372&lt;&gt;"Réalisé",$F372&lt;&gt;"Clôturé"),"≤ 7 j",""))</f>
        <v/>
      </c>
      <c r="M372" s="29">
        <f>IF($B372="","",IFERROR(INDEX($T$4:$T$3183,MATCH(SMALL($V$4:$V$3183,369),$V$4:$V$3183,0)),""))</f>
        <v/>
      </c>
      <c r="O372">
        <f>IF(INDEX(Suivi!$B:$B,379)="","",INDEX(Suivi!$B:$B,379))</f>
        <v/>
      </c>
      <c r="P372">
        <f>IF($O372="","",IF(INDEX(Suivi!$D:$D,379)="",INDEX(Suivi!$C:$C,379),INDEX(Suivi!$D:$D,379)))</f>
        <v/>
      </c>
      <c r="Q372">
        <f>IF($O372="","",INDEX(Suivi!$E:$E,379))</f>
        <v/>
      </c>
      <c r="R372">
        <f>IF($O372="","",INDEX(Suivi!$F:$F,379))</f>
        <v/>
      </c>
      <c r="S372">
        <f>IF($O372="","",INDEX(Suivi!$G:$G,379))</f>
        <v/>
      </c>
      <c r="T372">
        <f>IF($O372="","",IF(INDEX(Dossiers!$F$4:$F$63,7)="","",INDEX(Dossiers!$F$4:$F$63,7)))</f>
        <v/>
      </c>
      <c r="U372">
        <f>IF($O372="","",IF(INDEX(Dossiers!$G$4:$G$63,7)="","",INDEX(Dossiers!$G$4:$G$63,7)))</f>
        <v/>
      </c>
      <c r="V372">
        <f>IF(OR($O372="",NOT(ISNUMBER($Q372))),"",$Q372*1000000+372)</f>
        <v/>
      </c>
      <c r="W372" s="29">
        <f>IF($B372="","",IFERROR(INDEX($U$4:$U$3183,MATCH(SMALL($V$4:$V$3183,369),$V$4:$V$3183,0)),""))</f>
        <v/>
      </c>
    </row>
    <row r="373">
      <c r="A373">
        <f>IFERROR(INDEX($N$4:$N$3183,MATCH(SMALL($V$4:$V$3183,370),$V$4:$V$3183,0)),"")</f>
        <v/>
      </c>
      <c r="B373">
        <f>IFERROR(INDEX($O$4:$O$3183,MATCH(SMALL($V$4:$V$3183,370),$V$4:$V$3183,0)),"")</f>
        <v/>
      </c>
      <c r="C373">
        <f>IFERROR(INDEX($P$4:$P$3183,MATCH(SMALL($V$4:$V$3183,370),$V$4:$V$3183,0)),"")</f>
        <v/>
      </c>
      <c r="D373" s="29">
        <f>IFERROR(INDEX($Q$4:$Q$3183,MATCH(SMALL($V$4:$V$3183,370),$V$4:$V$3183,0)),"")</f>
        <v/>
      </c>
      <c r="E373" s="29">
        <f>IFERROR(INDEX($R$4:$R$3183,MATCH(SMALL($V$4:$V$3183,370),$V$4:$V$3183,0)),"")</f>
        <v/>
      </c>
      <c r="F373">
        <f>IFERROR(INDEX($S$4:$S$3183,MATCH(SMALL($V$4:$V$3183,370),$V$4:$V$3183,0)),"")</f>
        <v/>
      </c>
      <c r="I373" s="29">
        <f>IF($B373="","",IFERROR(INDEX($U$4:$U$3183,MATCH(SMALL($V$4:$V$3183,370),$V$4:$V$3183,0)),""))</f>
        <v/>
      </c>
      <c r="J373">
        <f>IF($B373="","",IF($D373&gt;$F$2,"À venir",IF($E373&lt;$D$2,"Passé","Dans la période")))</f>
        <v/>
      </c>
      <c r="K373">
        <f>IF(OR($B373="",NOT(ISNUMBER($D373))),"",IF(AND($E373&lt;$D$2,$G373&lt;&gt;"X",$F373&lt;&gt;"Réalisé",$F373&lt;&gt;"Clôturé"),"RETARD",""))</f>
        <v/>
      </c>
      <c r="L373">
        <f>IF(OR($B373="",NOT(ISNUMBER($D373))),"",IF(AND($D373&gt;=$D$2,$D373&lt;=$H$2,$G373&lt;&gt;"X",$F373&lt;&gt;"Réalisé",$F373&lt;&gt;"Clôturé"),"≤ 7 j",""))</f>
        <v/>
      </c>
      <c r="M373" s="29">
        <f>IF($B373="","",IFERROR(INDEX($T$4:$T$3183,MATCH(SMALL($V$4:$V$3183,370),$V$4:$V$3183,0)),""))</f>
        <v/>
      </c>
      <c r="O373">
        <f>IF(INDEX(Suivi!$B:$B,380)="","",INDEX(Suivi!$B:$B,380))</f>
        <v/>
      </c>
      <c r="P373">
        <f>IF($O373="","",IF(INDEX(Suivi!$D:$D,380)="",INDEX(Suivi!$C:$C,380),INDEX(Suivi!$D:$D,380)))</f>
        <v/>
      </c>
      <c r="Q373">
        <f>IF($O373="","",INDEX(Suivi!$E:$E,380))</f>
        <v/>
      </c>
      <c r="R373">
        <f>IF($O373="","",INDEX(Suivi!$F:$F,380))</f>
        <v/>
      </c>
      <c r="S373">
        <f>IF($O373="","",INDEX(Suivi!$G:$G,380))</f>
        <v/>
      </c>
      <c r="T373">
        <f>IF($O373="","",IF(INDEX(Dossiers!$F$4:$F$63,7)="","",INDEX(Dossiers!$F$4:$F$63,7)))</f>
        <v/>
      </c>
      <c r="U373">
        <f>IF($O373="","",IF(INDEX(Dossiers!$G$4:$G$63,7)="","",INDEX(Dossiers!$G$4:$G$63,7)))</f>
        <v/>
      </c>
      <c r="V373">
        <f>IF(OR($O373="",NOT(ISNUMBER($Q373))),"",$Q373*1000000+373)</f>
        <v/>
      </c>
      <c r="W373" s="29">
        <f>IF($B373="","",IFERROR(INDEX($U$4:$U$3183,MATCH(SMALL($V$4:$V$3183,370),$V$4:$V$3183,0)),""))</f>
        <v/>
      </c>
    </row>
    <row r="374">
      <c r="A374">
        <f>IFERROR(INDEX($N$4:$N$3183,MATCH(SMALL($V$4:$V$3183,371),$V$4:$V$3183,0)),"")</f>
        <v/>
      </c>
      <c r="B374">
        <f>IFERROR(INDEX($O$4:$O$3183,MATCH(SMALL($V$4:$V$3183,371),$V$4:$V$3183,0)),"")</f>
        <v/>
      </c>
      <c r="C374">
        <f>IFERROR(INDEX($P$4:$P$3183,MATCH(SMALL($V$4:$V$3183,371),$V$4:$V$3183,0)),"")</f>
        <v/>
      </c>
      <c r="D374" s="29">
        <f>IFERROR(INDEX($Q$4:$Q$3183,MATCH(SMALL($V$4:$V$3183,371),$V$4:$V$3183,0)),"")</f>
        <v/>
      </c>
      <c r="E374" s="29">
        <f>IFERROR(INDEX($R$4:$R$3183,MATCH(SMALL($V$4:$V$3183,371),$V$4:$V$3183,0)),"")</f>
        <v/>
      </c>
      <c r="F374">
        <f>IFERROR(INDEX($S$4:$S$3183,MATCH(SMALL($V$4:$V$3183,371),$V$4:$V$3183,0)),"")</f>
        <v/>
      </c>
      <c r="I374" s="29">
        <f>IF($B374="","",IFERROR(INDEX($U$4:$U$3183,MATCH(SMALL($V$4:$V$3183,371),$V$4:$V$3183,0)),""))</f>
        <v/>
      </c>
      <c r="J374">
        <f>IF($B374="","",IF($D374&gt;$F$2,"À venir",IF($E374&lt;$D$2,"Passé","Dans la période")))</f>
        <v/>
      </c>
      <c r="K374">
        <f>IF(OR($B374="",NOT(ISNUMBER($D374))),"",IF(AND($E374&lt;$D$2,$G374&lt;&gt;"X",$F374&lt;&gt;"Réalisé",$F374&lt;&gt;"Clôturé"),"RETARD",""))</f>
        <v/>
      </c>
      <c r="L374">
        <f>IF(OR($B374="",NOT(ISNUMBER($D374))),"",IF(AND($D374&gt;=$D$2,$D374&lt;=$H$2,$G374&lt;&gt;"X",$F374&lt;&gt;"Réalisé",$F374&lt;&gt;"Clôturé"),"≤ 7 j",""))</f>
        <v/>
      </c>
      <c r="M374" s="29">
        <f>IF($B374="","",IFERROR(INDEX($T$4:$T$3183,MATCH(SMALL($V$4:$V$3183,371),$V$4:$V$3183,0)),""))</f>
        <v/>
      </c>
      <c r="O374">
        <f>IF(INDEX(Suivi!$B:$B,381)="","",INDEX(Suivi!$B:$B,381))</f>
        <v/>
      </c>
      <c r="P374">
        <f>IF($O374="","",IF(INDEX(Suivi!$D:$D,381)="",INDEX(Suivi!$C:$C,381),INDEX(Suivi!$D:$D,381)))</f>
        <v/>
      </c>
      <c r="Q374">
        <f>IF($O374="","",INDEX(Suivi!$E:$E,381))</f>
        <v/>
      </c>
      <c r="R374">
        <f>IF($O374="","",INDEX(Suivi!$F:$F,381))</f>
        <v/>
      </c>
      <c r="S374">
        <f>IF($O374="","",INDEX(Suivi!$G:$G,381))</f>
        <v/>
      </c>
      <c r="T374">
        <f>IF($O374="","",IF(INDEX(Dossiers!$F$4:$F$63,7)="","",INDEX(Dossiers!$F$4:$F$63,7)))</f>
        <v/>
      </c>
      <c r="U374">
        <f>IF($O374="","",IF(INDEX(Dossiers!$G$4:$G$63,7)="","",INDEX(Dossiers!$G$4:$G$63,7)))</f>
        <v/>
      </c>
      <c r="V374">
        <f>IF(OR($O374="",NOT(ISNUMBER($Q374))),"",$Q374*1000000+374)</f>
        <v/>
      </c>
      <c r="W374" s="29">
        <f>IF($B374="","",IFERROR(INDEX($U$4:$U$3183,MATCH(SMALL($V$4:$V$3183,371),$V$4:$V$3183,0)),""))</f>
        <v/>
      </c>
    </row>
    <row r="375">
      <c r="A375">
        <f>IFERROR(INDEX($N$4:$N$3183,MATCH(SMALL($V$4:$V$3183,372),$V$4:$V$3183,0)),"")</f>
        <v/>
      </c>
      <c r="B375">
        <f>IFERROR(INDEX($O$4:$O$3183,MATCH(SMALL($V$4:$V$3183,372),$V$4:$V$3183,0)),"")</f>
        <v/>
      </c>
      <c r="C375">
        <f>IFERROR(INDEX($P$4:$P$3183,MATCH(SMALL($V$4:$V$3183,372),$V$4:$V$3183,0)),"")</f>
        <v/>
      </c>
      <c r="D375" s="29">
        <f>IFERROR(INDEX($Q$4:$Q$3183,MATCH(SMALL($V$4:$V$3183,372),$V$4:$V$3183,0)),"")</f>
        <v/>
      </c>
      <c r="E375" s="29">
        <f>IFERROR(INDEX($R$4:$R$3183,MATCH(SMALL($V$4:$V$3183,372),$V$4:$V$3183,0)),"")</f>
        <v/>
      </c>
      <c r="F375">
        <f>IFERROR(INDEX($S$4:$S$3183,MATCH(SMALL($V$4:$V$3183,372),$V$4:$V$3183,0)),"")</f>
        <v/>
      </c>
      <c r="I375" s="29">
        <f>IF($B375="","",IFERROR(INDEX($U$4:$U$3183,MATCH(SMALL($V$4:$V$3183,372),$V$4:$V$3183,0)),""))</f>
        <v/>
      </c>
      <c r="J375">
        <f>IF($B375="","",IF($D375&gt;$F$2,"À venir",IF($E375&lt;$D$2,"Passé","Dans la période")))</f>
        <v/>
      </c>
      <c r="K375">
        <f>IF(OR($B375="",NOT(ISNUMBER($D375))),"",IF(AND($E375&lt;$D$2,$G375&lt;&gt;"X",$F375&lt;&gt;"Réalisé",$F375&lt;&gt;"Clôturé"),"RETARD",""))</f>
        <v/>
      </c>
      <c r="L375">
        <f>IF(OR($B375="",NOT(ISNUMBER($D375))),"",IF(AND($D375&gt;=$D$2,$D375&lt;=$H$2,$G375&lt;&gt;"X",$F375&lt;&gt;"Réalisé",$F375&lt;&gt;"Clôturé"),"≤ 7 j",""))</f>
        <v/>
      </c>
      <c r="M375" s="29">
        <f>IF($B375="","",IFERROR(INDEX($T$4:$T$3183,MATCH(SMALL($V$4:$V$3183,372),$V$4:$V$3183,0)),""))</f>
        <v/>
      </c>
      <c r="O375">
        <f>IF(INDEX(Suivi!$B:$B,383)="","",INDEX(Suivi!$B:$B,383))</f>
        <v/>
      </c>
      <c r="P375">
        <f>IF($O375="","",IF(INDEX(Suivi!$D:$D,383)="",INDEX(Suivi!$C:$C,383),INDEX(Suivi!$D:$D,383)))</f>
        <v/>
      </c>
      <c r="Q375">
        <f>IF($O375="","",INDEX(Suivi!$E:$E,383))</f>
        <v/>
      </c>
      <c r="R375">
        <f>IF($O375="","",INDEX(Suivi!$F:$F,383))</f>
        <v/>
      </c>
      <c r="S375">
        <f>IF($O375="","",INDEX(Suivi!$G:$G,383))</f>
        <v/>
      </c>
      <c r="T375">
        <f>IF($O375="","",IF(INDEX(Dossiers!$F$4:$F$63,8)="","",INDEX(Dossiers!$F$4:$F$63,8)))</f>
        <v/>
      </c>
      <c r="U375">
        <f>IF($O375="","",IF(INDEX(Dossiers!$G$4:$G$63,8)="","",INDEX(Dossiers!$G$4:$G$63,8)))</f>
        <v/>
      </c>
      <c r="V375">
        <f>IF(OR($O375="",NOT(ISNUMBER($Q375))),"",$Q375*1000000+375)</f>
        <v/>
      </c>
      <c r="W375" s="29">
        <f>IF($B375="","",IFERROR(INDEX($U$4:$U$3183,MATCH(SMALL($V$4:$V$3183,372),$V$4:$V$3183,0)),""))</f>
        <v/>
      </c>
    </row>
    <row r="376">
      <c r="A376">
        <f>IFERROR(INDEX($N$4:$N$3183,MATCH(SMALL($V$4:$V$3183,373),$V$4:$V$3183,0)),"")</f>
        <v/>
      </c>
      <c r="B376">
        <f>IFERROR(INDEX($O$4:$O$3183,MATCH(SMALL($V$4:$V$3183,373),$V$4:$V$3183,0)),"")</f>
        <v/>
      </c>
      <c r="C376">
        <f>IFERROR(INDEX($P$4:$P$3183,MATCH(SMALL($V$4:$V$3183,373),$V$4:$V$3183,0)),"")</f>
        <v/>
      </c>
      <c r="D376" s="29">
        <f>IFERROR(INDEX($Q$4:$Q$3183,MATCH(SMALL($V$4:$V$3183,373),$V$4:$V$3183,0)),"")</f>
        <v/>
      </c>
      <c r="E376" s="29">
        <f>IFERROR(INDEX($R$4:$R$3183,MATCH(SMALL($V$4:$V$3183,373),$V$4:$V$3183,0)),"")</f>
        <v/>
      </c>
      <c r="F376">
        <f>IFERROR(INDEX($S$4:$S$3183,MATCH(SMALL($V$4:$V$3183,373),$V$4:$V$3183,0)),"")</f>
        <v/>
      </c>
      <c r="I376" s="29">
        <f>IF($B376="","",IFERROR(INDEX($U$4:$U$3183,MATCH(SMALL($V$4:$V$3183,373),$V$4:$V$3183,0)),""))</f>
        <v/>
      </c>
      <c r="J376">
        <f>IF($B376="","",IF($D376&gt;$F$2,"À venir",IF($E376&lt;$D$2,"Passé","Dans la période")))</f>
        <v/>
      </c>
      <c r="K376">
        <f>IF(OR($B376="",NOT(ISNUMBER($D376))),"",IF(AND($E376&lt;$D$2,$G376&lt;&gt;"X",$F376&lt;&gt;"Réalisé",$F376&lt;&gt;"Clôturé"),"RETARD",""))</f>
        <v/>
      </c>
      <c r="L376">
        <f>IF(OR($B376="",NOT(ISNUMBER($D376))),"",IF(AND($D376&gt;=$D$2,$D376&lt;=$H$2,$G376&lt;&gt;"X",$F376&lt;&gt;"Réalisé",$F376&lt;&gt;"Clôturé"),"≤ 7 j",""))</f>
        <v/>
      </c>
      <c r="M376" s="29">
        <f>IF($B376="","",IFERROR(INDEX($T$4:$T$3183,MATCH(SMALL($V$4:$V$3183,373),$V$4:$V$3183,0)),""))</f>
        <v/>
      </c>
      <c r="O376">
        <f>IF(INDEX(Suivi!$B:$B,384)="","",INDEX(Suivi!$B:$B,384))</f>
        <v/>
      </c>
      <c r="P376">
        <f>IF($O376="","",IF(INDEX(Suivi!$D:$D,384)="",INDEX(Suivi!$C:$C,384),INDEX(Suivi!$D:$D,384)))</f>
        <v/>
      </c>
      <c r="Q376">
        <f>IF($O376="","",INDEX(Suivi!$E:$E,384))</f>
        <v/>
      </c>
      <c r="R376">
        <f>IF($O376="","",INDEX(Suivi!$F:$F,384))</f>
        <v/>
      </c>
      <c r="S376">
        <f>IF($O376="","",INDEX(Suivi!$G:$G,384))</f>
        <v/>
      </c>
      <c r="T376">
        <f>IF($O376="","",IF(INDEX(Dossiers!$F$4:$F$63,8)="","",INDEX(Dossiers!$F$4:$F$63,8)))</f>
        <v/>
      </c>
      <c r="U376">
        <f>IF($O376="","",IF(INDEX(Dossiers!$G$4:$G$63,8)="","",INDEX(Dossiers!$G$4:$G$63,8)))</f>
        <v/>
      </c>
      <c r="V376">
        <f>IF(OR($O376="",NOT(ISNUMBER($Q376))),"",$Q376*1000000+376)</f>
        <v/>
      </c>
      <c r="W376" s="29">
        <f>IF($B376="","",IFERROR(INDEX($U$4:$U$3183,MATCH(SMALL($V$4:$V$3183,373),$V$4:$V$3183,0)),""))</f>
        <v/>
      </c>
    </row>
    <row r="377">
      <c r="A377">
        <f>IFERROR(INDEX($N$4:$N$3183,MATCH(SMALL($V$4:$V$3183,374),$V$4:$V$3183,0)),"")</f>
        <v/>
      </c>
      <c r="B377">
        <f>IFERROR(INDEX($O$4:$O$3183,MATCH(SMALL($V$4:$V$3183,374),$V$4:$V$3183,0)),"")</f>
        <v/>
      </c>
      <c r="C377">
        <f>IFERROR(INDEX($P$4:$P$3183,MATCH(SMALL($V$4:$V$3183,374),$V$4:$V$3183,0)),"")</f>
        <v/>
      </c>
      <c r="D377" s="29">
        <f>IFERROR(INDEX($Q$4:$Q$3183,MATCH(SMALL($V$4:$V$3183,374),$V$4:$V$3183,0)),"")</f>
        <v/>
      </c>
      <c r="E377" s="29">
        <f>IFERROR(INDEX($R$4:$R$3183,MATCH(SMALL($V$4:$V$3183,374),$V$4:$V$3183,0)),"")</f>
        <v/>
      </c>
      <c r="F377">
        <f>IFERROR(INDEX($S$4:$S$3183,MATCH(SMALL($V$4:$V$3183,374),$V$4:$V$3183,0)),"")</f>
        <v/>
      </c>
      <c r="I377" s="29">
        <f>IF($B377="","",IFERROR(INDEX($U$4:$U$3183,MATCH(SMALL($V$4:$V$3183,374),$V$4:$V$3183,0)),""))</f>
        <v/>
      </c>
      <c r="J377">
        <f>IF($B377="","",IF($D377&gt;$F$2,"À venir",IF($E377&lt;$D$2,"Passé","Dans la période")))</f>
        <v/>
      </c>
      <c r="K377">
        <f>IF(OR($B377="",NOT(ISNUMBER($D377))),"",IF(AND($E377&lt;$D$2,$G377&lt;&gt;"X",$F377&lt;&gt;"Réalisé",$F377&lt;&gt;"Clôturé"),"RETARD",""))</f>
        <v/>
      </c>
      <c r="L377">
        <f>IF(OR($B377="",NOT(ISNUMBER($D377))),"",IF(AND($D377&gt;=$D$2,$D377&lt;=$H$2,$G377&lt;&gt;"X",$F377&lt;&gt;"Réalisé",$F377&lt;&gt;"Clôturé"),"≤ 7 j",""))</f>
        <v/>
      </c>
      <c r="M377" s="29">
        <f>IF($B377="","",IFERROR(INDEX($T$4:$T$3183,MATCH(SMALL($V$4:$V$3183,374),$V$4:$V$3183,0)),""))</f>
        <v/>
      </c>
      <c r="O377">
        <f>IF(INDEX(Suivi!$B:$B,385)="","",INDEX(Suivi!$B:$B,385))</f>
        <v/>
      </c>
      <c r="P377">
        <f>IF($O377="","",IF(INDEX(Suivi!$D:$D,385)="",INDEX(Suivi!$C:$C,385),INDEX(Suivi!$D:$D,385)))</f>
        <v/>
      </c>
      <c r="Q377">
        <f>IF($O377="","",INDEX(Suivi!$E:$E,385))</f>
        <v/>
      </c>
      <c r="R377">
        <f>IF($O377="","",INDEX(Suivi!$F:$F,385))</f>
        <v/>
      </c>
      <c r="S377">
        <f>IF($O377="","",INDEX(Suivi!$G:$G,385))</f>
        <v/>
      </c>
      <c r="T377">
        <f>IF($O377="","",IF(INDEX(Dossiers!$F$4:$F$63,8)="","",INDEX(Dossiers!$F$4:$F$63,8)))</f>
        <v/>
      </c>
      <c r="U377">
        <f>IF($O377="","",IF(INDEX(Dossiers!$G$4:$G$63,8)="","",INDEX(Dossiers!$G$4:$G$63,8)))</f>
        <v/>
      </c>
      <c r="V377">
        <f>IF(OR($O377="",NOT(ISNUMBER($Q377))),"",$Q377*1000000+377)</f>
        <v/>
      </c>
      <c r="W377" s="29">
        <f>IF($B377="","",IFERROR(INDEX($U$4:$U$3183,MATCH(SMALL($V$4:$V$3183,374),$V$4:$V$3183,0)),""))</f>
        <v/>
      </c>
    </row>
    <row r="378">
      <c r="A378">
        <f>IFERROR(INDEX($N$4:$N$3183,MATCH(SMALL($V$4:$V$3183,375),$V$4:$V$3183,0)),"")</f>
        <v/>
      </c>
      <c r="B378">
        <f>IFERROR(INDEX($O$4:$O$3183,MATCH(SMALL($V$4:$V$3183,375),$V$4:$V$3183,0)),"")</f>
        <v/>
      </c>
      <c r="C378">
        <f>IFERROR(INDEX($P$4:$P$3183,MATCH(SMALL($V$4:$V$3183,375),$V$4:$V$3183,0)),"")</f>
        <v/>
      </c>
      <c r="D378" s="29">
        <f>IFERROR(INDEX($Q$4:$Q$3183,MATCH(SMALL($V$4:$V$3183,375),$V$4:$V$3183,0)),"")</f>
        <v/>
      </c>
      <c r="E378" s="29">
        <f>IFERROR(INDEX($R$4:$R$3183,MATCH(SMALL($V$4:$V$3183,375),$V$4:$V$3183,0)),"")</f>
        <v/>
      </c>
      <c r="F378">
        <f>IFERROR(INDEX($S$4:$S$3183,MATCH(SMALL($V$4:$V$3183,375),$V$4:$V$3183,0)),"")</f>
        <v/>
      </c>
      <c r="I378" s="29">
        <f>IF($B378="","",IFERROR(INDEX($U$4:$U$3183,MATCH(SMALL($V$4:$V$3183,375),$V$4:$V$3183,0)),""))</f>
        <v/>
      </c>
      <c r="J378">
        <f>IF($B378="","",IF($D378&gt;$F$2,"À venir",IF($E378&lt;$D$2,"Passé","Dans la période")))</f>
        <v/>
      </c>
      <c r="K378">
        <f>IF(OR($B378="",NOT(ISNUMBER($D378))),"",IF(AND($E378&lt;$D$2,$G378&lt;&gt;"X",$F378&lt;&gt;"Réalisé",$F378&lt;&gt;"Clôturé"),"RETARD",""))</f>
        <v/>
      </c>
      <c r="L378">
        <f>IF(OR($B378="",NOT(ISNUMBER($D378))),"",IF(AND($D378&gt;=$D$2,$D378&lt;=$H$2,$G378&lt;&gt;"X",$F378&lt;&gt;"Réalisé",$F378&lt;&gt;"Clôturé"),"≤ 7 j",""))</f>
        <v/>
      </c>
      <c r="M378" s="29">
        <f>IF($B378="","",IFERROR(INDEX($T$4:$T$3183,MATCH(SMALL($V$4:$V$3183,375),$V$4:$V$3183,0)),""))</f>
        <v/>
      </c>
      <c r="O378">
        <f>IF(INDEX(Suivi!$B:$B,386)="","",INDEX(Suivi!$B:$B,386))</f>
        <v/>
      </c>
      <c r="P378">
        <f>IF($O378="","",IF(INDEX(Suivi!$D:$D,386)="",INDEX(Suivi!$C:$C,386),INDEX(Suivi!$D:$D,386)))</f>
        <v/>
      </c>
      <c r="Q378">
        <f>IF($O378="","",INDEX(Suivi!$E:$E,386))</f>
        <v/>
      </c>
      <c r="R378">
        <f>IF($O378="","",INDEX(Suivi!$F:$F,386))</f>
        <v/>
      </c>
      <c r="S378">
        <f>IF($O378="","",INDEX(Suivi!$G:$G,386))</f>
        <v/>
      </c>
      <c r="T378">
        <f>IF($O378="","",IF(INDEX(Dossiers!$F$4:$F$63,8)="","",INDEX(Dossiers!$F$4:$F$63,8)))</f>
        <v/>
      </c>
      <c r="U378">
        <f>IF($O378="","",IF(INDEX(Dossiers!$G$4:$G$63,8)="","",INDEX(Dossiers!$G$4:$G$63,8)))</f>
        <v/>
      </c>
      <c r="V378">
        <f>IF(OR($O378="",NOT(ISNUMBER($Q378))),"",$Q378*1000000+378)</f>
        <v/>
      </c>
      <c r="W378" s="29">
        <f>IF($B378="","",IFERROR(INDEX($U$4:$U$3183,MATCH(SMALL($V$4:$V$3183,375),$V$4:$V$3183,0)),""))</f>
        <v/>
      </c>
    </row>
    <row r="379">
      <c r="A379">
        <f>IFERROR(INDEX($N$4:$N$3183,MATCH(SMALL($V$4:$V$3183,376),$V$4:$V$3183,0)),"")</f>
        <v/>
      </c>
      <c r="B379">
        <f>IFERROR(INDEX($O$4:$O$3183,MATCH(SMALL($V$4:$V$3183,376),$V$4:$V$3183,0)),"")</f>
        <v/>
      </c>
      <c r="C379">
        <f>IFERROR(INDEX($P$4:$P$3183,MATCH(SMALL($V$4:$V$3183,376),$V$4:$V$3183,0)),"")</f>
        <v/>
      </c>
      <c r="D379" s="29">
        <f>IFERROR(INDEX($Q$4:$Q$3183,MATCH(SMALL($V$4:$V$3183,376),$V$4:$V$3183,0)),"")</f>
        <v/>
      </c>
      <c r="E379" s="29">
        <f>IFERROR(INDEX($R$4:$R$3183,MATCH(SMALL($V$4:$V$3183,376),$V$4:$V$3183,0)),"")</f>
        <v/>
      </c>
      <c r="F379">
        <f>IFERROR(INDEX($S$4:$S$3183,MATCH(SMALL($V$4:$V$3183,376),$V$4:$V$3183,0)),"")</f>
        <v/>
      </c>
      <c r="I379" s="29">
        <f>IF($B379="","",IFERROR(INDEX($U$4:$U$3183,MATCH(SMALL($V$4:$V$3183,376),$V$4:$V$3183,0)),""))</f>
        <v/>
      </c>
      <c r="J379">
        <f>IF($B379="","",IF($D379&gt;$F$2,"À venir",IF($E379&lt;$D$2,"Passé","Dans la période")))</f>
        <v/>
      </c>
      <c r="K379">
        <f>IF(OR($B379="",NOT(ISNUMBER($D379))),"",IF(AND($E379&lt;$D$2,$G379&lt;&gt;"X",$F379&lt;&gt;"Réalisé",$F379&lt;&gt;"Clôturé"),"RETARD",""))</f>
        <v/>
      </c>
      <c r="L379">
        <f>IF(OR($B379="",NOT(ISNUMBER($D379))),"",IF(AND($D379&gt;=$D$2,$D379&lt;=$H$2,$G379&lt;&gt;"X",$F379&lt;&gt;"Réalisé",$F379&lt;&gt;"Clôturé"),"≤ 7 j",""))</f>
        <v/>
      </c>
      <c r="M379" s="29">
        <f>IF($B379="","",IFERROR(INDEX($T$4:$T$3183,MATCH(SMALL($V$4:$V$3183,376),$V$4:$V$3183,0)),""))</f>
        <v/>
      </c>
      <c r="O379">
        <f>IF(INDEX(Suivi!$B:$B,387)="","",INDEX(Suivi!$B:$B,387))</f>
        <v/>
      </c>
      <c r="P379">
        <f>IF($O379="","",IF(INDEX(Suivi!$D:$D,387)="",INDEX(Suivi!$C:$C,387),INDEX(Suivi!$D:$D,387)))</f>
        <v/>
      </c>
      <c r="Q379">
        <f>IF($O379="","",INDEX(Suivi!$E:$E,387))</f>
        <v/>
      </c>
      <c r="R379">
        <f>IF($O379="","",INDEX(Suivi!$F:$F,387))</f>
        <v/>
      </c>
      <c r="S379">
        <f>IF($O379="","",INDEX(Suivi!$G:$G,387))</f>
        <v/>
      </c>
      <c r="T379">
        <f>IF($O379="","",IF(INDEX(Dossiers!$F$4:$F$63,8)="","",INDEX(Dossiers!$F$4:$F$63,8)))</f>
        <v/>
      </c>
      <c r="U379">
        <f>IF($O379="","",IF(INDEX(Dossiers!$G$4:$G$63,8)="","",INDEX(Dossiers!$G$4:$G$63,8)))</f>
        <v/>
      </c>
      <c r="V379">
        <f>IF(OR($O379="",NOT(ISNUMBER($Q379))),"",$Q379*1000000+379)</f>
        <v/>
      </c>
      <c r="W379" s="29">
        <f>IF($B379="","",IFERROR(INDEX($U$4:$U$3183,MATCH(SMALL($V$4:$V$3183,376),$V$4:$V$3183,0)),""))</f>
        <v/>
      </c>
    </row>
    <row r="380">
      <c r="A380">
        <f>IFERROR(INDEX($N$4:$N$3183,MATCH(SMALL($V$4:$V$3183,377),$V$4:$V$3183,0)),"")</f>
        <v/>
      </c>
      <c r="B380">
        <f>IFERROR(INDEX($O$4:$O$3183,MATCH(SMALL($V$4:$V$3183,377),$V$4:$V$3183,0)),"")</f>
        <v/>
      </c>
      <c r="C380">
        <f>IFERROR(INDEX($P$4:$P$3183,MATCH(SMALL($V$4:$V$3183,377),$V$4:$V$3183,0)),"")</f>
        <v/>
      </c>
      <c r="D380" s="29">
        <f>IFERROR(INDEX($Q$4:$Q$3183,MATCH(SMALL($V$4:$V$3183,377),$V$4:$V$3183,0)),"")</f>
        <v/>
      </c>
      <c r="E380" s="29">
        <f>IFERROR(INDEX($R$4:$R$3183,MATCH(SMALL($V$4:$V$3183,377),$V$4:$V$3183,0)),"")</f>
        <v/>
      </c>
      <c r="F380">
        <f>IFERROR(INDEX($S$4:$S$3183,MATCH(SMALL($V$4:$V$3183,377),$V$4:$V$3183,0)),"")</f>
        <v/>
      </c>
      <c r="I380" s="29">
        <f>IF($B380="","",IFERROR(INDEX($U$4:$U$3183,MATCH(SMALL($V$4:$V$3183,377),$V$4:$V$3183,0)),""))</f>
        <v/>
      </c>
      <c r="J380">
        <f>IF($B380="","",IF($D380&gt;$F$2,"À venir",IF($E380&lt;$D$2,"Passé","Dans la période")))</f>
        <v/>
      </c>
      <c r="K380">
        <f>IF(OR($B380="",NOT(ISNUMBER($D380))),"",IF(AND($E380&lt;$D$2,$G380&lt;&gt;"X",$F380&lt;&gt;"Réalisé",$F380&lt;&gt;"Clôturé"),"RETARD",""))</f>
        <v/>
      </c>
      <c r="L380">
        <f>IF(OR($B380="",NOT(ISNUMBER($D380))),"",IF(AND($D380&gt;=$D$2,$D380&lt;=$H$2,$G380&lt;&gt;"X",$F380&lt;&gt;"Réalisé",$F380&lt;&gt;"Clôturé"),"≤ 7 j",""))</f>
        <v/>
      </c>
      <c r="M380" s="29">
        <f>IF($B380="","",IFERROR(INDEX($T$4:$T$3183,MATCH(SMALL($V$4:$V$3183,377),$V$4:$V$3183,0)),""))</f>
        <v/>
      </c>
      <c r="O380">
        <f>IF(INDEX(Suivi!$B:$B,388)="","",INDEX(Suivi!$B:$B,388))</f>
        <v/>
      </c>
      <c r="P380">
        <f>IF($O380="","",IF(INDEX(Suivi!$D:$D,388)="",INDEX(Suivi!$C:$C,388),INDEX(Suivi!$D:$D,388)))</f>
        <v/>
      </c>
      <c r="Q380">
        <f>IF($O380="","",INDEX(Suivi!$E:$E,388))</f>
        <v/>
      </c>
      <c r="R380">
        <f>IF($O380="","",INDEX(Suivi!$F:$F,388))</f>
        <v/>
      </c>
      <c r="S380">
        <f>IF($O380="","",INDEX(Suivi!$G:$G,388))</f>
        <v/>
      </c>
      <c r="T380">
        <f>IF($O380="","",IF(INDEX(Dossiers!$F$4:$F$63,8)="","",INDEX(Dossiers!$F$4:$F$63,8)))</f>
        <v/>
      </c>
      <c r="U380">
        <f>IF($O380="","",IF(INDEX(Dossiers!$G$4:$G$63,8)="","",INDEX(Dossiers!$G$4:$G$63,8)))</f>
        <v/>
      </c>
      <c r="V380">
        <f>IF(OR($O380="",NOT(ISNUMBER($Q380))),"",$Q380*1000000+380)</f>
        <v/>
      </c>
      <c r="W380" s="29">
        <f>IF($B380="","",IFERROR(INDEX($U$4:$U$3183,MATCH(SMALL($V$4:$V$3183,377),$V$4:$V$3183,0)),""))</f>
        <v/>
      </c>
    </row>
    <row r="381">
      <c r="A381">
        <f>IFERROR(INDEX($N$4:$N$3183,MATCH(SMALL($V$4:$V$3183,378),$V$4:$V$3183,0)),"")</f>
        <v/>
      </c>
      <c r="B381">
        <f>IFERROR(INDEX($O$4:$O$3183,MATCH(SMALL($V$4:$V$3183,378),$V$4:$V$3183,0)),"")</f>
        <v/>
      </c>
      <c r="C381">
        <f>IFERROR(INDEX($P$4:$P$3183,MATCH(SMALL($V$4:$V$3183,378),$V$4:$V$3183,0)),"")</f>
        <v/>
      </c>
      <c r="D381" s="29">
        <f>IFERROR(INDEX($Q$4:$Q$3183,MATCH(SMALL($V$4:$V$3183,378),$V$4:$V$3183,0)),"")</f>
        <v/>
      </c>
      <c r="E381" s="29">
        <f>IFERROR(INDEX($R$4:$R$3183,MATCH(SMALL($V$4:$V$3183,378),$V$4:$V$3183,0)),"")</f>
        <v/>
      </c>
      <c r="F381">
        <f>IFERROR(INDEX($S$4:$S$3183,MATCH(SMALL($V$4:$V$3183,378),$V$4:$V$3183,0)),"")</f>
        <v/>
      </c>
      <c r="I381" s="29">
        <f>IF($B381="","",IFERROR(INDEX($U$4:$U$3183,MATCH(SMALL($V$4:$V$3183,378),$V$4:$V$3183,0)),""))</f>
        <v/>
      </c>
      <c r="J381">
        <f>IF($B381="","",IF($D381&gt;$F$2,"À venir",IF($E381&lt;$D$2,"Passé","Dans la période")))</f>
        <v/>
      </c>
      <c r="K381">
        <f>IF(OR($B381="",NOT(ISNUMBER($D381))),"",IF(AND($E381&lt;$D$2,$G381&lt;&gt;"X",$F381&lt;&gt;"Réalisé",$F381&lt;&gt;"Clôturé"),"RETARD",""))</f>
        <v/>
      </c>
      <c r="L381">
        <f>IF(OR($B381="",NOT(ISNUMBER($D381))),"",IF(AND($D381&gt;=$D$2,$D381&lt;=$H$2,$G381&lt;&gt;"X",$F381&lt;&gt;"Réalisé",$F381&lt;&gt;"Clôturé"),"≤ 7 j",""))</f>
        <v/>
      </c>
      <c r="M381" s="29">
        <f>IF($B381="","",IFERROR(INDEX($T$4:$T$3183,MATCH(SMALL($V$4:$V$3183,378),$V$4:$V$3183,0)),""))</f>
        <v/>
      </c>
      <c r="O381">
        <f>IF(INDEX(Suivi!$B:$B,389)="","",INDEX(Suivi!$B:$B,389))</f>
        <v/>
      </c>
      <c r="P381">
        <f>IF($O381="","",IF(INDEX(Suivi!$D:$D,389)="",INDEX(Suivi!$C:$C,389),INDEX(Suivi!$D:$D,389)))</f>
        <v/>
      </c>
      <c r="Q381">
        <f>IF($O381="","",INDEX(Suivi!$E:$E,389))</f>
        <v/>
      </c>
      <c r="R381">
        <f>IF($O381="","",INDEX(Suivi!$F:$F,389))</f>
        <v/>
      </c>
      <c r="S381">
        <f>IF($O381="","",INDEX(Suivi!$G:$G,389))</f>
        <v/>
      </c>
      <c r="T381">
        <f>IF($O381="","",IF(INDEX(Dossiers!$F$4:$F$63,8)="","",INDEX(Dossiers!$F$4:$F$63,8)))</f>
        <v/>
      </c>
      <c r="U381">
        <f>IF($O381="","",IF(INDEX(Dossiers!$G$4:$G$63,8)="","",INDEX(Dossiers!$G$4:$G$63,8)))</f>
        <v/>
      </c>
      <c r="V381">
        <f>IF(OR($O381="",NOT(ISNUMBER($Q381))),"",$Q381*1000000+381)</f>
        <v/>
      </c>
      <c r="W381" s="29">
        <f>IF($B381="","",IFERROR(INDEX($U$4:$U$3183,MATCH(SMALL($V$4:$V$3183,378),$V$4:$V$3183,0)),""))</f>
        <v/>
      </c>
    </row>
    <row r="382">
      <c r="A382">
        <f>IFERROR(INDEX($N$4:$N$3183,MATCH(SMALL($V$4:$V$3183,379),$V$4:$V$3183,0)),"")</f>
        <v/>
      </c>
      <c r="B382">
        <f>IFERROR(INDEX($O$4:$O$3183,MATCH(SMALL($V$4:$V$3183,379),$V$4:$V$3183,0)),"")</f>
        <v/>
      </c>
      <c r="C382">
        <f>IFERROR(INDEX($P$4:$P$3183,MATCH(SMALL($V$4:$V$3183,379),$V$4:$V$3183,0)),"")</f>
        <v/>
      </c>
      <c r="D382" s="29">
        <f>IFERROR(INDEX($Q$4:$Q$3183,MATCH(SMALL($V$4:$V$3183,379),$V$4:$V$3183,0)),"")</f>
        <v/>
      </c>
      <c r="E382" s="29">
        <f>IFERROR(INDEX($R$4:$R$3183,MATCH(SMALL($V$4:$V$3183,379),$V$4:$V$3183,0)),"")</f>
        <v/>
      </c>
      <c r="F382">
        <f>IFERROR(INDEX($S$4:$S$3183,MATCH(SMALL($V$4:$V$3183,379),$V$4:$V$3183,0)),"")</f>
        <v/>
      </c>
      <c r="I382" s="29">
        <f>IF($B382="","",IFERROR(INDEX($U$4:$U$3183,MATCH(SMALL($V$4:$V$3183,379),$V$4:$V$3183,0)),""))</f>
        <v/>
      </c>
      <c r="J382">
        <f>IF($B382="","",IF($D382&gt;$F$2,"À venir",IF($E382&lt;$D$2,"Passé","Dans la période")))</f>
        <v/>
      </c>
      <c r="K382">
        <f>IF(OR($B382="",NOT(ISNUMBER($D382))),"",IF(AND($E382&lt;$D$2,$G382&lt;&gt;"X",$F382&lt;&gt;"Réalisé",$F382&lt;&gt;"Clôturé"),"RETARD",""))</f>
        <v/>
      </c>
      <c r="L382">
        <f>IF(OR($B382="",NOT(ISNUMBER($D382))),"",IF(AND($D382&gt;=$D$2,$D382&lt;=$H$2,$G382&lt;&gt;"X",$F382&lt;&gt;"Réalisé",$F382&lt;&gt;"Clôturé"),"≤ 7 j",""))</f>
        <v/>
      </c>
      <c r="M382" s="29">
        <f>IF($B382="","",IFERROR(INDEX($T$4:$T$3183,MATCH(SMALL($V$4:$V$3183,379),$V$4:$V$3183,0)),""))</f>
        <v/>
      </c>
      <c r="O382">
        <f>IF(INDEX(Suivi!$B:$B,390)="","",INDEX(Suivi!$B:$B,390))</f>
        <v/>
      </c>
      <c r="P382">
        <f>IF($O382="","",IF(INDEX(Suivi!$D:$D,390)="",INDEX(Suivi!$C:$C,390),INDEX(Suivi!$D:$D,390)))</f>
        <v/>
      </c>
      <c r="Q382">
        <f>IF($O382="","",INDEX(Suivi!$E:$E,390))</f>
        <v/>
      </c>
      <c r="R382">
        <f>IF($O382="","",INDEX(Suivi!$F:$F,390))</f>
        <v/>
      </c>
      <c r="S382">
        <f>IF($O382="","",INDEX(Suivi!$G:$G,390))</f>
        <v/>
      </c>
      <c r="T382">
        <f>IF($O382="","",IF(INDEX(Dossiers!$F$4:$F$63,8)="","",INDEX(Dossiers!$F$4:$F$63,8)))</f>
        <v/>
      </c>
      <c r="U382">
        <f>IF($O382="","",IF(INDEX(Dossiers!$G$4:$G$63,8)="","",INDEX(Dossiers!$G$4:$G$63,8)))</f>
        <v/>
      </c>
      <c r="V382">
        <f>IF(OR($O382="",NOT(ISNUMBER($Q382))),"",$Q382*1000000+382)</f>
        <v/>
      </c>
      <c r="W382" s="29">
        <f>IF($B382="","",IFERROR(INDEX($U$4:$U$3183,MATCH(SMALL($V$4:$V$3183,379),$V$4:$V$3183,0)),""))</f>
        <v/>
      </c>
    </row>
    <row r="383">
      <c r="A383">
        <f>IFERROR(INDEX($N$4:$N$3183,MATCH(SMALL($V$4:$V$3183,380),$V$4:$V$3183,0)),"")</f>
        <v/>
      </c>
      <c r="B383">
        <f>IFERROR(INDEX($O$4:$O$3183,MATCH(SMALL($V$4:$V$3183,380),$V$4:$V$3183,0)),"")</f>
        <v/>
      </c>
      <c r="C383">
        <f>IFERROR(INDEX($P$4:$P$3183,MATCH(SMALL($V$4:$V$3183,380),$V$4:$V$3183,0)),"")</f>
        <v/>
      </c>
      <c r="D383" s="29">
        <f>IFERROR(INDEX($Q$4:$Q$3183,MATCH(SMALL($V$4:$V$3183,380),$V$4:$V$3183,0)),"")</f>
        <v/>
      </c>
      <c r="E383" s="29">
        <f>IFERROR(INDEX($R$4:$R$3183,MATCH(SMALL($V$4:$V$3183,380),$V$4:$V$3183,0)),"")</f>
        <v/>
      </c>
      <c r="F383">
        <f>IFERROR(INDEX($S$4:$S$3183,MATCH(SMALL($V$4:$V$3183,380),$V$4:$V$3183,0)),"")</f>
        <v/>
      </c>
      <c r="I383" s="29">
        <f>IF($B383="","",IFERROR(INDEX($U$4:$U$3183,MATCH(SMALL($V$4:$V$3183,380),$V$4:$V$3183,0)),""))</f>
        <v/>
      </c>
      <c r="J383">
        <f>IF($B383="","",IF($D383&gt;$F$2,"À venir",IF($E383&lt;$D$2,"Passé","Dans la période")))</f>
        <v/>
      </c>
      <c r="K383">
        <f>IF(OR($B383="",NOT(ISNUMBER($D383))),"",IF(AND($E383&lt;$D$2,$G383&lt;&gt;"X",$F383&lt;&gt;"Réalisé",$F383&lt;&gt;"Clôturé"),"RETARD",""))</f>
        <v/>
      </c>
      <c r="L383">
        <f>IF(OR($B383="",NOT(ISNUMBER($D383))),"",IF(AND($D383&gt;=$D$2,$D383&lt;=$H$2,$G383&lt;&gt;"X",$F383&lt;&gt;"Réalisé",$F383&lt;&gt;"Clôturé"),"≤ 7 j",""))</f>
        <v/>
      </c>
      <c r="M383" s="29">
        <f>IF($B383="","",IFERROR(INDEX($T$4:$T$3183,MATCH(SMALL($V$4:$V$3183,380),$V$4:$V$3183,0)),""))</f>
        <v/>
      </c>
      <c r="O383">
        <f>IF(INDEX(Suivi!$B:$B,391)="","",INDEX(Suivi!$B:$B,391))</f>
        <v/>
      </c>
      <c r="P383">
        <f>IF($O383="","",IF(INDEX(Suivi!$D:$D,391)="",INDEX(Suivi!$C:$C,391),INDEX(Suivi!$D:$D,391)))</f>
        <v/>
      </c>
      <c r="Q383">
        <f>IF($O383="","",INDEX(Suivi!$E:$E,391))</f>
        <v/>
      </c>
      <c r="R383">
        <f>IF($O383="","",INDEX(Suivi!$F:$F,391))</f>
        <v/>
      </c>
      <c r="S383">
        <f>IF($O383="","",INDEX(Suivi!$G:$G,391))</f>
        <v/>
      </c>
      <c r="T383">
        <f>IF($O383="","",IF(INDEX(Dossiers!$F$4:$F$63,8)="","",INDEX(Dossiers!$F$4:$F$63,8)))</f>
        <v/>
      </c>
      <c r="U383">
        <f>IF($O383="","",IF(INDEX(Dossiers!$G$4:$G$63,8)="","",INDEX(Dossiers!$G$4:$G$63,8)))</f>
        <v/>
      </c>
      <c r="V383">
        <f>IF(OR($O383="",NOT(ISNUMBER($Q383))),"",$Q383*1000000+383)</f>
        <v/>
      </c>
      <c r="W383" s="29">
        <f>IF($B383="","",IFERROR(INDEX($U$4:$U$3183,MATCH(SMALL($V$4:$V$3183,380),$V$4:$V$3183,0)),""))</f>
        <v/>
      </c>
    </row>
    <row r="384">
      <c r="A384">
        <f>IFERROR(INDEX($N$4:$N$3183,MATCH(SMALL($V$4:$V$3183,381),$V$4:$V$3183,0)),"")</f>
        <v/>
      </c>
      <c r="B384">
        <f>IFERROR(INDEX($O$4:$O$3183,MATCH(SMALL($V$4:$V$3183,381),$V$4:$V$3183,0)),"")</f>
        <v/>
      </c>
      <c r="C384">
        <f>IFERROR(INDEX($P$4:$P$3183,MATCH(SMALL($V$4:$V$3183,381),$V$4:$V$3183,0)),"")</f>
        <v/>
      </c>
      <c r="D384" s="29">
        <f>IFERROR(INDEX($Q$4:$Q$3183,MATCH(SMALL($V$4:$V$3183,381),$V$4:$V$3183,0)),"")</f>
        <v/>
      </c>
      <c r="E384" s="29">
        <f>IFERROR(INDEX($R$4:$R$3183,MATCH(SMALL($V$4:$V$3183,381),$V$4:$V$3183,0)),"")</f>
        <v/>
      </c>
      <c r="F384">
        <f>IFERROR(INDEX($S$4:$S$3183,MATCH(SMALL($V$4:$V$3183,381),$V$4:$V$3183,0)),"")</f>
        <v/>
      </c>
      <c r="I384" s="29">
        <f>IF($B384="","",IFERROR(INDEX($U$4:$U$3183,MATCH(SMALL($V$4:$V$3183,381),$V$4:$V$3183,0)),""))</f>
        <v/>
      </c>
      <c r="J384">
        <f>IF($B384="","",IF($D384&gt;$F$2,"À venir",IF($E384&lt;$D$2,"Passé","Dans la période")))</f>
        <v/>
      </c>
      <c r="K384">
        <f>IF(OR($B384="",NOT(ISNUMBER($D384))),"",IF(AND($E384&lt;$D$2,$G384&lt;&gt;"X",$F384&lt;&gt;"Réalisé",$F384&lt;&gt;"Clôturé"),"RETARD",""))</f>
        <v/>
      </c>
      <c r="L384">
        <f>IF(OR($B384="",NOT(ISNUMBER($D384))),"",IF(AND($D384&gt;=$D$2,$D384&lt;=$H$2,$G384&lt;&gt;"X",$F384&lt;&gt;"Réalisé",$F384&lt;&gt;"Clôturé"),"≤ 7 j",""))</f>
        <v/>
      </c>
      <c r="M384" s="29">
        <f>IF($B384="","",IFERROR(INDEX($T$4:$T$3183,MATCH(SMALL($V$4:$V$3183,381),$V$4:$V$3183,0)),""))</f>
        <v/>
      </c>
      <c r="O384">
        <f>IF(INDEX(Suivi!$B:$B,392)="","",INDEX(Suivi!$B:$B,392))</f>
        <v/>
      </c>
      <c r="P384">
        <f>IF($O384="","",IF(INDEX(Suivi!$D:$D,392)="",INDEX(Suivi!$C:$C,392),INDEX(Suivi!$D:$D,392)))</f>
        <v/>
      </c>
      <c r="Q384">
        <f>IF($O384="","",INDEX(Suivi!$E:$E,392))</f>
        <v/>
      </c>
      <c r="R384">
        <f>IF($O384="","",INDEX(Suivi!$F:$F,392))</f>
        <v/>
      </c>
      <c r="S384">
        <f>IF($O384="","",INDEX(Suivi!$G:$G,392))</f>
        <v/>
      </c>
      <c r="T384">
        <f>IF($O384="","",IF(INDEX(Dossiers!$F$4:$F$63,8)="","",INDEX(Dossiers!$F$4:$F$63,8)))</f>
        <v/>
      </c>
      <c r="U384">
        <f>IF($O384="","",IF(INDEX(Dossiers!$G$4:$G$63,8)="","",INDEX(Dossiers!$G$4:$G$63,8)))</f>
        <v/>
      </c>
      <c r="V384">
        <f>IF(OR($O384="",NOT(ISNUMBER($Q384))),"",$Q384*1000000+384)</f>
        <v/>
      </c>
      <c r="W384" s="29">
        <f>IF($B384="","",IFERROR(INDEX($U$4:$U$3183,MATCH(SMALL($V$4:$V$3183,381),$V$4:$V$3183,0)),""))</f>
        <v/>
      </c>
    </row>
    <row r="385">
      <c r="A385">
        <f>IFERROR(INDEX($N$4:$N$3183,MATCH(SMALL($V$4:$V$3183,382),$V$4:$V$3183,0)),"")</f>
        <v/>
      </c>
      <c r="B385">
        <f>IFERROR(INDEX($O$4:$O$3183,MATCH(SMALL($V$4:$V$3183,382),$V$4:$V$3183,0)),"")</f>
        <v/>
      </c>
      <c r="C385">
        <f>IFERROR(INDEX($P$4:$P$3183,MATCH(SMALL($V$4:$V$3183,382),$V$4:$V$3183,0)),"")</f>
        <v/>
      </c>
      <c r="D385" s="29">
        <f>IFERROR(INDEX($Q$4:$Q$3183,MATCH(SMALL($V$4:$V$3183,382),$V$4:$V$3183,0)),"")</f>
        <v/>
      </c>
      <c r="E385" s="29">
        <f>IFERROR(INDEX($R$4:$R$3183,MATCH(SMALL($V$4:$V$3183,382),$V$4:$V$3183,0)),"")</f>
        <v/>
      </c>
      <c r="F385">
        <f>IFERROR(INDEX($S$4:$S$3183,MATCH(SMALL($V$4:$V$3183,382),$V$4:$V$3183,0)),"")</f>
        <v/>
      </c>
      <c r="I385" s="29">
        <f>IF($B385="","",IFERROR(INDEX($U$4:$U$3183,MATCH(SMALL($V$4:$V$3183,382),$V$4:$V$3183,0)),""))</f>
        <v/>
      </c>
      <c r="J385">
        <f>IF($B385="","",IF($D385&gt;$F$2,"À venir",IF($E385&lt;$D$2,"Passé","Dans la période")))</f>
        <v/>
      </c>
      <c r="K385">
        <f>IF(OR($B385="",NOT(ISNUMBER($D385))),"",IF(AND($E385&lt;$D$2,$G385&lt;&gt;"X",$F385&lt;&gt;"Réalisé",$F385&lt;&gt;"Clôturé"),"RETARD",""))</f>
        <v/>
      </c>
      <c r="L385">
        <f>IF(OR($B385="",NOT(ISNUMBER($D385))),"",IF(AND($D385&gt;=$D$2,$D385&lt;=$H$2,$G385&lt;&gt;"X",$F385&lt;&gt;"Réalisé",$F385&lt;&gt;"Clôturé"),"≤ 7 j",""))</f>
        <v/>
      </c>
      <c r="M385" s="29">
        <f>IF($B385="","",IFERROR(INDEX($T$4:$T$3183,MATCH(SMALL($V$4:$V$3183,382),$V$4:$V$3183,0)),""))</f>
        <v/>
      </c>
      <c r="O385">
        <f>IF(INDEX(Suivi!$B:$B,393)="","",INDEX(Suivi!$B:$B,393))</f>
        <v/>
      </c>
      <c r="P385">
        <f>IF($O385="","",IF(INDEX(Suivi!$D:$D,393)="",INDEX(Suivi!$C:$C,393),INDEX(Suivi!$D:$D,393)))</f>
        <v/>
      </c>
      <c r="Q385">
        <f>IF($O385="","",INDEX(Suivi!$E:$E,393))</f>
        <v/>
      </c>
      <c r="R385">
        <f>IF($O385="","",INDEX(Suivi!$F:$F,393))</f>
        <v/>
      </c>
      <c r="S385">
        <f>IF($O385="","",INDEX(Suivi!$G:$G,393))</f>
        <v/>
      </c>
      <c r="T385">
        <f>IF($O385="","",IF(INDEX(Dossiers!$F$4:$F$63,8)="","",INDEX(Dossiers!$F$4:$F$63,8)))</f>
        <v/>
      </c>
      <c r="U385">
        <f>IF($O385="","",IF(INDEX(Dossiers!$G$4:$G$63,8)="","",INDEX(Dossiers!$G$4:$G$63,8)))</f>
        <v/>
      </c>
      <c r="V385">
        <f>IF(OR($O385="",NOT(ISNUMBER($Q385))),"",$Q385*1000000+385)</f>
        <v/>
      </c>
      <c r="W385" s="29">
        <f>IF($B385="","",IFERROR(INDEX($U$4:$U$3183,MATCH(SMALL($V$4:$V$3183,382),$V$4:$V$3183,0)),""))</f>
        <v/>
      </c>
    </row>
    <row r="386">
      <c r="A386">
        <f>IFERROR(INDEX($N$4:$N$3183,MATCH(SMALL($V$4:$V$3183,383),$V$4:$V$3183,0)),"")</f>
        <v/>
      </c>
      <c r="B386">
        <f>IFERROR(INDEX($O$4:$O$3183,MATCH(SMALL($V$4:$V$3183,383),$V$4:$V$3183,0)),"")</f>
        <v/>
      </c>
      <c r="C386">
        <f>IFERROR(INDEX($P$4:$P$3183,MATCH(SMALL($V$4:$V$3183,383),$V$4:$V$3183,0)),"")</f>
        <v/>
      </c>
      <c r="D386" s="29">
        <f>IFERROR(INDEX($Q$4:$Q$3183,MATCH(SMALL($V$4:$V$3183,383),$V$4:$V$3183,0)),"")</f>
        <v/>
      </c>
      <c r="E386" s="29">
        <f>IFERROR(INDEX($R$4:$R$3183,MATCH(SMALL($V$4:$V$3183,383),$V$4:$V$3183,0)),"")</f>
        <v/>
      </c>
      <c r="F386">
        <f>IFERROR(INDEX($S$4:$S$3183,MATCH(SMALL($V$4:$V$3183,383),$V$4:$V$3183,0)),"")</f>
        <v/>
      </c>
      <c r="I386" s="29">
        <f>IF($B386="","",IFERROR(INDEX($U$4:$U$3183,MATCH(SMALL($V$4:$V$3183,383),$V$4:$V$3183,0)),""))</f>
        <v/>
      </c>
      <c r="J386">
        <f>IF($B386="","",IF($D386&gt;$F$2,"À venir",IF($E386&lt;$D$2,"Passé","Dans la période")))</f>
        <v/>
      </c>
      <c r="K386">
        <f>IF(OR($B386="",NOT(ISNUMBER($D386))),"",IF(AND($E386&lt;$D$2,$G386&lt;&gt;"X",$F386&lt;&gt;"Réalisé",$F386&lt;&gt;"Clôturé"),"RETARD",""))</f>
        <v/>
      </c>
      <c r="L386">
        <f>IF(OR($B386="",NOT(ISNUMBER($D386))),"",IF(AND($D386&gt;=$D$2,$D386&lt;=$H$2,$G386&lt;&gt;"X",$F386&lt;&gt;"Réalisé",$F386&lt;&gt;"Clôturé"),"≤ 7 j",""))</f>
        <v/>
      </c>
      <c r="M386" s="29">
        <f>IF($B386="","",IFERROR(INDEX($T$4:$T$3183,MATCH(SMALL($V$4:$V$3183,383),$V$4:$V$3183,0)),""))</f>
        <v/>
      </c>
      <c r="O386">
        <f>IF(INDEX(Suivi!$B:$B,394)="","",INDEX(Suivi!$B:$B,394))</f>
        <v/>
      </c>
      <c r="P386">
        <f>IF($O386="","",IF(INDEX(Suivi!$D:$D,394)="",INDEX(Suivi!$C:$C,394),INDEX(Suivi!$D:$D,394)))</f>
        <v/>
      </c>
      <c r="Q386">
        <f>IF($O386="","",INDEX(Suivi!$E:$E,394))</f>
        <v/>
      </c>
      <c r="R386">
        <f>IF($O386="","",INDEX(Suivi!$F:$F,394))</f>
        <v/>
      </c>
      <c r="S386">
        <f>IF($O386="","",INDEX(Suivi!$G:$G,394))</f>
        <v/>
      </c>
      <c r="T386">
        <f>IF($O386="","",IF(INDEX(Dossiers!$F$4:$F$63,8)="","",INDEX(Dossiers!$F$4:$F$63,8)))</f>
        <v/>
      </c>
      <c r="U386">
        <f>IF($O386="","",IF(INDEX(Dossiers!$G$4:$G$63,8)="","",INDEX(Dossiers!$G$4:$G$63,8)))</f>
        <v/>
      </c>
      <c r="V386">
        <f>IF(OR($O386="",NOT(ISNUMBER($Q386))),"",$Q386*1000000+386)</f>
        <v/>
      </c>
      <c r="W386" s="29">
        <f>IF($B386="","",IFERROR(INDEX($U$4:$U$3183,MATCH(SMALL($V$4:$V$3183,383),$V$4:$V$3183,0)),""))</f>
        <v/>
      </c>
    </row>
    <row r="387">
      <c r="A387">
        <f>IFERROR(INDEX($N$4:$N$3183,MATCH(SMALL($V$4:$V$3183,384),$V$4:$V$3183,0)),"")</f>
        <v/>
      </c>
      <c r="B387">
        <f>IFERROR(INDEX($O$4:$O$3183,MATCH(SMALL($V$4:$V$3183,384),$V$4:$V$3183,0)),"")</f>
        <v/>
      </c>
      <c r="C387">
        <f>IFERROR(INDEX($P$4:$P$3183,MATCH(SMALL($V$4:$V$3183,384),$V$4:$V$3183,0)),"")</f>
        <v/>
      </c>
      <c r="D387" s="29">
        <f>IFERROR(INDEX($Q$4:$Q$3183,MATCH(SMALL($V$4:$V$3183,384),$V$4:$V$3183,0)),"")</f>
        <v/>
      </c>
      <c r="E387" s="29">
        <f>IFERROR(INDEX($R$4:$R$3183,MATCH(SMALL($V$4:$V$3183,384),$V$4:$V$3183,0)),"")</f>
        <v/>
      </c>
      <c r="F387">
        <f>IFERROR(INDEX($S$4:$S$3183,MATCH(SMALL($V$4:$V$3183,384),$V$4:$V$3183,0)),"")</f>
        <v/>
      </c>
      <c r="I387" s="29">
        <f>IF($B387="","",IFERROR(INDEX($U$4:$U$3183,MATCH(SMALL($V$4:$V$3183,384),$V$4:$V$3183,0)),""))</f>
        <v/>
      </c>
      <c r="J387">
        <f>IF($B387="","",IF($D387&gt;$F$2,"À venir",IF($E387&lt;$D$2,"Passé","Dans la période")))</f>
        <v/>
      </c>
      <c r="K387">
        <f>IF(OR($B387="",NOT(ISNUMBER($D387))),"",IF(AND($E387&lt;$D$2,$G387&lt;&gt;"X",$F387&lt;&gt;"Réalisé",$F387&lt;&gt;"Clôturé"),"RETARD",""))</f>
        <v/>
      </c>
      <c r="L387">
        <f>IF(OR($B387="",NOT(ISNUMBER($D387))),"",IF(AND($D387&gt;=$D$2,$D387&lt;=$H$2,$G387&lt;&gt;"X",$F387&lt;&gt;"Réalisé",$F387&lt;&gt;"Clôturé"),"≤ 7 j",""))</f>
        <v/>
      </c>
      <c r="M387" s="29">
        <f>IF($B387="","",IFERROR(INDEX($T$4:$T$3183,MATCH(SMALL($V$4:$V$3183,384),$V$4:$V$3183,0)),""))</f>
        <v/>
      </c>
      <c r="O387">
        <f>IF(INDEX(Suivi!$B:$B,395)="","",INDEX(Suivi!$B:$B,395))</f>
        <v/>
      </c>
      <c r="P387">
        <f>IF($O387="","",IF(INDEX(Suivi!$D:$D,395)="",INDEX(Suivi!$C:$C,395),INDEX(Suivi!$D:$D,395)))</f>
        <v/>
      </c>
      <c r="Q387">
        <f>IF($O387="","",INDEX(Suivi!$E:$E,395))</f>
        <v/>
      </c>
      <c r="R387">
        <f>IF($O387="","",INDEX(Suivi!$F:$F,395))</f>
        <v/>
      </c>
      <c r="S387">
        <f>IF($O387="","",INDEX(Suivi!$G:$G,395))</f>
        <v/>
      </c>
      <c r="T387">
        <f>IF($O387="","",IF(INDEX(Dossiers!$F$4:$F$63,8)="","",INDEX(Dossiers!$F$4:$F$63,8)))</f>
        <v/>
      </c>
      <c r="U387">
        <f>IF($O387="","",IF(INDEX(Dossiers!$G$4:$G$63,8)="","",INDEX(Dossiers!$G$4:$G$63,8)))</f>
        <v/>
      </c>
      <c r="V387">
        <f>IF(OR($O387="",NOT(ISNUMBER($Q387))),"",$Q387*1000000+387)</f>
        <v/>
      </c>
      <c r="W387" s="29">
        <f>IF($B387="","",IFERROR(INDEX($U$4:$U$3183,MATCH(SMALL($V$4:$V$3183,384),$V$4:$V$3183,0)),""))</f>
        <v/>
      </c>
    </row>
    <row r="388">
      <c r="A388">
        <f>IFERROR(INDEX($N$4:$N$3183,MATCH(SMALL($V$4:$V$3183,385),$V$4:$V$3183,0)),"")</f>
        <v/>
      </c>
      <c r="B388">
        <f>IFERROR(INDEX($O$4:$O$3183,MATCH(SMALL($V$4:$V$3183,385),$V$4:$V$3183,0)),"")</f>
        <v/>
      </c>
      <c r="C388">
        <f>IFERROR(INDEX($P$4:$P$3183,MATCH(SMALL($V$4:$V$3183,385),$V$4:$V$3183,0)),"")</f>
        <v/>
      </c>
      <c r="D388" s="29">
        <f>IFERROR(INDEX($Q$4:$Q$3183,MATCH(SMALL($V$4:$V$3183,385),$V$4:$V$3183,0)),"")</f>
        <v/>
      </c>
      <c r="E388" s="29">
        <f>IFERROR(INDEX($R$4:$R$3183,MATCH(SMALL($V$4:$V$3183,385),$V$4:$V$3183,0)),"")</f>
        <v/>
      </c>
      <c r="F388">
        <f>IFERROR(INDEX($S$4:$S$3183,MATCH(SMALL($V$4:$V$3183,385),$V$4:$V$3183,0)),"")</f>
        <v/>
      </c>
      <c r="I388" s="29">
        <f>IF($B388="","",IFERROR(INDEX($U$4:$U$3183,MATCH(SMALL($V$4:$V$3183,385),$V$4:$V$3183,0)),""))</f>
        <v/>
      </c>
      <c r="J388">
        <f>IF($B388="","",IF($D388&gt;$F$2,"À venir",IF($E388&lt;$D$2,"Passé","Dans la période")))</f>
        <v/>
      </c>
      <c r="K388">
        <f>IF(OR($B388="",NOT(ISNUMBER($D388))),"",IF(AND($E388&lt;$D$2,$G388&lt;&gt;"X",$F388&lt;&gt;"Réalisé",$F388&lt;&gt;"Clôturé"),"RETARD",""))</f>
        <v/>
      </c>
      <c r="L388">
        <f>IF(OR($B388="",NOT(ISNUMBER($D388))),"",IF(AND($D388&gt;=$D$2,$D388&lt;=$H$2,$G388&lt;&gt;"X",$F388&lt;&gt;"Réalisé",$F388&lt;&gt;"Clôturé"),"≤ 7 j",""))</f>
        <v/>
      </c>
      <c r="M388" s="29">
        <f>IF($B388="","",IFERROR(INDEX($T$4:$T$3183,MATCH(SMALL($V$4:$V$3183,385),$V$4:$V$3183,0)),""))</f>
        <v/>
      </c>
      <c r="O388">
        <f>IF(INDEX(Suivi!$B:$B,396)="","",INDEX(Suivi!$B:$B,396))</f>
        <v/>
      </c>
      <c r="P388">
        <f>IF($O388="","",IF(INDEX(Suivi!$D:$D,396)="",INDEX(Suivi!$C:$C,396),INDEX(Suivi!$D:$D,396)))</f>
        <v/>
      </c>
      <c r="Q388">
        <f>IF($O388="","",INDEX(Suivi!$E:$E,396))</f>
        <v/>
      </c>
      <c r="R388">
        <f>IF($O388="","",INDEX(Suivi!$F:$F,396))</f>
        <v/>
      </c>
      <c r="S388">
        <f>IF($O388="","",INDEX(Suivi!$G:$G,396))</f>
        <v/>
      </c>
      <c r="T388">
        <f>IF($O388="","",IF(INDEX(Dossiers!$F$4:$F$63,8)="","",INDEX(Dossiers!$F$4:$F$63,8)))</f>
        <v/>
      </c>
      <c r="U388">
        <f>IF($O388="","",IF(INDEX(Dossiers!$G$4:$G$63,8)="","",INDEX(Dossiers!$G$4:$G$63,8)))</f>
        <v/>
      </c>
      <c r="V388">
        <f>IF(OR($O388="",NOT(ISNUMBER($Q388))),"",$Q388*1000000+388)</f>
        <v/>
      </c>
      <c r="W388" s="29">
        <f>IF($B388="","",IFERROR(INDEX($U$4:$U$3183,MATCH(SMALL($V$4:$V$3183,385),$V$4:$V$3183,0)),""))</f>
        <v/>
      </c>
    </row>
    <row r="389">
      <c r="A389">
        <f>IFERROR(INDEX($N$4:$N$3183,MATCH(SMALL($V$4:$V$3183,386),$V$4:$V$3183,0)),"")</f>
        <v/>
      </c>
      <c r="B389">
        <f>IFERROR(INDEX($O$4:$O$3183,MATCH(SMALL($V$4:$V$3183,386),$V$4:$V$3183,0)),"")</f>
        <v/>
      </c>
      <c r="C389">
        <f>IFERROR(INDEX($P$4:$P$3183,MATCH(SMALL($V$4:$V$3183,386),$V$4:$V$3183,0)),"")</f>
        <v/>
      </c>
      <c r="D389" s="29">
        <f>IFERROR(INDEX($Q$4:$Q$3183,MATCH(SMALL($V$4:$V$3183,386),$V$4:$V$3183,0)),"")</f>
        <v/>
      </c>
      <c r="E389" s="29">
        <f>IFERROR(INDEX($R$4:$R$3183,MATCH(SMALL($V$4:$V$3183,386),$V$4:$V$3183,0)),"")</f>
        <v/>
      </c>
      <c r="F389">
        <f>IFERROR(INDEX($S$4:$S$3183,MATCH(SMALL($V$4:$V$3183,386),$V$4:$V$3183,0)),"")</f>
        <v/>
      </c>
      <c r="I389" s="29">
        <f>IF($B389="","",IFERROR(INDEX($U$4:$U$3183,MATCH(SMALL($V$4:$V$3183,386),$V$4:$V$3183,0)),""))</f>
        <v/>
      </c>
      <c r="J389">
        <f>IF($B389="","",IF($D389&gt;$F$2,"À venir",IF($E389&lt;$D$2,"Passé","Dans la période")))</f>
        <v/>
      </c>
      <c r="K389">
        <f>IF(OR($B389="",NOT(ISNUMBER($D389))),"",IF(AND($E389&lt;$D$2,$G389&lt;&gt;"X",$F389&lt;&gt;"Réalisé",$F389&lt;&gt;"Clôturé"),"RETARD",""))</f>
        <v/>
      </c>
      <c r="L389">
        <f>IF(OR($B389="",NOT(ISNUMBER($D389))),"",IF(AND($D389&gt;=$D$2,$D389&lt;=$H$2,$G389&lt;&gt;"X",$F389&lt;&gt;"Réalisé",$F389&lt;&gt;"Clôturé"),"≤ 7 j",""))</f>
        <v/>
      </c>
      <c r="M389" s="29">
        <f>IF($B389="","",IFERROR(INDEX($T$4:$T$3183,MATCH(SMALL($V$4:$V$3183,386),$V$4:$V$3183,0)),""))</f>
        <v/>
      </c>
      <c r="O389">
        <f>IF(INDEX(Suivi!$B:$B,397)="","",INDEX(Suivi!$B:$B,397))</f>
        <v/>
      </c>
      <c r="P389">
        <f>IF($O389="","",IF(INDEX(Suivi!$D:$D,397)="",INDEX(Suivi!$C:$C,397),INDEX(Suivi!$D:$D,397)))</f>
        <v/>
      </c>
      <c r="Q389">
        <f>IF($O389="","",INDEX(Suivi!$E:$E,397))</f>
        <v/>
      </c>
      <c r="R389">
        <f>IF($O389="","",INDEX(Suivi!$F:$F,397))</f>
        <v/>
      </c>
      <c r="S389">
        <f>IF($O389="","",INDEX(Suivi!$G:$G,397))</f>
        <v/>
      </c>
      <c r="T389">
        <f>IF($O389="","",IF(INDEX(Dossiers!$F$4:$F$63,8)="","",INDEX(Dossiers!$F$4:$F$63,8)))</f>
        <v/>
      </c>
      <c r="U389">
        <f>IF($O389="","",IF(INDEX(Dossiers!$G$4:$G$63,8)="","",INDEX(Dossiers!$G$4:$G$63,8)))</f>
        <v/>
      </c>
      <c r="V389">
        <f>IF(OR($O389="",NOT(ISNUMBER($Q389))),"",$Q389*1000000+389)</f>
        <v/>
      </c>
      <c r="W389" s="29">
        <f>IF($B389="","",IFERROR(INDEX($U$4:$U$3183,MATCH(SMALL($V$4:$V$3183,386),$V$4:$V$3183,0)),""))</f>
        <v/>
      </c>
    </row>
    <row r="390">
      <c r="A390">
        <f>IFERROR(INDEX($N$4:$N$3183,MATCH(SMALL($V$4:$V$3183,387),$V$4:$V$3183,0)),"")</f>
        <v/>
      </c>
      <c r="B390">
        <f>IFERROR(INDEX($O$4:$O$3183,MATCH(SMALL($V$4:$V$3183,387),$V$4:$V$3183,0)),"")</f>
        <v/>
      </c>
      <c r="C390">
        <f>IFERROR(INDEX($P$4:$P$3183,MATCH(SMALL($V$4:$V$3183,387),$V$4:$V$3183,0)),"")</f>
        <v/>
      </c>
      <c r="D390" s="29">
        <f>IFERROR(INDEX($Q$4:$Q$3183,MATCH(SMALL($V$4:$V$3183,387),$V$4:$V$3183,0)),"")</f>
        <v/>
      </c>
      <c r="E390" s="29">
        <f>IFERROR(INDEX($R$4:$R$3183,MATCH(SMALL($V$4:$V$3183,387),$V$4:$V$3183,0)),"")</f>
        <v/>
      </c>
      <c r="F390">
        <f>IFERROR(INDEX($S$4:$S$3183,MATCH(SMALL($V$4:$V$3183,387),$V$4:$V$3183,0)),"")</f>
        <v/>
      </c>
      <c r="I390" s="29">
        <f>IF($B390="","",IFERROR(INDEX($U$4:$U$3183,MATCH(SMALL($V$4:$V$3183,387),$V$4:$V$3183,0)),""))</f>
        <v/>
      </c>
      <c r="J390">
        <f>IF($B390="","",IF($D390&gt;$F$2,"À venir",IF($E390&lt;$D$2,"Passé","Dans la période")))</f>
        <v/>
      </c>
      <c r="K390">
        <f>IF(OR($B390="",NOT(ISNUMBER($D390))),"",IF(AND($E390&lt;$D$2,$G390&lt;&gt;"X",$F390&lt;&gt;"Réalisé",$F390&lt;&gt;"Clôturé"),"RETARD",""))</f>
        <v/>
      </c>
      <c r="L390">
        <f>IF(OR($B390="",NOT(ISNUMBER($D390))),"",IF(AND($D390&gt;=$D$2,$D390&lt;=$H$2,$G390&lt;&gt;"X",$F390&lt;&gt;"Réalisé",$F390&lt;&gt;"Clôturé"),"≤ 7 j",""))</f>
        <v/>
      </c>
      <c r="M390" s="29">
        <f>IF($B390="","",IFERROR(INDEX($T$4:$T$3183,MATCH(SMALL($V$4:$V$3183,387),$V$4:$V$3183,0)),""))</f>
        <v/>
      </c>
      <c r="O390">
        <f>IF(INDEX(Suivi!$B:$B,398)="","",INDEX(Suivi!$B:$B,398))</f>
        <v/>
      </c>
      <c r="P390">
        <f>IF($O390="","",IF(INDEX(Suivi!$D:$D,398)="",INDEX(Suivi!$C:$C,398),INDEX(Suivi!$D:$D,398)))</f>
        <v/>
      </c>
      <c r="Q390">
        <f>IF($O390="","",INDEX(Suivi!$E:$E,398))</f>
        <v/>
      </c>
      <c r="R390">
        <f>IF($O390="","",INDEX(Suivi!$F:$F,398))</f>
        <v/>
      </c>
      <c r="S390">
        <f>IF($O390="","",INDEX(Suivi!$G:$G,398))</f>
        <v/>
      </c>
      <c r="T390">
        <f>IF($O390="","",IF(INDEX(Dossiers!$F$4:$F$63,8)="","",INDEX(Dossiers!$F$4:$F$63,8)))</f>
        <v/>
      </c>
      <c r="U390">
        <f>IF($O390="","",IF(INDEX(Dossiers!$G$4:$G$63,8)="","",INDEX(Dossiers!$G$4:$G$63,8)))</f>
        <v/>
      </c>
      <c r="V390">
        <f>IF(OR($O390="",NOT(ISNUMBER($Q390))),"",$Q390*1000000+390)</f>
        <v/>
      </c>
      <c r="W390" s="29">
        <f>IF($B390="","",IFERROR(INDEX($U$4:$U$3183,MATCH(SMALL($V$4:$V$3183,387),$V$4:$V$3183,0)),""))</f>
        <v/>
      </c>
    </row>
    <row r="391">
      <c r="A391">
        <f>IFERROR(INDEX($N$4:$N$3183,MATCH(SMALL($V$4:$V$3183,388),$V$4:$V$3183,0)),"")</f>
        <v/>
      </c>
      <c r="B391">
        <f>IFERROR(INDEX($O$4:$O$3183,MATCH(SMALL($V$4:$V$3183,388),$V$4:$V$3183,0)),"")</f>
        <v/>
      </c>
      <c r="C391">
        <f>IFERROR(INDEX($P$4:$P$3183,MATCH(SMALL($V$4:$V$3183,388),$V$4:$V$3183,0)),"")</f>
        <v/>
      </c>
      <c r="D391" s="29">
        <f>IFERROR(INDEX($Q$4:$Q$3183,MATCH(SMALL($V$4:$V$3183,388),$V$4:$V$3183,0)),"")</f>
        <v/>
      </c>
      <c r="E391" s="29">
        <f>IFERROR(INDEX($R$4:$R$3183,MATCH(SMALL($V$4:$V$3183,388),$V$4:$V$3183,0)),"")</f>
        <v/>
      </c>
      <c r="F391">
        <f>IFERROR(INDEX($S$4:$S$3183,MATCH(SMALL($V$4:$V$3183,388),$V$4:$V$3183,0)),"")</f>
        <v/>
      </c>
      <c r="I391" s="29">
        <f>IF($B391="","",IFERROR(INDEX($U$4:$U$3183,MATCH(SMALL($V$4:$V$3183,388),$V$4:$V$3183,0)),""))</f>
        <v/>
      </c>
      <c r="J391">
        <f>IF($B391="","",IF($D391&gt;$F$2,"À venir",IF($E391&lt;$D$2,"Passé","Dans la période")))</f>
        <v/>
      </c>
      <c r="K391">
        <f>IF(OR($B391="",NOT(ISNUMBER($D391))),"",IF(AND($E391&lt;$D$2,$G391&lt;&gt;"X",$F391&lt;&gt;"Réalisé",$F391&lt;&gt;"Clôturé"),"RETARD",""))</f>
        <v/>
      </c>
      <c r="L391">
        <f>IF(OR($B391="",NOT(ISNUMBER($D391))),"",IF(AND($D391&gt;=$D$2,$D391&lt;=$H$2,$G391&lt;&gt;"X",$F391&lt;&gt;"Réalisé",$F391&lt;&gt;"Clôturé"),"≤ 7 j",""))</f>
        <v/>
      </c>
      <c r="M391" s="29">
        <f>IF($B391="","",IFERROR(INDEX($T$4:$T$3183,MATCH(SMALL($V$4:$V$3183,388),$V$4:$V$3183,0)),""))</f>
        <v/>
      </c>
      <c r="O391">
        <f>IF(INDEX(Suivi!$B:$B,399)="","",INDEX(Suivi!$B:$B,399))</f>
        <v/>
      </c>
      <c r="P391">
        <f>IF($O391="","",IF(INDEX(Suivi!$D:$D,399)="",INDEX(Suivi!$C:$C,399),INDEX(Suivi!$D:$D,399)))</f>
        <v/>
      </c>
      <c r="Q391">
        <f>IF($O391="","",INDEX(Suivi!$E:$E,399))</f>
        <v/>
      </c>
      <c r="R391">
        <f>IF($O391="","",INDEX(Suivi!$F:$F,399))</f>
        <v/>
      </c>
      <c r="S391">
        <f>IF($O391="","",INDEX(Suivi!$G:$G,399))</f>
        <v/>
      </c>
      <c r="T391">
        <f>IF($O391="","",IF(INDEX(Dossiers!$F$4:$F$63,8)="","",INDEX(Dossiers!$F$4:$F$63,8)))</f>
        <v/>
      </c>
      <c r="U391">
        <f>IF($O391="","",IF(INDEX(Dossiers!$G$4:$G$63,8)="","",INDEX(Dossiers!$G$4:$G$63,8)))</f>
        <v/>
      </c>
      <c r="V391">
        <f>IF(OR($O391="",NOT(ISNUMBER($Q391))),"",$Q391*1000000+391)</f>
        <v/>
      </c>
      <c r="W391" s="29">
        <f>IF($B391="","",IFERROR(INDEX($U$4:$U$3183,MATCH(SMALL($V$4:$V$3183,388),$V$4:$V$3183,0)),""))</f>
        <v/>
      </c>
    </row>
    <row r="392">
      <c r="A392">
        <f>IFERROR(INDEX($N$4:$N$3183,MATCH(SMALL($V$4:$V$3183,389),$V$4:$V$3183,0)),"")</f>
        <v/>
      </c>
      <c r="B392">
        <f>IFERROR(INDEX($O$4:$O$3183,MATCH(SMALL($V$4:$V$3183,389),$V$4:$V$3183,0)),"")</f>
        <v/>
      </c>
      <c r="C392">
        <f>IFERROR(INDEX($P$4:$P$3183,MATCH(SMALL($V$4:$V$3183,389),$V$4:$V$3183,0)),"")</f>
        <v/>
      </c>
      <c r="D392" s="29">
        <f>IFERROR(INDEX($Q$4:$Q$3183,MATCH(SMALL($V$4:$V$3183,389),$V$4:$V$3183,0)),"")</f>
        <v/>
      </c>
      <c r="E392" s="29">
        <f>IFERROR(INDEX($R$4:$R$3183,MATCH(SMALL($V$4:$V$3183,389),$V$4:$V$3183,0)),"")</f>
        <v/>
      </c>
      <c r="F392">
        <f>IFERROR(INDEX($S$4:$S$3183,MATCH(SMALL($V$4:$V$3183,389),$V$4:$V$3183,0)),"")</f>
        <v/>
      </c>
      <c r="I392" s="29">
        <f>IF($B392="","",IFERROR(INDEX($U$4:$U$3183,MATCH(SMALL($V$4:$V$3183,389),$V$4:$V$3183,0)),""))</f>
        <v/>
      </c>
      <c r="J392">
        <f>IF($B392="","",IF($D392&gt;$F$2,"À venir",IF($E392&lt;$D$2,"Passé","Dans la période")))</f>
        <v/>
      </c>
      <c r="K392">
        <f>IF(OR($B392="",NOT(ISNUMBER($D392))),"",IF(AND($E392&lt;$D$2,$G392&lt;&gt;"X",$F392&lt;&gt;"Réalisé",$F392&lt;&gt;"Clôturé"),"RETARD",""))</f>
        <v/>
      </c>
      <c r="L392">
        <f>IF(OR($B392="",NOT(ISNUMBER($D392))),"",IF(AND($D392&gt;=$D$2,$D392&lt;=$H$2,$G392&lt;&gt;"X",$F392&lt;&gt;"Réalisé",$F392&lt;&gt;"Clôturé"),"≤ 7 j",""))</f>
        <v/>
      </c>
      <c r="M392" s="29">
        <f>IF($B392="","",IFERROR(INDEX($T$4:$T$3183,MATCH(SMALL($V$4:$V$3183,389),$V$4:$V$3183,0)),""))</f>
        <v/>
      </c>
      <c r="O392">
        <f>IF(INDEX(Suivi!$B:$B,400)="","",INDEX(Suivi!$B:$B,400))</f>
        <v/>
      </c>
      <c r="P392">
        <f>IF($O392="","",IF(INDEX(Suivi!$D:$D,400)="",INDEX(Suivi!$C:$C,400),INDEX(Suivi!$D:$D,400)))</f>
        <v/>
      </c>
      <c r="Q392">
        <f>IF($O392="","",INDEX(Suivi!$E:$E,400))</f>
        <v/>
      </c>
      <c r="R392">
        <f>IF($O392="","",INDEX(Suivi!$F:$F,400))</f>
        <v/>
      </c>
      <c r="S392">
        <f>IF($O392="","",INDEX(Suivi!$G:$G,400))</f>
        <v/>
      </c>
      <c r="T392">
        <f>IF($O392="","",IF(INDEX(Dossiers!$F$4:$F$63,8)="","",INDEX(Dossiers!$F$4:$F$63,8)))</f>
        <v/>
      </c>
      <c r="U392">
        <f>IF($O392="","",IF(INDEX(Dossiers!$G$4:$G$63,8)="","",INDEX(Dossiers!$G$4:$G$63,8)))</f>
        <v/>
      </c>
      <c r="V392">
        <f>IF(OR($O392="",NOT(ISNUMBER($Q392))),"",$Q392*1000000+392)</f>
        <v/>
      </c>
      <c r="W392" s="29">
        <f>IF($B392="","",IFERROR(INDEX($U$4:$U$3183,MATCH(SMALL($V$4:$V$3183,389),$V$4:$V$3183,0)),""))</f>
        <v/>
      </c>
    </row>
    <row r="393">
      <c r="A393">
        <f>IFERROR(INDEX($N$4:$N$3183,MATCH(SMALL($V$4:$V$3183,390),$V$4:$V$3183,0)),"")</f>
        <v/>
      </c>
      <c r="B393">
        <f>IFERROR(INDEX($O$4:$O$3183,MATCH(SMALL($V$4:$V$3183,390),$V$4:$V$3183,0)),"")</f>
        <v/>
      </c>
      <c r="C393">
        <f>IFERROR(INDEX($P$4:$P$3183,MATCH(SMALL($V$4:$V$3183,390),$V$4:$V$3183,0)),"")</f>
        <v/>
      </c>
      <c r="D393" s="29">
        <f>IFERROR(INDEX($Q$4:$Q$3183,MATCH(SMALL($V$4:$V$3183,390),$V$4:$V$3183,0)),"")</f>
        <v/>
      </c>
      <c r="E393" s="29">
        <f>IFERROR(INDEX($R$4:$R$3183,MATCH(SMALL($V$4:$V$3183,390),$V$4:$V$3183,0)),"")</f>
        <v/>
      </c>
      <c r="F393">
        <f>IFERROR(INDEX($S$4:$S$3183,MATCH(SMALL($V$4:$V$3183,390),$V$4:$V$3183,0)),"")</f>
        <v/>
      </c>
      <c r="I393" s="29">
        <f>IF($B393="","",IFERROR(INDEX($U$4:$U$3183,MATCH(SMALL($V$4:$V$3183,390),$V$4:$V$3183,0)),""))</f>
        <v/>
      </c>
      <c r="J393">
        <f>IF($B393="","",IF($D393&gt;$F$2,"À venir",IF($E393&lt;$D$2,"Passé","Dans la période")))</f>
        <v/>
      </c>
      <c r="K393">
        <f>IF(OR($B393="",NOT(ISNUMBER($D393))),"",IF(AND($E393&lt;$D$2,$G393&lt;&gt;"X",$F393&lt;&gt;"Réalisé",$F393&lt;&gt;"Clôturé"),"RETARD",""))</f>
        <v/>
      </c>
      <c r="L393">
        <f>IF(OR($B393="",NOT(ISNUMBER($D393))),"",IF(AND($D393&gt;=$D$2,$D393&lt;=$H$2,$G393&lt;&gt;"X",$F393&lt;&gt;"Réalisé",$F393&lt;&gt;"Clôturé"),"≤ 7 j",""))</f>
        <v/>
      </c>
      <c r="M393" s="29">
        <f>IF($B393="","",IFERROR(INDEX($T$4:$T$3183,MATCH(SMALL($V$4:$V$3183,390),$V$4:$V$3183,0)),""))</f>
        <v/>
      </c>
      <c r="O393">
        <f>IF(INDEX(Suivi!$B:$B,401)="","",INDEX(Suivi!$B:$B,401))</f>
        <v/>
      </c>
      <c r="P393">
        <f>IF($O393="","",IF(INDEX(Suivi!$D:$D,401)="",INDEX(Suivi!$C:$C,401),INDEX(Suivi!$D:$D,401)))</f>
        <v/>
      </c>
      <c r="Q393">
        <f>IF($O393="","",INDEX(Suivi!$E:$E,401))</f>
        <v/>
      </c>
      <c r="R393">
        <f>IF($O393="","",INDEX(Suivi!$F:$F,401))</f>
        <v/>
      </c>
      <c r="S393">
        <f>IF($O393="","",INDEX(Suivi!$G:$G,401))</f>
        <v/>
      </c>
      <c r="T393">
        <f>IF($O393="","",IF(INDEX(Dossiers!$F$4:$F$63,8)="","",INDEX(Dossiers!$F$4:$F$63,8)))</f>
        <v/>
      </c>
      <c r="U393">
        <f>IF($O393="","",IF(INDEX(Dossiers!$G$4:$G$63,8)="","",INDEX(Dossiers!$G$4:$G$63,8)))</f>
        <v/>
      </c>
      <c r="V393">
        <f>IF(OR($O393="",NOT(ISNUMBER($Q393))),"",$Q393*1000000+393)</f>
        <v/>
      </c>
      <c r="W393" s="29">
        <f>IF($B393="","",IFERROR(INDEX($U$4:$U$3183,MATCH(SMALL($V$4:$V$3183,390),$V$4:$V$3183,0)),""))</f>
        <v/>
      </c>
    </row>
    <row r="394">
      <c r="A394">
        <f>IFERROR(INDEX($N$4:$N$3183,MATCH(SMALL($V$4:$V$3183,391),$V$4:$V$3183,0)),"")</f>
        <v/>
      </c>
      <c r="B394">
        <f>IFERROR(INDEX($O$4:$O$3183,MATCH(SMALL($V$4:$V$3183,391),$V$4:$V$3183,0)),"")</f>
        <v/>
      </c>
      <c r="C394">
        <f>IFERROR(INDEX($P$4:$P$3183,MATCH(SMALL($V$4:$V$3183,391),$V$4:$V$3183,0)),"")</f>
        <v/>
      </c>
      <c r="D394" s="29">
        <f>IFERROR(INDEX($Q$4:$Q$3183,MATCH(SMALL($V$4:$V$3183,391),$V$4:$V$3183,0)),"")</f>
        <v/>
      </c>
      <c r="E394" s="29">
        <f>IFERROR(INDEX($R$4:$R$3183,MATCH(SMALL($V$4:$V$3183,391),$V$4:$V$3183,0)),"")</f>
        <v/>
      </c>
      <c r="F394">
        <f>IFERROR(INDEX($S$4:$S$3183,MATCH(SMALL($V$4:$V$3183,391),$V$4:$V$3183,0)),"")</f>
        <v/>
      </c>
      <c r="I394" s="29">
        <f>IF($B394="","",IFERROR(INDEX($U$4:$U$3183,MATCH(SMALL($V$4:$V$3183,391),$V$4:$V$3183,0)),""))</f>
        <v/>
      </c>
      <c r="J394">
        <f>IF($B394="","",IF($D394&gt;$F$2,"À venir",IF($E394&lt;$D$2,"Passé","Dans la période")))</f>
        <v/>
      </c>
      <c r="K394">
        <f>IF(OR($B394="",NOT(ISNUMBER($D394))),"",IF(AND($E394&lt;$D$2,$G394&lt;&gt;"X",$F394&lt;&gt;"Réalisé",$F394&lt;&gt;"Clôturé"),"RETARD",""))</f>
        <v/>
      </c>
      <c r="L394">
        <f>IF(OR($B394="",NOT(ISNUMBER($D394))),"",IF(AND($D394&gt;=$D$2,$D394&lt;=$H$2,$G394&lt;&gt;"X",$F394&lt;&gt;"Réalisé",$F394&lt;&gt;"Clôturé"),"≤ 7 j",""))</f>
        <v/>
      </c>
      <c r="M394" s="29">
        <f>IF($B394="","",IFERROR(INDEX($T$4:$T$3183,MATCH(SMALL($V$4:$V$3183,391),$V$4:$V$3183,0)),""))</f>
        <v/>
      </c>
      <c r="O394">
        <f>IF(INDEX(Suivi!$B:$B,402)="","",INDEX(Suivi!$B:$B,402))</f>
        <v/>
      </c>
      <c r="P394">
        <f>IF($O394="","",IF(INDEX(Suivi!$D:$D,402)="",INDEX(Suivi!$C:$C,402),INDEX(Suivi!$D:$D,402)))</f>
        <v/>
      </c>
      <c r="Q394">
        <f>IF($O394="","",INDEX(Suivi!$E:$E,402))</f>
        <v/>
      </c>
      <c r="R394">
        <f>IF($O394="","",INDEX(Suivi!$F:$F,402))</f>
        <v/>
      </c>
      <c r="S394">
        <f>IF($O394="","",INDEX(Suivi!$G:$G,402))</f>
        <v/>
      </c>
      <c r="T394">
        <f>IF($O394="","",IF(INDEX(Dossiers!$F$4:$F$63,8)="","",INDEX(Dossiers!$F$4:$F$63,8)))</f>
        <v/>
      </c>
      <c r="U394">
        <f>IF($O394="","",IF(INDEX(Dossiers!$G$4:$G$63,8)="","",INDEX(Dossiers!$G$4:$G$63,8)))</f>
        <v/>
      </c>
      <c r="V394">
        <f>IF(OR($O394="",NOT(ISNUMBER($Q394))),"",$Q394*1000000+394)</f>
        <v/>
      </c>
      <c r="W394" s="29">
        <f>IF($B394="","",IFERROR(INDEX($U$4:$U$3183,MATCH(SMALL($V$4:$V$3183,391),$V$4:$V$3183,0)),""))</f>
        <v/>
      </c>
    </row>
    <row r="395">
      <c r="A395">
        <f>IFERROR(INDEX($N$4:$N$3183,MATCH(SMALL($V$4:$V$3183,392),$V$4:$V$3183,0)),"")</f>
        <v/>
      </c>
      <c r="B395">
        <f>IFERROR(INDEX($O$4:$O$3183,MATCH(SMALL($V$4:$V$3183,392),$V$4:$V$3183,0)),"")</f>
        <v/>
      </c>
      <c r="C395">
        <f>IFERROR(INDEX($P$4:$P$3183,MATCH(SMALL($V$4:$V$3183,392),$V$4:$V$3183,0)),"")</f>
        <v/>
      </c>
      <c r="D395" s="29">
        <f>IFERROR(INDEX($Q$4:$Q$3183,MATCH(SMALL($V$4:$V$3183,392),$V$4:$V$3183,0)),"")</f>
        <v/>
      </c>
      <c r="E395" s="29">
        <f>IFERROR(INDEX($R$4:$R$3183,MATCH(SMALL($V$4:$V$3183,392),$V$4:$V$3183,0)),"")</f>
        <v/>
      </c>
      <c r="F395">
        <f>IFERROR(INDEX($S$4:$S$3183,MATCH(SMALL($V$4:$V$3183,392),$V$4:$V$3183,0)),"")</f>
        <v/>
      </c>
      <c r="I395" s="29">
        <f>IF($B395="","",IFERROR(INDEX($U$4:$U$3183,MATCH(SMALL($V$4:$V$3183,392),$V$4:$V$3183,0)),""))</f>
        <v/>
      </c>
      <c r="J395">
        <f>IF($B395="","",IF($D395&gt;$F$2,"À venir",IF($E395&lt;$D$2,"Passé","Dans la période")))</f>
        <v/>
      </c>
      <c r="K395">
        <f>IF(OR($B395="",NOT(ISNUMBER($D395))),"",IF(AND($E395&lt;$D$2,$G395&lt;&gt;"X",$F395&lt;&gt;"Réalisé",$F395&lt;&gt;"Clôturé"),"RETARD",""))</f>
        <v/>
      </c>
      <c r="L395">
        <f>IF(OR($B395="",NOT(ISNUMBER($D395))),"",IF(AND($D395&gt;=$D$2,$D395&lt;=$H$2,$G395&lt;&gt;"X",$F395&lt;&gt;"Réalisé",$F395&lt;&gt;"Clôturé"),"≤ 7 j",""))</f>
        <v/>
      </c>
      <c r="M395" s="29">
        <f>IF($B395="","",IFERROR(INDEX($T$4:$T$3183,MATCH(SMALL($V$4:$V$3183,392),$V$4:$V$3183,0)),""))</f>
        <v/>
      </c>
      <c r="O395">
        <f>IF(INDEX(Suivi!$B:$B,403)="","",INDEX(Suivi!$B:$B,403))</f>
        <v/>
      </c>
      <c r="P395">
        <f>IF($O395="","",IF(INDEX(Suivi!$D:$D,403)="",INDEX(Suivi!$C:$C,403),INDEX(Suivi!$D:$D,403)))</f>
        <v/>
      </c>
      <c r="Q395">
        <f>IF($O395="","",INDEX(Suivi!$E:$E,403))</f>
        <v/>
      </c>
      <c r="R395">
        <f>IF($O395="","",INDEX(Suivi!$F:$F,403))</f>
        <v/>
      </c>
      <c r="S395">
        <f>IF($O395="","",INDEX(Suivi!$G:$G,403))</f>
        <v/>
      </c>
      <c r="T395">
        <f>IF($O395="","",IF(INDEX(Dossiers!$F$4:$F$63,8)="","",INDEX(Dossiers!$F$4:$F$63,8)))</f>
        <v/>
      </c>
      <c r="U395">
        <f>IF($O395="","",IF(INDEX(Dossiers!$G$4:$G$63,8)="","",INDEX(Dossiers!$G$4:$G$63,8)))</f>
        <v/>
      </c>
      <c r="V395">
        <f>IF(OR($O395="",NOT(ISNUMBER($Q395))),"",$Q395*1000000+395)</f>
        <v/>
      </c>
      <c r="W395" s="29">
        <f>IF($B395="","",IFERROR(INDEX($U$4:$U$3183,MATCH(SMALL($V$4:$V$3183,392),$V$4:$V$3183,0)),""))</f>
        <v/>
      </c>
    </row>
    <row r="396">
      <c r="A396">
        <f>IFERROR(INDEX($N$4:$N$3183,MATCH(SMALL($V$4:$V$3183,393),$V$4:$V$3183,0)),"")</f>
        <v/>
      </c>
      <c r="B396">
        <f>IFERROR(INDEX($O$4:$O$3183,MATCH(SMALL($V$4:$V$3183,393),$V$4:$V$3183,0)),"")</f>
        <v/>
      </c>
      <c r="C396">
        <f>IFERROR(INDEX($P$4:$P$3183,MATCH(SMALL($V$4:$V$3183,393),$V$4:$V$3183,0)),"")</f>
        <v/>
      </c>
      <c r="D396" s="29">
        <f>IFERROR(INDEX($Q$4:$Q$3183,MATCH(SMALL($V$4:$V$3183,393),$V$4:$V$3183,0)),"")</f>
        <v/>
      </c>
      <c r="E396" s="29">
        <f>IFERROR(INDEX($R$4:$R$3183,MATCH(SMALL($V$4:$V$3183,393),$V$4:$V$3183,0)),"")</f>
        <v/>
      </c>
      <c r="F396">
        <f>IFERROR(INDEX($S$4:$S$3183,MATCH(SMALL($V$4:$V$3183,393),$V$4:$V$3183,0)),"")</f>
        <v/>
      </c>
      <c r="I396" s="29">
        <f>IF($B396="","",IFERROR(INDEX($U$4:$U$3183,MATCH(SMALL($V$4:$V$3183,393),$V$4:$V$3183,0)),""))</f>
        <v/>
      </c>
      <c r="J396">
        <f>IF($B396="","",IF($D396&gt;$F$2,"À venir",IF($E396&lt;$D$2,"Passé","Dans la période")))</f>
        <v/>
      </c>
      <c r="K396">
        <f>IF(OR($B396="",NOT(ISNUMBER($D396))),"",IF(AND($E396&lt;$D$2,$G396&lt;&gt;"X",$F396&lt;&gt;"Réalisé",$F396&lt;&gt;"Clôturé"),"RETARD",""))</f>
        <v/>
      </c>
      <c r="L396">
        <f>IF(OR($B396="",NOT(ISNUMBER($D396))),"",IF(AND($D396&gt;=$D$2,$D396&lt;=$H$2,$G396&lt;&gt;"X",$F396&lt;&gt;"Réalisé",$F396&lt;&gt;"Clôturé"),"≤ 7 j",""))</f>
        <v/>
      </c>
      <c r="M396" s="29">
        <f>IF($B396="","",IFERROR(INDEX($T$4:$T$3183,MATCH(SMALL($V$4:$V$3183,393),$V$4:$V$3183,0)),""))</f>
        <v/>
      </c>
      <c r="O396">
        <f>IF(INDEX(Suivi!$B:$B,404)="","",INDEX(Suivi!$B:$B,404))</f>
        <v/>
      </c>
      <c r="P396">
        <f>IF($O396="","",IF(INDEX(Suivi!$D:$D,404)="",INDEX(Suivi!$C:$C,404),INDEX(Suivi!$D:$D,404)))</f>
        <v/>
      </c>
      <c r="Q396">
        <f>IF($O396="","",INDEX(Suivi!$E:$E,404))</f>
        <v/>
      </c>
      <c r="R396">
        <f>IF($O396="","",INDEX(Suivi!$F:$F,404))</f>
        <v/>
      </c>
      <c r="S396">
        <f>IF($O396="","",INDEX(Suivi!$G:$G,404))</f>
        <v/>
      </c>
      <c r="T396">
        <f>IF($O396="","",IF(INDEX(Dossiers!$F$4:$F$63,8)="","",INDEX(Dossiers!$F$4:$F$63,8)))</f>
        <v/>
      </c>
      <c r="U396">
        <f>IF($O396="","",IF(INDEX(Dossiers!$G$4:$G$63,8)="","",INDEX(Dossiers!$G$4:$G$63,8)))</f>
        <v/>
      </c>
      <c r="V396">
        <f>IF(OR($O396="",NOT(ISNUMBER($Q396))),"",$Q396*1000000+396)</f>
        <v/>
      </c>
      <c r="W396" s="29">
        <f>IF($B396="","",IFERROR(INDEX($U$4:$U$3183,MATCH(SMALL($V$4:$V$3183,393),$V$4:$V$3183,0)),""))</f>
        <v/>
      </c>
    </row>
    <row r="397">
      <c r="A397">
        <f>IFERROR(INDEX($N$4:$N$3183,MATCH(SMALL($V$4:$V$3183,394),$V$4:$V$3183,0)),"")</f>
        <v/>
      </c>
      <c r="B397">
        <f>IFERROR(INDEX($O$4:$O$3183,MATCH(SMALL($V$4:$V$3183,394),$V$4:$V$3183,0)),"")</f>
        <v/>
      </c>
      <c r="C397">
        <f>IFERROR(INDEX($P$4:$P$3183,MATCH(SMALL($V$4:$V$3183,394),$V$4:$V$3183,0)),"")</f>
        <v/>
      </c>
      <c r="D397" s="29">
        <f>IFERROR(INDEX($Q$4:$Q$3183,MATCH(SMALL($V$4:$V$3183,394),$V$4:$V$3183,0)),"")</f>
        <v/>
      </c>
      <c r="E397" s="29">
        <f>IFERROR(INDEX($R$4:$R$3183,MATCH(SMALL($V$4:$V$3183,394),$V$4:$V$3183,0)),"")</f>
        <v/>
      </c>
      <c r="F397">
        <f>IFERROR(INDEX($S$4:$S$3183,MATCH(SMALL($V$4:$V$3183,394),$V$4:$V$3183,0)),"")</f>
        <v/>
      </c>
      <c r="I397" s="29">
        <f>IF($B397="","",IFERROR(INDEX($U$4:$U$3183,MATCH(SMALL($V$4:$V$3183,394),$V$4:$V$3183,0)),""))</f>
        <v/>
      </c>
      <c r="J397">
        <f>IF($B397="","",IF($D397&gt;$F$2,"À venir",IF($E397&lt;$D$2,"Passé","Dans la période")))</f>
        <v/>
      </c>
      <c r="K397">
        <f>IF(OR($B397="",NOT(ISNUMBER($D397))),"",IF(AND($E397&lt;$D$2,$G397&lt;&gt;"X",$F397&lt;&gt;"Réalisé",$F397&lt;&gt;"Clôturé"),"RETARD",""))</f>
        <v/>
      </c>
      <c r="L397">
        <f>IF(OR($B397="",NOT(ISNUMBER($D397))),"",IF(AND($D397&gt;=$D$2,$D397&lt;=$H$2,$G397&lt;&gt;"X",$F397&lt;&gt;"Réalisé",$F397&lt;&gt;"Clôturé"),"≤ 7 j",""))</f>
        <v/>
      </c>
      <c r="M397" s="29">
        <f>IF($B397="","",IFERROR(INDEX($T$4:$T$3183,MATCH(SMALL($V$4:$V$3183,394),$V$4:$V$3183,0)),""))</f>
        <v/>
      </c>
      <c r="O397">
        <f>IF(INDEX(Suivi!$B:$B,405)="","",INDEX(Suivi!$B:$B,405))</f>
        <v/>
      </c>
      <c r="P397">
        <f>IF($O397="","",IF(INDEX(Suivi!$D:$D,405)="",INDEX(Suivi!$C:$C,405),INDEX(Suivi!$D:$D,405)))</f>
        <v/>
      </c>
      <c r="Q397">
        <f>IF($O397="","",INDEX(Suivi!$E:$E,405))</f>
        <v/>
      </c>
      <c r="R397">
        <f>IF($O397="","",INDEX(Suivi!$F:$F,405))</f>
        <v/>
      </c>
      <c r="S397">
        <f>IF($O397="","",INDEX(Suivi!$G:$G,405))</f>
        <v/>
      </c>
      <c r="T397">
        <f>IF($O397="","",IF(INDEX(Dossiers!$F$4:$F$63,8)="","",INDEX(Dossiers!$F$4:$F$63,8)))</f>
        <v/>
      </c>
      <c r="U397">
        <f>IF($O397="","",IF(INDEX(Dossiers!$G$4:$G$63,8)="","",INDEX(Dossiers!$G$4:$G$63,8)))</f>
        <v/>
      </c>
      <c r="V397">
        <f>IF(OR($O397="",NOT(ISNUMBER($Q397))),"",$Q397*1000000+397)</f>
        <v/>
      </c>
      <c r="W397" s="29">
        <f>IF($B397="","",IFERROR(INDEX($U$4:$U$3183,MATCH(SMALL($V$4:$V$3183,394),$V$4:$V$3183,0)),""))</f>
        <v/>
      </c>
    </row>
    <row r="398">
      <c r="A398">
        <f>IFERROR(INDEX($N$4:$N$3183,MATCH(SMALL($V$4:$V$3183,395),$V$4:$V$3183,0)),"")</f>
        <v/>
      </c>
      <c r="B398">
        <f>IFERROR(INDEX($O$4:$O$3183,MATCH(SMALL($V$4:$V$3183,395),$V$4:$V$3183,0)),"")</f>
        <v/>
      </c>
      <c r="C398">
        <f>IFERROR(INDEX($P$4:$P$3183,MATCH(SMALL($V$4:$V$3183,395),$V$4:$V$3183,0)),"")</f>
        <v/>
      </c>
      <c r="D398" s="29">
        <f>IFERROR(INDEX($Q$4:$Q$3183,MATCH(SMALL($V$4:$V$3183,395),$V$4:$V$3183,0)),"")</f>
        <v/>
      </c>
      <c r="E398" s="29">
        <f>IFERROR(INDEX($R$4:$R$3183,MATCH(SMALL($V$4:$V$3183,395),$V$4:$V$3183,0)),"")</f>
        <v/>
      </c>
      <c r="F398">
        <f>IFERROR(INDEX($S$4:$S$3183,MATCH(SMALL($V$4:$V$3183,395),$V$4:$V$3183,0)),"")</f>
        <v/>
      </c>
      <c r="I398" s="29">
        <f>IF($B398="","",IFERROR(INDEX($U$4:$U$3183,MATCH(SMALL($V$4:$V$3183,395),$V$4:$V$3183,0)),""))</f>
        <v/>
      </c>
      <c r="J398">
        <f>IF($B398="","",IF($D398&gt;$F$2,"À venir",IF($E398&lt;$D$2,"Passé","Dans la période")))</f>
        <v/>
      </c>
      <c r="K398">
        <f>IF(OR($B398="",NOT(ISNUMBER($D398))),"",IF(AND($E398&lt;$D$2,$G398&lt;&gt;"X",$F398&lt;&gt;"Réalisé",$F398&lt;&gt;"Clôturé"),"RETARD",""))</f>
        <v/>
      </c>
      <c r="L398">
        <f>IF(OR($B398="",NOT(ISNUMBER($D398))),"",IF(AND($D398&gt;=$D$2,$D398&lt;=$H$2,$G398&lt;&gt;"X",$F398&lt;&gt;"Réalisé",$F398&lt;&gt;"Clôturé"),"≤ 7 j",""))</f>
        <v/>
      </c>
      <c r="M398" s="29">
        <f>IF($B398="","",IFERROR(INDEX($T$4:$T$3183,MATCH(SMALL($V$4:$V$3183,395),$V$4:$V$3183,0)),""))</f>
        <v/>
      </c>
      <c r="O398">
        <f>IF(INDEX(Suivi!$B:$B,406)="","",INDEX(Suivi!$B:$B,406))</f>
        <v/>
      </c>
      <c r="P398">
        <f>IF($O398="","",IF(INDEX(Suivi!$D:$D,406)="",INDEX(Suivi!$C:$C,406),INDEX(Suivi!$D:$D,406)))</f>
        <v/>
      </c>
      <c r="Q398">
        <f>IF($O398="","",INDEX(Suivi!$E:$E,406))</f>
        <v/>
      </c>
      <c r="R398">
        <f>IF($O398="","",INDEX(Suivi!$F:$F,406))</f>
        <v/>
      </c>
      <c r="S398">
        <f>IF($O398="","",INDEX(Suivi!$G:$G,406))</f>
        <v/>
      </c>
      <c r="T398">
        <f>IF($O398="","",IF(INDEX(Dossiers!$F$4:$F$63,8)="","",INDEX(Dossiers!$F$4:$F$63,8)))</f>
        <v/>
      </c>
      <c r="U398">
        <f>IF($O398="","",IF(INDEX(Dossiers!$G$4:$G$63,8)="","",INDEX(Dossiers!$G$4:$G$63,8)))</f>
        <v/>
      </c>
      <c r="V398">
        <f>IF(OR($O398="",NOT(ISNUMBER($Q398))),"",$Q398*1000000+398)</f>
        <v/>
      </c>
      <c r="W398" s="29">
        <f>IF($B398="","",IFERROR(INDEX($U$4:$U$3183,MATCH(SMALL($V$4:$V$3183,395),$V$4:$V$3183,0)),""))</f>
        <v/>
      </c>
    </row>
    <row r="399">
      <c r="A399">
        <f>IFERROR(INDEX($N$4:$N$3183,MATCH(SMALL($V$4:$V$3183,396),$V$4:$V$3183,0)),"")</f>
        <v/>
      </c>
      <c r="B399">
        <f>IFERROR(INDEX($O$4:$O$3183,MATCH(SMALL($V$4:$V$3183,396),$V$4:$V$3183,0)),"")</f>
        <v/>
      </c>
      <c r="C399">
        <f>IFERROR(INDEX($P$4:$P$3183,MATCH(SMALL($V$4:$V$3183,396),$V$4:$V$3183,0)),"")</f>
        <v/>
      </c>
      <c r="D399" s="29">
        <f>IFERROR(INDEX($Q$4:$Q$3183,MATCH(SMALL($V$4:$V$3183,396),$V$4:$V$3183,0)),"")</f>
        <v/>
      </c>
      <c r="E399" s="29">
        <f>IFERROR(INDEX($R$4:$R$3183,MATCH(SMALL($V$4:$V$3183,396),$V$4:$V$3183,0)),"")</f>
        <v/>
      </c>
      <c r="F399">
        <f>IFERROR(INDEX($S$4:$S$3183,MATCH(SMALL($V$4:$V$3183,396),$V$4:$V$3183,0)),"")</f>
        <v/>
      </c>
      <c r="I399" s="29">
        <f>IF($B399="","",IFERROR(INDEX($U$4:$U$3183,MATCH(SMALL($V$4:$V$3183,396),$V$4:$V$3183,0)),""))</f>
        <v/>
      </c>
      <c r="J399">
        <f>IF($B399="","",IF($D399&gt;$F$2,"À venir",IF($E399&lt;$D$2,"Passé","Dans la période")))</f>
        <v/>
      </c>
      <c r="K399">
        <f>IF(OR($B399="",NOT(ISNUMBER($D399))),"",IF(AND($E399&lt;$D$2,$G399&lt;&gt;"X",$F399&lt;&gt;"Réalisé",$F399&lt;&gt;"Clôturé"),"RETARD",""))</f>
        <v/>
      </c>
      <c r="L399">
        <f>IF(OR($B399="",NOT(ISNUMBER($D399))),"",IF(AND($D399&gt;=$D$2,$D399&lt;=$H$2,$G399&lt;&gt;"X",$F399&lt;&gt;"Réalisé",$F399&lt;&gt;"Clôturé"),"≤ 7 j",""))</f>
        <v/>
      </c>
      <c r="M399" s="29">
        <f>IF($B399="","",IFERROR(INDEX($T$4:$T$3183,MATCH(SMALL($V$4:$V$3183,396),$V$4:$V$3183,0)),""))</f>
        <v/>
      </c>
      <c r="O399">
        <f>IF(INDEX(Suivi!$B:$B,407)="","",INDEX(Suivi!$B:$B,407))</f>
        <v/>
      </c>
      <c r="P399">
        <f>IF($O399="","",IF(INDEX(Suivi!$D:$D,407)="",INDEX(Suivi!$C:$C,407),INDEX(Suivi!$D:$D,407)))</f>
        <v/>
      </c>
      <c r="Q399">
        <f>IF($O399="","",INDEX(Suivi!$E:$E,407))</f>
        <v/>
      </c>
      <c r="R399">
        <f>IF($O399="","",INDEX(Suivi!$F:$F,407))</f>
        <v/>
      </c>
      <c r="S399">
        <f>IF($O399="","",INDEX(Suivi!$G:$G,407))</f>
        <v/>
      </c>
      <c r="T399">
        <f>IF($O399="","",IF(INDEX(Dossiers!$F$4:$F$63,8)="","",INDEX(Dossiers!$F$4:$F$63,8)))</f>
        <v/>
      </c>
      <c r="U399">
        <f>IF($O399="","",IF(INDEX(Dossiers!$G$4:$G$63,8)="","",INDEX(Dossiers!$G$4:$G$63,8)))</f>
        <v/>
      </c>
      <c r="V399">
        <f>IF(OR($O399="",NOT(ISNUMBER($Q399))),"",$Q399*1000000+399)</f>
        <v/>
      </c>
      <c r="W399" s="29">
        <f>IF($B399="","",IFERROR(INDEX($U$4:$U$3183,MATCH(SMALL($V$4:$V$3183,396),$V$4:$V$3183,0)),""))</f>
        <v/>
      </c>
    </row>
    <row r="400">
      <c r="A400">
        <f>IFERROR(INDEX($N$4:$N$3183,MATCH(SMALL($V$4:$V$3183,397),$V$4:$V$3183,0)),"")</f>
        <v/>
      </c>
      <c r="B400">
        <f>IFERROR(INDEX($O$4:$O$3183,MATCH(SMALL($V$4:$V$3183,397),$V$4:$V$3183,0)),"")</f>
        <v/>
      </c>
      <c r="C400">
        <f>IFERROR(INDEX($P$4:$P$3183,MATCH(SMALL($V$4:$V$3183,397),$V$4:$V$3183,0)),"")</f>
        <v/>
      </c>
      <c r="D400" s="29">
        <f>IFERROR(INDEX($Q$4:$Q$3183,MATCH(SMALL($V$4:$V$3183,397),$V$4:$V$3183,0)),"")</f>
        <v/>
      </c>
      <c r="E400" s="29">
        <f>IFERROR(INDEX($R$4:$R$3183,MATCH(SMALL($V$4:$V$3183,397),$V$4:$V$3183,0)),"")</f>
        <v/>
      </c>
      <c r="F400">
        <f>IFERROR(INDEX($S$4:$S$3183,MATCH(SMALL($V$4:$V$3183,397),$V$4:$V$3183,0)),"")</f>
        <v/>
      </c>
      <c r="I400" s="29">
        <f>IF($B400="","",IFERROR(INDEX($U$4:$U$3183,MATCH(SMALL($V$4:$V$3183,397),$V$4:$V$3183,0)),""))</f>
        <v/>
      </c>
      <c r="J400">
        <f>IF($B400="","",IF($D400&gt;$F$2,"À venir",IF($E400&lt;$D$2,"Passé","Dans la période")))</f>
        <v/>
      </c>
      <c r="K400">
        <f>IF(OR($B400="",NOT(ISNUMBER($D400))),"",IF(AND($E400&lt;$D$2,$G400&lt;&gt;"X",$F400&lt;&gt;"Réalisé",$F400&lt;&gt;"Clôturé"),"RETARD",""))</f>
        <v/>
      </c>
      <c r="L400">
        <f>IF(OR($B400="",NOT(ISNUMBER($D400))),"",IF(AND($D400&gt;=$D$2,$D400&lt;=$H$2,$G400&lt;&gt;"X",$F400&lt;&gt;"Réalisé",$F400&lt;&gt;"Clôturé"),"≤ 7 j",""))</f>
        <v/>
      </c>
      <c r="M400" s="29">
        <f>IF($B400="","",IFERROR(INDEX($T$4:$T$3183,MATCH(SMALL($V$4:$V$3183,397),$V$4:$V$3183,0)),""))</f>
        <v/>
      </c>
      <c r="O400">
        <f>IF(INDEX(Suivi!$B:$B,408)="","",INDEX(Suivi!$B:$B,408))</f>
        <v/>
      </c>
      <c r="P400">
        <f>IF($O400="","",IF(INDEX(Suivi!$D:$D,408)="",INDEX(Suivi!$C:$C,408),INDEX(Suivi!$D:$D,408)))</f>
        <v/>
      </c>
      <c r="Q400">
        <f>IF($O400="","",INDEX(Suivi!$E:$E,408))</f>
        <v/>
      </c>
      <c r="R400">
        <f>IF($O400="","",INDEX(Suivi!$F:$F,408))</f>
        <v/>
      </c>
      <c r="S400">
        <f>IF($O400="","",INDEX(Suivi!$G:$G,408))</f>
        <v/>
      </c>
      <c r="T400">
        <f>IF($O400="","",IF(INDEX(Dossiers!$F$4:$F$63,8)="","",INDEX(Dossiers!$F$4:$F$63,8)))</f>
        <v/>
      </c>
      <c r="U400">
        <f>IF($O400="","",IF(INDEX(Dossiers!$G$4:$G$63,8)="","",INDEX(Dossiers!$G$4:$G$63,8)))</f>
        <v/>
      </c>
      <c r="V400">
        <f>IF(OR($O400="",NOT(ISNUMBER($Q400))),"",$Q400*1000000+400)</f>
        <v/>
      </c>
      <c r="W400" s="29">
        <f>IF($B400="","",IFERROR(INDEX($U$4:$U$3183,MATCH(SMALL($V$4:$V$3183,397),$V$4:$V$3183,0)),""))</f>
        <v/>
      </c>
    </row>
    <row r="401">
      <c r="A401">
        <f>IFERROR(INDEX($N$4:$N$3183,MATCH(SMALL($V$4:$V$3183,398),$V$4:$V$3183,0)),"")</f>
        <v/>
      </c>
      <c r="B401">
        <f>IFERROR(INDEX($O$4:$O$3183,MATCH(SMALL($V$4:$V$3183,398),$V$4:$V$3183,0)),"")</f>
        <v/>
      </c>
      <c r="C401">
        <f>IFERROR(INDEX($P$4:$P$3183,MATCH(SMALL($V$4:$V$3183,398),$V$4:$V$3183,0)),"")</f>
        <v/>
      </c>
      <c r="D401" s="29">
        <f>IFERROR(INDEX($Q$4:$Q$3183,MATCH(SMALL($V$4:$V$3183,398),$V$4:$V$3183,0)),"")</f>
        <v/>
      </c>
      <c r="E401" s="29">
        <f>IFERROR(INDEX($R$4:$R$3183,MATCH(SMALL($V$4:$V$3183,398),$V$4:$V$3183,0)),"")</f>
        <v/>
      </c>
      <c r="F401">
        <f>IFERROR(INDEX($S$4:$S$3183,MATCH(SMALL($V$4:$V$3183,398),$V$4:$V$3183,0)),"")</f>
        <v/>
      </c>
      <c r="I401" s="29">
        <f>IF($B401="","",IFERROR(INDEX($U$4:$U$3183,MATCH(SMALL($V$4:$V$3183,398),$V$4:$V$3183,0)),""))</f>
        <v/>
      </c>
      <c r="J401">
        <f>IF($B401="","",IF($D401&gt;$F$2,"À venir",IF($E401&lt;$D$2,"Passé","Dans la période")))</f>
        <v/>
      </c>
      <c r="K401">
        <f>IF(OR($B401="",NOT(ISNUMBER($D401))),"",IF(AND($E401&lt;$D$2,$G401&lt;&gt;"X",$F401&lt;&gt;"Réalisé",$F401&lt;&gt;"Clôturé"),"RETARD",""))</f>
        <v/>
      </c>
      <c r="L401">
        <f>IF(OR($B401="",NOT(ISNUMBER($D401))),"",IF(AND($D401&gt;=$D$2,$D401&lt;=$H$2,$G401&lt;&gt;"X",$F401&lt;&gt;"Réalisé",$F401&lt;&gt;"Clôturé"),"≤ 7 j",""))</f>
        <v/>
      </c>
      <c r="M401" s="29">
        <f>IF($B401="","",IFERROR(INDEX($T$4:$T$3183,MATCH(SMALL($V$4:$V$3183,398),$V$4:$V$3183,0)),""))</f>
        <v/>
      </c>
      <c r="O401">
        <f>IF(INDEX(Suivi!$B:$B,409)="","",INDEX(Suivi!$B:$B,409))</f>
        <v/>
      </c>
      <c r="P401">
        <f>IF($O401="","",IF(INDEX(Suivi!$D:$D,409)="",INDEX(Suivi!$C:$C,409),INDEX(Suivi!$D:$D,409)))</f>
        <v/>
      </c>
      <c r="Q401">
        <f>IF($O401="","",INDEX(Suivi!$E:$E,409))</f>
        <v/>
      </c>
      <c r="R401">
        <f>IF($O401="","",INDEX(Suivi!$F:$F,409))</f>
        <v/>
      </c>
      <c r="S401">
        <f>IF($O401="","",INDEX(Suivi!$G:$G,409))</f>
        <v/>
      </c>
      <c r="T401">
        <f>IF($O401="","",IF(INDEX(Dossiers!$F$4:$F$63,8)="","",INDEX(Dossiers!$F$4:$F$63,8)))</f>
        <v/>
      </c>
      <c r="U401">
        <f>IF($O401="","",IF(INDEX(Dossiers!$G$4:$G$63,8)="","",INDEX(Dossiers!$G$4:$G$63,8)))</f>
        <v/>
      </c>
      <c r="V401">
        <f>IF(OR($O401="",NOT(ISNUMBER($Q401))),"",$Q401*1000000+401)</f>
        <v/>
      </c>
      <c r="W401" s="29">
        <f>IF($B401="","",IFERROR(INDEX($U$4:$U$3183,MATCH(SMALL($V$4:$V$3183,398),$V$4:$V$3183,0)),""))</f>
        <v/>
      </c>
    </row>
    <row r="402">
      <c r="A402">
        <f>IFERROR(INDEX($N$4:$N$3183,MATCH(SMALL($V$4:$V$3183,399),$V$4:$V$3183,0)),"")</f>
        <v/>
      </c>
      <c r="B402">
        <f>IFERROR(INDEX($O$4:$O$3183,MATCH(SMALL($V$4:$V$3183,399),$V$4:$V$3183,0)),"")</f>
        <v/>
      </c>
      <c r="C402">
        <f>IFERROR(INDEX($P$4:$P$3183,MATCH(SMALL($V$4:$V$3183,399),$V$4:$V$3183,0)),"")</f>
        <v/>
      </c>
      <c r="D402" s="29">
        <f>IFERROR(INDEX($Q$4:$Q$3183,MATCH(SMALL($V$4:$V$3183,399),$V$4:$V$3183,0)),"")</f>
        <v/>
      </c>
      <c r="E402" s="29">
        <f>IFERROR(INDEX($R$4:$R$3183,MATCH(SMALL($V$4:$V$3183,399),$V$4:$V$3183,0)),"")</f>
        <v/>
      </c>
      <c r="F402">
        <f>IFERROR(INDEX($S$4:$S$3183,MATCH(SMALL($V$4:$V$3183,399),$V$4:$V$3183,0)),"")</f>
        <v/>
      </c>
      <c r="I402" s="29">
        <f>IF($B402="","",IFERROR(INDEX($U$4:$U$3183,MATCH(SMALL($V$4:$V$3183,399),$V$4:$V$3183,0)),""))</f>
        <v/>
      </c>
      <c r="J402">
        <f>IF($B402="","",IF($D402&gt;$F$2,"À venir",IF($E402&lt;$D$2,"Passé","Dans la période")))</f>
        <v/>
      </c>
      <c r="K402">
        <f>IF(OR($B402="",NOT(ISNUMBER($D402))),"",IF(AND($E402&lt;$D$2,$G402&lt;&gt;"X",$F402&lt;&gt;"Réalisé",$F402&lt;&gt;"Clôturé"),"RETARD",""))</f>
        <v/>
      </c>
      <c r="L402">
        <f>IF(OR($B402="",NOT(ISNUMBER($D402))),"",IF(AND($D402&gt;=$D$2,$D402&lt;=$H$2,$G402&lt;&gt;"X",$F402&lt;&gt;"Réalisé",$F402&lt;&gt;"Clôturé"),"≤ 7 j",""))</f>
        <v/>
      </c>
      <c r="M402" s="29">
        <f>IF($B402="","",IFERROR(INDEX($T$4:$T$3183,MATCH(SMALL($V$4:$V$3183,399),$V$4:$V$3183,0)),""))</f>
        <v/>
      </c>
      <c r="O402">
        <f>IF(INDEX(Suivi!$B:$B,410)="","",INDEX(Suivi!$B:$B,410))</f>
        <v/>
      </c>
      <c r="P402">
        <f>IF($O402="","",IF(INDEX(Suivi!$D:$D,410)="",INDEX(Suivi!$C:$C,410),INDEX(Suivi!$D:$D,410)))</f>
        <v/>
      </c>
      <c r="Q402">
        <f>IF($O402="","",INDEX(Suivi!$E:$E,410))</f>
        <v/>
      </c>
      <c r="R402">
        <f>IF($O402="","",INDEX(Suivi!$F:$F,410))</f>
        <v/>
      </c>
      <c r="S402">
        <f>IF($O402="","",INDEX(Suivi!$G:$G,410))</f>
        <v/>
      </c>
      <c r="T402">
        <f>IF($O402="","",IF(INDEX(Dossiers!$F$4:$F$63,8)="","",INDEX(Dossiers!$F$4:$F$63,8)))</f>
        <v/>
      </c>
      <c r="U402">
        <f>IF($O402="","",IF(INDEX(Dossiers!$G$4:$G$63,8)="","",INDEX(Dossiers!$G$4:$G$63,8)))</f>
        <v/>
      </c>
      <c r="V402">
        <f>IF(OR($O402="",NOT(ISNUMBER($Q402))),"",$Q402*1000000+402)</f>
        <v/>
      </c>
      <c r="W402" s="29">
        <f>IF($B402="","",IFERROR(INDEX($U$4:$U$3183,MATCH(SMALL($V$4:$V$3183,399),$V$4:$V$3183,0)),""))</f>
        <v/>
      </c>
    </row>
    <row r="403">
      <c r="A403">
        <f>IFERROR(INDEX($N$4:$N$3183,MATCH(SMALL($V$4:$V$3183,400),$V$4:$V$3183,0)),"")</f>
        <v/>
      </c>
      <c r="B403">
        <f>IFERROR(INDEX($O$4:$O$3183,MATCH(SMALL($V$4:$V$3183,400),$V$4:$V$3183,0)),"")</f>
        <v/>
      </c>
      <c r="C403">
        <f>IFERROR(INDEX($P$4:$P$3183,MATCH(SMALL($V$4:$V$3183,400),$V$4:$V$3183,0)),"")</f>
        <v/>
      </c>
      <c r="D403" s="29">
        <f>IFERROR(INDEX($Q$4:$Q$3183,MATCH(SMALL($V$4:$V$3183,400),$V$4:$V$3183,0)),"")</f>
        <v/>
      </c>
      <c r="E403" s="29">
        <f>IFERROR(INDEX($R$4:$R$3183,MATCH(SMALL($V$4:$V$3183,400),$V$4:$V$3183,0)),"")</f>
        <v/>
      </c>
      <c r="F403">
        <f>IFERROR(INDEX($S$4:$S$3183,MATCH(SMALL($V$4:$V$3183,400),$V$4:$V$3183,0)),"")</f>
        <v/>
      </c>
      <c r="I403" s="29">
        <f>IF($B403="","",IFERROR(INDEX($U$4:$U$3183,MATCH(SMALL($V$4:$V$3183,400),$V$4:$V$3183,0)),""))</f>
        <v/>
      </c>
      <c r="J403">
        <f>IF($B403="","",IF($D403&gt;$F$2,"À venir",IF($E403&lt;$D$2,"Passé","Dans la période")))</f>
        <v/>
      </c>
      <c r="K403">
        <f>IF(OR($B403="",NOT(ISNUMBER($D403))),"",IF(AND($E403&lt;$D$2,$G403&lt;&gt;"X",$F403&lt;&gt;"Réalisé",$F403&lt;&gt;"Clôturé"),"RETARD",""))</f>
        <v/>
      </c>
      <c r="L403">
        <f>IF(OR($B403="",NOT(ISNUMBER($D403))),"",IF(AND($D403&gt;=$D$2,$D403&lt;=$H$2,$G403&lt;&gt;"X",$F403&lt;&gt;"Réalisé",$F403&lt;&gt;"Clôturé"),"≤ 7 j",""))</f>
        <v/>
      </c>
      <c r="M403" s="29">
        <f>IF($B403="","",IFERROR(INDEX($T$4:$T$3183,MATCH(SMALL($V$4:$V$3183,400),$V$4:$V$3183,0)),""))</f>
        <v/>
      </c>
      <c r="O403">
        <f>IF(INDEX(Suivi!$B:$B,411)="","",INDEX(Suivi!$B:$B,411))</f>
        <v/>
      </c>
      <c r="P403">
        <f>IF($O403="","",IF(INDEX(Suivi!$D:$D,411)="",INDEX(Suivi!$C:$C,411),INDEX(Suivi!$D:$D,411)))</f>
        <v/>
      </c>
      <c r="Q403">
        <f>IF($O403="","",INDEX(Suivi!$E:$E,411))</f>
        <v/>
      </c>
      <c r="R403">
        <f>IF($O403="","",INDEX(Suivi!$F:$F,411))</f>
        <v/>
      </c>
      <c r="S403">
        <f>IF($O403="","",INDEX(Suivi!$G:$G,411))</f>
        <v/>
      </c>
      <c r="T403">
        <f>IF($O403="","",IF(INDEX(Dossiers!$F$4:$F$63,8)="","",INDEX(Dossiers!$F$4:$F$63,8)))</f>
        <v/>
      </c>
      <c r="U403">
        <f>IF($O403="","",IF(INDEX(Dossiers!$G$4:$G$63,8)="","",INDEX(Dossiers!$G$4:$G$63,8)))</f>
        <v/>
      </c>
      <c r="V403">
        <f>IF(OR($O403="",NOT(ISNUMBER($Q403))),"",$Q403*1000000+403)</f>
        <v/>
      </c>
      <c r="W403" s="29">
        <f>IF($B403="","",IFERROR(INDEX($U$4:$U$3183,MATCH(SMALL($V$4:$V$3183,400),$V$4:$V$3183,0)),""))</f>
        <v/>
      </c>
    </row>
    <row r="404">
      <c r="A404">
        <f>IFERROR(INDEX($N$4:$N$3183,MATCH(SMALL($V$4:$V$3183,401),$V$4:$V$3183,0)),"")</f>
        <v/>
      </c>
      <c r="B404">
        <f>IFERROR(INDEX($O$4:$O$3183,MATCH(SMALL($V$4:$V$3183,401),$V$4:$V$3183,0)),"")</f>
        <v/>
      </c>
      <c r="C404">
        <f>IFERROR(INDEX($P$4:$P$3183,MATCH(SMALL($V$4:$V$3183,401),$V$4:$V$3183,0)),"")</f>
        <v/>
      </c>
      <c r="D404" s="29">
        <f>IFERROR(INDEX($Q$4:$Q$3183,MATCH(SMALL($V$4:$V$3183,401),$V$4:$V$3183,0)),"")</f>
        <v/>
      </c>
      <c r="E404" s="29">
        <f>IFERROR(INDEX($R$4:$R$3183,MATCH(SMALL($V$4:$V$3183,401),$V$4:$V$3183,0)),"")</f>
        <v/>
      </c>
      <c r="F404">
        <f>IFERROR(INDEX($S$4:$S$3183,MATCH(SMALL($V$4:$V$3183,401),$V$4:$V$3183,0)),"")</f>
        <v/>
      </c>
      <c r="I404" s="29">
        <f>IF($B404="","",IFERROR(INDEX($U$4:$U$3183,MATCH(SMALL($V$4:$V$3183,401),$V$4:$V$3183,0)),""))</f>
        <v/>
      </c>
      <c r="J404">
        <f>IF($B404="","",IF($D404&gt;$F$2,"À venir",IF($E404&lt;$D$2,"Passé","Dans la période")))</f>
        <v/>
      </c>
      <c r="K404">
        <f>IF(OR($B404="",NOT(ISNUMBER($D404))),"",IF(AND($E404&lt;$D$2,$G404&lt;&gt;"X",$F404&lt;&gt;"Réalisé",$F404&lt;&gt;"Clôturé"),"RETARD",""))</f>
        <v/>
      </c>
      <c r="L404">
        <f>IF(OR($B404="",NOT(ISNUMBER($D404))),"",IF(AND($D404&gt;=$D$2,$D404&lt;=$H$2,$G404&lt;&gt;"X",$F404&lt;&gt;"Réalisé",$F404&lt;&gt;"Clôturé"),"≤ 7 j",""))</f>
        <v/>
      </c>
      <c r="M404" s="29">
        <f>IF($B404="","",IFERROR(INDEX($T$4:$T$3183,MATCH(SMALL($V$4:$V$3183,401),$V$4:$V$3183,0)),""))</f>
        <v/>
      </c>
      <c r="O404">
        <f>IF(INDEX(Suivi!$B:$B,412)="","",INDEX(Suivi!$B:$B,412))</f>
        <v/>
      </c>
      <c r="P404">
        <f>IF($O404="","",IF(INDEX(Suivi!$D:$D,412)="",INDEX(Suivi!$C:$C,412),INDEX(Suivi!$D:$D,412)))</f>
        <v/>
      </c>
      <c r="Q404">
        <f>IF($O404="","",INDEX(Suivi!$E:$E,412))</f>
        <v/>
      </c>
      <c r="R404">
        <f>IF($O404="","",INDEX(Suivi!$F:$F,412))</f>
        <v/>
      </c>
      <c r="S404">
        <f>IF($O404="","",INDEX(Suivi!$G:$G,412))</f>
        <v/>
      </c>
      <c r="T404">
        <f>IF($O404="","",IF(INDEX(Dossiers!$F$4:$F$63,8)="","",INDEX(Dossiers!$F$4:$F$63,8)))</f>
        <v/>
      </c>
      <c r="U404">
        <f>IF($O404="","",IF(INDEX(Dossiers!$G$4:$G$63,8)="","",INDEX(Dossiers!$G$4:$G$63,8)))</f>
        <v/>
      </c>
      <c r="V404">
        <f>IF(OR($O404="",NOT(ISNUMBER($Q404))),"",$Q404*1000000+404)</f>
        <v/>
      </c>
      <c r="W404" s="29">
        <f>IF($B404="","",IFERROR(INDEX($U$4:$U$3183,MATCH(SMALL($V$4:$V$3183,401),$V$4:$V$3183,0)),""))</f>
        <v/>
      </c>
    </row>
    <row r="405">
      <c r="A405">
        <f>IFERROR(INDEX($N$4:$N$3183,MATCH(SMALL($V$4:$V$3183,402),$V$4:$V$3183,0)),"")</f>
        <v/>
      </c>
      <c r="B405">
        <f>IFERROR(INDEX($O$4:$O$3183,MATCH(SMALL($V$4:$V$3183,402),$V$4:$V$3183,0)),"")</f>
        <v/>
      </c>
      <c r="C405">
        <f>IFERROR(INDEX($P$4:$P$3183,MATCH(SMALL($V$4:$V$3183,402),$V$4:$V$3183,0)),"")</f>
        <v/>
      </c>
      <c r="D405" s="29">
        <f>IFERROR(INDEX($Q$4:$Q$3183,MATCH(SMALL($V$4:$V$3183,402),$V$4:$V$3183,0)),"")</f>
        <v/>
      </c>
      <c r="E405" s="29">
        <f>IFERROR(INDEX($R$4:$R$3183,MATCH(SMALL($V$4:$V$3183,402),$V$4:$V$3183,0)),"")</f>
        <v/>
      </c>
      <c r="F405">
        <f>IFERROR(INDEX($S$4:$S$3183,MATCH(SMALL($V$4:$V$3183,402),$V$4:$V$3183,0)),"")</f>
        <v/>
      </c>
      <c r="I405" s="29">
        <f>IF($B405="","",IFERROR(INDEX($U$4:$U$3183,MATCH(SMALL($V$4:$V$3183,402),$V$4:$V$3183,0)),""))</f>
        <v/>
      </c>
      <c r="J405">
        <f>IF($B405="","",IF($D405&gt;$F$2,"À venir",IF($E405&lt;$D$2,"Passé","Dans la période")))</f>
        <v/>
      </c>
      <c r="K405">
        <f>IF(OR($B405="",NOT(ISNUMBER($D405))),"",IF(AND($E405&lt;$D$2,$G405&lt;&gt;"X",$F405&lt;&gt;"Réalisé",$F405&lt;&gt;"Clôturé"),"RETARD",""))</f>
        <v/>
      </c>
      <c r="L405">
        <f>IF(OR($B405="",NOT(ISNUMBER($D405))),"",IF(AND($D405&gt;=$D$2,$D405&lt;=$H$2,$G405&lt;&gt;"X",$F405&lt;&gt;"Réalisé",$F405&lt;&gt;"Clôturé"),"≤ 7 j",""))</f>
        <v/>
      </c>
      <c r="M405" s="29">
        <f>IF($B405="","",IFERROR(INDEX($T$4:$T$3183,MATCH(SMALL($V$4:$V$3183,402),$V$4:$V$3183,0)),""))</f>
        <v/>
      </c>
      <c r="O405">
        <f>IF(INDEX(Suivi!$B:$B,413)="","",INDEX(Suivi!$B:$B,413))</f>
        <v/>
      </c>
      <c r="P405">
        <f>IF($O405="","",IF(INDEX(Suivi!$D:$D,413)="",INDEX(Suivi!$C:$C,413),INDEX(Suivi!$D:$D,413)))</f>
        <v/>
      </c>
      <c r="Q405">
        <f>IF($O405="","",INDEX(Suivi!$E:$E,413))</f>
        <v/>
      </c>
      <c r="R405">
        <f>IF($O405="","",INDEX(Suivi!$F:$F,413))</f>
        <v/>
      </c>
      <c r="S405">
        <f>IF($O405="","",INDEX(Suivi!$G:$G,413))</f>
        <v/>
      </c>
      <c r="T405">
        <f>IF($O405="","",IF(INDEX(Dossiers!$F$4:$F$63,8)="","",INDEX(Dossiers!$F$4:$F$63,8)))</f>
        <v/>
      </c>
      <c r="U405">
        <f>IF($O405="","",IF(INDEX(Dossiers!$G$4:$G$63,8)="","",INDEX(Dossiers!$G$4:$G$63,8)))</f>
        <v/>
      </c>
      <c r="V405">
        <f>IF(OR($O405="",NOT(ISNUMBER($Q405))),"",$Q405*1000000+405)</f>
        <v/>
      </c>
      <c r="W405" s="29">
        <f>IF($B405="","",IFERROR(INDEX($U$4:$U$3183,MATCH(SMALL($V$4:$V$3183,402),$V$4:$V$3183,0)),""))</f>
        <v/>
      </c>
    </row>
    <row r="406">
      <c r="A406">
        <f>IFERROR(INDEX($N$4:$N$3183,MATCH(SMALL($V$4:$V$3183,403),$V$4:$V$3183,0)),"")</f>
        <v/>
      </c>
      <c r="B406">
        <f>IFERROR(INDEX($O$4:$O$3183,MATCH(SMALL($V$4:$V$3183,403),$V$4:$V$3183,0)),"")</f>
        <v/>
      </c>
      <c r="C406">
        <f>IFERROR(INDEX($P$4:$P$3183,MATCH(SMALL($V$4:$V$3183,403),$V$4:$V$3183,0)),"")</f>
        <v/>
      </c>
      <c r="D406" s="29">
        <f>IFERROR(INDEX($Q$4:$Q$3183,MATCH(SMALL($V$4:$V$3183,403),$V$4:$V$3183,0)),"")</f>
        <v/>
      </c>
      <c r="E406" s="29">
        <f>IFERROR(INDEX($R$4:$R$3183,MATCH(SMALL($V$4:$V$3183,403),$V$4:$V$3183,0)),"")</f>
        <v/>
      </c>
      <c r="F406">
        <f>IFERROR(INDEX($S$4:$S$3183,MATCH(SMALL($V$4:$V$3183,403),$V$4:$V$3183,0)),"")</f>
        <v/>
      </c>
      <c r="I406" s="29">
        <f>IF($B406="","",IFERROR(INDEX($U$4:$U$3183,MATCH(SMALL($V$4:$V$3183,403),$V$4:$V$3183,0)),""))</f>
        <v/>
      </c>
      <c r="J406">
        <f>IF($B406="","",IF($D406&gt;$F$2,"À venir",IF($E406&lt;$D$2,"Passé","Dans la période")))</f>
        <v/>
      </c>
      <c r="K406">
        <f>IF(OR($B406="",NOT(ISNUMBER($D406))),"",IF(AND($E406&lt;$D$2,$G406&lt;&gt;"X",$F406&lt;&gt;"Réalisé",$F406&lt;&gt;"Clôturé"),"RETARD",""))</f>
        <v/>
      </c>
      <c r="L406">
        <f>IF(OR($B406="",NOT(ISNUMBER($D406))),"",IF(AND($D406&gt;=$D$2,$D406&lt;=$H$2,$G406&lt;&gt;"X",$F406&lt;&gt;"Réalisé",$F406&lt;&gt;"Clôturé"),"≤ 7 j",""))</f>
        <v/>
      </c>
      <c r="M406" s="29">
        <f>IF($B406="","",IFERROR(INDEX($T$4:$T$3183,MATCH(SMALL($V$4:$V$3183,403),$V$4:$V$3183,0)),""))</f>
        <v/>
      </c>
      <c r="O406">
        <f>IF(INDEX(Suivi!$B:$B,414)="","",INDEX(Suivi!$B:$B,414))</f>
        <v/>
      </c>
      <c r="P406">
        <f>IF($O406="","",IF(INDEX(Suivi!$D:$D,414)="",INDEX(Suivi!$C:$C,414),INDEX(Suivi!$D:$D,414)))</f>
        <v/>
      </c>
      <c r="Q406">
        <f>IF($O406="","",INDEX(Suivi!$E:$E,414))</f>
        <v/>
      </c>
      <c r="R406">
        <f>IF($O406="","",INDEX(Suivi!$F:$F,414))</f>
        <v/>
      </c>
      <c r="S406">
        <f>IF($O406="","",INDEX(Suivi!$G:$G,414))</f>
        <v/>
      </c>
      <c r="T406">
        <f>IF($O406="","",IF(INDEX(Dossiers!$F$4:$F$63,8)="","",INDEX(Dossiers!$F$4:$F$63,8)))</f>
        <v/>
      </c>
      <c r="U406">
        <f>IF($O406="","",IF(INDEX(Dossiers!$G$4:$G$63,8)="","",INDEX(Dossiers!$G$4:$G$63,8)))</f>
        <v/>
      </c>
      <c r="V406">
        <f>IF(OR($O406="",NOT(ISNUMBER($Q406))),"",$Q406*1000000+406)</f>
        <v/>
      </c>
      <c r="W406" s="29">
        <f>IF($B406="","",IFERROR(INDEX($U$4:$U$3183,MATCH(SMALL($V$4:$V$3183,403),$V$4:$V$3183,0)),""))</f>
        <v/>
      </c>
    </row>
    <row r="407">
      <c r="A407">
        <f>IFERROR(INDEX($N$4:$N$3183,MATCH(SMALL($V$4:$V$3183,404),$V$4:$V$3183,0)),"")</f>
        <v/>
      </c>
      <c r="B407">
        <f>IFERROR(INDEX($O$4:$O$3183,MATCH(SMALL($V$4:$V$3183,404),$V$4:$V$3183,0)),"")</f>
        <v/>
      </c>
      <c r="C407">
        <f>IFERROR(INDEX($P$4:$P$3183,MATCH(SMALL($V$4:$V$3183,404),$V$4:$V$3183,0)),"")</f>
        <v/>
      </c>
      <c r="D407" s="29">
        <f>IFERROR(INDEX($Q$4:$Q$3183,MATCH(SMALL($V$4:$V$3183,404),$V$4:$V$3183,0)),"")</f>
        <v/>
      </c>
      <c r="E407" s="29">
        <f>IFERROR(INDEX($R$4:$R$3183,MATCH(SMALL($V$4:$V$3183,404),$V$4:$V$3183,0)),"")</f>
        <v/>
      </c>
      <c r="F407">
        <f>IFERROR(INDEX($S$4:$S$3183,MATCH(SMALL($V$4:$V$3183,404),$V$4:$V$3183,0)),"")</f>
        <v/>
      </c>
      <c r="I407" s="29">
        <f>IF($B407="","",IFERROR(INDEX($U$4:$U$3183,MATCH(SMALL($V$4:$V$3183,404),$V$4:$V$3183,0)),""))</f>
        <v/>
      </c>
      <c r="J407">
        <f>IF($B407="","",IF($D407&gt;$F$2,"À venir",IF($E407&lt;$D$2,"Passé","Dans la période")))</f>
        <v/>
      </c>
      <c r="K407">
        <f>IF(OR($B407="",NOT(ISNUMBER($D407))),"",IF(AND($E407&lt;$D$2,$G407&lt;&gt;"X",$F407&lt;&gt;"Réalisé",$F407&lt;&gt;"Clôturé"),"RETARD",""))</f>
        <v/>
      </c>
      <c r="L407">
        <f>IF(OR($B407="",NOT(ISNUMBER($D407))),"",IF(AND($D407&gt;=$D$2,$D407&lt;=$H$2,$G407&lt;&gt;"X",$F407&lt;&gt;"Réalisé",$F407&lt;&gt;"Clôturé"),"≤ 7 j",""))</f>
        <v/>
      </c>
      <c r="M407" s="29">
        <f>IF($B407="","",IFERROR(INDEX($T$4:$T$3183,MATCH(SMALL($V$4:$V$3183,404),$V$4:$V$3183,0)),""))</f>
        <v/>
      </c>
      <c r="O407">
        <f>IF(INDEX(Suivi!$B:$B,415)="","",INDEX(Suivi!$B:$B,415))</f>
        <v/>
      </c>
      <c r="P407">
        <f>IF($O407="","",IF(INDEX(Suivi!$D:$D,415)="",INDEX(Suivi!$C:$C,415),INDEX(Suivi!$D:$D,415)))</f>
        <v/>
      </c>
      <c r="Q407">
        <f>IF($O407="","",INDEX(Suivi!$E:$E,415))</f>
        <v/>
      </c>
      <c r="R407">
        <f>IF($O407="","",INDEX(Suivi!$F:$F,415))</f>
        <v/>
      </c>
      <c r="S407">
        <f>IF($O407="","",INDEX(Suivi!$G:$G,415))</f>
        <v/>
      </c>
      <c r="T407">
        <f>IF($O407="","",IF(INDEX(Dossiers!$F$4:$F$63,8)="","",INDEX(Dossiers!$F$4:$F$63,8)))</f>
        <v/>
      </c>
      <c r="U407">
        <f>IF($O407="","",IF(INDEX(Dossiers!$G$4:$G$63,8)="","",INDEX(Dossiers!$G$4:$G$63,8)))</f>
        <v/>
      </c>
      <c r="V407">
        <f>IF(OR($O407="",NOT(ISNUMBER($Q407))),"",$Q407*1000000+407)</f>
        <v/>
      </c>
      <c r="W407" s="29">
        <f>IF($B407="","",IFERROR(INDEX($U$4:$U$3183,MATCH(SMALL($V$4:$V$3183,404),$V$4:$V$3183,0)),""))</f>
        <v/>
      </c>
    </row>
    <row r="408">
      <c r="A408">
        <f>IFERROR(INDEX($N$4:$N$3183,MATCH(SMALL($V$4:$V$3183,405),$V$4:$V$3183,0)),"")</f>
        <v/>
      </c>
      <c r="B408">
        <f>IFERROR(INDEX($O$4:$O$3183,MATCH(SMALL($V$4:$V$3183,405),$V$4:$V$3183,0)),"")</f>
        <v/>
      </c>
      <c r="C408">
        <f>IFERROR(INDEX($P$4:$P$3183,MATCH(SMALL($V$4:$V$3183,405),$V$4:$V$3183,0)),"")</f>
        <v/>
      </c>
      <c r="D408" s="29">
        <f>IFERROR(INDEX($Q$4:$Q$3183,MATCH(SMALL($V$4:$V$3183,405),$V$4:$V$3183,0)),"")</f>
        <v/>
      </c>
      <c r="E408" s="29">
        <f>IFERROR(INDEX($R$4:$R$3183,MATCH(SMALL($V$4:$V$3183,405),$V$4:$V$3183,0)),"")</f>
        <v/>
      </c>
      <c r="F408">
        <f>IFERROR(INDEX($S$4:$S$3183,MATCH(SMALL($V$4:$V$3183,405),$V$4:$V$3183,0)),"")</f>
        <v/>
      </c>
      <c r="I408" s="29">
        <f>IF($B408="","",IFERROR(INDEX($U$4:$U$3183,MATCH(SMALL($V$4:$V$3183,405),$V$4:$V$3183,0)),""))</f>
        <v/>
      </c>
      <c r="J408">
        <f>IF($B408="","",IF($D408&gt;$F$2,"À venir",IF($E408&lt;$D$2,"Passé","Dans la période")))</f>
        <v/>
      </c>
      <c r="K408">
        <f>IF(OR($B408="",NOT(ISNUMBER($D408))),"",IF(AND($E408&lt;$D$2,$G408&lt;&gt;"X",$F408&lt;&gt;"Réalisé",$F408&lt;&gt;"Clôturé"),"RETARD",""))</f>
        <v/>
      </c>
      <c r="L408">
        <f>IF(OR($B408="",NOT(ISNUMBER($D408))),"",IF(AND($D408&gt;=$D$2,$D408&lt;=$H$2,$G408&lt;&gt;"X",$F408&lt;&gt;"Réalisé",$F408&lt;&gt;"Clôturé"),"≤ 7 j",""))</f>
        <v/>
      </c>
      <c r="M408" s="29">
        <f>IF($B408="","",IFERROR(INDEX($T$4:$T$3183,MATCH(SMALL($V$4:$V$3183,405),$V$4:$V$3183,0)),""))</f>
        <v/>
      </c>
      <c r="O408">
        <f>IF(INDEX(Suivi!$B:$B,416)="","",INDEX(Suivi!$B:$B,416))</f>
        <v/>
      </c>
      <c r="P408">
        <f>IF($O408="","",IF(INDEX(Suivi!$D:$D,416)="",INDEX(Suivi!$C:$C,416),INDEX(Suivi!$D:$D,416)))</f>
        <v/>
      </c>
      <c r="Q408">
        <f>IF($O408="","",INDEX(Suivi!$E:$E,416))</f>
        <v/>
      </c>
      <c r="R408">
        <f>IF($O408="","",INDEX(Suivi!$F:$F,416))</f>
        <v/>
      </c>
      <c r="S408">
        <f>IF($O408="","",INDEX(Suivi!$G:$G,416))</f>
        <v/>
      </c>
      <c r="T408">
        <f>IF($O408="","",IF(INDEX(Dossiers!$F$4:$F$63,8)="","",INDEX(Dossiers!$F$4:$F$63,8)))</f>
        <v/>
      </c>
      <c r="U408">
        <f>IF($O408="","",IF(INDEX(Dossiers!$G$4:$G$63,8)="","",INDEX(Dossiers!$G$4:$G$63,8)))</f>
        <v/>
      </c>
      <c r="V408">
        <f>IF(OR($O408="",NOT(ISNUMBER($Q408))),"",$Q408*1000000+408)</f>
        <v/>
      </c>
      <c r="W408" s="29">
        <f>IF($B408="","",IFERROR(INDEX($U$4:$U$3183,MATCH(SMALL($V$4:$V$3183,405),$V$4:$V$3183,0)),""))</f>
        <v/>
      </c>
    </row>
    <row r="409">
      <c r="A409">
        <f>IFERROR(INDEX($N$4:$N$3183,MATCH(SMALL($V$4:$V$3183,406),$V$4:$V$3183,0)),"")</f>
        <v/>
      </c>
      <c r="B409">
        <f>IFERROR(INDEX($O$4:$O$3183,MATCH(SMALL($V$4:$V$3183,406),$V$4:$V$3183,0)),"")</f>
        <v/>
      </c>
      <c r="C409">
        <f>IFERROR(INDEX($P$4:$P$3183,MATCH(SMALL($V$4:$V$3183,406),$V$4:$V$3183,0)),"")</f>
        <v/>
      </c>
      <c r="D409" s="29">
        <f>IFERROR(INDEX($Q$4:$Q$3183,MATCH(SMALL($V$4:$V$3183,406),$V$4:$V$3183,0)),"")</f>
        <v/>
      </c>
      <c r="E409" s="29">
        <f>IFERROR(INDEX($R$4:$R$3183,MATCH(SMALL($V$4:$V$3183,406),$V$4:$V$3183,0)),"")</f>
        <v/>
      </c>
      <c r="F409">
        <f>IFERROR(INDEX($S$4:$S$3183,MATCH(SMALL($V$4:$V$3183,406),$V$4:$V$3183,0)),"")</f>
        <v/>
      </c>
      <c r="I409" s="29">
        <f>IF($B409="","",IFERROR(INDEX($U$4:$U$3183,MATCH(SMALL($V$4:$V$3183,406),$V$4:$V$3183,0)),""))</f>
        <v/>
      </c>
      <c r="J409">
        <f>IF($B409="","",IF($D409&gt;$F$2,"À venir",IF($E409&lt;$D$2,"Passé","Dans la période")))</f>
        <v/>
      </c>
      <c r="K409">
        <f>IF(OR($B409="",NOT(ISNUMBER($D409))),"",IF(AND($E409&lt;$D$2,$G409&lt;&gt;"X",$F409&lt;&gt;"Réalisé",$F409&lt;&gt;"Clôturé"),"RETARD",""))</f>
        <v/>
      </c>
      <c r="L409">
        <f>IF(OR($B409="",NOT(ISNUMBER($D409))),"",IF(AND($D409&gt;=$D$2,$D409&lt;=$H$2,$G409&lt;&gt;"X",$F409&lt;&gt;"Réalisé",$F409&lt;&gt;"Clôturé"),"≤ 7 j",""))</f>
        <v/>
      </c>
      <c r="M409" s="29">
        <f>IF($B409="","",IFERROR(INDEX($T$4:$T$3183,MATCH(SMALL($V$4:$V$3183,406),$V$4:$V$3183,0)),""))</f>
        <v/>
      </c>
      <c r="O409">
        <f>IF(INDEX(Suivi!$B:$B,417)="","",INDEX(Suivi!$B:$B,417))</f>
        <v/>
      </c>
      <c r="P409">
        <f>IF($O409="","",IF(INDEX(Suivi!$D:$D,417)="",INDEX(Suivi!$C:$C,417),INDEX(Suivi!$D:$D,417)))</f>
        <v/>
      </c>
      <c r="Q409">
        <f>IF($O409="","",INDEX(Suivi!$E:$E,417))</f>
        <v/>
      </c>
      <c r="R409">
        <f>IF($O409="","",INDEX(Suivi!$F:$F,417))</f>
        <v/>
      </c>
      <c r="S409">
        <f>IF($O409="","",INDEX(Suivi!$G:$G,417))</f>
        <v/>
      </c>
      <c r="T409">
        <f>IF($O409="","",IF(INDEX(Dossiers!$F$4:$F$63,8)="","",INDEX(Dossiers!$F$4:$F$63,8)))</f>
        <v/>
      </c>
      <c r="U409">
        <f>IF($O409="","",IF(INDEX(Dossiers!$G$4:$G$63,8)="","",INDEX(Dossiers!$G$4:$G$63,8)))</f>
        <v/>
      </c>
      <c r="V409">
        <f>IF(OR($O409="",NOT(ISNUMBER($Q409))),"",$Q409*1000000+409)</f>
        <v/>
      </c>
      <c r="W409" s="29">
        <f>IF($B409="","",IFERROR(INDEX($U$4:$U$3183,MATCH(SMALL($V$4:$V$3183,406),$V$4:$V$3183,0)),""))</f>
        <v/>
      </c>
    </row>
    <row r="410">
      <c r="A410">
        <f>IFERROR(INDEX($N$4:$N$3183,MATCH(SMALL($V$4:$V$3183,407),$V$4:$V$3183,0)),"")</f>
        <v/>
      </c>
      <c r="B410">
        <f>IFERROR(INDEX($O$4:$O$3183,MATCH(SMALL($V$4:$V$3183,407),$V$4:$V$3183,0)),"")</f>
        <v/>
      </c>
      <c r="C410">
        <f>IFERROR(INDEX($P$4:$P$3183,MATCH(SMALL($V$4:$V$3183,407),$V$4:$V$3183,0)),"")</f>
        <v/>
      </c>
      <c r="D410" s="29">
        <f>IFERROR(INDEX($Q$4:$Q$3183,MATCH(SMALL($V$4:$V$3183,407),$V$4:$V$3183,0)),"")</f>
        <v/>
      </c>
      <c r="E410" s="29">
        <f>IFERROR(INDEX($R$4:$R$3183,MATCH(SMALL($V$4:$V$3183,407),$V$4:$V$3183,0)),"")</f>
        <v/>
      </c>
      <c r="F410">
        <f>IFERROR(INDEX($S$4:$S$3183,MATCH(SMALL($V$4:$V$3183,407),$V$4:$V$3183,0)),"")</f>
        <v/>
      </c>
      <c r="I410" s="29">
        <f>IF($B410="","",IFERROR(INDEX($U$4:$U$3183,MATCH(SMALL($V$4:$V$3183,407),$V$4:$V$3183,0)),""))</f>
        <v/>
      </c>
      <c r="J410">
        <f>IF($B410="","",IF($D410&gt;$F$2,"À venir",IF($E410&lt;$D$2,"Passé","Dans la période")))</f>
        <v/>
      </c>
      <c r="K410">
        <f>IF(OR($B410="",NOT(ISNUMBER($D410))),"",IF(AND($E410&lt;$D$2,$G410&lt;&gt;"X",$F410&lt;&gt;"Réalisé",$F410&lt;&gt;"Clôturé"),"RETARD",""))</f>
        <v/>
      </c>
      <c r="L410">
        <f>IF(OR($B410="",NOT(ISNUMBER($D410))),"",IF(AND($D410&gt;=$D$2,$D410&lt;=$H$2,$G410&lt;&gt;"X",$F410&lt;&gt;"Réalisé",$F410&lt;&gt;"Clôturé"),"≤ 7 j",""))</f>
        <v/>
      </c>
      <c r="M410" s="29">
        <f>IF($B410="","",IFERROR(INDEX($T$4:$T$3183,MATCH(SMALL($V$4:$V$3183,407),$V$4:$V$3183,0)),""))</f>
        <v/>
      </c>
      <c r="O410">
        <f>IF(INDEX(Suivi!$B:$B,418)="","",INDEX(Suivi!$B:$B,418))</f>
        <v/>
      </c>
      <c r="P410">
        <f>IF($O410="","",IF(INDEX(Suivi!$D:$D,418)="",INDEX(Suivi!$C:$C,418),INDEX(Suivi!$D:$D,418)))</f>
        <v/>
      </c>
      <c r="Q410">
        <f>IF($O410="","",INDEX(Suivi!$E:$E,418))</f>
        <v/>
      </c>
      <c r="R410">
        <f>IF($O410="","",INDEX(Suivi!$F:$F,418))</f>
        <v/>
      </c>
      <c r="S410">
        <f>IF($O410="","",INDEX(Suivi!$G:$G,418))</f>
        <v/>
      </c>
      <c r="T410">
        <f>IF($O410="","",IF(INDEX(Dossiers!$F$4:$F$63,8)="","",INDEX(Dossiers!$F$4:$F$63,8)))</f>
        <v/>
      </c>
      <c r="U410">
        <f>IF($O410="","",IF(INDEX(Dossiers!$G$4:$G$63,8)="","",INDEX(Dossiers!$G$4:$G$63,8)))</f>
        <v/>
      </c>
      <c r="V410">
        <f>IF(OR($O410="",NOT(ISNUMBER($Q410))),"",$Q410*1000000+410)</f>
        <v/>
      </c>
      <c r="W410" s="29">
        <f>IF($B410="","",IFERROR(INDEX($U$4:$U$3183,MATCH(SMALL($V$4:$V$3183,407),$V$4:$V$3183,0)),""))</f>
        <v/>
      </c>
    </row>
    <row r="411">
      <c r="A411">
        <f>IFERROR(INDEX($N$4:$N$3183,MATCH(SMALL($V$4:$V$3183,408),$V$4:$V$3183,0)),"")</f>
        <v/>
      </c>
      <c r="B411">
        <f>IFERROR(INDEX($O$4:$O$3183,MATCH(SMALL($V$4:$V$3183,408),$V$4:$V$3183,0)),"")</f>
        <v/>
      </c>
      <c r="C411">
        <f>IFERROR(INDEX($P$4:$P$3183,MATCH(SMALL($V$4:$V$3183,408),$V$4:$V$3183,0)),"")</f>
        <v/>
      </c>
      <c r="D411" s="29">
        <f>IFERROR(INDEX($Q$4:$Q$3183,MATCH(SMALL($V$4:$V$3183,408),$V$4:$V$3183,0)),"")</f>
        <v/>
      </c>
      <c r="E411" s="29">
        <f>IFERROR(INDEX($R$4:$R$3183,MATCH(SMALL($V$4:$V$3183,408),$V$4:$V$3183,0)),"")</f>
        <v/>
      </c>
      <c r="F411">
        <f>IFERROR(INDEX($S$4:$S$3183,MATCH(SMALL($V$4:$V$3183,408),$V$4:$V$3183,0)),"")</f>
        <v/>
      </c>
      <c r="I411" s="29">
        <f>IF($B411="","",IFERROR(INDEX($U$4:$U$3183,MATCH(SMALL($V$4:$V$3183,408),$V$4:$V$3183,0)),""))</f>
        <v/>
      </c>
      <c r="J411">
        <f>IF($B411="","",IF($D411&gt;$F$2,"À venir",IF($E411&lt;$D$2,"Passé","Dans la période")))</f>
        <v/>
      </c>
      <c r="K411">
        <f>IF(OR($B411="",NOT(ISNUMBER($D411))),"",IF(AND($E411&lt;$D$2,$G411&lt;&gt;"X",$F411&lt;&gt;"Réalisé",$F411&lt;&gt;"Clôturé"),"RETARD",""))</f>
        <v/>
      </c>
      <c r="L411">
        <f>IF(OR($B411="",NOT(ISNUMBER($D411))),"",IF(AND($D411&gt;=$D$2,$D411&lt;=$H$2,$G411&lt;&gt;"X",$F411&lt;&gt;"Réalisé",$F411&lt;&gt;"Clôturé"),"≤ 7 j",""))</f>
        <v/>
      </c>
      <c r="M411" s="29">
        <f>IF($B411="","",IFERROR(INDEX($T$4:$T$3183,MATCH(SMALL($V$4:$V$3183,408),$V$4:$V$3183,0)),""))</f>
        <v/>
      </c>
      <c r="O411">
        <f>IF(INDEX(Suivi!$B:$B,419)="","",INDEX(Suivi!$B:$B,419))</f>
        <v/>
      </c>
      <c r="P411">
        <f>IF($O411="","",IF(INDEX(Suivi!$D:$D,419)="",INDEX(Suivi!$C:$C,419),INDEX(Suivi!$D:$D,419)))</f>
        <v/>
      </c>
      <c r="Q411">
        <f>IF($O411="","",INDEX(Suivi!$E:$E,419))</f>
        <v/>
      </c>
      <c r="R411">
        <f>IF($O411="","",INDEX(Suivi!$F:$F,419))</f>
        <v/>
      </c>
      <c r="S411">
        <f>IF($O411="","",INDEX(Suivi!$G:$G,419))</f>
        <v/>
      </c>
      <c r="T411">
        <f>IF($O411="","",IF(INDEX(Dossiers!$F$4:$F$63,8)="","",INDEX(Dossiers!$F$4:$F$63,8)))</f>
        <v/>
      </c>
      <c r="U411">
        <f>IF($O411="","",IF(INDEX(Dossiers!$G$4:$G$63,8)="","",INDEX(Dossiers!$G$4:$G$63,8)))</f>
        <v/>
      </c>
      <c r="V411">
        <f>IF(OR($O411="",NOT(ISNUMBER($Q411))),"",$Q411*1000000+411)</f>
        <v/>
      </c>
      <c r="W411" s="29">
        <f>IF($B411="","",IFERROR(INDEX($U$4:$U$3183,MATCH(SMALL($V$4:$V$3183,408),$V$4:$V$3183,0)),""))</f>
        <v/>
      </c>
    </row>
    <row r="412">
      <c r="A412">
        <f>IFERROR(INDEX($N$4:$N$3183,MATCH(SMALL($V$4:$V$3183,409),$V$4:$V$3183,0)),"")</f>
        <v/>
      </c>
      <c r="B412">
        <f>IFERROR(INDEX($O$4:$O$3183,MATCH(SMALL($V$4:$V$3183,409),$V$4:$V$3183,0)),"")</f>
        <v/>
      </c>
      <c r="C412">
        <f>IFERROR(INDEX($P$4:$P$3183,MATCH(SMALL($V$4:$V$3183,409),$V$4:$V$3183,0)),"")</f>
        <v/>
      </c>
      <c r="D412" s="29">
        <f>IFERROR(INDEX($Q$4:$Q$3183,MATCH(SMALL($V$4:$V$3183,409),$V$4:$V$3183,0)),"")</f>
        <v/>
      </c>
      <c r="E412" s="29">
        <f>IFERROR(INDEX($R$4:$R$3183,MATCH(SMALL($V$4:$V$3183,409),$V$4:$V$3183,0)),"")</f>
        <v/>
      </c>
      <c r="F412">
        <f>IFERROR(INDEX($S$4:$S$3183,MATCH(SMALL($V$4:$V$3183,409),$V$4:$V$3183,0)),"")</f>
        <v/>
      </c>
      <c r="I412" s="29">
        <f>IF($B412="","",IFERROR(INDEX($U$4:$U$3183,MATCH(SMALL($V$4:$V$3183,409),$V$4:$V$3183,0)),""))</f>
        <v/>
      </c>
      <c r="J412">
        <f>IF($B412="","",IF($D412&gt;$F$2,"À venir",IF($E412&lt;$D$2,"Passé","Dans la période")))</f>
        <v/>
      </c>
      <c r="K412">
        <f>IF(OR($B412="",NOT(ISNUMBER($D412))),"",IF(AND($E412&lt;$D$2,$G412&lt;&gt;"X",$F412&lt;&gt;"Réalisé",$F412&lt;&gt;"Clôturé"),"RETARD",""))</f>
        <v/>
      </c>
      <c r="L412">
        <f>IF(OR($B412="",NOT(ISNUMBER($D412))),"",IF(AND($D412&gt;=$D$2,$D412&lt;=$H$2,$G412&lt;&gt;"X",$F412&lt;&gt;"Réalisé",$F412&lt;&gt;"Clôturé"),"≤ 7 j",""))</f>
        <v/>
      </c>
      <c r="M412" s="29">
        <f>IF($B412="","",IFERROR(INDEX($T$4:$T$3183,MATCH(SMALL($V$4:$V$3183,409),$V$4:$V$3183,0)),""))</f>
        <v/>
      </c>
      <c r="O412">
        <f>IF(INDEX(Suivi!$B:$B,420)="","",INDEX(Suivi!$B:$B,420))</f>
        <v/>
      </c>
      <c r="P412">
        <f>IF($O412="","",IF(INDEX(Suivi!$D:$D,420)="",INDEX(Suivi!$C:$C,420),INDEX(Suivi!$D:$D,420)))</f>
        <v/>
      </c>
      <c r="Q412">
        <f>IF($O412="","",INDEX(Suivi!$E:$E,420))</f>
        <v/>
      </c>
      <c r="R412">
        <f>IF($O412="","",INDEX(Suivi!$F:$F,420))</f>
        <v/>
      </c>
      <c r="S412">
        <f>IF($O412="","",INDEX(Suivi!$G:$G,420))</f>
        <v/>
      </c>
      <c r="T412">
        <f>IF($O412="","",IF(INDEX(Dossiers!$F$4:$F$63,8)="","",INDEX(Dossiers!$F$4:$F$63,8)))</f>
        <v/>
      </c>
      <c r="U412">
        <f>IF($O412="","",IF(INDEX(Dossiers!$G$4:$G$63,8)="","",INDEX(Dossiers!$G$4:$G$63,8)))</f>
        <v/>
      </c>
      <c r="V412">
        <f>IF(OR($O412="",NOT(ISNUMBER($Q412))),"",$Q412*1000000+412)</f>
        <v/>
      </c>
      <c r="W412" s="29">
        <f>IF($B412="","",IFERROR(INDEX($U$4:$U$3183,MATCH(SMALL($V$4:$V$3183,409),$V$4:$V$3183,0)),""))</f>
        <v/>
      </c>
    </row>
    <row r="413">
      <c r="A413">
        <f>IFERROR(INDEX($N$4:$N$3183,MATCH(SMALL($V$4:$V$3183,410),$V$4:$V$3183,0)),"")</f>
        <v/>
      </c>
      <c r="B413">
        <f>IFERROR(INDEX($O$4:$O$3183,MATCH(SMALL($V$4:$V$3183,410),$V$4:$V$3183,0)),"")</f>
        <v/>
      </c>
      <c r="C413">
        <f>IFERROR(INDEX($P$4:$P$3183,MATCH(SMALL($V$4:$V$3183,410),$V$4:$V$3183,0)),"")</f>
        <v/>
      </c>
      <c r="D413" s="29">
        <f>IFERROR(INDEX($Q$4:$Q$3183,MATCH(SMALL($V$4:$V$3183,410),$V$4:$V$3183,0)),"")</f>
        <v/>
      </c>
      <c r="E413" s="29">
        <f>IFERROR(INDEX($R$4:$R$3183,MATCH(SMALL($V$4:$V$3183,410),$V$4:$V$3183,0)),"")</f>
        <v/>
      </c>
      <c r="F413">
        <f>IFERROR(INDEX($S$4:$S$3183,MATCH(SMALL($V$4:$V$3183,410),$V$4:$V$3183,0)),"")</f>
        <v/>
      </c>
      <c r="I413" s="29">
        <f>IF($B413="","",IFERROR(INDEX($U$4:$U$3183,MATCH(SMALL($V$4:$V$3183,410),$V$4:$V$3183,0)),""))</f>
        <v/>
      </c>
      <c r="J413">
        <f>IF($B413="","",IF($D413&gt;$F$2,"À venir",IF($E413&lt;$D$2,"Passé","Dans la période")))</f>
        <v/>
      </c>
      <c r="K413">
        <f>IF(OR($B413="",NOT(ISNUMBER($D413))),"",IF(AND($E413&lt;$D$2,$G413&lt;&gt;"X",$F413&lt;&gt;"Réalisé",$F413&lt;&gt;"Clôturé"),"RETARD",""))</f>
        <v/>
      </c>
      <c r="L413">
        <f>IF(OR($B413="",NOT(ISNUMBER($D413))),"",IF(AND($D413&gt;=$D$2,$D413&lt;=$H$2,$G413&lt;&gt;"X",$F413&lt;&gt;"Réalisé",$F413&lt;&gt;"Clôturé"),"≤ 7 j",""))</f>
        <v/>
      </c>
      <c r="M413" s="29">
        <f>IF($B413="","",IFERROR(INDEX($T$4:$T$3183,MATCH(SMALL($V$4:$V$3183,410),$V$4:$V$3183,0)),""))</f>
        <v/>
      </c>
      <c r="O413">
        <f>IF(INDEX(Suivi!$B:$B,421)="","",INDEX(Suivi!$B:$B,421))</f>
        <v/>
      </c>
      <c r="P413">
        <f>IF($O413="","",IF(INDEX(Suivi!$D:$D,421)="",INDEX(Suivi!$C:$C,421),INDEX(Suivi!$D:$D,421)))</f>
        <v/>
      </c>
      <c r="Q413">
        <f>IF($O413="","",INDEX(Suivi!$E:$E,421))</f>
        <v/>
      </c>
      <c r="R413">
        <f>IF($O413="","",INDEX(Suivi!$F:$F,421))</f>
        <v/>
      </c>
      <c r="S413">
        <f>IF($O413="","",INDEX(Suivi!$G:$G,421))</f>
        <v/>
      </c>
      <c r="T413">
        <f>IF($O413="","",IF(INDEX(Dossiers!$F$4:$F$63,8)="","",INDEX(Dossiers!$F$4:$F$63,8)))</f>
        <v/>
      </c>
      <c r="U413">
        <f>IF($O413="","",IF(INDEX(Dossiers!$G$4:$G$63,8)="","",INDEX(Dossiers!$G$4:$G$63,8)))</f>
        <v/>
      </c>
      <c r="V413">
        <f>IF(OR($O413="",NOT(ISNUMBER($Q413))),"",$Q413*1000000+413)</f>
        <v/>
      </c>
      <c r="W413" s="29">
        <f>IF($B413="","",IFERROR(INDEX($U$4:$U$3183,MATCH(SMALL($V$4:$V$3183,410),$V$4:$V$3183,0)),""))</f>
        <v/>
      </c>
    </row>
    <row r="414">
      <c r="A414">
        <f>IFERROR(INDEX($N$4:$N$3183,MATCH(SMALL($V$4:$V$3183,411),$V$4:$V$3183,0)),"")</f>
        <v/>
      </c>
      <c r="B414">
        <f>IFERROR(INDEX($O$4:$O$3183,MATCH(SMALL($V$4:$V$3183,411),$V$4:$V$3183,0)),"")</f>
        <v/>
      </c>
      <c r="C414">
        <f>IFERROR(INDEX($P$4:$P$3183,MATCH(SMALL($V$4:$V$3183,411),$V$4:$V$3183,0)),"")</f>
        <v/>
      </c>
      <c r="D414" s="29">
        <f>IFERROR(INDEX($Q$4:$Q$3183,MATCH(SMALL($V$4:$V$3183,411),$V$4:$V$3183,0)),"")</f>
        <v/>
      </c>
      <c r="E414" s="29">
        <f>IFERROR(INDEX($R$4:$R$3183,MATCH(SMALL($V$4:$V$3183,411),$V$4:$V$3183,0)),"")</f>
        <v/>
      </c>
      <c r="F414">
        <f>IFERROR(INDEX($S$4:$S$3183,MATCH(SMALL($V$4:$V$3183,411),$V$4:$V$3183,0)),"")</f>
        <v/>
      </c>
      <c r="I414" s="29">
        <f>IF($B414="","",IFERROR(INDEX($U$4:$U$3183,MATCH(SMALL($V$4:$V$3183,411),$V$4:$V$3183,0)),""))</f>
        <v/>
      </c>
      <c r="J414">
        <f>IF($B414="","",IF($D414&gt;$F$2,"À venir",IF($E414&lt;$D$2,"Passé","Dans la période")))</f>
        <v/>
      </c>
      <c r="K414">
        <f>IF(OR($B414="",NOT(ISNUMBER($D414))),"",IF(AND($E414&lt;$D$2,$G414&lt;&gt;"X",$F414&lt;&gt;"Réalisé",$F414&lt;&gt;"Clôturé"),"RETARD",""))</f>
        <v/>
      </c>
      <c r="L414">
        <f>IF(OR($B414="",NOT(ISNUMBER($D414))),"",IF(AND($D414&gt;=$D$2,$D414&lt;=$H$2,$G414&lt;&gt;"X",$F414&lt;&gt;"Réalisé",$F414&lt;&gt;"Clôturé"),"≤ 7 j",""))</f>
        <v/>
      </c>
      <c r="M414" s="29">
        <f>IF($B414="","",IFERROR(INDEX($T$4:$T$3183,MATCH(SMALL($V$4:$V$3183,411),$V$4:$V$3183,0)),""))</f>
        <v/>
      </c>
      <c r="O414">
        <f>IF(INDEX(Suivi!$B:$B,422)="","",INDEX(Suivi!$B:$B,422))</f>
        <v/>
      </c>
      <c r="P414">
        <f>IF($O414="","",IF(INDEX(Suivi!$D:$D,422)="",INDEX(Suivi!$C:$C,422),INDEX(Suivi!$D:$D,422)))</f>
        <v/>
      </c>
      <c r="Q414">
        <f>IF($O414="","",INDEX(Suivi!$E:$E,422))</f>
        <v/>
      </c>
      <c r="R414">
        <f>IF($O414="","",INDEX(Suivi!$F:$F,422))</f>
        <v/>
      </c>
      <c r="S414">
        <f>IF($O414="","",INDEX(Suivi!$G:$G,422))</f>
        <v/>
      </c>
      <c r="T414">
        <f>IF($O414="","",IF(INDEX(Dossiers!$F$4:$F$63,8)="","",INDEX(Dossiers!$F$4:$F$63,8)))</f>
        <v/>
      </c>
      <c r="U414">
        <f>IF($O414="","",IF(INDEX(Dossiers!$G$4:$G$63,8)="","",INDEX(Dossiers!$G$4:$G$63,8)))</f>
        <v/>
      </c>
      <c r="V414">
        <f>IF(OR($O414="",NOT(ISNUMBER($Q414))),"",$Q414*1000000+414)</f>
        <v/>
      </c>
      <c r="W414" s="29">
        <f>IF($B414="","",IFERROR(INDEX($U$4:$U$3183,MATCH(SMALL($V$4:$V$3183,411),$V$4:$V$3183,0)),""))</f>
        <v/>
      </c>
    </row>
    <row r="415">
      <c r="A415">
        <f>IFERROR(INDEX($N$4:$N$3183,MATCH(SMALL($V$4:$V$3183,412),$V$4:$V$3183,0)),"")</f>
        <v/>
      </c>
      <c r="B415">
        <f>IFERROR(INDEX($O$4:$O$3183,MATCH(SMALL($V$4:$V$3183,412),$V$4:$V$3183,0)),"")</f>
        <v/>
      </c>
      <c r="C415">
        <f>IFERROR(INDEX($P$4:$P$3183,MATCH(SMALL($V$4:$V$3183,412),$V$4:$V$3183,0)),"")</f>
        <v/>
      </c>
      <c r="D415" s="29">
        <f>IFERROR(INDEX($Q$4:$Q$3183,MATCH(SMALL($V$4:$V$3183,412),$V$4:$V$3183,0)),"")</f>
        <v/>
      </c>
      <c r="E415" s="29">
        <f>IFERROR(INDEX($R$4:$R$3183,MATCH(SMALL($V$4:$V$3183,412),$V$4:$V$3183,0)),"")</f>
        <v/>
      </c>
      <c r="F415">
        <f>IFERROR(INDEX($S$4:$S$3183,MATCH(SMALL($V$4:$V$3183,412),$V$4:$V$3183,0)),"")</f>
        <v/>
      </c>
      <c r="I415" s="29">
        <f>IF($B415="","",IFERROR(INDEX($U$4:$U$3183,MATCH(SMALL($V$4:$V$3183,412),$V$4:$V$3183,0)),""))</f>
        <v/>
      </c>
      <c r="J415">
        <f>IF($B415="","",IF($D415&gt;$F$2,"À venir",IF($E415&lt;$D$2,"Passé","Dans la période")))</f>
        <v/>
      </c>
      <c r="K415">
        <f>IF(OR($B415="",NOT(ISNUMBER($D415))),"",IF(AND($E415&lt;$D$2,$G415&lt;&gt;"X",$F415&lt;&gt;"Réalisé",$F415&lt;&gt;"Clôturé"),"RETARD",""))</f>
        <v/>
      </c>
      <c r="L415">
        <f>IF(OR($B415="",NOT(ISNUMBER($D415))),"",IF(AND($D415&gt;=$D$2,$D415&lt;=$H$2,$G415&lt;&gt;"X",$F415&lt;&gt;"Réalisé",$F415&lt;&gt;"Clôturé"),"≤ 7 j",""))</f>
        <v/>
      </c>
      <c r="M415" s="29">
        <f>IF($B415="","",IFERROR(INDEX($T$4:$T$3183,MATCH(SMALL($V$4:$V$3183,412),$V$4:$V$3183,0)),""))</f>
        <v/>
      </c>
      <c r="O415">
        <f>IF(INDEX(Suivi!$B:$B,423)="","",INDEX(Suivi!$B:$B,423))</f>
        <v/>
      </c>
      <c r="P415">
        <f>IF($O415="","",IF(INDEX(Suivi!$D:$D,423)="",INDEX(Suivi!$C:$C,423),INDEX(Suivi!$D:$D,423)))</f>
        <v/>
      </c>
      <c r="Q415">
        <f>IF($O415="","",INDEX(Suivi!$E:$E,423))</f>
        <v/>
      </c>
      <c r="R415">
        <f>IF($O415="","",INDEX(Suivi!$F:$F,423))</f>
        <v/>
      </c>
      <c r="S415">
        <f>IF($O415="","",INDEX(Suivi!$G:$G,423))</f>
        <v/>
      </c>
      <c r="T415">
        <f>IF($O415="","",IF(INDEX(Dossiers!$F$4:$F$63,8)="","",INDEX(Dossiers!$F$4:$F$63,8)))</f>
        <v/>
      </c>
      <c r="U415">
        <f>IF($O415="","",IF(INDEX(Dossiers!$G$4:$G$63,8)="","",INDEX(Dossiers!$G$4:$G$63,8)))</f>
        <v/>
      </c>
      <c r="V415">
        <f>IF(OR($O415="",NOT(ISNUMBER($Q415))),"",$Q415*1000000+415)</f>
        <v/>
      </c>
      <c r="W415" s="29">
        <f>IF($B415="","",IFERROR(INDEX($U$4:$U$3183,MATCH(SMALL($V$4:$V$3183,412),$V$4:$V$3183,0)),""))</f>
        <v/>
      </c>
    </row>
    <row r="416">
      <c r="A416">
        <f>IFERROR(INDEX($N$4:$N$3183,MATCH(SMALL($V$4:$V$3183,413),$V$4:$V$3183,0)),"")</f>
        <v/>
      </c>
      <c r="B416">
        <f>IFERROR(INDEX($O$4:$O$3183,MATCH(SMALL($V$4:$V$3183,413),$V$4:$V$3183,0)),"")</f>
        <v/>
      </c>
      <c r="C416">
        <f>IFERROR(INDEX($P$4:$P$3183,MATCH(SMALL($V$4:$V$3183,413),$V$4:$V$3183,0)),"")</f>
        <v/>
      </c>
      <c r="D416" s="29">
        <f>IFERROR(INDEX($Q$4:$Q$3183,MATCH(SMALL($V$4:$V$3183,413),$V$4:$V$3183,0)),"")</f>
        <v/>
      </c>
      <c r="E416" s="29">
        <f>IFERROR(INDEX($R$4:$R$3183,MATCH(SMALL($V$4:$V$3183,413),$V$4:$V$3183,0)),"")</f>
        <v/>
      </c>
      <c r="F416">
        <f>IFERROR(INDEX($S$4:$S$3183,MATCH(SMALL($V$4:$V$3183,413),$V$4:$V$3183,0)),"")</f>
        <v/>
      </c>
      <c r="I416" s="29">
        <f>IF($B416="","",IFERROR(INDEX($U$4:$U$3183,MATCH(SMALL($V$4:$V$3183,413),$V$4:$V$3183,0)),""))</f>
        <v/>
      </c>
      <c r="J416">
        <f>IF($B416="","",IF($D416&gt;$F$2,"À venir",IF($E416&lt;$D$2,"Passé","Dans la période")))</f>
        <v/>
      </c>
      <c r="K416">
        <f>IF(OR($B416="",NOT(ISNUMBER($D416))),"",IF(AND($E416&lt;$D$2,$G416&lt;&gt;"X",$F416&lt;&gt;"Réalisé",$F416&lt;&gt;"Clôturé"),"RETARD",""))</f>
        <v/>
      </c>
      <c r="L416">
        <f>IF(OR($B416="",NOT(ISNUMBER($D416))),"",IF(AND($D416&gt;=$D$2,$D416&lt;=$H$2,$G416&lt;&gt;"X",$F416&lt;&gt;"Réalisé",$F416&lt;&gt;"Clôturé"),"≤ 7 j",""))</f>
        <v/>
      </c>
      <c r="M416" s="29">
        <f>IF($B416="","",IFERROR(INDEX($T$4:$T$3183,MATCH(SMALL($V$4:$V$3183,413),$V$4:$V$3183,0)),""))</f>
        <v/>
      </c>
      <c r="O416">
        <f>IF(INDEX(Suivi!$B:$B,424)="","",INDEX(Suivi!$B:$B,424))</f>
        <v/>
      </c>
      <c r="P416">
        <f>IF($O416="","",IF(INDEX(Suivi!$D:$D,424)="",INDEX(Suivi!$C:$C,424),INDEX(Suivi!$D:$D,424)))</f>
        <v/>
      </c>
      <c r="Q416">
        <f>IF($O416="","",INDEX(Suivi!$E:$E,424))</f>
        <v/>
      </c>
      <c r="R416">
        <f>IF($O416="","",INDEX(Suivi!$F:$F,424))</f>
        <v/>
      </c>
      <c r="S416">
        <f>IF($O416="","",INDEX(Suivi!$G:$G,424))</f>
        <v/>
      </c>
      <c r="T416">
        <f>IF($O416="","",IF(INDEX(Dossiers!$F$4:$F$63,8)="","",INDEX(Dossiers!$F$4:$F$63,8)))</f>
        <v/>
      </c>
      <c r="U416">
        <f>IF($O416="","",IF(INDEX(Dossiers!$G$4:$G$63,8)="","",INDEX(Dossiers!$G$4:$G$63,8)))</f>
        <v/>
      </c>
      <c r="V416">
        <f>IF(OR($O416="",NOT(ISNUMBER($Q416))),"",$Q416*1000000+416)</f>
        <v/>
      </c>
      <c r="W416" s="29">
        <f>IF($B416="","",IFERROR(INDEX($U$4:$U$3183,MATCH(SMALL($V$4:$V$3183,413),$V$4:$V$3183,0)),""))</f>
        <v/>
      </c>
    </row>
    <row r="417">
      <c r="A417">
        <f>IFERROR(INDEX($N$4:$N$3183,MATCH(SMALL($V$4:$V$3183,414),$V$4:$V$3183,0)),"")</f>
        <v/>
      </c>
      <c r="B417">
        <f>IFERROR(INDEX($O$4:$O$3183,MATCH(SMALL($V$4:$V$3183,414),$V$4:$V$3183,0)),"")</f>
        <v/>
      </c>
      <c r="C417">
        <f>IFERROR(INDEX($P$4:$P$3183,MATCH(SMALL($V$4:$V$3183,414),$V$4:$V$3183,0)),"")</f>
        <v/>
      </c>
      <c r="D417" s="29">
        <f>IFERROR(INDEX($Q$4:$Q$3183,MATCH(SMALL($V$4:$V$3183,414),$V$4:$V$3183,0)),"")</f>
        <v/>
      </c>
      <c r="E417" s="29">
        <f>IFERROR(INDEX($R$4:$R$3183,MATCH(SMALL($V$4:$V$3183,414),$V$4:$V$3183,0)),"")</f>
        <v/>
      </c>
      <c r="F417">
        <f>IFERROR(INDEX($S$4:$S$3183,MATCH(SMALL($V$4:$V$3183,414),$V$4:$V$3183,0)),"")</f>
        <v/>
      </c>
      <c r="I417" s="29">
        <f>IF($B417="","",IFERROR(INDEX($U$4:$U$3183,MATCH(SMALL($V$4:$V$3183,414),$V$4:$V$3183,0)),""))</f>
        <v/>
      </c>
      <c r="J417">
        <f>IF($B417="","",IF($D417&gt;$F$2,"À venir",IF($E417&lt;$D$2,"Passé","Dans la période")))</f>
        <v/>
      </c>
      <c r="K417">
        <f>IF(OR($B417="",NOT(ISNUMBER($D417))),"",IF(AND($E417&lt;$D$2,$G417&lt;&gt;"X",$F417&lt;&gt;"Réalisé",$F417&lt;&gt;"Clôturé"),"RETARD",""))</f>
        <v/>
      </c>
      <c r="L417">
        <f>IF(OR($B417="",NOT(ISNUMBER($D417))),"",IF(AND($D417&gt;=$D$2,$D417&lt;=$H$2,$G417&lt;&gt;"X",$F417&lt;&gt;"Réalisé",$F417&lt;&gt;"Clôturé"),"≤ 7 j",""))</f>
        <v/>
      </c>
      <c r="M417" s="29">
        <f>IF($B417="","",IFERROR(INDEX($T$4:$T$3183,MATCH(SMALL($V$4:$V$3183,414),$V$4:$V$3183,0)),""))</f>
        <v/>
      </c>
      <c r="O417">
        <f>IF(INDEX(Suivi!$B:$B,425)="","",INDEX(Suivi!$B:$B,425))</f>
        <v/>
      </c>
      <c r="P417">
        <f>IF($O417="","",IF(INDEX(Suivi!$D:$D,425)="",INDEX(Suivi!$C:$C,425),INDEX(Suivi!$D:$D,425)))</f>
        <v/>
      </c>
      <c r="Q417">
        <f>IF($O417="","",INDEX(Suivi!$E:$E,425))</f>
        <v/>
      </c>
      <c r="R417">
        <f>IF($O417="","",INDEX(Suivi!$F:$F,425))</f>
        <v/>
      </c>
      <c r="S417">
        <f>IF($O417="","",INDEX(Suivi!$G:$G,425))</f>
        <v/>
      </c>
      <c r="T417">
        <f>IF($O417="","",IF(INDEX(Dossiers!$F$4:$F$63,8)="","",INDEX(Dossiers!$F$4:$F$63,8)))</f>
        <v/>
      </c>
      <c r="U417">
        <f>IF($O417="","",IF(INDEX(Dossiers!$G$4:$G$63,8)="","",INDEX(Dossiers!$G$4:$G$63,8)))</f>
        <v/>
      </c>
      <c r="V417">
        <f>IF(OR($O417="",NOT(ISNUMBER($Q417))),"",$Q417*1000000+417)</f>
        <v/>
      </c>
      <c r="W417" s="29">
        <f>IF($B417="","",IFERROR(INDEX($U$4:$U$3183,MATCH(SMALL($V$4:$V$3183,414),$V$4:$V$3183,0)),""))</f>
        <v/>
      </c>
    </row>
    <row r="418">
      <c r="A418">
        <f>IFERROR(INDEX($N$4:$N$3183,MATCH(SMALL($V$4:$V$3183,415),$V$4:$V$3183,0)),"")</f>
        <v/>
      </c>
      <c r="B418">
        <f>IFERROR(INDEX($O$4:$O$3183,MATCH(SMALL($V$4:$V$3183,415),$V$4:$V$3183,0)),"")</f>
        <v/>
      </c>
      <c r="C418">
        <f>IFERROR(INDEX($P$4:$P$3183,MATCH(SMALL($V$4:$V$3183,415),$V$4:$V$3183,0)),"")</f>
        <v/>
      </c>
      <c r="D418" s="29">
        <f>IFERROR(INDEX($Q$4:$Q$3183,MATCH(SMALL($V$4:$V$3183,415),$V$4:$V$3183,0)),"")</f>
        <v/>
      </c>
      <c r="E418" s="29">
        <f>IFERROR(INDEX($R$4:$R$3183,MATCH(SMALL($V$4:$V$3183,415),$V$4:$V$3183,0)),"")</f>
        <v/>
      </c>
      <c r="F418">
        <f>IFERROR(INDEX($S$4:$S$3183,MATCH(SMALL($V$4:$V$3183,415),$V$4:$V$3183,0)),"")</f>
        <v/>
      </c>
      <c r="I418" s="29">
        <f>IF($B418="","",IFERROR(INDEX($U$4:$U$3183,MATCH(SMALL($V$4:$V$3183,415),$V$4:$V$3183,0)),""))</f>
        <v/>
      </c>
      <c r="J418">
        <f>IF($B418="","",IF($D418&gt;$F$2,"À venir",IF($E418&lt;$D$2,"Passé","Dans la période")))</f>
        <v/>
      </c>
      <c r="K418">
        <f>IF(OR($B418="",NOT(ISNUMBER($D418))),"",IF(AND($E418&lt;$D$2,$G418&lt;&gt;"X",$F418&lt;&gt;"Réalisé",$F418&lt;&gt;"Clôturé"),"RETARD",""))</f>
        <v/>
      </c>
      <c r="L418">
        <f>IF(OR($B418="",NOT(ISNUMBER($D418))),"",IF(AND($D418&gt;=$D$2,$D418&lt;=$H$2,$G418&lt;&gt;"X",$F418&lt;&gt;"Réalisé",$F418&lt;&gt;"Clôturé"),"≤ 7 j",""))</f>
        <v/>
      </c>
      <c r="M418" s="29">
        <f>IF($B418="","",IFERROR(INDEX($T$4:$T$3183,MATCH(SMALL($V$4:$V$3183,415),$V$4:$V$3183,0)),""))</f>
        <v/>
      </c>
      <c r="O418">
        <f>IF(INDEX(Suivi!$B:$B,426)="","",INDEX(Suivi!$B:$B,426))</f>
        <v/>
      </c>
      <c r="P418">
        <f>IF($O418="","",IF(INDEX(Suivi!$D:$D,426)="",INDEX(Suivi!$C:$C,426),INDEX(Suivi!$D:$D,426)))</f>
        <v/>
      </c>
      <c r="Q418">
        <f>IF($O418="","",INDEX(Suivi!$E:$E,426))</f>
        <v/>
      </c>
      <c r="R418">
        <f>IF($O418="","",INDEX(Suivi!$F:$F,426))</f>
        <v/>
      </c>
      <c r="S418">
        <f>IF($O418="","",INDEX(Suivi!$G:$G,426))</f>
        <v/>
      </c>
      <c r="T418">
        <f>IF($O418="","",IF(INDEX(Dossiers!$F$4:$F$63,8)="","",INDEX(Dossiers!$F$4:$F$63,8)))</f>
        <v/>
      </c>
      <c r="U418">
        <f>IF($O418="","",IF(INDEX(Dossiers!$G$4:$G$63,8)="","",INDEX(Dossiers!$G$4:$G$63,8)))</f>
        <v/>
      </c>
      <c r="V418">
        <f>IF(OR($O418="",NOT(ISNUMBER($Q418))),"",$Q418*1000000+418)</f>
        <v/>
      </c>
      <c r="W418" s="29">
        <f>IF($B418="","",IFERROR(INDEX($U$4:$U$3183,MATCH(SMALL($V$4:$V$3183,415),$V$4:$V$3183,0)),""))</f>
        <v/>
      </c>
    </row>
    <row r="419">
      <c r="A419">
        <f>IFERROR(INDEX($N$4:$N$3183,MATCH(SMALL($V$4:$V$3183,416),$V$4:$V$3183,0)),"")</f>
        <v/>
      </c>
      <c r="B419">
        <f>IFERROR(INDEX($O$4:$O$3183,MATCH(SMALL($V$4:$V$3183,416),$V$4:$V$3183,0)),"")</f>
        <v/>
      </c>
      <c r="C419">
        <f>IFERROR(INDEX($P$4:$P$3183,MATCH(SMALL($V$4:$V$3183,416),$V$4:$V$3183,0)),"")</f>
        <v/>
      </c>
      <c r="D419" s="29">
        <f>IFERROR(INDEX($Q$4:$Q$3183,MATCH(SMALL($V$4:$V$3183,416),$V$4:$V$3183,0)),"")</f>
        <v/>
      </c>
      <c r="E419" s="29">
        <f>IFERROR(INDEX($R$4:$R$3183,MATCH(SMALL($V$4:$V$3183,416),$V$4:$V$3183,0)),"")</f>
        <v/>
      </c>
      <c r="F419">
        <f>IFERROR(INDEX($S$4:$S$3183,MATCH(SMALL($V$4:$V$3183,416),$V$4:$V$3183,0)),"")</f>
        <v/>
      </c>
      <c r="I419" s="29">
        <f>IF($B419="","",IFERROR(INDEX($U$4:$U$3183,MATCH(SMALL($V$4:$V$3183,416),$V$4:$V$3183,0)),""))</f>
        <v/>
      </c>
      <c r="J419">
        <f>IF($B419="","",IF($D419&gt;$F$2,"À venir",IF($E419&lt;$D$2,"Passé","Dans la période")))</f>
        <v/>
      </c>
      <c r="K419">
        <f>IF(OR($B419="",NOT(ISNUMBER($D419))),"",IF(AND($E419&lt;$D$2,$G419&lt;&gt;"X",$F419&lt;&gt;"Réalisé",$F419&lt;&gt;"Clôturé"),"RETARD",""))</f>
        <v/>
      </c>
      <c r="L419">
        <f>IF(OR($B419="",NOT(ISNUMBER($D419))),"",IF(AND($D419&gt;=$D$2,$D419&lt;=$H$2,$G419&lt;&gt;"X",$F419&lt;&gt;"Réalisé",$F419&lt;&gt;"Clôturé"),"≤ 7 j",""))</f>
        <v/>
      </c>
      <c r="M419" s="29">
        <f>IF($B419="","",IFERROR(INDEX($T$4:$T$3183,MATCH(SMALL($V$4:$V$3183,416),$V$4:$V$3183,0)),""))</f>
        <v/>
      </c>
      <c r="O419">
        <f>IF(INDEX(Suivi!$B:$B,427)="","",INDEX(Suivi!$B:$B,427))</f>
        <v/>
      </c>
      <c r="P419">
        <f>IF($O419="","",IF(INDEX(Suivi!$D:$D,427)="",INDEX(Suivi!$C:$C,427),INDEX(Suivi!$D:$D,427)))</f>
        <v/>
      </c>
      <c r="Q419">
        <f>IF($O419="","",INDEX(Suivi!$E:$E,427))</f>
        <v/>
      </c>
      <c r="R419">
        <f>IF($O419="","",INDEX(Suivi!$F:$F,427))</f>
        <v/>
      </c>
      <c r="S419">
        <f>IF($O419="","",INDEX(Suivi!$G:$G,427))</f>
        <v/>
      </c>
      <c r="T419">
        <f>IF($O419="","",IF(INDEX(Dossiers!$F$4:$F$63,8)="","",INDEX(Dossiers!$F$4:$F$63,8)))</f>
        <v/>
      </c>
      <c r="U419">
        <f>IF($O419="","",IF(INDEX(Dossiers!$G$4:$G$63,8)="","",INDEX(Dossiers!$G$4:$G$63,8)))</f>
        <v/>
      </c>
      <c r="V419">
        <f>IF(OR($O419="",NOT(ISNUMBER($Q419))),"",$Q419*1000000+419)</f>
        <v/>
      </c>
      <c r="W419" s="29">
        <f>IF($B419="","",IFERROR(INDEX($U$4:$U$3183,MATCH(SMALL($V$4:$V$3183,416),$V$4:$V$3183,0)),""))</f>
        <v/>
      </c>
    </row>
    <row r="420">
      <c r="A420">
        <f>IFERROR(INDEX($N$4:$N$3183,MATCH(SMALL($V$4:$V$3183,417),$V$4:$V$3183,0)),"")</f>
        <v/>
      </c>
      <c r="B420">
        <f>IFERROR(INDEX($O$4:$O$3183,MATCH(SMALL($V$4:$V$3183,417),$V$4:$V$3183,0)),"")</f>
        <v/>
      </c>
      <c r="C420">
        <f>IFERROR(INDEX($P$4:$P$3183,MATCH(SMALL($V$4:$V$3183,417),$V$4:$V$3183,0)),"")</f>
        <v/>
      </c>
      <c r="D420" s="29">
        <f>IFERROR(INDEX($Q$4:$Q$3183,MATCH(SMALL($V$4:$V$3183,417),$V$4:$V$3183,0)),"")</f>
        <v/>
      </c>
      <c r="E420" s="29">
        <f>IFERROR(INDEX($R$4:$R$3183,MATCH(SMALL($V$4:$V$3183,417),$V$4:$V$3183,0)),"")</f>
        <v/>
      </c>
      <c r="F420">
        <f>IFERROR(INDEX($S$4:$S$3183,MATCH(SMALL($V$4:$V$3183,417),$V$4:$V$3183,0)),"")</f>
        <v/>
      </c>
      <c r="I420" s="29">
        <f>IF($B420="","",IFERROR(INDEX($U$4:$U$3183,MATCH(SMALL($V$4:$V$3183,417),$V$4:$V$3183,0)),""))</f>
        <v/>
      </c>
      <c r="J420">
        <f>IF($B420="","",IF($D420&gt;$F$2,"À venir",IF($E420&lt;$D$2,"Passé","Dans la période")))</f>
        <v/>
      </c>
      <c r="K420">
        <f>IF(OR($B420="",NOT(ISNUMBER($D420))),"",IF(AND($E420&lt;$D$2,$G420&lt;&gt;"X",$F420&lt;&gt;"Réalisé",$F420&lt;&gt;"Clôturé"),"RETARD",""))</f>
        <v/>
      </c>
      <c r="L420">
        <f>IF(OR($B420="",NOT(ISNUMBER($D420))),"",IF(AND($D420&gt;=$D$2,$D420&lt;=$H$2,$G420&lt;&gt;"X",$F420&lt;&gt;"Réalisé",$F420&lt;&gt;"Clôturé"),"≤ 7 j",""))</f>
        <v/>
      </c>
      <c r="M420" s="29">
        <f>IF($B420="","",IFERROR(INDEX($T$4:$T$3183,MATCH(SMALL($V$4:$V$3183,417),$V$4:$V$3183,0)),""))</f>
        <v/>
      </c>
      <c r="O420">
        <f>IF(INDEX(Suivi!$B:$B,428)="","",INDEX(Suivi!$B:$B,428))</f>
        <v/>
      </c>
      <c r="P420">
        <f>IF($O420="","",IF(INDEX(Suivi!$D:$D,428)="",INDEX(Suivi!$C:$C,428),INDEX(Suivi!$D:$D,428)))</f>
        <v/>
      </c>
      <c r="Q420">
        <f>IF($O420="","",INDEX(Suivi!$E:$E,428))</f>
        <v/>
      </c>
      <c r="R420">
        <f>IF($O420="","",INDEX(Suivi!$F:$F,428))</f>
        <v/>
      </c>
      <c r="S420">
        <f>IF($O420="","",INDEX(Suivi!$G:$G,428))</f>
        <v/>
      </c>
      <c r="T420">
        <f>IF($O420="","",IF(INDEX(Dossiers!$F$4:$F$63,8)="","",INDEX(Dossiers!$F$4:$F$63,8)))</f>
        <v/>
      </c>
      <c r="U420">
        <f>IF($O420="","",IF(INDEX(Dossiers!$G$4:$G$63,8)="","",INDEX(Dossiers!$G$4:$G$63,8)))</f>
        <v/>
      </c>
      <c r="V420">
        <f>IF(OR($O420="",NOT(ISNUMBER($Q420))),"",$Q420*1000000+420)</f>
        <v/>
      </c>
      <c r="W420" s="29">
        <f>IF($B420="","",IFERROR(INDEX($U$4:$U$3183,MATCH(SMALL($V$4:$V$3183,417),$V$4:$V$3183,0)),""))</f>
        <v/>
      </c>
    </row>
    <row r="421">
      <c r="A421">
        <f>IFERROR(INDEX($N$4:$N$3183,MATCH(SMALL($V$4:$V$3183,418),$V$4:$V$3183,0)),"")</f>
        <v/>
      </c>
      <c r="B421">
        <f>IFERROR(INDEX($O$4:$O$3183,MATCH(SMALL($V$4:$V$3183,418),$V$4:$V$3183,0)),"")</f>
        <v/>
      </c>
      <c r="C421">
        <f>IFERROR(INDEX($P$4:$P$3183,MATCH(SMALL($V$4:$V$3183,418),$V$4:$V$3183,0)),"")</f>
        <v/>
      </c>
      <c r="D421" s="29">
        <f>IFERROR(INDEX($Q$4:$Q$3183,MATCH(SMALL($V$4:$V$3183,418),$V$4:$V$3183,0)),"")</f>
        <v/>
      </c>
      <c r="E421" s="29">
        <f>IFERROR(INDEX($R$4:$R$3183,MATCH(SMALL($V$4:$V$3183,418),$V$4:$V$3183,0)),"")</f>
        <v/>
      </c>
      <c r="F421">
        <f>IFERROR(INDEX($S$4:$S$3183,MATCH(SMALL($V$4:$V$3183,418),$V$4:$V$3183,0)),"")</f>
        <v/>
      </c>
      <c r="I421" s="29">
        <f>IF($B421="","",IFERROR(INDEX($U$4:$U$3183,MATCH(SMALL($V$4:$V$3183,418),$V$4:$V$3183,0)),""))</f>
        <v/>
      </c>
      <c r="J421">
        <f>IF($B421="","",IF($D421&gt;$F$2,"À venir",IF($E421&lt;$D$2,"Passé","Dans la période")))</f>
        <v/>
      </c>
      <c r="K421">
        <f>IF(OR($B421="",NOT(ISNUMBER($D421))),"",IF(AND($E421&lt;$D$2,$G421&lt;&gt;"X",$F421&lt;&gt;"Réalisé",$F421&lt;&gt;"Clôturé"),"RETARD",""))</f>
        <v/>
      </c>
      <c r="L421">
        <f>IF(OR($B421="",NOT(ISNUMBER($D421))),"",IF(AND($D421&gt;=$D$2,$D421&lt;=$H$2,$G421&lt;&gt;"X",$F421&lt;&gt;"Réalisé",$F421&lt;&gt;"Clôturé"),"≤ 7 j",""))</f>
        <v/>
      </c>
      <c r="M421" s="29">
        <f>IF($B421="","",IFERROR(INDEX($T$4:$T$3183,MATCH(SMALL($V$4:$V$3183,418),$V$4:$V$3183,0)),""))</f>
        <v/>
      </c>
      <c r="O421">
        <f>IF(INDEX(Suivi!$B:$B,429)="","",INDEX(Suivi!$B:$B,429))</f>
        <v/>
      </c>
      <c r="P421">
        <f>IF($O421="","",IF(INDEX(Suivi!$D:$D,429)="",INDEX(Suivi!$C:$C,429),INDEX(Suivi!$D:$D,429)))</f>
        <v/>
      </c>
      <c r="Q421">
        <f>IF($O421="","",INDEX(Suivi!$E:$E,429))</f>
        <v/>
      </c>
      <c r="R421">
        <f>IF($O421="","",INDEX(Suivi!$F:$F,429))</f>
        <v/>
      </c>
      <c r="S421">
        <f>IF($O421="","",INDEX(Suivi!$G:$G,429))</f>
        <v/>
      </c>
      <c r="T421">
        <f>IF($O421="","",IF(INDEX(Dossiers!$F$4:$F$63,8)="","",INDEX(Dossiers!$F$4:$F$63,8)))</f>
        <v/>
      </c>
      <c r="U421">
        <f>IF($O421="","",IF(INDEX(Dossiers!$G$4:$G$63,8)="","",INDEX(Dossiers!$G$4:$G$63,8)))</f>
        <v/>
      </c>
      <c r="V421">
        <f>IF(OR($O421="",NOT(ISNUMBER($Q421))),"",$Q421*1000000+421)</f>
        <v/>
      </c>
      <c r="W421" s="29">
        <f>IF($B421="","",IFERROR(INDEX($U$4:$U$3183,MATCH(SMALL($V$4:$V$3183,418),$V$4:$V$3183,0)),""))</f>
        <v/>
      </c>
    </row>
    <row r="422">
      <c r="A422">
        <f>IFERROR(INDEX($N$4:$N$3183,MATCH(SMALL($V$4:$V$3183,419),$V$4:$V$3183,0)),"")</f>
        <v/>
      </c>
      <c r="B422">
        <f>IFERROR(INDEX($O$4:$O$3183,MATCH(SMALL($V$4:$V$3183,419),$V$4:$V$3183,0)),"")</f>
        <v/>
      </c>
      <c r="C422">
        <f>IFERROR(INDEX($P$4:$P$3183,MATCH(SMALL($V$4:$V$3183,419),$V$4:$V$3183,0)),"")</f>
        <v/>
      </c>
      <c r="D422" s="29">
        <f>IFERROR(INDEX($Q$4:$Q$3183,MATCH(SMALL($V$4:$V$3183,419),$V$4:$V$3183,0)),"")</f>
        <v/>
      </c>
      <c r="E422" s="29">
        <f>IFERROR(INDEX($R$4:$R$3183,MATCH(SMALL($V$4:$V$3183,419),$V$4:$V$3183,0)),"")</f>
        <v/>
      </c>
      <c r="F422">
        <f>IFERROR(INDEX($S$4:$S$3183,MATCH(SMALL($V$4:$V$3183,419),$V$4:$V$3183,0)),"")</f>
        <v/>
      </c>
      <c r="I422" s="29">
        <f>IF($B422="","",IFERROR(INDEX($U$4:$U$3183,MATCH(SMALL($V$4:$V$3183,419),$V$4:$V$3183,0)),""))</f>
        <v/>
      </c>
      <c r="J422">
        <f>IF($B422="","",IF($D422&gt;$F$2,"À venir",IF($E422&lt;$D$2,"Passé","Dans la période")))</f>
        <v/>
      </c>
      <c r="K422">
        <f>IF(OR($B422="",NOT(ISNUMBER($D422))),"",IF(AND($E422&lt;$D$2,$G422&lt;&gt;"X",$F422&lt;&gt;"Réalisé",$F422&lt;&gt;"Clôturé"),"RETARD",""))</f>
        <v/>
      </c>
      <c r="L422">
        <f>IF(OR($B422="",NOT(ISNUMBER($D422))),"",IF(AND($D422&gt;=$D$2,$D422&lt;=$H$2,$G422&lt;&gt;"X",$F422&lt;&gt;"Réalisé",$F422&lt;&gt;"Clôturé"),"≤ 7 j",""))</f>
        <v/>
      </c>
      <c r="M422" s="29">
        <f>IF($B422="","",IFERROR(INDEX($T$4:$T$3183,MATCH(SMALL($V$4:$V$3183,419),$V$4:$V$3183,0)),""))</f>
        <v/>
      </c>
      <c r="O422">
        <f>IF(INDEX(Suivi!$B:$B,430)="","",INDEX(Suivi!$B:$B,430))</f>
        <v/>
      </c>
      <c r="P422">
        <f>IF($O422="","",IF(INDEX(Suivi!$D:$D,430)="",INDEX(Suivi!$C:$C,430),INDEX(Suivi!$D:$D,430)))</f>
        <v/>
      </c>
      <c r="Q422">
        <f>IF($O422="","",INDEX(Suivi!$E:$E,430))</f>
        <v/>
      </c>
      <c r="R422">
        <f>IF($O422="","",INDEX(Suivi!$F:$F,430))</f>
        <v/>
      </c>
      <c r="S422">
        <f>IF($O422="","",INDEX(Suivi!$G:$G,430))</f>
        <v/>
      </c>
      <c r="T422">
        <f>IF($O422="","",IF(INDEX(Dossiers!$F$4:$F$63,8)="","",INDEX(Dossiers!$F$4:$F$63,8)))</f>
        <v/>
      </c>
      <c r="U422">
        <f>IF($O422="","",IF(INDEX(Dossiers!$G$4:$G$63,8)="","",INDEX(Dossiers!$G$4:$G$63,8)))</f>
        <v/>
      </c>
      <c r="V422">
        <f>IF(OR($O422="",NOT(ISNUMBER($Q422))),"",$Q422*1000000+422)</f>
        <v/>
      </c>
      <c r="W422" s="29">
        <f>IF($B422="","",IFERROR(INDEX($U$4:$U$3183,MATCH(SMALL($V$4:$V$3183,419),$V$4:$V$3183,0)),""))</f>
        <v/>
      </c>
    </row>
    <row r="423">
      <c r="A423">
        <f>IFERROR(INDEX($N$4:$N$3183,MATCH(SMALL($V$4:$V$3183,420),$V$4:$V$3183,0)),"")</f>
        <v/>
      </c>
      <c r="B423">
        <f>IFERROR(INDEX($O$4:$O$3183,MATCH(SMALL($V$4:$V$3183,420),$V$4:$V$3183,0)),"")</f>
        <v/>
      </c>
      <c r="C423">
        <f>IFERROR(INDEX($P$4:$P$3183,MATCH(SMALL($V$4:$V$3183,420),$V$4:$V$3183,0)),"")</f>
        <v/>
      </c>
      <c r="D423" s="29">
        <f>IFERROR(INDEX($Q$4:$Q$3183,MATCH(SMALL($V$4:$V$3183,420),$V$4:$V$3183,0)),"")</f>
        <v/>
      </c>
      <c r="E423" s="29">
        <f>IFERROR(INDEX($R$4:$R$3183,MATCH(SMALL($V$4:$V$3183,420),$V$4:$V$3183,0)),"")</f>
        <v/>
      </c>
      <c r="F423">
        <f>IFERROR(INDEX($S$4:$S$3183,MATCH(SMALL($V$4:$V$3183,420),$V$4:$V$3183,0)),"")</f>
        <v/>
      </c>
      <c r="I423" s="29">
        <f>IF($B423="","",IFERROR(INDEX($U$4:$U$3183,MATCH(SMALL($V$4:$V$3183,420),$V$4:$V$3183,0)),""))</f>
        <v/>
      </c>
      <c r="J423">
        <f>IF($B423="","",IF($D423&gt;$F$2,"À venir",IF($E423&lt;$D$2,"Passé","Dans la période")))</f>
        <v/>
      </c>
      <c r="K423">
        <f>IF(OR($B423="",NOT(ISNUMBER($D423))),"",IF(AND($E423&lt;$D$2,$G423&lt;&gt;"X",$F423&lt;&gt;"Réalisé",$F423&lt;&gt;"Clôturé"),"RETARD",""))</f>
        <v/>
      </c>
      <c r="L423">
        <f>IF(OR($B423="",NOT(ISNUMBER($D423))),"",IF(AND($D423&gt;=$D$2,$D423&lt;=$H$2,$G423&lt;&gt;"X",$F423&lt;&gt;"Réalisé",$F423&lt;&gt;"Clôturé"),"≤ 7 j",""))</f>
        <v/>
      </c>
      <c r="M423" s="29">
        <f>IF($B423="","",IFERROR(INDEX($T$4:$T$3183,MATCH(SMALL($V$4:$V$3183,420),$V$4:$V$3183,0)),""))</f>
        <v/>
      </c>
      <c r="O423">
        <f>IF(INDEX(Suivi!$B:$B,431)="","",INDEX(Suivi!$B:$B,431))</f>
        <v/>
      </c>
      <c r="P423">
        <f>IF($O423="","",IF(INDEX(Suivi!$D:$D,431)="",INDEX(Suivi!$C:$C,431),INDEX(Suivi!$D:$D,431)))</f>
        <v/>
      </c>
      <c r="Q423">
        <f>IF($O423="","",INDEX(Suivi!$E:$E,431))</f>
        <v/>
      </c>
      <c r="R423">
        <f>IF($O423="","",INDEX(Suivi!$F:$F,431))</f>
        <v/>
      </c>
      <c r="S423">
        <f>IF($O423="","",INDEX(Suivi!$G:$G,431))</f>
        <v/>
      </c>
      <c r="T423">
        <f>IF($O423="","",IF(INDEX(Dossiers!$F$4:$F$63,8)="","",INDEX(Dossiers!$F$4:$F$63,8)))</f>
        <v/>
      </c>
      <c r="U423">
        <f>IF($O423="","",IF(INDEX(Dossiers!$G$4:$G$63,8)="","",INDEX(Dossiers!$G$4:$G$63,8)))</f>
        <v/>
      </c>
      <c r="V423">
        <f>IF(OR($O423="",NOT(ISNUMBER($Q423))),"",$Q423*1000000+423)</f>
        <v/>
      </c>
      <c r="W423" s="29">
        <f>IF($B423="","",IFERROR(INDEX($U$4:$U$3183,MATCH(SMALL($V$4:$V$3183,420),$V$4:$V$3183,0)),""))</f>
        <v/>
      </c>
    </row>
    <row r="424">
      <c r="A424">
        <f>IFERROR(INDEX($N$4:$N$3183,MATCH(SMALL($V$4:$V$3183,421),$V$4:$V$3183,0)),"")</f>
        <v/>
      </c>
      <c r="B424">
        <f>IFERROR(INDEX($O$4:$O$3183,MATCH(SMALL($V$4:$V$3183,421),$V$4:$V$3183,0)),"")</f>
        <v/>
      </c>
      <c r="C424">
        <f>IFERROR(INDEX($P$4:$P$3183,MATCH(SMALL($V$4:$V$3183,421),$V$4:$V$3183,0)),"")</f>
        <v/>
      </c>
      <c r="D424" s="29">
        <f>IFERROR(INDEX($Q$4:$Q$3183,MATCH(SMALL($V$4:$V$3183,421),$V$4:$V$3183,0)),"")</f>
        <v/>
      </c>
      <c r="E424" s="29">
        <f>IFERROR(INDEX($R$4:$R$3183,MATCH(SMALL($V$4:$V$3183,421),$V$4:$V$3183,0)),"")</f>
        <v/>
      </c>
      <c r="F424">
        <f>IFERROR(INDEX($S$4:$S$3183,MATCH(SMALL($V$4:$V$3183,421),$V$4:$V$3183,0)),"")</f>
        <v/>
      </c>
      <c r="I424" s="29">
        <f>IF($B424="","",IFERROR(INDEX($U$4:$U$3183,MATCH(SMALL($V$4:$V$3183,421),$V$4:$V$3183,0)),""))</f>
        <v/>
      </c>
      <c r="J424">
        <f>IF($B424="","",IF($D424&gt;$F$2,"À venir",IF($E424&lt;$D$2,"Passé","Dans la période")))</f>
        <v/>
      </c>
      <c r="K424">
        <f>IF(OR($B424="",NOT(ISNUMBER($D424))),"",IF(AND($E424&lt;$D$2,$G424&lt;&gt;"X",$F424&lt;&gt;"Réalisé",$F424&lt;&gt;"Clôturé"),"RETARD",""))</f>
        <v/>
      </c>
      <c r="L424">
        <f>IF(OR($B424="",NOT(ISNUMBER($D424))),"",IF(AND($D424&gt;=$D$2,$D424&lt;=$H$2,$G424&lt;&gt;"X",$F424&lt;&gt;"Réalisé",$F424&lt;&gt;"Clôturé"),"≤ 7 j",""))</f>
        <v/>
      </c>
      <c r="M424" s="29">
        <f>IF($B424="","",IFERROR(INDEX($T$4:$T$3183,MATCH(SMALL($V$4:$V$3183,421),$V$4:$V$3183,0)),""))</f>
        <v/>
      </c>
      <c r="O424">
        <f>IF(INDEX(Suivi!$B:$B,432)="","",INDEX(Suivi!$B:$B,432))</f>
        <v/>
      </c>
      <c r="P424">
        <f>IF($O424="","",IF(INDEX(Suivi!$D:$D,432)="",INDEX(Suivi!$C:$C,432),INDEX(Suivi!$D:$D,432)))</f>
        <v/>
      </c>
      <c r="Q424">
        <f>IF($O424="","",INDEX(Suivi!$E:$E,432))</f>
        <v/>
      </c>
      <c r="R424">
        <f>IF($O424="","",INDEX(Suivi!$F:$F,432))</f>
        <v/>
      </c>
      <c r="S424">
        <f>IF($O424="","",INDEX(Suivi!$G:$G,432))</f>
        <v/>
      </c>
      <c r="T424">
        <f>IF($O424="","",IF(INDEX(Dossiers!$F$4:$F$63,8)="","",INDEX(Dossiers!$F$4:$F$63,8)))</f>
        <v/>
      </c>
      <c r="U424">
        <f>IF($O424="","",IF(INDEX(Dossiers!$G$4:$G$63,8)="","",INDEX(Dossiers!$G$4:$G$63,8)))</f>
        <v/>
      </c>
      <c r="V424">
        <f>IF(OR($O424="",NOT(ISNUMBER($Q424))),"",$Q424*1000000+424)</f>
        <v/>
      </c>
      <c r="W424" s="29">
        <f>IF($B424="","",IFERROR(INDEX($U$4:$U$3183,MATCH(SMALL($V$4:$V$3183,421),$V$4:$V$3183,0)),""))</f>
        <v/>
      </c>
    </row>
    <row r="425">
      <c r="A425">
        <f>IFERROR(INDEX($N$4:$N$3183,MATCH(SMALL($V$4:$V$3183,422),$V$4:$V$3183,0)),"")</f>
        <v/>
      </c>
      <c r="B425">
        <f>IFERROR(INDEX($O$4:$O$3183,MATCH(SMALL($V$4:$V$3183,422),$V$4:$V$3183,0)),"")</f>
        <v/>
      </c>
      <c r="C425">
        <f>IFERROR(INDEX($P$4:$P$3183,MATCH(SMALL($V$4:$V$3183,422),$V$4:$V$3183,0)),"")</f>
        <v/>
      </c>
      <c r="D425" s="29">
        <f>IFERROR(INDEX($Q$4:$Q$3183,MATCH(SMALL($V$4:$V$3183,422),$V$4:$V$3183,0)),"")</f>
        <v/>
      </c>
      <c r="E425" s="29">
        <f>IFERROR(INDEX($R$4:$R$3183,MATCH(SMALL($V$4:$V$3183,422),$V$4:$V$3183,0)),"")</f>
        <v/>
      </c>
      <c r="F425">
        <f>IFERROR(INDEX($S$4:$S$3183,MATCH(SMALL($V$4:$V$3183,422),$V$4:$V$3183,0)),"")</f>
        <v/>
      </c>
      <c r="I425" s="29">
        <f>IF($B425="","",IFERROR(INDEX($U$4:$U$3183,MATCH(SMALL($V$4:$V$3183,422),$V$4:$V$3183,0)),""))</f>
        <v/>
      </c>
      <c r="J425">
        <f>IF($B425="","",IF($D425&gt;$F$2,"À venir",IF($E425&lt;$D$2,"Passé","Dans la période")))</f>
        <v/>
      </c>
      <c r="K425">
        <f>IF(OR($B425="",NOT(ISNUMBER($D425))),"",IF(AND($E425&lt;$D$2,$G425&lt;&gt;"X",$F425&lt;&gt;"Réalisé",$F425&lt;&gt;"Clôturé"),"RETARD",""))</f>
        <v/>
      </c>
      <c r="L425">
        <f>IF(OR($B425="",NOT(ISNUMBER($D425))),"",IF(AND($D425&gt;=$D$2,$D425&lt;=$H$2,$G425&lt;&gt;"X",$F425&lt;&gt;"Réalisé",$F425&lt;&gt;"Clôturé"),"≤ 7 j",""))</f>
        <v/>
      </c>
      <c r="M425" s="29">
        <f>IF($B425="","",IFERROR(INDEX($T$4:$T$3183,MATCH(SMALL($V$4:$V$3183,422),$V$4:$V$3183,0)),""))</f>
        <v/>
      </c>
      <c r="O425">
        <f>IF(INDEX(Suivi!$B:$B,433)="","",INDEX(Suivi!$B:$B,433))</f>
        <v/>
      </c>
      <c r="P425">
        <f>IF($O425="","",IF(INDEX(Suivi!$D:$D,433)="",INDEX(Suivi!$C:$C,433),INDEX(Suivi!$D:$D,433)))</f>
        <v/>
      </c>
      <c r="Q425">
        <f>IF($O425="","",INDEX(Suivi!$E:$E,433))</f>
        <v/>
      </c>
      <c r="R425">
        <f>IF($O425="","",INDEX(Suivi!$F:$F,433))</f>
        <v/>
      </c>
      <c r="S425">
        <f>IF($O425="","",INDEX(Suivi!$G:$G,433))</f>
        <v/>
      </c>
      <c r="T425">
        <f>IF($O425="","",IF(INDEX(Dossiers!$F$4:$F$63,8)="","",INDEX(Dossiers!$F$4:$F$63,8)))</f>
        <v/>
      </c>
      <c r="U425">
        <f>IF($O425="","",IF(INDEX(Dossiers!$G$4:$G$63,8)="","",INDEX(Dossiers!$G$4:$G$63,8)))</f>
        <v/>
      </c>
      <c r="V425">
        <f>IF(OR($O425="",NOT(ISNUMBER($Q425))),"",$Q425*1000000+425)</f>
        <v/>
      </c>
      <c r="W425" s="29">
        <f>IF($B425="","",IFERROR(INDEX($U$4:$U$3183,MATCH(SMALL($V$4:$V$3183,422),$V$4:$V$3183,0)),""))</f>
        <v/>
      </c>
    </row>
    <row r="426">
      <c r="A426">
        <f>IFERROR(INDEX($N$4:$N$3183,MATCH(SMALL($V$4:$V$3183,423),$V$4:$V$3183,0)),"")</f>
        <v/>
      </c>
      <c r="B426">
        <f>IFERROR(INDEX($O$4:$O$3183,MATCH(SMALL($V$4:$V$3183,423),$V$4:$V$3183,0)),"")</f>
        <v/>
      </c>
      <c r="C426">
        <f>IFERROR(INDEX($P$4:$P$3183,MATCH(SMALL($V$4:$V$3183,423),$V$4:$V$3183,0)),"")</f>
        <v/>
      </c>
      <c r="D426" s="29">
        <f>IFERROR(INDEX($Q$4:$Q$3183,MATCH(SMALL($V$4:$V$3183,423),$V$4:$V$3183,0)),"")</f>
        <v/>
      </c>
      <c r="E426" s="29">
        <f>IFERROR(INDEX($R$4:$R$3183,MATCH(SMALL($V$4:$V$3183,423),$V$4:$V$3183,0)),"")</f>
        <v/>
      </c>
      <c r="F426">
        <f>IFERROR(INDEX($S$4:$S$3183,MATCH(SMALL($V$4:$V$3183,423),$V$4:$V$3183,0)),"")</f>
        <v/>
      </c>
      <c r="I426" s="29">
        <f>IF($B426="","",IFERROR(INDEX($U$4:$U$3183,MATCH(SMALL($V$4:$V$3183,423),$V$4:$V$3183,0)),""))</f>
        <v/>
      </c>
      <c r="J426">
        <f>IF($B426="","",IF($D426&gt;$F$2,"À venir",IF($E426&lt;$D$2,"Passé","Dans la période")))</f>
        <v/>
      </c>
      <c r="K426">
        <f>IF(OR($B426="",NOT(ISNUMBER($D426))),"",IF(AND($E426&lt;$D$2,$G426&lt;&gt;"X",$F426&lt;&gt;"Réalisé",$F426&lt;&gt;"Clôturé"),"RETARD",""))</f>
        <v/>
      </c>
      <c r="L426">
        <f>IF(OR($B426="",NOT(ISNUMBER($D426))),"",IF(AND($D426&gt;=$D$2,$D426&lt;=$H$2,$G426&lt;&gt;"X",$F426&lt;&gt;"Réalisé",$F426&lt;&gt;"Clôturé"),"≤ 7 j",""))</f>
        <v/>
      </c>
      <c r="M426" s="29">
        <f>IF($B426="","",IFERROR(INDEX($T$4:$T$3183,MATCH(SMALL($V$4:$V$3183,423),$V$4:$V$3183,0)),""))</f>
        <v/>
      </c>
      <c r="O426">
        <f>IF(INDEX(Suivi!$B:$B,434)="","",INDEX(Suivi!$B:$B,434))</f>
        <v/>
      </c>
      <c r="P426">
        <f>IF($O426="","",IF(INDEX(Suivi!$D:$D,434)="",INDEX(Suivi!$C:$C,434),INDEX(Suivi!$D:$D,434)))</f>
        <v/>
      </c>
      <c r="Q426">
        <f>IF($O426="","",INDEX(Suivi!$E:$E,434))</f>
        <v/>
      </c>
      <c r="R426">
        <f>IF($O426="","",INDEX(Suivi!$F:$F,434))</f>
        <v/>
      </c>
      <c r="S426">
        <f>IF($O426="","",INDEX(Suivi!$G:$G,434))</f>
        <v/>
      </c>
      <c r="T426">
        <f>IF($O426="","",IF(INDEX(Dossiers!$F$4:$F$63,8)="","",INDEX(Dossiers!$F$4:$F$63,8)))</f>
        <v/>
      </c>
      <c r="U426">
        <f>IF($O426="","",IF(INDEX(Dossiers!$G$4:$G$63,8)="","",INDEX(Dossiers!$G$4:$G$63,8)))</f>
        <v/>
      </c>
      <c r="V426">
        <f>IF(OR($O426="",NOT(ISNUMBER($Q426))),"",$Q426*1000000+426)</f>
        <v/>
      </c>
      <c r="W426" s="29">
        <f>IF($B426="","",IFERROR(INDEX($U$4:$U$3183,MATCH(SMALL($V$4:$V$3183,423),$V$4:$V$3183,0)),""))</f>
        <v/>
      </c>
    </row>
    <row r="427">
      <c r="A427">
        <f>IFERROR(INDEX($N$4:$N$3183,MATCH(SMALL($V$4:$V$3183,424),$V$4:$V$3183,0)),"")</f>
        <v/>
      </c>
      <c r="B427">
        <f>IFERROR(INDEX($O$4:$O$3183,MATCH(SMALL($V$4:$V$3183,424),$V$4:$V$3183,0)),"")</f>
        <v/>
      </c>
      <c r="C427">
        <f>IFERROR(INDEX($P$4:$P$3183,MATCH(SMALL($V$4:$V$3183,424),$V$4:$V$3183,0)),"")</f>
        <v/>
      </c>
      <c r="D427" s="29">
        <f>IFERROR(INDEX($Q$4:$Q$3183,MATCH(SMALL($V$4:$V$3183,424),$V$4:$V$3183,0)),"")</f>
        <v/>
      </c>
      <c r="E427" s="29">
        <f>IFERROR(INDEX($R$4:$R$3183,MATCH(SMALL($V$4:$V$3183,424),$V$4:$V$3183,0)),"")</f>
        <v/>
      </c>
      <c r="F427">
        <f>IFERROR(INDEX($S$4:$S$3183,MATCH(SMALL($V$4:$V$3183,424),$V$4:$V$3183,0)),"")</f>
        <v/>
      </c>
      <c r="I427" s="29">
        <f>IF($B427="","",IFERROR(INDEX($U$4:$U$3183,MATCH(SMALL($V$4:$V$3183,424),$V$4:$V$3183,0)),""))</f>
        <v/>
      </c>
      <c r="J427">
        <f>IF($B427="","",IF($D427&gt;$F$2,"À venir",IF($E427&lt;$D$2,"Passé","Dans la période")))</f>
        <v/>
      </c>
      <c r="K427">
        <f>IF(OR($B427="",NOT(ISNUMBER($D427))),"",IF(AND($E427&lt;$D$2,$G427&lt;&gt;"X",$F427&lt;&gt;"Réalisé",$F427&lt;&gt;"Clôturé"),"RETARD",""))</f>
        <v/>
      </c>
      <c r="L427">
        <f>IF(OR($B427="",NOT(ISNUMBER($D427))),"",IF(AND($D427&gt;=$D$2,$D427&lt;=$H$2,$G427&lt;&gt;"X",$F427&lt;&gt;"Réalisé",$F427&lt;&gt;"Clôturé"),"≤ 7 j",""))</f>
        <v/>
      </c>
      <c r="M427" s="29">
        <f>IF($B427="","",IFERROR(INDEX($T$4:$T$3183,MATCH(SMALL($V$4:$V$3183,424),$V$4:$V$3183,0)),""))</f>
        <v/>
      </c>
      <c r="O427">
        <f>IF(INDEX(Suivi!$B:$B,435)="","",INDEX(Suivi!$B:$B,435))</f>
        <v/>
      </c>
      <c r="P427">
        <f>IF($O427="","",IF(INDEX(Suivi!$D:$D,435)="",INDEX(Suivi!$C:$C,435),INDEX(Suivi!$D:$D,435)))</f>
        <v/>
      </c>
      <c r="Q427">
        <f>IF($O427="","",INDEX(Suivi!$E:$E,435))</f>
        <v/>
      </c>
      <c r="R427">
        <f>IF($O427="","",INDEX(Suivi!$F:$F,435))</f>
        <v/>
      </c>
      <c r="S427">
        <f>IF($O427="","",INDEX(Suivi!$G:$G,435))</f>
        <v/>
      </c>
      <c r="T427">
        <f>IF($O427="","",IF(INDEX(Dossiers!$F$4:$F$63,8)="","",INDEX(Dossiers!$F$4:$F$63,8)))</f>
        <v/>
      </c>
      <c r="U427">
        <f>IF($O427="","",IF(INDEX(Dossiers!$G$4:$G$63,8)="","",INDEX(Dossiers!$G$4:$G$63,8)))</f>
        <v/>
      </c>
      <c r="V427">
        <f>IF(OR($O427="",NOT(ISNUMBER($Q427))),"",$Q427*1000000+427)</f>
        <v/>
      </c>
      <c r="W427" s="29">
        <f>IF($B427="","",IFERROR(INDEX($U$4:$U$3183,MATCH(SMALL($V$4:$V$3183,424),$V$4:$V$3183,0)),""))</f>
        <v/>
      </c>
    </row>
    <row r="428">
      <c r="A428">
        <f>IFERROR(INDEX($N$4:$N$3183,MATCH(SMALL($V$4:$V$3183,425),$V$4:$V$3183,0)),"")</f>
        <v/>
      </c>
      <c r="B428">
        <f>IFERROR(INDEX($O$4:$O$3183,MATCH(SMALL($V$4:$V$3183,425),$V$4:$V$3183,0)),"")</f>
        <v/>
      </c>
      <c r="C428">
        <f>IFERROR(INDEX($P$4:$P$3183,MATCH(SMALL($V$4:$V$3183,425),$V$4:$V$3183,0)),"")</f>
        <v/>
      </c>
      <c r="D428" s="29">
        <f>IFERROR(INDEX($Q$4:$Q$3183,MATCH(SMALL($V$4:$V$3183,425),$V$4:$V$3183,0)),"")</f>
        <v/>
      </c>
      <c r="E428" s="29">
        <f>IFERROR(INDEX($R$4:$R$3183,MATCH(SMALL($V$4:$V$3183,425),$V$4:$V$3183,0)),"")</f>
        <v/>
      </c>
      <c r="F428">
        <f>IFERROR(INDEX($S$4:$S$3183,MATCH(SMALL($V$4:$V$3183,425),$V$4:$V$3183,0)),"")</f>
        <v/>
      </c>
      <c r="I428" s="29">
        <f>IF($B428="","",IFERROR(INDEX($U$4:$U$3183,MATCH(SMALL($V$4:$V$3183,425),$V$4:$V$3183,0)),""))</f>
        <v/>
      </c>
      <c r="J428">
        <f>IF($B428="","",IF($D428&gt;$F$2,"À venir",IF($E428&lt;$D$2,"Passé","Dans la période")))</f>
        <v/>
      </c>
      <c r="K428">
        <f>IF(OR($B428="",NOT(ISNUMBER($D428))),"",IF(AND($E428&lt;$D$2,$G428&lt;&gt;"X",$F428&lt;&gt;"Réalisé",$F428&lt;&gt;"Clôturé"),"RETARD",""))</f>
        <v/>
      </c>
      <c r="L428">
        <f>IF(OR($B428="",NOT(ISNUMBER($D428))),"",IF(AND($D428&gt;=$D$2,$D428&lt;=$H$2,$G428&lt;&gt;"X",$F428&lt;&gt;"Réalisé",$F428&lt;&gt;"Clôturé"),"≤ 7 j",""))</f>
        <v/>
      </c>
      <c r="M428" s="29">
        <f>IF($B428="","",IFERROR(INDEX($T$4:$T$3183,MATCH(SMALL($V$4:$V$3183,425),$V$4:$V$3183,0)),""))</f>
        <v/>
      </c>
      <c r="O428">
        <f>IF(INDEX(Suivi!$B:$B,437)="","",INDEX(Suivi!$B:$B,437))</f>
        <v/>
      </c>
      <c r="P428">
        <f>IF($O428="","",IF(INDEX(Suivi!$D:$D,437)="",INDEX(Suivi!$C:$C,437),INDEX(Suivi!$D:$D,437)))</f>
        <v/>
      </c>
      <c r="Q428">
        <f>IF($O428="","",INDEX(Suivi!$E:$E,437))</f>
        <v/>
      </c>
      <c r="R428">
        <f>IF($O428="","",INDEX(Suivi!$F:$F,437))</f>
        <v/>
      </c>
      <c r="S428">
        <f>IF($O428="","",INDEX(Suivi!$G:$G,437))</f>
        <v/>
      </c>
      <c r="T428">
        <f>IF($O428="","",IF(INDEX(Dossiers!$F$4:$F$63,9)="","",INDEX(Dossiers!$F$4:$F$63,9)))</f>
        <v/>
      </c>
      <c r="U428">
        <f>IF($O428="","",IF(INDEX(Dossiers!$G$4:$G$63,9)="","",INDEX(Dossiers!$G$4:$G$63,9)))</f>
        <v/>
      </c>
      <c r="V428">
        <f>IF(OR($O428="",NOT(ISNUMBER($Q428))),"",$Q428*1000000+428)</f>
        <v/>
      </c>
      <c r="W428" s="29">
        <f>IF($B428="","",IFERROR(INDEX($U$4:$U$3183,MATCH(SMALL($V$4:$V$3183,425),$V$4:$V$3183,0)),""))</f>
        <v/>
      </c>
    </row>
    <row r="429">
      <c r="A429">
        <f>IFERROR(INDEX($N$4:$N$3183,MATCH(SMALL($V$4:$V$3183,426),$V$4:$V$3183,0)),"")</f>
        <v/>
      </c>
      <c r="B429">
        <f>IFERROR(INDEX($O$4:$O$3183,MATCH(SMALL($V$4:$V$3183,426),$V$4:$V$3183,0)),"")</f>
        <v/>
      </c>
      <c r="C429">
        <f>IFERROR(INDEX($P$4:$P$3183,MATCH(SMALL($V$4:$V$3183,426),$V$4:$V$3183,0)),"")</f>
        <v/>
      </c>
      <c r="D429" s="29">
        <f>IFERROR(INDEX($Q$4:$Q$3183,MATCH(SMALL($V$4:$V$3183,426),$V$4:$V$3183,0)),"")</f>
        <v/>
      </c>
      <c r="E429" s="29">
        <f>IFERROR(INDEX($R$4:$R$3183,MATCH(SMALL($V$4:$V$3183,426),$V$4:$V$3183,0)),"")</f>
        <v/>
      </c>
      <c r="F429">
        <f>IFERROR(INDEX($S$4:$S$3183,MATCH(SMALL($V$4:$V$3183,426),$V$4:$V$3183,0)),"")</f>
        <v/>
      </c>
      <c r="I429" s="29">
        <f>IF($B429="","",IFERROR(INDEX($U$4:$U$3183,MATCH(SMALL($V$4:$V$3183,426),$V$4:$V$3183,0)),""))</f>
        <v/>
      </c>
      <c r="J429">
        <f>IF($B429="","",IF($D429&gt;$F$2,"À venir",IF($E429&lt;$D$2,"Passé","Dans la période")))</f>
        <v/>
      </c>
      <c r="K429">
        <f>IF(OR($B429="",NOT(ISNUMBER($D429))),"",IF(AND($E429&lt;$D$2,$G429&lt;&gt;"X",$F429&lt;&gt;"Réalisé",$F429&lt;&gt;"Clôturé"),"RETARD",""))</f>
        <v/>
      </c>
      <c r="L429">
        <f>IF(OR($B429="",NOT(ISNUMBER($D429))),"",IF(AND($D429&gt;=$D$2,$D429&lt;=$H$2,$G429&lt;&gt;"X",$F429&lt;&gt;"Réalisé",$F429&lt;&gt;"Clôturé"),"≤ 7 j",""))</f>
        <v/>
      </c>
      <c r="M429" s="29">
        <f>IF($B429="","",IFERROR(INDEX($T$4:$T$3183,MATCH(SMALL($V$4:$V$3183,426),$V$4:$V$3183,0)),""))</f>
        <v/>
      </c>
      <c r="O429">
        <f>IF(INDEX(Suivi!$B:$B,438)="","",INDEX(Suivi!$B:$B,438))</f>
        <v/>
      </c>
      <c r="P429">
        <f>IF($O429="","",IF(INDEX(Suivi!$D:$D,438)="",INDEX(Suivi!$C:$C,438),INDEX(Suivi!$D:$D,438)))</f>
        <v/>
      </c>
      <c r="Q429">
        <f>IF($O429="","",INDEX(Suivi!$E:$E,438))</f>
        <v/>
      </c>
      <c r="R429">
        <f>IF($O429="","",INDEX(Suivi!$F:$F,438))</f>
        <v/>
      </c>
      <c r="S429">
        <f>IF($O429="","",INDEX(Suivi!$G:$G,438))</f>
        <v/>
      </c>
      <c r="T429">
        <f>IF($O429="","",IF(INDEX(Dossiers!$F$4:$F$63,9)="","",INDEX(Dossiers!$F$4:$F$63,9)))</f>
        <v/>
      </c>
      <c r="U429">
        <f>IF($O429="","",IF(INDEX(Dossiers!$G$4:$G$63,9)="","",INDEX(Dossiers!$G$4:$G$63,9)))</f>
        <v/>
      </c>
      <c r="V429">
        <f>IF(OR($O429="",NOT(ISNUMBER($Q429))),"",$Q429*1000000+429)</f>
        <v/>
      </c>
      <c r="W429" s="29">
        <f>IF($B429="","",IFERROR(INDEX($U$4:$U$3183,MATCH(SMALL($V$4:$V$3183,426),$V$4:$V$3183,0)),""))</f>
        <v/>
      </c>
    </row>
    <row r="430">
      <c r="A430">
        <f>IFERROR(INDEX($N$4:$N$3183,MATCH(SMALL($V$4:$V$3183,427),$V$4:$V$3183,0)),"")</f>
        <v/>
      </c>
      <c r="B430">
        <f>IFERROR(INDEX($O$4:$O$3183,MATCH(SMALL($V$4:$V$3183,427),$V$4:$V$3183,0)),"")</f>
        <v/>
      </c>
      <c r="C430">
        <f>IFERROR(INDEX($P$4:$P$3183,MATCH(SMALL($V$4:$V$3183,427),$V$4:$V$3183,0)),"")</f>
        <v/>
      </c>
      <c r="D430" s="29">
        <f>IFERROR(INDEX($Q$4:$Q$3183,MATCH(SMALL($V$4:$V$3183,427),$V$4:$V$3183,0)),"")</f>
        <v/>
      </c>
      <c r="E430" s="29">
        <f>IFERROR(INDEX($R$4:$R$3183,MATCH(SMALL($V$4:$V$3183,427),$V$4:$V$3183,0)),"")</f>
        <v/>
      </c>
      <c r="F430">
        <f>IFERROR(INDEX($S$4:$S$3183,MATCH(SMALL($V$4:$V$3183,427),$V$4:$V$3183,0)),"")</f>
        <v/>
      </c>
      <c r="I430" s="29">
        <f>IF($B430="","",IFERROR(INDEX($U$4:$U$3183,MATCH(SMALL($V$4:$V$3183,427),$V$4:$V$3183,0)),""))</f>
        <v/>
      </c>
      <c r="J430">
        <f>IF($B430="","",IF($D430&gt;$F$2,"À venir",IF($E430&lt;$D$2,"Passé","Dans la période")))</f>
        <v/>
      </c>
      <c r="K430">
        <f>IF(OR($B430="",NOT(ISNUMBER($D430))),"",IF(AND($E430&lt;$D$2,$G430&lt;&gt;"X",$F430&lt;&gt;"Réalisé",$F430&lt;&gt;"Clôturé"),"RETARD",""))</f>
        <v/>
      </c>
      <c r="L430">
        <f>IF(OR($B430="",NOT(ISNUMBER($D430))),"",IF(AND($D430&gt;=$D$2,$D430&lt;=$H$2,$G430&lt;&gt;"X",$F430&lt;&gt;"Réalisé",$F430&lt;&gt;"Clôturé"),"≤ 7 j",""))</f>
        <v/>
      </c>
      <c r="M430" s="29">
        <f>IF($B430="","",IFERROR(INDEX($T$4:$T$3183,MATCH(SMALL($V$4:$V$3183,427),$V$4:$V$3183,0)),""))</f>
        <v/>
      </c>
      <c r="O430">
        <f>IF(INDEX(Suivi!$B:$B,439)="","",INDEX(Suivi!$B:$B,439))</f>
        <v/>
      </c>
      <c r="P430">
        <f>IF($O430="","",IF(INDEX(Suivi!$D:$D,439)="",INDEX(Suivi!$C:$C,439),INDEX(Suivi!$D:$D,439)))</f>
        <v/>
      </c>
      <c r="Q430">
        <f>IF($O430="","",INDEX(Suivi!$E:$E,439))</f>
        <v/>
      </c>
      <c r="R430">
        <f>IF($O430="","",INDEX(Suivi!$F:$F,439))</f>
        <v/>
      </c>
      <c r="S430">
        <f>IF($O430="","",INDEX(Suivi!$G:$G,439))</f>
        <v/>
      </c>
      <c r="T430">
        <f>IF($O430="","",IF(INDEX(Dossiers!$F$4:$F$63,9)="","",INDEX(Dossiers!$F$4:$F$63,9)))</f>
        <v/>
      </c>
      <c r="U430">
        <f>IF($O430="","",IF(INDEX(Dossiers!$G$4:$G$63,9)="","",INDEX(Dossiers!$G$4:$G$63,9)))</f>
        <v/>
      </c>
      <c r="V430">
        <f>IF(OR($O430="",NOT(ISNUMBER($Q430))),"",$Q430*1000000+430)</f>
        <v/>
      </c>
      <c r="W430" s="29">
        <f>IF($B430="","",IFERROR(INDEX($U$4:$U$3183,MATCH(SMALL($V$4:$V$3183,427),$V$4:$V$3183,0)),""))</f>
        <v/>
      </c>
    </row>
    <row r="431">
      <c r="A431">
        <f>IFERROR(INDEX($N$4:$N$3183,MATCH(SMALL($V$4:$V$3183,428),$V$4:$V$3183,0)),"")</f>
        <v/>
      </c>
      <c r="B431">
        <f>IFERROR(INDEX($O$4:$O$3183,MATCH(SMALL($V$4:$V$3183,428),$V$4:$V$3183,0)),"")</f>
        <v/>
      </c>
      <c r="C431">
        <f>IFERROR(INDEX($P$4:$P$3183,MATCH(SMALL($V$4:$V$3183,428),$V$4:$V$3183,0)),"")</f>
        <v/>
      </c>
      <c r="D431" s="29">
        <f>IFERROR(INDEX($Q$4:$Q$3183,MATCH(SMALL($V$4:$V$3183,428),$V$4:$V$3183,0)),"")</f>
        <v/>
      </c>
      <c r="E431" s="29">
        <f>IFERROR(INDEX($R$4:$R$3183,MATCH(SMALL($V$4:$V$3183,428),$V$4:$V$3183,0)),"")</f>
        <v/>
      </c>
      <c r="F431">
        <f>IFERROR(INDEX($S$4:$S$3183,MATCH(SMALL($V$4:$V$3183,428),$V$4:$V$3183,0)),"")</f>
        <v/>
      </c>
      <c r="I431" s="29">
        <f>IF($B431="","",IFERROR(INDEX($U$4:$U$3183,MATCH(SMALL($V$4:$V$3183,428),$V$4:$V$3183,0)),""))</f>
        <v/>
      </c>
      <c r="J431">
        <f>IF($B431="","",IF($D431&gt;$F$2,"À venir",IF($E431&lt;$D$2,"Passé","Dans la période")))</f>
        <v/>
      </c>
      <c r="K431">
        <f>IF(OR($B431="",NOT(ISNUMBER($D431))),"",IF(AND($E431&lt;$D$2,$G431&lt;&gt;"X",$F431&lt;&gt;"Réalisé",$F431&lt;&gt;"Clôturé"),"RETARD",""))</f>
        <v/>
      </c>
      <c r="L431">
        <f>IF(OR($B431="",NOT(ISNUMBER($D431))),"",IF(AND($D431&gt;=$D$2,$D431&lt;=$H$2,$G431&lt;&gt;"X",$F431&lt;&gt;"Réalisé",$F431&lt;&gt;"Clôturé"),"≤ 7 j",""))</f>
        <v/>
      </c>
      <c r="M431" s="29">
        <f>IF($B431="","",IFERROR(INDEX($T$4:$T$3183,MATCH(SMALL($V$4:$V$3183,428),$V$4:$V$3183,0)),""))</f>
        <v/>
      </c>
      <c r="O431">
        <f>IF(INDEX(Suivi!$B:$B,440)="","",INDEX(Suivi!$B:$B,440))</f>
        <v/>
      </c>
      <c r="P431">
        <f>IF($O431="","",IF(INDEX(Suivi!$D:$D,440)="",INDEX(Suivi!$C:$C,440),INDEX(Suivi!$D:$D,440)))</f>
        <v/>
      </c>
      <c r="Q431">
        <f>IF($O431="","",INDEX(Suivi!$E:$E,440))</f>
        <v/>
      </c>
      <c r="R431">
        <f>IF($O431="","",INDEX(Suivi!$F:$F,440))</f>
        <v/>
      </c>
      <c r="S431">
        <f>IF($O431="","",INDEX(Suivi!$G:$G,440))</f>
        <v/>
      </c>
      <c r="T431">
        <f>IF($O431="","",IF(INDEX(Dossiers!$F$4:$F$63,9)="","",INDEX(Dossiers!$F$4:$F$63,9)))</f>
        <v/>
      </c>
      <c r="U431">
        <f>IF($O431="","",IF(INDEX(Dossiers!$G$4:$G$63,9)="","",INDEX(Dossiers!$G$4:$G$63,9)))</f>
        <v/>
      </c>
      <c r="V431">
        <f>IF(OR($O431="",NOT(ISNUMBER($Q431))),"",$Q431*1000000+431)</f>
        <v/>
      </c>
      <c r="W431" s="29">
        <f>IF($B431="","",IFERROR(INDEX($U$4:$U$3183,MATCH(SMALL($V$4:$V$3183,428),$V$4:$V$3183,0)),""))</f>
        <v/>
      </c>
    </row>
    <row r="432">
      <c r="A432">
        <f>IFERROR(INDEX($N$4:$N$3183,MATCH(SMALL($V$4:$V$3183,429),$V$4:$V$3183,0)),"")</f>
        <v/>
      </c>
      <c r="B432">
        <f>IFERROR(INDEX($O$4:$O$3183,MATCH(SMALL($V$4:$V$3183,429),$V$4:$V$3183,0)),"")</f>
        <v/>
      </c>
      <c r="C432">
        <f>IFERROR(INDEX($P$4:$P$3183,MATCH(SMALL($V$4:$V$3183,429),$V$4:$V$3183,0)),"")</f>
        <v/>
      </c>
      <c r="D432" s="29">
        <f>IFERROR(INDEX($Q$4:$Q$3183,MATCH(SMALL($V$4:$V$3183,429),$V$4:$V$3183,0)),"")</f>
        <v/>
      </c>
      <c r="E432" s="29">
        <f>IFERROR(INDEX($R$4:$R$3183,MATCH(SMALL($V$4:$V$3183,429),$V$4:$V$3183,0)),"")</f>
        <v/>
      </c>
      <c r="F432">
        <f>IFERROR(INDEX($S$4:$S$3183,MATCH(SMALL($V$4:$V$3183,429),$V$4:$V$3183,0)),"")</f>
        <v/>
      </c>
      <c r="I432" s="29">
        <f>IF($B432="","",IFERROR(INDEX($U$4:$U$3183,MATCH(SMALL($V$4:$V$3183,429),$V$4:$V$3183,0)),""))</f>
        <v/>
      </c>
      <c r="J432">
        <f>IF($B432="","",IF($D432&gt;$F$2,"À venir",IF($E432&lt;$D$2,"Passé","Dans la période")))</f>
        <v/>
      </c>
      <c r="K432">
        <f>IF(OR($B432="",NOT(ISNUMBER($D432))),"",IF(AND($E432&lt;$D$2,$G432&lt;&gt;"X",$F432&lt;&gt;"Réalisé",$F432&lt;&gt;"Clôturé"),"RETARD",""))</f>
        <v/>
      </c>
      <c r="L432">
        <f>IF(OR($B432="",NOT(ISNUMBER($D432))),"",IF(AND($D432&gt;=$D$2,$D432&lt;=$H$2,$G432&lt;&gt;"X",$F432&lt;&gt;"Réalisé",$F432&lt;&gt;"Clôturé"),"≤ 7 j",""))</f>
        <v/>
      </c>
      <c r="M432" s="29">
        <f>IF($B432="","",IFERROR(INDEX($T$4:$T$3183,MATCH(SMALL($V$4:$V$3183,429),$V$4:$V$3183,0)),""))</f>
        <v/>
      </c>
      <c r="O432">
        <f>IF(INDEX(Suivi!$B:$B,441)="","",INDEX(Suivi!$B:$B,441))</f>
        <v/>
      </c>
      <c r="P432">
        <f>IF($O432="","",IF(INDEX(Suivi!$D:$D,441)="",INDEX(Suivi!$C:$C,441),INDEX(Suivi!$D:$D,441)))</f>
        <v/>
      </c>
      <c r="Q432">
        <f>IF($O432="","",INDEX(Suivi!$E:$E,441))</f>
        <v/>
      </c>
      <c r="R432">
        <f>IF($O432="","",INDEX(Suivi!$F:$F,441))</f>
        <v/>
      </c>
      <c r="S432">
        <f>IF($O432="","",INDEX(Suivi!$G:$G,441))</f>
        <v/>
      </c>
      <c r="T432">
        <f>IF($O432="","",IF(INDEX(Dossiers!$F$4:$F$63,9)="","",INDEX(Dossiers!$F$4:$F$63,9)))</f>
        <v/>
      </c>
      <c r="U432">
        <f>IF($O432="","",IF(INDEX(Dossiers!$G$4:$G$63,9)="","",INDEX(Dossiers!$G$4:$G$63,9)))</f>
        <v/>
      </c>
      <c r="V432">
        <f>IF(OR($O432="",NOT(ISNUMBER($Q432))),"",$Q432*1000000+432)</f>
        <v/>
      </c>
      <c r="W432" s="29">
        <f>IF($B432="","",IFERROR(INDEX($U$4:$U$3183,MATCH(SMALL($V$4:$V$3183,429),$V$4:$V$3183,0)),""))</f>
        <v/>
      </c>
    </row>
    <row r="433">
      <c r="A433">
        <f>IFERROR(INDEX($N$4:$N$3183,MATCH(SMALL($V$4:$V$3183,430),$V$4:$V$3183,0)),"")</f>
        <v/>
      </c>
      <c r="B433">
        <f>IFERROR(INDEX($O$4:$O$3183,MATCH(SMALL($V$4:$V$3183,430),$V$4:$V$3183,0)),"")</f>
        <v/>
      </c>
      <c r="C433">
        <f>IFERROR(INDEX($P$4:$P$3183,MATCH(SMALL($V$4:$V$3183,430),$V$4:$V$3183,0)),"")</f>
        <v/>
      </c>
      <c r="D433" s="29">
        <f>IFERROR(INDEX($Q$4:$Q$3183,MATCH(SMALL($V$4:$V$3183,430),$V$4:$V$3183,0)),"")</f>
        <v/>
      </c>
      <c r="E433" s="29">
        <f>IFERROR(INDEX($R$4:$R$3183,MATCH(SMALL($V$4:$V$3183,430),$V$4:$V$3183,0)),"")</f>
        <v/>
      </c>
      <c r="F433">
        <f>IFERROR(INDEX($S$4:$S$3183,MATCH(SMALL($V$4:$V$3183,430),$V$4:$V$3183,0)),"")</f>
        <v/>
      </c>
      <c r="I433" s="29">
        <f>IF($B433="","",IFERROR(INDEX($U$4:$U$3183,MATCH(SMALL($V$4:$V$3183,430),$V$4:$V$3183,0)),""))</f>
        <v/>
      </c>
      <c r="J433">
        <f>IF($B433="","",IF($D433&gt;$F$2,"À venir",IF($E433&lt;$D$2,"Passé","Dans la période")))</f>
        <v/>
      </c>
      <c r="K433">
        <f>IF(OR($B433="",NOT(ISNUMBER($D433))),"",IF(AND($E433&lt;$D$2,$G433&lt;&gt;"X",$F433&lt;&gt;"Réalisé",$F433&lt;&gt;"Clôturé"),"RETARD",""))</f>
        <v/>
      </c>
      <c r="L433">
        <f>IF(OR($B433="",NOT(ISNUMBER($D433))),"",IF(AND($D433&gt;=$D$2,$D433&lt;=$H$2,$G433&lt;&gt;"X",$F433&lt;&gt;"Réalisé",$F433&lt;&gt;"Clôturé"),"≤ 7 j",""))</f>
        <v/>
      </c>
      <c r="M433" s="29">
        <f>IF($B433="","",IFERROR(INDEX($T$4:$T$3183,MATCH(SMALL($V$4:$V$3183,430),$V$4:$V$3183,0)),""))</f>
        <v/>
      </c>
      <c r="O433">
        <f>IF(INDEX(Suivi!$B:$B,442)="","",INDEX(Suivi!$B:$B,442))</f>
        <v/>
      </c>
      <c r="P433">
        <f>IF($O433="","",IF(INDEX(Suivi!$D:$D,442)="",INDEX(Suivi!$C:$C,442),INDEX(Suivi!$D:$D,442)))</f>
        <v/>
      </c>
      <c r="Q433">
        <f>IF($O433="","",INDEX(Suivi!$E:$E,442))</f>
        <v/>
      </c>
      <c r="R433">
        <f>IF($O433="","",INDEX(Suivi!$F:$F,442))</f>
        <v/>
      </c>
      <c r="S433">
        <f>IF($O433="","",INDEX(Suivi!$G:$G,442))</f>
        <v/>
      </c>
      <c r="T433">
        <f>IF($O433="","",IF(INDEX(Dossiers!$F$4:$F$63,9)="","",INDEX(Dossiers!$F$4:$F$63,9)))</f>
        <v/>
      </c>
      <c r="U433">
        <f>IF($O433="","",IF(INDEX(Dossiers!$G$4:$G$63,9)="","",INDEX(Dossiers!$G$4:$G$63,9)))</f>
        <v/>
      </c>
      <c r="V433">
        <f>IF(OR($O433="",NOT(ISNUMBER($Q433))),"",$Q433*1000000+433)</f>
        <v/>
      </c>
      <c r="W433" s="29">
        <f>IF($B433="","",IFERROR(INDEX($U$4:$U$3183,MATCH(SMALL($V$4:$V$3183,430),$V$4:$V$3183,0)),""))</f>
        <v/>
      </c>
    </row>
    <row r="434">
      <c r="A434">
        <f>IFERROR(INDEX($N$4:$N$3183,MATCH(SMALL($V$4:$V$3183,431),$V$4:$V$3183,0)),"")</f>
        <v/>
      </c>
      <c r="B434">
        <f>IFERROR(INDEX($O$4:$O$3183,MATCH(SMALL($V$4:$V$3183,431),$V$4:$V$3183,0)),"")</f>
        <v/>
      </c>
      <c r="C434">
        <f>IFERROR(INDEX($P$4:$P$3183,MATCH(SMALL($V$4:$V$3183,431),$V$4:$V$3183,0)),"")</f>
        <v/>
      </c>
      <c r="D434" s="29">
        <f>IFERROR(INDEX($Q$4:$Q$3183,MATCH(SMALL($V$4:$V$3183,431),$V$4:$V$3183,0)),"")</f>
        <v/>
      </c>
      <c r="E434" s="29">
        <f>IFERROR(INDEX($R$4:$R$3183,MATCH(SMALL($V$4:$V$3183,431),$V$4:$V$3183,0)),"")</f>
        <v/>
      </c>
      <c r="F434">
        <f>IFERROR(INDEX($S$4:$S$3183,MATCH(SMALL($V$4:$V$3183,431),$V$4:$V$3183,0)),"")</f>
        <v/>
      </c>
      <c r="I434" s="29">
        <f>IF($B434="","",IFERROR(INDEX($U$4:$U$3183,MATCH(SMALL($V$4:$V$3183,431),$V$4:$V$3183,0)),""))</f>
        <v/>
      </c>
      <c r="J434">
        <f>IF($B434="","",IF($D434&gt;$F$2,"À venir",IF($E434&lt;$D$2,"Passé","Dans la période")))</f>
        <v/>
      </c>
      <c r="K434">
        <f>IF(OR($B434="",NOT(ISNUMBER($D434))),"",IF(AND($E434&lt;$D$2,$G434&lt;&gt;"X",$F434&lt;&gt;"Réalisé",$F434&lt;&gt;"Clôturé"),"RETARD",""))</f>
        <v/>
      </c>
      <c r="L434">
        <f>IF(OR($B434="",NOT(ISNUMBER($D434))),"",IF(AND($D434&gt;=$D$2,$D434&lt;=$H$2,$G434&lt;&gt;"X",$F434&lt;&gt;"Réalisé",$F434&lt;&gt;"Clôturé"),"≤ 7 j",""))</f>
        <v/>
      </c>
      <c r="M434" s="29">
        <f>IF($B434="","",IFERROR(INDEX($T$4:$T$3183,MATCH(SMALL($V$4:$V$3183,431),$V$4:$V$3183,0)),""))</f>
        <v/>
      </c>
      <c r="O434">
        <f>IF(INDEX(Suivi!$B:$B,443)="","",INDEX(Suivi!$B:$B,443))</f>
        <v/>
      </c>
      <c r="P434">
        <f>IF($O434="","",IF(INDEX(Suivi!$D:$D,443)="",INDEX(Suivi!$C:$C,443),INDEX(Suivi!$D:$D,443)))</f>
        <v/>
      </c>
      <c r="Q434">
        <f>IF($O434="","",INDEX(Suivi!$E:$E,443))</f>
        <v/>
      </c>
      <c r="R434">
        <f>IF($O434="","",INDEX(Suivi!$F:$F,443))</f>
        <v/>
      </c>
      <c r="S434">
        <f>IF($O434="","",INDEX(Suivi!$G:$G,443))</f>
        <v/>
      </c>
      <c r="T434">
        <f>IF($O434="","",IF(INDEX(Dossiers!$F$4:$F$63,9)="","",INDEX(Dossiers!$F$4:$F$63,9)))</f>
        <v/>
      </c>
      <c r="U434">
        <f>IF($O434="","",IF(INDEX(Dossiers!$G$4:$G$63,9)="","",INDEX(Dossiers!$G$4:$G$63,9)))</f>
        <v/>
      </c>
      <c r="V434">
        <f>IF(OR($O434="",NOT(ISNUMBER($Q434))),"",$Q434*1000000+434)</f>
        <v/>
      </c>
      <c r="W434" s="29">
        <f>IF($B434="","",IFERROR(INDEX($U$4:$U$3183,MATCH(SMALL($V$4:$V$3183,431),$V$4:$V$3183,0)),""))</f>
        <v/>
      </c>
    </row>
    <row r="435">
      <c r="A435">
        <f>IFERROR(INDEX($N$4:$N$3183,MATCH(SMALL($V$4:$V$3183,432),$V$4:$V$3183,0)),"")</f>
        <v/>
      </c>
      <c r="B435">
        <f>IFERROR(INDEX($O$4:$O$3183,MATCH(SMALL($V$4:$V$3183,432),$V$4:$V$3183,0)),"")</f>
        <v/>
      </c>
      <c r="C435">
        <f>IFERROR(INDEX($P$4:$P$3183,MATCH(SMALL($V$4:$V$3183,432),$V$4:$V$3183,0)),"")</f>
        <v/>
      </c>
      <c r="D435" s="29">
        <f>IFERROR(INDEX($Q$4:$Q$3183,MATCH(SMALL($V$4:$V$3183,432),$V$4:$V$3183,0)),"")</f>
        <v/>
      </c>
      <c r="E435" s="29">
        <f>IFERROR(INDEX($R$4:$R$3183,MATCH(SMALL($V$4:$V$3183,432),$V$4:$V$3183,0)),"")</f>
        <v/>
      </c>
      <c r="F435">
        <f>IFERROR(INDEX($S$4:$S$3183,MATCH(SMALL($V$4:$V$3183,432),$V$4:$V$3183,0)),"")</f>
        <v/>
      </c>
      <c r="I435" s="29">
        <f>IF($B435="","",IFERROR(INDEX($U$4:$U$3183,MATCH(SMALL($V$4:$V$3183,432),$V$4:$V$3183,0)),""))</f>
        <v/>
      </c>
      <c r="J435">
        <f>IF($B435="","",IF($D435&gt;$F$2,"À venir",IF($E435&lt;$D$2,"Passé","Dans la période")))</f>
        <v/>
      </c>
      <c r="K435">
        <f>IF(OR($B435="",NOT(ISNUMBER($D435))),"",IF(AND($E435&lt;$D$2,$G435&lt;&gt;"X",$F435&lt;&gt;"Réalisé",$F435&lt;&gt;"Clôturé"),"RETARD",""))</f>
        <v/>
      </c>
      <c r="L435">
        <f>IF(OR($B435="",NOT(ISNUMBER($D435))),"",IF(AND($D435&gt;=$D$2,$D435&lt;=$H$2,$G435&lt;&gt;"X",$F435&lt;&gt;"Réalisé",$F435&lt;&gt;"Clôturé"),"≤ 7 j",""))</f>
        <v/>
      </c>
      <c r="M435" s="29">
        <f>IF($B435="","",IFERROR(INDEX($T$4:$T$3183,MATCH(SMALL($V$4:$V$3183,432),$V$4:$V$3183,0)),""))</f>
        <v/>
      </c>
      <c r="O435">
        <f>IF(INDEX(Suivi!$B:$B,444)="","",INDEX(Suivi!$B:$B,444))</f>
        <v/>
      </c>
      <c r="P435">
        <f>IF($O435="","",IF(INDEX(Suivi!$D:$D,444)="",INDEX(Suivi!$C:$C,444),INDEX(Suivi!$D:$D,444)))</f>
        <v/>
      </c>
      <c r="Q435">
        <f>IF($O435="","",INDEX(Suivi!$E:$E,444))</f>
        <v/>
      </c>
      <c r="R435">
        <f>IF($O435="","",INDEX(Suivi!$F:$F,444))</f>
        <v/>
      </c>
      <c r="S435">
        <f>IF($O435="","",INDEX(Suivi!$G:$G,444))</f>
        <v/>
      </c>
      <c r="T435">
        <f>IF($O435="","",IF(INDEX(Dossiers!$F$4:$F$63,9)="","",INDEX(Dossiers!$F$4:$F$63,9)))</f>
        <v/>
      </c>
      <c r="U435">
        <f>IF($O435="","",IF(INDEX(Dossiers!$G$4:$G$63,9)="","",INDEX(Dossiers!$G$4:$G$63,9)))</f>
        <v/>
      </c>
      <c r="V435">
        <f>IF(OR($O435="",NOT(ISNUMBER($Q435))),"",$Q435*1000000+435)</f>
        <v/>
      </c>
      <c r="W435" s="29">
        <f>IF($B435="","",IFERROR(INDEX($U$4:$U$3183,MATCH(SMALL($V$4:$V$3183,432),$V$4:$V$3183,0)),""))</f>
        <v/>
      </c>
    </row>
    <row r="436">
      <c r="A436">
        <f>IFERROR(INDEX($N$4:$N$3183,MATCH(SMALL($V$4:$V$3183,433),$V$4:$V$3183,0)),"")</f>
        <v/>
      </c>
      <c r="B436">
        <f>IFERROR(INDEX($O$4:$O$3183,MATCH(SMALL($V$4:$V$3183,433),$V$4:$V$3183,0)),"")</f>
        <v/>
      </c>
      <c r="C436">
        <f>IFERROR(INDEX($P$4:$P$3183,MATCH(SMALL($V$4:$V$3183,433),$V$4:$V$3183,0)),"")</f>
        <v/>
      </c>
      <c r="D436" s="29">
        <f>IFERROR(INDEX($Q$4:$Q$3183,MATCH(SMALL($V$4:$V$3183,433),$V$4:$V$3183,0)),"")</f>
        <v/>
      </c>
      <c r="E436" s="29">
        <f>IFERROR(INDEX($R$4:$R$3183,MATCH(SMALL($V$4:$V$3183,433),$V$4:$V$3183,0)),"")</f>
        <v/>
      </c>
      <c r="F436">
        <f>IFERROR(INDEX($S$4:$S$3183,MATCH(SMALL($V$4:$V$3183,433),$V$4:$V$3183,0)),"")</f>
        <v/>
      </c>
      <c r="I436" s="29">
        <f>IF($B436="","",IFERROR(INDEX($U$4:$U$3183,MATCH(SMALL($V$4:$V$3183,433),$V$4:$V$3183,0)),""))</f>
        <v/>
      </c>
      <c r="J436">
        <f>IF($B436="","",IF($D436&gt;$F$2,"À venir",IF($E436&lt;$D$2,"Passé","Dans la période")))</f>
        <v/>
      </c>
      <c r="K436">
        <f>IF(OR($B436="",NOT(ISNUMBER($D436))),"",IF(AND($E436&lt;$D$2,$G436&lt;&gt;"X",$F436&lt;&gt;"Réalisé",$F436&lt;&gt;"Clôturé"),"RETARD",""))</f>
        <v/>
      </c>
      <c r="L436">
        <f>IF(OR($B436="",NOT(ISNUMBER($D436))),"",IF(AND($D436&gt;=$D$2,$D436&lt;=$H$2,$G436&lt;&gt;"X",$F436&lt;&gt;"Réalisé",$F436&lt;&gt;"Clôturé"),"≤ 7 j",""))</f>
        <v/>
      </c>
      <c r="M436" s="29">
        <f>IF($B436="","",IFERROR(INDEX($T$4:$T$3183,MATCH(SMALL($V$4:$V$3183,433),$V$4:$V$3183,0)),""))</f>
        <v/>
      </c>
      <c r="O436">
        <f>IF(INDEX(Suivi!$B:$B,445)="","",INDEX(Suivi!$B:$B,445))</f>
        <v/>
      </c>
      <c r="P436">
        <f>IF($O436="","",IF(INDEX(Suivi!$D:$D,445)="",INDEX(Suivi!$C:$C,445),INDEX(Suivi!$D:$D,445)))</f>
        <v/>
      </c>
      <c r="Q436">
        <f>IF($O436="","",INDEX(Suivi!$E:$E,445))</f>
        <v/>
      </c>
      <c r="R436">
        <f>IF($O436="","",INDEX(Suivi!$F:$F,445))</f>
        <v/>
      </c>
      <c r="S436">
        <f>IF($O436="","",INDEX(Suivi!$G:$G,445))</f>
        <v/>
      </c>
      <c r="T436">
        <f>IF($O436="","",IF(INDEX(Dossiers!$F$4:$F$63,9)="","",INDEX(Dossiers!$F$4:$F$63,9)))</f>
        <v/>
      </c>
      <c r="U436">
        <f>IF($O436="","",IF(INDEX(Dossiers!$G$4:$G$63,9)="","",INDEX(Dossiers!$G$4:$G$63,9)))</f>
        <v/>
      </c>
      <c r="V436">
        <f>IF(OR($O436="",NOT(ISNUMBER($Q436))),"",$Q436*1000000+436)</f>
        <v/>
      </c>
      <c r="W436" s="29">
        <f>IF($B436="","",IFERROR(INDEX($U$4:$U$3183,MATCH(SMALL($V$4:$V$3183,433),$V$4:$V$3183,0)),""))</f>
        <v/>
      </c>
    </row>
    <row r="437">
      <c r="A437">
        <f>IFERROR(INDEX($N$4:$N$3183,MATCH(SMALL($V$4:$V$3183,434),$V$4:$V$3183,0)),"")</f>
        <v/>
      </c>
      <c r="B437">
        <f>IFERROR(INDEX($O$4:$O$3183,MATCH(SMALL($V$4:$V$3183,434),$V$4:$V$3183,0)),"")</f>
        <v/>
      </c>
      <c r="C437">
        <f>IFERROR(INDEX($P$4:$P$3183,MATCH(SMALL($V$4:$V$3183,434),$V$4:$V$3183,0)),"")</f>
        <v/>
      </c>
      <c r="D437" s="29">
        <f>IFERROR(INDEX($Q$4:$Q$3183,MATCH(SMALL($V$4:$V$3183,434),$V$4:$V$3183,0)),"")</f>
        <v/>
      </c>
      <c r="E437" s="29">
        <f>IFERROR(INDEX($R$4:$R$3183,MATCH(SMALL($V$4:$V$3183,434),$V$4:$V$3183,0)),"")</f>
        <v/>
      </c>
      <c r="F437">
        <f>IFERROR(INDEX($S$4:$S$3183,MATCH(SMALL($V$4:$V$3183,434),$V$4:$V$3183,0)),"")</f>
        <v/>
      </c>
      <c r="I437" s="29">
        <f>IF($B437="","",IFERROR(INDEX($U$4:$U$3183,MATCH(SMALL($V$4:$V$3183,434),$V$4:$V$3183,0)),""))</f>
        <v/>
      </c>
      <c r="J437">
        <f>IF($B437="","",IF($D437&gt;$F$2,"À venir",IF($E437&lt;$D$2,"Passé","Dans la période")))</f>
        <v/>
      </c>
      <c r="K437">
        <f>IF(OR($B437="",NOT(ISNUMBER($D437))),"",IF(AND($E437&lt;$D$2,$G437&lt;&gt;"X",$F437&lt;&gt;"Réalisé",$F437&lt;&gt;"Clôturé"),"RETARD",""))</f>
        <v/>
      </c>
      <c r="L437">
        <f>IF(OR($B437="",NOT(ISNUMBER($D437))),"",IF(AND($D437&gt;=$D$2,$D437&lt;=$H$2,$G437&lt;&gt;"X",$F437&lt;&gt;"Réalisé",$F437&lt;&gt;"Clôturé"),"≤ 7 j",""))</f>
        <v/>
      </c>
      <c r="M437" s="29">
        <f>IF($B437="","",IFERROR(INDEX($T$4:$T$3183,MATCH(SMALL($V$4:$V$3183,434),$V$4:$V$3183,0)),""))</f>
        <v/>
      </c>
      <c r="O437">
        <f>IF(INDEX(Suivi!$B:$B,446)="","",INDEX(Suivi!$B:$B,446))</f>
        <v/>
      </c>
      <c r="P437">
        <f>IF($O437="","",IF(INDEX(Suivi!$D:$D,446)="",INDEX(Suivi!$C:$C,446),INDEX(Suivi!$D:$D,446)))</f>
        <v/>
      </c>
      <c r="Q437">
        <f>IF($O437="","",INDEX(Suivi!$E:$E,446))</f>
        <v/>
      </c>
      <c r="R437">
        <f>IF($O437="","",INDEX(Suivi!$F:$F,446))</f>
        <v/>
      </c>
      <c r="S437">
        <f>IF($O437="","",INDEX(Suivi!$G:$G,446))</f>
        <v/>
      </c>
      <c r="T437">
        <f>IF($O437="","",IF(INDEX(Dossiers!$F$4:$F$63,9)="","",INDEX(Dossiers!$F$4:$F$63,9)))</f>
        <v/>
      </c>
      <c r="U437">
        <f>IF($O437="","",IF(INDEX(Dossiers!$G$4:$G$63,9)="","",INDEX(Dossiers!$G$4:$G$63,9)))</f>
        <v/>
      </c>
      <c r="V437">
        <f>IF(OR($O437="",NOT(ISNUMBER($Q437))),"",$Q437*1000000+437)</f>
        <v/>
      </c>
      <c r="W437" s="29">
        <f>IF($B437="","",IFERROR(INDEX($U$4:$U$3183,MATCH(SMALL($V$4:$V$3183,434),$V$4:$V$3183,0)),""))</f>
        <v/>
      </c>
    </row>
    <row r="438">
      <c r="A438">
        <f>IFERROR(INDEX($N$4:$N$3183,MATCH(SMALL($V$4:$V$3183,435),$V$4:$V$3183,0)),"")</f>
        <v/>
      </c>
      <c r="B438">
        <f>IFERROR(INDEX($O$4:$O$3183,MATCH(SMALL($V$4:$V$3183,435),$V$4:$V$3183,0)),"")</f>
        <v/>
      </c>
      <c r="C438">
        <f>IFERROR(INDEX($P$4:$P$3183,MATCH(SMALL($V$4:$V$3183,435),$V$4:$V$3183,0)),"")</f>
        <v/>
      </c>
      <c r="D438" s="29">
        <f>IFERROR(INDEX($Q$4:$Q$3183,MATCH(SMALL($V$4:$V$3183,435),$V$4:$V$3183,0)),"")</f>
        <v/>
      </c>
      <c r="E438" s="29">
        <f>IFERROR(INDEX($R$4:$R$3183,MATCH(SMALL($V$4:$V$3183,435),$V$4:$V$3183,0)),"")</f>
        <v/>
      </c>
      <c r="F438">
        <f>IFERROR(INDEX($S$4:$S$3183,MATCH(SMALL($V$4:$V$3183,435),$V$4:$V$3183,0)),"")</f>
        <v/>
      </c>
      <c r="I438" s="29">
        <f>IF($B438="","",IFERROR(INDEX($U$4:$U$3183,MATCH(SMALL($V$4:$V$3183,435),$V$4:$V$3183,0)),""))</f>
        <v/>
      </c>
      <c r="J438">
        <f>IF($B438="","",IF($D438&gt;$F$2,"À venir",IF($E438&lt;$D$2,"Passé","Dans la période")))</f>
        <v/>
      </c>
      <c r="K438">
        <f>IF(OR($B438="",NOT(ISNUMBER($D438))),"",IF(AND($E438&lt;$D$2,$G438&lt;&gt;"X",$F438&lt;&gt;"Réalisé",$F438&lt;&gt;"Clôturé"),"RETARD",""))</f>
        <v/>
      </c>
      <c r="L438">
        <f>IF(OR($B438="",NOT(ISNUMBER($D438))),"",IF(AND($D438&gt;=$D$2,$D438&lt;=$H$2,$G438&lt;&gt;"X",$F438&lt;&gt;"Réalisé",$F438&lt;&gt;"Clôturé"),"≤ 7 j",""))</f>
        <v/>
      </c>
      <c r="M438" s="29">
        <f>IF($B438="","",IFERROR(INDEX($T$4:$T$3183,MATCH(SMALL($V$4:$V$3183,435),$V$4:$V$3183,0)),""))</f>
        <v/>
      </c>
      <c r="O438">
        <f>IF(INDEX(Suivi!$B:$B,447)="","",INDEX(Suivi!$B:$B,447))</f>
        <v/>
      </c>
      <c r="P438">
        <f>IF($O438="","",IF(INDEX(Suivi!$D:$D,447)="",INDEX(Suivi!$C:$C,447),INDEX(Suivi!$D:$D,447)))</f>
        <v/>
      </c>
      <c r="Q438">
        <f>IF($O438="","",INDEX(Suivi!$E:$E,447))</f>
        <v/>
      </c>
      <c r="R438">
        <f>IF($O438="","",INDEX(Suivi!$F:$F,447))</f>
        <v/>
      </c>
      <c r="S438">
        <f>IF($O438="","",INDEX(Suivi!$G:$G,447))</f>
        <v/>
      </c>
      <c r="T438">
        <f>IF($O438="","",IF(INDEX(Dossiers!$F$4:$F$63,9)="","",INDEX(Dossiers!$F$4:$F$63,9)))</f>
        <v/>
      </c>
      <c r="U438">
        <f>IF($O438="","",IF(INDEX(Dossiers!$G$4:$G$63,9)="","",INDEX(Dossiers!$G$4:$G$63,9)))</f>
        <v/>
      </c>
      <c r="V438">
        <f>IF(OR($O438="",NOT(ISNUMBER($Q438))),"",$Q438*1000000+438)</f>
        <v/>
      </c>
      <c r="W438" s="29">
        <f>IF($B438="","",IFERROR(INDEX($U$4:$U$3183,MATCH(SMALL($V$4:$V$3183,435),$V$4:$V$3183,0)),""))</f>
        <v/>
      </c>
    </row>
    <row r="439">
      <c r="A439">
        <f>IFERROR(INDEX($N$4:$N$3183,MATCH(SMALL($V$4:$V$3183,436),$V$4:$V$3183,0)),"")</f>
        <v/>
      </c>
      <c r="B439">
        <f>IFERROR(INDEX($O$4:$O$3183,MATCH(SMALL($V$4:$V$3183,436),$V$4:$V$3183,0)),"")</f>
        <v/>
      </c>
      <c r="C439">
        <f>IFERROR(INDEX($P$4:$P$3183,MATCH(SMALL($V$4:$V$3183,436),$V$4:$V$3183,0)),"")</f>
        <v/>
      </c>
      <c r="D439" s="29">
        <f>IFERROR(INDEX($Q$4:$Q$3183,MATCH(SMALL($V$4:$V$3183,436),$V$4:$V$3183,0)),"")</f>
        <v/>
      </c>
      <c r="E439" s="29">
        <f>IFERROR(INDEX($R$4:$R$3183,MATCH(SMALL($V$4:$V$3183,436),$V$4:$V$3183,0)),"")</f>
        <v/>
      </c>
      <c r="F439">
        <f>IFERROR(INDEX($S$4:$S$3183,MATCH(SMALL($V$4:$V$3183,436),$V$4:$V$3183,0)),"")</f>
        <v/>
      </c>
      <c r="I439" s="29">
        <f>IF($B439="","",IFERROR(INDEX($U$4:$U$3183,MATCH(SMALL($V$4:$V$3183,436),$V$4:$V$3183,0)),""))</f>
        <v/>
      </c>
      <c r="J439">
        <f>IF($B439="","",IF($D439&gt;$F$2,"À venir",IF($E439&lt;$D$2,"Passé","Dans la période")))</f>
        <v/>
      </c>
      <c r="K439">
        <f>IF(OR($B439="",NOT(ISNUMBER($D439))),"",IF(AND($E439&lt;$D$2,$G439&lt;&gt;"X",$F439&lt;&gt;"Réalisé",$F439&lt;&gt;"Clôturé"),"RETARD",""))</f>
        <v/>
      </c>
      <c r="L439">
        <f>IF(OR($B439="",NOT(ISNUMBER($D439))),"",IF(AND($D439&gt;=$D$2,$D439&lt;=$H$2,$G439&lt;&gt;"X",$F439&lt;&gt;"Réalisé",$F439&lt;&gt;"Clôturé"),"≤ 7 j",""))</f>
        <v/>
      </c>
      <c r="M439" s="29">
        <f>IF($B439="","",IFERROR(INDEX($T$4:$T$3183,MATCH(SMALL($V$4:$V$3183,436),$V$4:$V$3183,0)),""))</f>
        <v/>
      </c>
      <c r="O439">
        <f>IF(INDEX(Suivi!$B:$B,448)="","",INDEX(Suivi!$B:$B,448))</f>
        <v/>
      </c>
      <c r="P439">
        <f>IF($O439="","",IF(INDEX(Suivi!$D:$D,448)="",INDEX(Suivi!$C:$C,448),INDEX(Suivi!$D:$D,448)))</f>
        <v/>
      </c>
      <c r="Q439">
        <f>IF($O439="","",INDEX(Suivi!$E:$E,448))</f>
        <v/>
      </c>
      <c r="R439">
        <f>IF($O439="","",INDEX(Suivi!$F:$F,448))</f>
        <v/>
      </c>
      <c r="S439">
        <f>IF($O439="","",INDEX(Suivi!$G:$G,448))</f>
        <v/>
      </c>
      <c r="T439">
        <f>IF($O439="","",IF(INDEX(Dossiers!$F$4:$F$63,9)="","",INDEX(Dossiers!$F$4:$F$63,9)))</f>
        <v/>
      </c>
      <c r="U439">
        <f>IF($O439="","",IF(INDEX(Dossiers!$G$4:$G$63,9)="","",INDEX(Dossiers!$G$4:$G$63,9)))</f>
        <v/>
      </c>
      <c r="V439">
        <f>IF(OR($O439="",NOT(ISNUMBER($Q439))),"",$Q439*1000000+439)</f>
        <v/>
      </c>
      <c r="W439" s="29">
        <f>IF($B439="","",IFERROR(INDEX($U$4:$U$3183,MATCH(SMALL($V$4:$V$3183,436),$V$4:$V$3183,0)),""))</f>
        <v/>
      </c>
    </row>
    <row r="440">
      <c r="A440">
        <f>IFERROR(INDEX($N$4:$N$3183,MATCH(SMALL($V$4:$V$3183,437),$V$4:$V$3183,0)),"")</f>
        <v/>
      </c>
      <c r="B440">
        <f>IFERROR(INDEX($O$4:$O$3183,MATCH(SMALL($V$4:$V$3183,437),$V$4:$V$3183,0)),"")</f>
        <v/>
      </c>
      <c r="C440">
        <f>IFERROR(INDEX($P$4:$P$3183,MATCH(SMALL($V$4:$V$3183,437),$V$4:$V$3183,0)),"")</f>
        <v/>
      </c>
      <c r="D440" s="29">
        <f>IFERROR(INDEX($Q$4:$Q$3183,MATCH(SMALL($V$4:$V$3183,437),$V$4:$V$3183,0)),"")</f>
        <v/>
      </c>
      <c r="E440" s="29">
        <f>IFERROR(INDEX($R$4:$R$3183,MATCH(SMALL($V$4:$V$3183,437),$V$4:$V$3183,0)),"")</f>
        <v/>
      </c>
      <c r="F440">
        <f>IFERROR(INDEX($S$4:$S$3183,MATCH(SMALL($V$4:$V$3183,437),$V$4:$V$3183,0)),"")</f>
        <v/>
      </c>
      <c r="I440" s="29">
        <f>IF($B440="","",IFERROR(INDEX($U$4:$U$3183,MATCH(SMALL($V$4:$V$3183,437),$V$4:$V$3183,0)),""))</f>
        <v/>
      </c>
      <c r="J440">
        <f>IF($B440="","",IF($D440&gt;$F$2,"À venir",IF($E440&lt;$D$2,"Passé","Dans la période")))</f>
        <v/>
      </c>
      <c r="K440">
        <f>IF(OR($B440="",NOT(ISNUMBER($D440))),"",IF(AND($E440&lt;$D$2,$G440&lt;&gt;"X",$F440&lt;&gt;"Réalisé",$F440&lt;&gt;"Clôturé"),"RETARD",""))</f>
        <v/>
      </c>
      <c r="L440">
        <f>IF(OR($B440="",NOT(ISNUMBER($D440))),"",IF(AND($D440&gt;=$D$2,$D440&lt;=$H$2,$G440&lt;&gt;"X",$F440&lt;&gt;"Réalisé",$F440&lt;&gt;"Clôturé"),"≤ 7 j",""))</f>
        <v/>
      </c>
      <c r="M440" s="29">
        <f>IF($B440="","",IFERROR(INDEX($T$4:$T$3183,MATCH(SMALL($V$4:$V$3183,437),$V$4:$V$3183,0)),""))</f>
        <v/>
      </c>
      <c r="O440">
        <f>IF(INDEX(Suivi!$B:$B,449)="","",INDEX(Suivi!$B:$B,449))</f>
        <v/>
      </c>
      <c r="P440">
        <f>IF($O440="","",IF(INDEX(Suivi!$D:$D,449)="",INDEX(Suivi!$C:$C,449),INDEX(Suivi!$D:$D,449)))</f>
        <v/>
      </c>
      <c r="Q440">
        <f>IF($O440="","",INDEX(Suivi!$E:$E,449))</f>
        <v/>
      </c>
      <c r="R440">
        <f>IF($O440="","",INDEX(Suivi!$F:$F,449))</f>
        <v/>
      </c>
      <c r="S440">
        <f>IF($O440="","",INDEX(Suivi!$G:$G,449))</f>
        <v/>
      </c>
      <c r="T440">
        <f>IF($O440="","",IF(INDEX(Dossiers!$F$4:$F$63,9)="","",INDEX(Dossiers!$F$4:$F$63,9)))</f>
        <v/>
      </c>
      <c r="U440">
        <f>IF($O440="","",IF(INDEX(Dossiers!$G$4:$G$63,9)="","",INDEX(Dossiers!$G$4:$G$63,9)))</f>
        <v/>
      </c>
      <c r="V440">
        <f>IF(OR($O440="",NOT(ISNUMBER($Q440))),"",$Q440*1000000+440)</f>
        <v/>
      </c>
      <c r="W440" s="29">
        <f>IF($B440="","",IFERROR(INDEX($U$4:$U$3183,MATCH(SMALL($V$4:$V$3183,437),$V$4:$V$3183,0)),""))</f>
        <v/>
      </c>
    </row>
    <row r="441">
      <c r="A441">
        <f>IFERROR(INDEX($N$4:$N$3183,MATCH(SMALL($V$4:$V$3183,438),$V$4:$V$3183,0)),"")</f>
        <v/>
      </c>
      <c r="B441">
        <f>IFERROR(INDEX($O$4:$O$3183,MATCH(SMALL($V$4:$V$3183,438),$V$4:$V$3183,0)),"")</f>
        <v/>
      </c>
      <c r="C441">
        <f>IFERROR(INDEX($P$4:$P$3183,MATCH(SMALL($V$4:$V$3183,438),$V$4:$V$3183,0)),"")</f>
        <v/>
      </c>
      <c r="D441" s="29">
        <f>IFERROR(INDEX($Q$4:$Q$3183,MATCH(SMALL($V$4:$V$3183,438),$V$4:$V$3183,0)),"")</f>
        <v/>
      </c>
      <c r="E441" s="29">
        <f>IFERROR(INDEX($R$4:$R$3183,MATCH(SMALL($V$4:$V$3183,438),$V$4:$V$3183,0)),"")</f>
        <v/>
      </c>
      <c r="F441">
        <f>IFERROR(INDEX($S$4:$S$3183,MATCH(SMALL($V$4:$V$3183,438),$V$4:$V$3183,0)),"")</f>
        <v/>
      </c>
      <c r="I441" s="29">
        <f>IF($B441="","",IFERROR(INDEX($U$4:$U$3183,MATCH(SMALL($V$4:$V$3183,438),$V$4:$V$3183,0)),""))</f>
        <v/>
      </c>
      <c r="J441">
        <f>IF($B441="","",IF($D441&gt;$F$2,"À venir",IF($E441&lt;$D$2,"Passé","Dans la période")))</f>
        <v/>
      </c>
      <c r="K441">
        <f>IF(OR($B441="",NOT(ISNUMBER($D441))),"",IF(AND($E441&lt;$D$2,$G441&lt;&gt;"X",$F441&lt;&gt;"Réalisé",$F441&lt;&gt;"Clôturé"),"RETARD",""))</f>
        <v/>
      </c>
      <c r="L441">
        <f>IF(OR($B441="",NOT(ISNUMBER($D441))),"",IF(AND($D441&gt;=$D$2,$D441&lt;=$H$2,$G441&lt;&gt;"X",$F441&lt;&gt;"Réalisé",$F441&lt;&gt;"Clôturé"),"≤ 7 j",""))</f>
        <v/>
      </c>
      <c r="M441" s="29">
        <f>IF($B441="","",IFERROR(INDEX($T$4:$T$3183,MATCH(SMALL($V$4:$V$3183,438),$V$4:$V$3183,0)),""))</f>
        <v/>
      </c>
      <c r="O441">
        <f>IF(INDEX(Suivi!$B:$B,450)="","",INDEX(Suivi!$B:$B,450))</f>
        <v/>
      </c>
      <c r="P441">
        <f>IF($O441="","",IF(INDEX(Suivi!$D:$D,450)="",INDEX(Suivi!$C:$C,450),INDEX(Suivi!$D:$D,450)))</f>
        <v/>
      </c>
      <c r="Q441">
        <f>IF($O441="","",INDEX(Suivi!$E:$E,450))</f>
        <v/>
      </c>
      <c r="R441">
        <f>IF($O441="","",INDEX(Suivi!$F:$F,450))</f>
        <v/>
      </c>
      <c r="S441">
        <f>IF($O441="","",INDEX(Suivi!$G:$G,450))</f>
        <v/>
      </c>
      <c r="T441">
        <f>IF($O441="","",IF(INDEX(Dossiers!$F$4:$F$63,9)="","",INDEX(Dossiers!$F$4:$F$63,9)))</f>
        <v/>
      </c>
      <c r="U441">
        <f>IF($O441="","",IF(INDEX(Dossiers!$G$4:$G$63,9)="","",INDEX(Dossiers!$G$4:$G$63,9)))</f>
        <v/>
      </c>
      <c r="V441">
        <f>IF(OR($O441="",NOT(ISNUMBER($Q441))),"",$Q441*1000000+441)</f>
        <v/>
      </c>
      <c r="W441" s="29">
        <f>IF($B441="","",IFERROR(INDEX($U$4:$U$3183,MATCH(SMALL($V$4:$V$3183,438),$V$4:$V$3183,0)),""))</f>
        <v/>
      </c>
    </row>
    <row r="442">
      <c r="A442">
        <f>IFERROR(INDEX($N$4:$N$3183,MATCH(SMALL($V$4:$V$3183,439),$V$4:$V$3183,0)),"")</f>
        <v/>
      </c>
      <c r="B442">
        <f>IFERROR(INDEX($O$4:$O$3183,MATCH(SMALL($V$4:$V$3183,439),$V$4:$V$3183,0)),"")</f>
        <v/>
      </c>
      <c r="C442">
        <f>IFERROR(INDEX($P$4:$P$3183,MATCH(SMALL($V$4:$V$3183,439),$V$4:$V$3183,0)),"")</f>
        <v/>
      </c>
      <c r="D442" s="29">
        <f>IFERROR(INDEX($Q$4:$Q$3183,MATCH(SMALL($V$4:$V$3183,439),$V$4:$V$3183,0)),"")</f>
        <v/>
      </c>
      <c r="E442" s="29">
        <f>IFERROR(INDEX($R$4:$R$3183,MATCH(SMALL($V$4:$V$3183,439),$V$4:$V$3183,0)),"")</f>
        <v/>
      </c>
      <c r="F442">
        <f>IFERROR(INDEX($S$4:$S$3183,MATCH(SMALL($V$4:$V$3183,439),$V$4:$V$3183,0)),"")</f>
        <v/>
      </c>
      <c r="I442" s="29">
        <f>IF($B442="","",IFERROR(INDEX($U$4:$U$3183,MATCH(SMALL($V$4:$V$3183,439),$V$4:$V$3183,0)),""))</f>
        <v/>
      </c>
      <c r="J442">
        <f>IF($B442="","",IF($D442&gt;$F$2,"À venir",IF($E442&lt;$D$2,"Passé","Dans la période")))</f>
        <v/>
      </c>
      <c r="K442">
        <f>IF(OR($B442="",NOT(ISNUMBER($D442))),"",IF(AND($E442&lt;$D$2,$G442&lt;&gt;"X",$F442&lt;&gt;"Réalisé",$F442&lt;&gt;"Clôturé"),"RETARD",""))</f>
        <v/>
      </c>
      <c r="L442">
        <f>IF(OR($B442="",NOT(ISNUMBER($D442))),"",IF(AND($D442&gt;=$D$2,$D442&lt;=$H$2,$G442&lt;&gt;"X",$F442&lt;&gt;"Réalisé",$F442&lt;&gt;"Clôturé"),"≤ 7 j",""))</f>
        <v/>
      </c>
      <c r="M442" s="29">
        <f>IF($B442="","",IFERROR(INDEX($T$4:$T$3183,MATCH(SMALL($V$4:$V$3183,439),$V$4:$V$3183,0)),""))</f>
        <v/>
      </c>
      <c r="O442">
        <f>IF(INDEX(Suivi!$B:$B,451)="","",INDEX(Suivi!$B:$B,451))</f>
        <v/>
      </c>
      <c r="P442">
        <f>IF($O442="","",IF(INDEX(Suivi!$D:$D,451)="",INDEX(Suivi!$C:$C,451),INDEX(Suivi!$D:$D,451)))</f>
        <v/>
      </c>
      <c r="Q442">
        <f>IF($O442="","",INDEX(Suivi!$E:$E,451))</f>
        <v/>
      </c>
      <c r="R442">
        <f>IF($O442="","",INDEX(Suivi!$F:$F,451))</f>
        <v/>
      </c>
      <c r="S442">
        <f>IF($O442="","",INDEX(Suivi!$G:$G,451))</f>
        <v/>
      </c>
      <c r="T442">
        <f>IF($O442="","",IF(INDEX(Dossiers!$F$4:$F$63,9)="","",INDEX(Dossiers!$F$4:$F$63,9)))</f>
        <v/>
      </c>
      <c r="U442">
        <f>IF($O442="","",IF(INDEX(Dossiers!$G$4:$G$63,9)="","",INDEX(Dossiers!$G$4:$G$63,9)))</f>
        <v/>
      </c>
      <c r="V442">
        <f>IF(OR($O442="",NOT(ISNUMBER($Q442))),"",$Q442*1000000+442)</f>
        <v/>
      </c>
      <c r="W442" s="29">
        <f>IF($B442="","",IFERROR(INDEX($U$4:$U$3183,MATCH(SMALL($V$4:$V$3183,439),$V$4:$V$3183,0)),""))</f>
        <v/>
      </c>
    </row>
    <row r="443">
      <c r="A443">
        <f>IFERROR(INDEX($N$4:$N$3183,MATCH(SMALL($V$4:$V$3183,440),$V$4:$V$3183,0)),"")</f>
        <v/>
      </c>
      <c r="B443">
        <f>IFERROR(INDEX($O$4:$O$3183,MATCH(SMALL($V$4:$V$3183,440),$V$4:$V$3183,0)),"")</f>
        <v/>
      </c>
      <c r="C443">
        <f>IFERROR(INDEX($P$4:$P$3183,MATCH(SMALL($V$4:$V$3183,440),$V$4:$V$3183,0)),"")</f>
        <v/>
      </c>
      <c r="D443" s="29">
        <f>IFERROR(INDEX($Q$4:$Q$3183,MATCH(SMALL($V$4:$V$3183,440),$V$4:$V$3183,0)),"")</f>
        <v/>
      </c>
      <c r="E443" s="29">
        <f>IFERROR(INDEX($R$4:$R$3183,MATCH(SMALL($V$4:$V$3183,440),$V$4:$V$3183,0)),"")</f>
        <v/>
      </c>
      <c r="F443">
        <f>IFERROR(INDEX($S$4:$S$3183,MATCH(SMALL($V$4:$V$3183,440),$V$4:$V$3183,0)),"")</f>
        <v/>
      </c>
      <c r="I443" s="29">
        <f>IF($B443="","",IFERROR(INDEX($U$4:$U$3183,MATCH(SMALL($V$4:$V$3183,440),$V$4:$V$3183,0)),""))</f>
        <v/>
      </c>
      <c r="J443">
        <f>IF($B443="","",IF($D443&gt;$F$2,"À venir",IF($E443&lt;$D$2,"Passé","Dans la période")))</f>
        <v/>
      </c>
      <c r="K443">
        <f>IF(OR($B443="",NOT(ISNUMBER($D443))),"",IF(AND($E443&lt;$D$2,$G443&lt;&gt;"X",$F443&lt;&gt;"Réalisé",$F443&lt;&gt;"Clôturé"),"RETARD",""))</f>
        <v/>
      </c>
      <c r="L443">
        <f>IF(OR($B443="",NOT(ISNUMBER($D443))),"",IF(AND($D443&gt;=$D$2,$D443&lt;=$H$2,$G443&lt;&gt;"X",$F443&lt;&gt;"Réalisé",$F443&lt;&gt;"Clôturé"),"≤ 7 j",""))</f>
        <v/>
      </c>
      <c r="M443" s="29">
        <f>IF($B443="","",IFERROR(INDEX($T$4:$T$3183,MATCH(SMALL($V$4:$V$3183,440),$V$4:$V$3183,0)),""))</f>
        <v/>
      </c>
      <c r="O443">
        <f>IF(INDEX(Suivi!$B:$B,452)="","",INDEX(Suivi!$B:$B,452))</f>
        <v/>
      </c>
      <c r="P443">
        <f>IF($O443="","",IF(INDEX(Suivi!$D:$D,452)="",INDEX(Suivi!$C:$C,452),INDEX(Suivi!$D:$D,452)))</f>
        <v/>
      </c>
      <c r="Q443">
        <f>IF($O443="","",INDEX(Suivi!$E:$E,452))</f>
        <v/>
      </c>
      <c r="R443">
        <f>IF($O443="","",INDEX(Suivi!$F:$F,452))</f>
        <v/>
      </c>
      <c r="S443">
        <f>IF($O443="","",INDEX(Suivi!$G:$G,452))</f>
        <v/>
      </c>
      <c r="T443">
        <f>IF($O443="","",IF(INDEX(Dossiers!$F$4:$F$63,9)="","",INDEX(Dossiers!$F$4:$F$63,9)))</f>
        <v/>
      </c>
      <c r="U443">
        <f>IF($O443="","",IF(INDEX(Dossiers!$G$4:$G$63,9)="","",INDEX(Dossiers!$G$4:$G$63,9)))</f>
        <v/>
      </c>
      <c r="V443">
        <f>IF(OR($O443="",NOT(ISNUMBER($Q443))),"",$Q443*1000000+443)</f>
        <v/>
      </c>
      <c r="W443" s="29">
        <f>IF($B443="","",IFERROR(INDEX($U$4:$U$3183,MATCH(SMALL($V$4:$V$3183,440),$V$4:$V$3183,0)),""))</f>
        <v/>
      </c>
    </row>
    <row r="444">
      <c r="A444">
        <f>IFERROR(INDEX($N$4:$N$3183,MATCH(SMALL($V$4:$V$3183,441),$V$4:$V$3183,0)),"")</f>
        <v/>
      </c>
      <c r="B444">
        <f>IFERROR(INDEX($O$4:$O$3183,MATCH(SMALL($V$4:$V$3183,441),$V$4:$V$3183,0)),"")</f>
        <v/>
      </c>
      <c r="C444">
        <f>IFERROR(INDEX($P$4:$P$3183,MATCH(SMALL($V$4:$V$3183,441),$V$4:$V$3183,0)),"")</f>
        <v/>
      </c>
      <c r="D444" s="29">
        <f>IFERROR(INDEX($Q$4:$Q$3183,MATCH(SMALL($V$4:$V$3183,441),$V$4:$V$3183,0)),"")</f>
        <v/>
      </c>
      <c r="E444" s="29">
        <f>IFERROR(INDEX($R$4:$R$3183,MATCH(SMALL($V$4:$V$3183,441),$V$4:$V$3183,0)),"")</f>
        <v/>
      </c>
      <c r="F444">
        <f>IFERROR(INDEX($S$4:$S$3183,MATCH(SMALL($V$4:$V$3183,441),$V$4:$V$3183,0)),"")</f>
        <v/>
      </c>
      <c r="I444" s="29">
        <f>IF($B444="","",IFERROR(INDEX($U$4:$U$3183,MATCH(SMALL($V$4:$V$3183,441),$V$4:$V$3183,0)),""))</f>
        <v/>
      </c>
      <c r="J444">
        <f>IF($B444="","",IF($D444&gt;$F$2,"À venir",IF($E444&lt;$D$2,"Passé","Dans la période")))</f>
        <v/>
      </c>
      <c r="K444">
        <f>IF(OR($B444="",NOT(ISNUMBER($D444))),"",IF(AND($E444&lt;$D$2,$G444&lt;&gt;"X",$F444&lt;&gt;"Réalisé",$F444&lt;&gt;"Clôturé"),"RETARD",""))</f>
        <v/>
      </c>
      <c r="L444">
        <f>IF(OR($B444="",NOT(ISNUMBER($D444))),"",IF(AND($D444&gt;=$D$2,$D444&lt;=$H$2,$G444&lt;&gt;"X",$F444&lt;&gt;"Réalisé",$F444&lt;&gt;"Clôturé"),"≤ 7 j",""))</f>
        <v/>
      </c>
      <c r="M444" s="29">
        <f>IF($B444="","",IFERROR(INDEX($T$4:$T$3183,MATCH(SMALL($V$4:$V$3183,441),$V$4:$V$3183,0)),""))</f>
        <v/>
      </c>
      <c r="O444">
        <f>IF(INDEX(Suivi!$B:$B,453)="","",INDEX(Suivi!$B:$B,453))</f>
        <v/>
      </c>
      <c r="P444">
        <f>IF($O444="","",IF(INDEX(Suivi!$D:$D,453)="",INDEX(Suivi!$C:$C,453),INDEX(Suivi!$D:$D,453)))</f>
        <v/>
      </c>
      <c r="Q444">
        <f>IF($O444="","",INDEX(Suivi!$E:$E,453))</f>
        <v/>
      </c>
      <c r="R444">
        <f>IF($O444="","",INDEX(Suivi!$F:$F,453))</f>
        <v/>
      </c>
      <c r="S444">
        <f>IF($O444="","",INDEX(Suivi!$G:$G,453))</f>
        <v/>
      </c>
      <c r="T444">
        <f>IF($O444="","",IF(INDEX(Dossiers!$F$4:$F$63,9)="","",INDEX(Dossiers!$F$4:$F$63,9)))</f>
        <v/>
      </c>
      <c r="U444">
        <f>IF($O444="","",IF(INDEX(Dossiers!$G$4:$G$63,9)="","",INDEX(Dossiers!$G$4:$G$63,9)))</f>
        <v/>
      </c>
      <c r="V444">
        <f>IF(OR($O444="",NOT(ISNUMBER($Q444))),"",$Q444*1000000+444)</f>
        <v/>
      </c>
      <c r="W444" s="29">
        <f>IF($B444="","",IFERROR(INDEX($U$4:$U$3183,MATCH(SMALL($V$4:$V$3183,441),$V$4:$V$3183,0)),""))</f>
        <v/>
      </c>
    </row>
    <row r="445">
      <c r="A445">
        <f>IFERROR(INDEX($N$4:$N$3183,MATCH(SMALL($V$4:$V$3183,442),$V$4:$V$3183,0)),"")</f>
        <v/>
      </c>
      <c r="B445">
        <f>IFERROR(INDEX($O$4:$O$3183,MATCH(SMALL($V$4:$V$3183,442),$V$4:$V$3183,0)),"")</f>
        <v/>
      </c>
      <c r="C445">
        <f>IFERROR(INDEX($P$4:$P$3183,MATCH(SMALL($V$4:$V$3183,442),$V$4:$V$3183,0)),"")</f>
        <v/>
      </c>
      <c r="D445" s="29">
        <f>IFERROR(INDEX($Q$4:$Q$3183,MATCH(SMALL($V$4:$V$3183,442),$V$4:$V$3183,0)),"")</f>
        <v/>
      </c>
      <c r="E445" s="29">
        <f>IFERROR(INDEX($R$4:$R$3183,MATCH(SMALL($V$4:$V$3183,442),$V$4:$V$3183,0)),"")</f>
        <v/>
      </c>
      <c r="F445">
        <f>IFERROR(INDEX($S$4:$S$3183,MATCH(SMALL($V$4:$V$3183,442),$V$4:$V$3183,0)),"")</f>
        <v/>
      </c>
      <c r="I445" s="29">
        <f>IF($B445="","",IFERROR(INDEX($U$4:$U$3183,MATCH(SMALL($V$4:$V$3183,442),$V$4:$V$3183,0)),""))</f>
        <v/>
      </c>
      <c r="J445">
        <f>IF($B445="","",IF($D445&gt;$F$2,"À venir",IF($E445&lt;$D$2,"Passé","Dans la période")))</f>
        <v/>
      </c>
      <c r="K445">
        <f>IF(OR($B445="",NOT(ISNUMBER($D445))),"",IF(AND($E445&lt;$D$2,$G445&lt;&gt;"X",$F445&lt;&gt;"Réalisé",$F445&lt;&gt;"Clôturé"),"RETARD",""))</f>
        <v/>
      </c>
      <c r="L445">
        <f>IF(OR($B445="",NOT(ISNUMBER($D445))),"",IF(AND($D445&gt;=$D$2,$D445&lt;=$H$2,$G445&lt;&gt;"X",$F445&lt;&gt;"Réalisé",$F445&lt;&gt;"Clôturé"),"≤ 7 j",""))</f>
        <v/>
      </c>
      <c r="M445" s="29">
        <f>IF($B445="","",IFERROR(INDEX($T$4:$T$3183,MATCH(SMALL($V$4:$V$3183,442),$V$4:$V$3183,0)),""))</f>
        <v/>
      </c>
      <c r="O445">
        <f>IF(INDEX(Suivi!$B:$B,454)="","",INDEX(Suivi!$B:$B,454))</f>
        <v/>
      </c>
      <c r="P445">
        <f>IF($O445="","",IF(INDEX(Suivi!$D:$D,454)="",INDEX(Suivi!$C:$C,454),INDEX(Suivi!$D:$D,454)))</f>
        <v/>
      </c>
      <c r="Q445">
        <f>IF($O445="","",INDEX(Suivi!$E:$E,454))</f>
        <v/>
      </c>
      <c r="R445">
        <f>IF($O445="","",INDEX(Suivi!$F:$F,454))</f>
        <v/>
      </c>
      <c r="S445">
        <f>IF($O445="","",INDEX(Suivi!$G:$G,454))</f>
        <v/>
      </c>
      <c r="T445">
        <f>IF($O445="","",IF(INDEX(Dossiers!$F$4:$F$63,9)="","",INDEX(Dossiers!$F$4:$F$63,9)))</f>
        <v/>
      </c>
      <c r="U445">
        <f>IF($O445="","",IF(INDEX(Dossiers!$G$4:$G$63,9)="","",INDEX(Dossiers!$G$4:$G$63,9)))</f>
        <v/>
      </c>
      <c r="V445">
        <f>IF(OR($O445="",NOT(ISNUMBER($Q445))),"",$Q445*1000000+445)</f>
        <v/>
      </c>
      <c r="W445" s="29">
        <f>IF($B445="","",IFERROR(INDEX($U$4:$U$3183,MATCH(SMALL($V$4:$V$3183,442),$V$4:$V$3183,0)),""))</f>
        <v/>
      </c>
    </row>
    <row r="446">
      <c r="A446">
        <f>IFERROR(INDEX($N$4:$N$3183,MATCH(SMALL($V$4:$V$3183,443),$V$4:$V$3183,0)),"")</f>
        <v/>
      </c>
      <c r="B446">
        <f>IFERROR(INDEX($O$4:$O$3183,MATCH(SMALL($V$4:$V$3183,443),$V$4:$V$3183,0)),"")</f>
        <v/>
      </c>
      <c r="C446">
        <f>IFERROR(INDEX($P$4:$P$3183,MATCH(SMALL($V$4:$V$3183,443),$V$4:$V$3183,0)),"")</f>
        <v/>
      </c>
      <c r="D446" s="29">
        <f>IFERROR(INDEX($Q$4:$Q$3183,MATCH(SMALL($V$4:$V$3183,443),$V$4:$V$3183,0)),"")</f>
        <v/>
      </c>
      <c r="E446" s="29">
        <f>IFERROR(INDEX($R$4:$R$3183,MATCH(SMALL($V$4:$V$3183,443),$V$4:$V$3183,0)),"")</f>
        <v/>
      </c>
      <c r="F446">
        <f>IFERROR(INDEX($S$4:$S$3183,MATCH(SMALL($V$4:$V$3183,443),$V$4:$V$3183,0)),"")</f>
        <v/>
      </c>
      <c r="I446" s="29">
        <f>IF($B446="","",IFERROR(INDEX($U$4:$U$3183,MATCH(SMALL($V$4:$V$3183,443),$V$4:$V$3183,0)),""))</f>
        <v/>
      </c>
      <c r="J446">
        <f>IF($B446="","",IF($D446&gt;$F$2,"À venir",IF($E446&lt;$D$2,"Passé","Dans la période")))</f>
        <v/>
      </c>
      <c r="K446">
        <f>IF(OR($B446="",NOT(ISNUMBER($D446))),"",IF(AND($E446&lt;$D$2,$G446&lt;&gt;"X",$F446&lt;&gt;"Réalisé",$F446&lt;&gt;"Clôturé"),"RETARD",""))</f>
        <v/>
      </c>
      <c r="L446">
        <f>IF(OR($B446="",NOT(ISNUMBER($D446))),"",IF(AND($D446&gt;=$D$2,$D446&lt;=$H$2,$G446&lt;&gt;"X",$F446&lt;&gt;"Réalisé",$F446&lt;&gt;"Clôturé"),"≤ 7 j",""))</f>
        <v/>
      </c>
      <c r="M446" s="29">
        <f>IF($B446="","",IFERROR(INDEX($T$4:$T$3183,MATCH(SMALL($V$4:$V$3183,443),$V$4:$V$3183,0)),""))</f>
        <v/>
      </c>
      <c r="O446">
        <f>IF(INDEX(Suivi!$B:$B,455)="","",INDEX(Suivi!$B:$B,455))</f>
        <v/>
      </c>
      <c r="P446">
        <f>IF($O446="","",IF(INDEX(Suivi!$D:$D,455)="",INDEX(Suivi!$C:$C,455),INDEX(Suivi!$D:$D,455)))</f>
        <v/>
      </c>
      <c r="Q446">
        <f>IF($O446="","",INDEX(Suivi!$E:$E,455))</f>
        <v/>
      </c>
      <c r="R446">
        <f>IF($O446="","",INDEX(Suivi!$F:$F,455))</f>
        <v/>
      </c>
      <c r="S446">
        <f>IF($O446="","",INDEX(Suivi!$G:$G,455))</f>
        <v/>
      </c>
      <c r="T446">
        <f>IF($O446="","",IF(INDEX(Dossiers!$F$4:$F$63,9)="","",INDEX(Dossiers!$F$4:$F$63,9)))</f>
        <v/>
      </c>
      <c r="U446">
        <f>IF($O446="","",IF(INDEX(Dossiers!$G$4:$G$63,9)="","",INDEX(Dossiers!$G$4:$G$63,9)))</f>
        <v/>
      </c>
      <c r="V446">
        <f>IF(OR($O446="",NOT(ISNUMBER($Q446))),"",$Q446*1000000+446)</f>
        <v/>
      </c>
      <c r="W446" s="29">
        <f>IF($B446="","",IFERROR(INDEX($U$4:$U$3183,MATCH(SMALL($V$4:$V$3183,443),$V$4:$V$3183,0)),""))</f>
        <v/>
      </c>
    </row>
    <row r="447">
      <c r="A447">
        <f>IFERROR(INDEX($N$4:$N$3183,MATCH(SMALL($V$4:$V$3183,444),$V$4:$V$3183,0)),"")</f>
        <v/>
      </c>
      <c r="B447">
        <f>IFERROR(INDEX($O$4:$O$3183,MATCH(SMALL($V$4:$V$3183,444),$V$4:$V$3183,0)),"")</f>
        <v/>
      </c>
      <c r="C447">
        <f>IFERROR(INDEX($P$4:$P$3183,MATCH(SMALL($V$4:$V$3183,444),$V$4:$V$3183,0)),"")</f>
        <v/>
      </c>
      <c r="D447" s="29">
        <f>IFERROR(INDEX($Q$4:$Q$3183,MATCH(SMALL($V$4:$V$3183,444),$V$4:$V$3183,0)),"")</f>
        <v/>
      </c>
      <c r="E447" s="29">
        <f>IFERROR(INDEX($R$4:$R$3183,MATCH(SMALL($V$4:$V$3183,444),$V$4:$V$3183,0)),"")</f>
        <v/>
      </c>
      <c r="F447">
        <f>IFERROR(INDEX($S$4:$S$3183,MATCH(SMALL($V$4:$V$3183,444),$V$4:$V$3183,0)),"")</f>
        <v/>
      </c>
      <c r="I447" s="29">
        <f>IF($B447="","",IFERROR(INDEX($U$4:$U$3183,MATCH(SMALL($V$4:$V$3183,444),$V$4:$V$3183,0)),""))</f>
        <v/>
      </c>
      <c r="J447">
        <f>IF($B447="","",IF($D447&gt;$F$2,"À venir",IF($E447&lt;$D$2,"Passé","Dans la période")))</f>
        <v/>
      </c>
      <c r="K447">
        <f>IF(OR($B447="",NOT(ISNUMBER($D447))),"",IF(AND($E447&lt;$D$2,$G447&lt;&gt;"X",$F447&lt;&gt;"Réalisé",$F447&lt;&gt;"Clôturé"),"RETARD",""))</f>
        <v/>
      </c>
      <c r="L447">
        <f>IF(OR($B447="",NOT(ISNUMBER($D447))),"",IF(AND($D447&gt;=$D$2,$D447&lt;=$H$2,$G447&lt;&gt;"X",$F447&lt;&gt;"Réalisé",$F447&lt;&gt;"Clôturé"),"≤ 7 j",""))</f>
        <v/>
      </c>
      <c r="M447" s="29">
        <f>IF($B447="","",IFERROR(INDEX($T$4:$T$3183,MATCH(SMALL($V$4:$V$3183,444),$V$4:$V$3183,0)),""))</f>
        <v/>
      </c>
      <c r="O447">
        <f>IF(INDEX(Suivi!$B:$B,456)="","",INDEX(Suivi!$B:$B,456))</f>
        <v/>
      </c>
      <c r="P447">
        <f>IF($O447="","",IF(INDEX(Suivi!$D:$D,456)="",INDEX(Suivi!$C:$C,456),INDEX(Suivi!$D:$D,456)))</f>
        <v/>
      </c>
      <c r="Q447">
        <f>IF($O447="","",INDEX(Suivi!$E:$E,456))</f>
        <v/>
      </c>
      <c r="R447">
        <f>IF($O447="","",INDEX(Suivi!$F:$F,456))</f>
        <v/>
      </c>
      <c r="S447">
        <f>IF($O447="","",INDEX(Suivi!$G:$G,456))</f>
        <v/>
      </c>
      <c r="T447">
        <f>IF($O447="","",IF(INDEX(Dossiers!$F$4:$F$63,9)="","",INDEX(Dossiers!$F$4:$F$63,9)))</f>
        <v/>
      </c>
      <c r="U447">
        <f>IF($O447="","",IF(INDEX(Dossiers!$G$4:$G$63,9)="","",INDEX(Dossiers!$G$4:$G$63,9)))</f>
        <v/>
      </c>
      <c r="V447">
        <f>IF(OR($O447="",NOT(ISNUMBER($Q447))),"",$Q447*1000000+447)</f>
        <v/>
      </c>
      <c r="W447" s="29">
        <f>IF($B447="","",IFERROR(INDEX($U$4:$U$3183,MATCH(SMALL($V$4:$V$3183,444),$V$4:$V$3183,0)),""))</f>
        <v/>
      </c>
    </row>
    <row r="448">
      <c r="A448">
        <f>IFERROR(INDEX($N$4:$N$3183,MATCH(SMALL($V$4:$V$3183,445),$V$4:$V$3183,0)),"")</f>
        <v/>
      </c>
      <c r="B448">
        <f>IFERROR(INDEX($O$4:$O$3183,MATCH(SMALL($V$4:$V$3183,445),$V$4:$V$3183,0)),"")</f>
        <v/>
      </c>
      <c r="C448">
        <f>IFERROR(INDEX($P$4:$P$3183,MATCH(SMALL($V$4:$V$3183,445),$V$4:$V$3183,0)),"")</f>
        <v/>
      </c>
      <c r="D448" s="29">
        <f>IFERROR(INDEX($Q$4:$Q$3183,MATCH(SMALL($V$4:$V$3183,445),$V$4:$V$3183,0)),"")</f>
        <v/>
      </c>
      <c r="E448" s="29">
        <f>IFERROR(INDEX($R$4:$R$3183,MATCH(SMALL($V$4:$V$3183,445),$V$4:$V$3183,0)),"")</f>
        <v/>
      </c>
      <c r="F448">
        <f>IFERROR(INDEX($S$4:$S$3183,MATCH(SMALL($V$4:$V$3183,445),$V$4:$V$3183,0)),"")</f>
        <v/>
      </c>
      <c r="I448" s="29">
        <f>IF($B448="","",IFERROR(INDEX($U$4:$U$3183,MATCH(SMALL($V$4:$V$3183,445),$V$4:$V$3183,0)),""))</f>
        <v/>
      </c>
      <c r="J448">
        <f>IF($B448="","",IF($D448&gt;$F$2,"À venir",IF($E448&lt;$D$2,"Passé","Dans la période")))</f>
        <v/>
      </c>
      <c r="K448">
        <f>IF(OR($B448="",NOT(ISNUMBER($D448))),"",IF(AND($E448&lt;$D$2,$G448&lt;&gt;"X",$F448&lt;&gt;"Réalisé",$F448&lt;&gt;"Clôturé"),"RETARD",""))</f>
        <v/>
      </c>
      <c r="L448">
        <f>IF(OR($B448="",NOT(ISNUMBER($D448))),"",IF(AND($D448&gt;=$D$2,$D448&lt;=$H$2,$G448&lt;&gt;"X",$F448&lt;&gt;"Réalisé",$F448&lt;&gt;"Clôturé"),"≤ 7 j",""))</f>
        <v/>
      </c>
      <c r="M448" s="29">
        <f>IF($B448="","",IFERROR(INDEX($T$4:$T$3183,MATCH(SMALL($V$4:$V$3183,445),$V$4:$V$3183,0)),""))</f>
        <v/>
      </c>
      <c r="O448">
        <f>IF(INDEX(Suivi!$B:$B,457)="","",INDEX(Suivi!$B:$B,457))</f>
        <v/>
      </c>
      <c r="P448">
        <f>IF($O448="","",IF(INDEX(Suivi!$D:$D,457)="",INDEX(Suivi!$C:$C,457),INDEX(Suivi!$D:$D,457)))</f>
        <v/>
      </c>
      <c r="Q448">
        <f>IF($O448="","",INDEX(Suivi!$E:$E,457))</f>
        <v/>
      </c>
      <c r="R448">
        <f>IF($O448="","",INDEX(Suivi!$F:$F,457))</f>
        <v/>
      </c>
      <c r="S448">
        <f>IF($O448="","",INDEX(Suivi!$G:$G,457))</f>
        <v/>
      </c>
      <c r="T448">
        <f>IF($O448="","",IF(INDEX(Dossiers!$F$4:$F$63,9)="","",INDEX(Dossiers!$F$4:$F$63,9)))</f>
        <v/>
      </c>
      <c r="U448">
        <f>IF($O448="","",IF(INDEX(Dossiers!$G$4:$G$63,9)="","",INDEX(Dossiers!$G$4:$G$63,9)))</f>
        <v/>
      </c>
      <c r="V448">
        <f>IF(OR($O448="",NOT(ISNUMBER($Q448))),"",$Q448*1000000+448)</f>
        <v/>
      </c>
      <c r="W448" s="29">
        <f>IF($B448="","",IFERROR(INDEX($U$4:$U$3183,MATCH(SMALL($V$4:$V$3183,445),$V$4:$V$3183,0)),""))</f>
        <v/>
      </c>
    </row>
    <row r="449">
      <c r="A449">
        <f>IFERROR(INDEX($N$4:$N$3183,MATCH(SMALL($V$4:$V$3183,446),$V$4:$V$3183,0)),"")</f>
        <v/>
      </c>
      <c r="B449">
        <f>IFERROR(INDEX($O$4:$O$3183,MATCH(SMALL($V$4:$V$3183,446),$V$4:$V$3183,0)),"")</f>
        <v/>
      </c>
      <c r="C449">
        <f>IFERROR(INDEX($P$4:$P$3183,MATCH(SMALL($V$4:$V$3183,446),$V$4:$V$3183,0)),"")</f>
        <v/>
      </c>
      <c r="D449" s="29">
        <f>IFERROR(INDEX($Q$4:$Q$3183,MATCH(SMALL($V$4:$V$3183,446),$V$4:$V$3183,0)),"")</f>
        <v/>
      </c>
      <c r="E449" s="29">
        <f>IFERROR(INDEX($R$4:$R$3183,MATCH(SMALL($V$4:$V$3183,446),$V$4:$V$3183,0)),"")</f>
        <v/>
      </c>
      <c r="F449">
        <f>IFERROR(INDEX($S$4:$S$3183,MATCH(SMALL($V$4:$V$3183,446),$V$4:$V$3183,0)),"")</f>
        <v/>
      </c>
      <c r="I449" s="29">
        <f>IF($B449="","",IFERROR(INDEX($U$4:$U$3183,MATCH(SMALL($V$4:$V$3183,446),$V$4:$V$3183,0)),""))</f>
        <v/>
      </c>
      <c r="J449">
        <f>IF($B449="","",IF($D449&gt;$F$2,"À venir",IF($E449&lt;$D$2,"Passé","Dans la période")))</f>
        <v/>
      </c>
      <c r="K449">
        <f>IF(OR($B449="",NOT(ISNUMBER($D449))),"",IF(AND($E449&lt;$D$2,$G449&lt;&gt;"X",$F449&lt;&gt;"Réalisé",$F449&lt;&gt;"Clôturé"),"RETARD",""))</f>
        <v/>
      </c>
      <c r="L449">
        <f>IF(OR($B449="",NOT(ISNUMBER($D449))),"",IF(AND($D449&gt;=$D$2,$D449&lt;=$H$2,$G449&lt;&gt;"X",$F449&lt;&gt;"Réalisé",$F449&lt;&gt;"Clôturé"),"≤ 7 j",""))</f>
        <v/>
      </c>
      <c r="M449" s="29">
        <f>IF($B449="","",IFERROR(INDEX($T$4:$T$3183,MATCH(SMALL($V$4:$V$3183,446),$V$4:$V$3183,0)),""))</f>
        <v/>
      </c>
      <c r="O449">
        <f>IF(INDEX(Suivi!$B:$B,458)="","",INDEX(Suivi!$B:$B,458))</f>
        <v/>
      </c>
      <c r="P449">
        <f>IF($O449="","",IF(INDEX(Suivi!$D:$D,458)="",INDEX(Suivi!$C:$C,458),INDEX(Suivi!$D:$D,458)))</f>
        <v/>
      </c>
      <c r="Q449">
        <f>IF($O449="","",INDEX(Suivi!$E:$E,458))</f>
        <v/>
      </c>
      <c r="R449">
        <f>IF($O449="","",INDEX(Suivi!$F:$F,458))</f>
        <v/>
      </c>
      <c r="S449">
        <f>IF($O449="","",INDEX(Suivi!$G:$G,458))</f>
        <v/>
      </c>
      <c r="T449">
        <f>IF($O449="","",IF(INDEX(Dossiers!$F$4:$F$63,9)="","",INDEX(Dossiers!$F$4:$F$63,9)))</f>
        <v/>
      </c>
      <c r="U449">
        <f>IF($O449="","",IF(INDEX(Dossiers!$G$4:$G$63,9)="","",INDEX(Dossiers!$G$4:$G$63,9)))</f>
        <v/>
      </c>
      <c r="V449">
        <f>IF(OR($O449="",NOT(ISNUMBER($Q449))),"",$Q449*1000000+449)</f>
        <v/>
      </c>
      <c r="W449" s="29">
        <f>IF($B449="","",IFERROR(INDEX($U$4:$U$3183,MATCH(SMALL($V$4:$V$3183,446),$V$4:$V$3183,0)),""))</f>
        <v/>
      </c>
    </row>
    <row r="450">
      <c r="A450">
        <f>IFERROR(INDEX($N$4:$N$3183,MATCH(SMALL($V$4:$V$3183,447),$V$4:$V$3183,0)),"")</f>
        <v/>
      </c>
      <c r="B450">
        <f>IFERROR(INDEX($O$4:$O$3183,MATCH(SMALL($V$4:$V$3183,447),$V$4:$V$3183,0)),"")</f>
        <v/>
      </c>
      <c r="C450">
        <f>IFERROR(INDEX($P$4:$P$3183,MATCH(SMALL($V$4:$V$3183,447),$V$4:$V$3183,0)),"")</f>
        <v/>
      </c>
      <c r="D450" s="29">
        <f>IFERROR(INDEX($Q$4:$Q$3183,MATCH(SMALL($V$4:$V$3183,447),$V$4:$V$3183,0)),"")</f>
        <v/>
      </c>
      <c r="E450" s="29">
        <f>IFERROR(INDEX($R$4:$R$3183,MATCH(SMALL($V$4:$V$3183,447),$V$4:$V$3183,0)),"")</f>
        <v/>
      </c>
      <c r="F450">
        <f>IFERROR(INDEX($S$4:$S$3183,MATCH(SMALL($V$4:$V$3183,447),$V$4:$V$3183,0)),"")</f>
        <v/>
      </c>
      <c r="I450" s="29">
        <f>IF($B450="","",IFERROR(INDEX($U$4:$U$3183,MATCH(SMALL($V$4:$V$3183,447),$V$4:$V$3183,0)),""))</f>
        <v/>
      </c>
      <c r="J450">
        <f>IF($B450="","",IF($D450&gt;$F$2,"À venir",IF($E450&lt;$D$2,"Passé","Dans la période")))</f>
        <v/>
      </c>
      <c r="K450">
        <f>IF(OR($B450="",NOT(ISNUMBER($D450))),"",IF(AND($E450&lt;$D$2,$G450&lt;&gt;"X",$F450&lt;&gt;"Réalisé",$F450&lt;&gt;"Clôturé"),"RETARD",""))</f>
        <v/>
      </c>
      <c r="L450">
        <f>IF(OR($B450="",NOT(ISNUMBER($D450))),"",IF(AND($D450&gt;=$D$2,$D450&lt;=$H$2,$G450&lt;&gt;"X",$F450&lt;&gt;"Réalisé",$F450&lt;&gt;"Clôturé"),"≤ 7 j",""))</f>
        <v/>
      </c>
      <c r="M450" s="29">
        <f>IF($B450="","",IFERROR(INDEX($T$4:$T$3183,MATCH(SMALL($V$4:$V$3183,447),$V$4:$V$3183,0)),""))</f>
        <v/>
      </c>
      <c r="O450">
        <f>IF(INDEX(Suivi!$B:$B,459)="","",INDEX(Suivi!$B:$B,459))</f>
        <v/>
      </c>
      <c r="P450">
        <f>IF($O450="","",IF(INDEX(Suivi!$D:$D,459)="",INDEX(Suivi!$C:$C,459),INDEX(Suivi!$D:$D,459)))</f>
        <v/>
      </c>
      <c r="Q450">
        <f>IF($O450="","",INDEX(Suivi!$E:$E,459))</f>
        <v/>
      </c>
      <c r="R450">
        <f>IF($O450="","",INDEX(Suivi!$F:$F,459))</f>
        <v/>
      </c>
      <c r="S450">
        <f>IF($O450="","",INDEX(Suivi!$G:$G,459))</f>
        <v/>
      </c>
      <c r="T450">
        <f>IF($O450="","",IF(INDEX(Dossiers!$F$4:$F$63,9)="","",INDEX(Dossiers!$F$4:$F$63,9)))</f>
        <v/>
      </c>
      <c r="U450">
        <f>IF($O450="","",IF(INDEX(Dossiers!$G$4:$G$63,9)="","",INDEX(Dossiers!$G$4:$G$63,9)))</f>
        <v/>
      </c>
      <c r="V450">
        <f>IF(OR($O450="",NOT(ISNUMBER($Q450))),"",$Q450*1000000+450)</f>
        <v/>
      </c>
      <c r="W450" s="29">
        <f>IF($B450="","",IFERROR(INDEX($U$4:$U$3183,MATCH(SMALL($V$4:$V$3183,447),$V$4:$V$3183,0)),""))</f>
        <v/>
      </c>
    </row>
    <row r="451">
      <c r="A451">
        <f>IFERROR(INDEX($N$4:$N$3183,MATCH(SMALL($V$4:$V$3183,448),$V$4:$V$3183,0)),"")</f>
        <v/>
      </c>
      <c r="B451">
        <f>IFERROR(INDEX($O$4:$O$3183,MATCH(SMALL($V$4:$V$3183,448),$V$4:$V$3183,0)),"")</f>
        <v/>
      </c>
      <c r="C451">
        <f>IFERROR(INDEX($P$4:$P$3183,MATCH(SMALL($V$4:$V$3183,448),$V$4:$V$3183,0)),"")</f>
        <v/>
      </c>
      <c r="D451" s="29">
        <f>IFERROR(INDEX($Q$4:$Q$3183,MATCH(SMALL($V$4:$V$3183,448),$V$4:$V$3183,0)),"")</f>
        <v/>
      </c>
      <c r="E451" s="29">
        <f>IFERROR(INDEX($R$4:$R$3183,MATCH(SMALL($V$4:$V$3183,448),$V$4:$V$3183,0)),"")</f>
        <v/>
      </c>
      <c r="F451">
        <f>IFERROR(INDEX($S$4:$S$3183,MATCH(SMALL($V$4:$V$3183,448),$V$4:$V$3183,0)),"")</f>
        <v/>
      </c>
      <c r="I451" s="29">
        <f>IF($B451="","",IFERROR(INDEX($U$4:$U$3183,MATCH(SMALL($V$4:$V$3183,448),$V$4:$V$3183,0)),""))</f>
        <v/>
      </c>
      <c r="J451">
        <f>IF($B451="","",IF($D451&gt;$F$2,"À venir",IF($E451&lt;$D$2,"Passé","Dans la période")))</f>
        <v/>
      </c>
      <c r="K451">
        <f>IF(OR($B451="",NOT(ISNUMBER($D451))),"",IF(AND($E451&lt;$D$2,$G451&lt;&gt;"X",$F451&lt;&gt;"Réalisé",$F451&lt;&gt;"Clôturé"),"RETARD",""))</f>
        <v/>
      </c>
      <c r="L451">
        <f>IF(OR($B451="",NOT(ISNUMBER($D451))),"",IF(AND($D451&gt;=$D$2,$D451&lt;=$H$2,$G451&lt;&gt;"X",$F451&lt;&gt;"Réalisé",$F451&lt;&gt;"Clôturé"),"≤ 7 j",""))</f>
        <v/>
      </c>
      <c r="M451" s="29">
        <f>IF($B451="","",IFERROR(INDEX($T$4:$T$3183,MATCH(SMALL($V$4:$V$3183,448),$V$4:$V$3183,0)),""))</f>
        <v/>
      </c>
      <c r="O451">
        <f>IF(INDEX(Suivi!$B:$B,460)="","",INDEX(Suivi!$B:$B,460))</f>
        <v/>
      </c>
      <c r="P451">
        <f>IF($O451="","",IF(INDEX(Suivi!$D:$D,460)="",INDEX(Suivi!$C:$C,460),INDEX(Suivi!$D:$D,460)))</f>
        <v/>
      </c>
      <c r="Q451">
        <f>IF($O451="","",INDEX(Suivi!$E:$E,460))</f>
        <v/>
      </c>
      <c r="R451">
        <f>IF($O451="","",INDEX(Suivi!$F:$F,460))</f>
        <v/>
      </c>
      <c r="S451">
        <f>IF($O451="","",INDEX(Suivi!$G:$G,460))</f>
        <v/>
      </c>
      <c r="T451">
        <f>IF($O451="","",IF(INDEX(Dossiers!$F$4:$F$63,9)="","",INDEX(Dossiers!$F$4:$F$63,9)))</f>
        <v/>
      </c>
      <c r="U451">
        <f>IF($O451="","",IF(INDEX(Dossiers!$G$4:$G$63,9)="","",INDEX(Dossiers!$G$4:$G$63,9)))</f>
        <v/>
      </c>
      <c r="V451">
        <f>IF(OR($O451="",NOT(ISNUMBER($Q451))),"",$Q451*1000000+451)</f>
        <v/>
      </c>
      <c r="W451" s="29">
        <f>IF($B451="","",IFERROR(INDEX($U$4:$U$3183,MATCH(SMALL($V$4:$V$3183,448),$V$4:$V$3183,0)),""))</f>
        <v/>
      </c>
    </row>
    <row r="452">
      <c r="A452">
        <f>IFERROR(INDEX($N$4:$N$3183,MATCH(SMALL($V$4:$V$3183,449),$V$4:$V$3183,0)),"")</f>
        <v/>
      </c>
      <c r="B452">
        <f>IFERROR(INDEX($O$4:$O$3183,MATCH(SMALL($V$4:$V$3183,449),$V$4:$V$3183,0)),"")</f>
        <v/>
      </c>
      <c r="C452">
        <f>IFERROR(INDEX($P$4:$P$3183,MATCH(SMALL($V$4:$V$3183,449),$V$4:$V$3183,0)),"")</f>
        <v/>
      </c>
      <c r="D452" s="29">
        <f>IFERROR(INDEX($Q$4:$Q$3183,MATCH(SMALL($V$4:$V$3183,449),$V$4:$V$3183,0)),"")</f>
        <v/>
      </c>
      <c r="E452" s="29">
        <f>IFERROR(INDEX($R$4:$R$3183,MATCH(SMALL($V$4:$V$3183,449),$V$4:$V$3183,0)),"")</f>
        <v/>
      </c>
      <c r="F452">
        <f>IFERROR(INDEX($S$4:$S$3183,MATCH(SMALL($V$4:$V$3183,449),$V$4:$V$3183,0)),"")</f>
        <v/>
      </c>
      <c r="I452" s="29">
        <f>IF($B452="","",IFERROR(INDEX($U$4:$U$3183,MATCH(SMALL($V$4:$V$3183,449),$V$4:$V$3183,0)),""))</f>
        <v/>
      </c>
      <c r="J452">
        <f>IF($B452="","",IF($D452&gt;$F$2,"À venir",IF($E452&lt;$D$2,"Passé","Dans la période")))</f>
        <v/>
      </c>
      <c r="K452">
        <f>IF(OR($B452="",NOT(ISNUMBER($D452))),"",IF(AND($E452&lt;$D$2,$G452&lt;&gt;"X",$F452&lt;&gt;"Réalisé",$F452&lt;&gt;"Clôturé"),"RETARD",""))</f>
        <v/>
      </c>
      <c r="L452">
        <f>IF(OR($B452="",NOT(ISNUMBER($D452))),"",IF(AND($D452&gt;=$D$2,$D452&lt;=$H$2,$G452&lt;&gt;"X",$F452&lt;&gt;"Réalisé",$F452&lt;&gt;"Clôturé"),"≤ 7 j",""))</f>
        <v/>
      </c>
      <c r="M452" s="29">
        <f>IF($B452="","",IFERROR(INDEX($T$4:$T$3183,MATCH(SMALL($V$4:$V$3183,449),$V$4:$V$3183,0)),""))</f>
        <v/>
      </c>
      <c r="O452">
        <f>IF(INDEX(Suivi!$B:$B,461)="","",INDEX(Suivi!$B:$B,461))</f>
        <v/>
      </c>
      <c r="P452">
        <f>IF($O452="","",IF(INDEX(Suivi!$D:$D,461)="",INDEX(Suivi!$C:$C,461),INDEX(Suivi!$D:$D,461)))</f>
        <v/>
      </c>
      <c r="Q452">
        <f>IF($O452="","",INDEX(Suivi!$E:$E,461))</f>
        <v/>
      </c>
      <c r="R452">
        <f>IF($O452="","",INDEX(Suivi!$F:$F,461))</f>
        <v/>
      </c>
      <c r="S452">
        <f>IF($O452="","",INDEX(Suivi!$G:$G,461))</f>
        <v/>
      </c>
      <c r="T452">
        <f>IF($O452="","",IF(INDEX(Dossiers!$F$4:$F$63,9)="","",INDEX(Dossiers!$F$4:$F$63,9)))</f>
        <v/>
      </c>
      <c r="U452">
        <f>IF($O452="","",IF(INDEX(Dossiers!$G$4:$G$63,9)="","",INDEX(Dossiers!$G$4:$G$63,9)))</f>
        <v/>
      </c>
      <c r="V452">
        <f>IF(OR($O452="",NOT(ISNUMBER($Q452))),"",$Q452*1000000+452)</f>
        <v/>
      </c>
      <c r="W452" s="29">
        <f>IF($B452="","",IFERROR(INDEX($U$4:$U$3183,MATCH(SMALL($V$4:$V$3183,449),$V$4:$V$3183,0)),""))</f>
        <v/>
      </c>
    </row>
    <row r="453">
      <c r="A453">
        <f>IFERROR(INDEX($N$4:$N$3183,MATCH(SMALL($V$4:$V$3183,450),$V$4:$V$3183,0)),"")</f>
        <v/>
      </c>
      <c r="B453">
        <f>IFERROR(INDEX($O$4:$O$3183,MATCH(SMALL($V$4:$V$3183,450),$V$4:$V$3183,0)),"")</f>
        <v/>
      </c>
      <c r="C453">
        <f>IFERROR(INDEX($P$4:$P$3183,MATCH(SMALL($V$4:$V$3183,450),$V$4:$V$3183,0)),"")</f>
        <v/>
      </c>
      <c r="D453" s="29">
        <f>IFERROR(INDEX($Q$4:$Q$3183,MATCH(SMALL($V$4:$V$3183,450),$V$4:$V$3183,0)),"")</f>
        <v/>
      </c>
      <c r="E453" s="29">
        <f>IFERROR(INDEX($R$4:$R$3183,MATCH(SMALL($V$4:$V$3183,450),$V$4:$V$3183,0)),"")</f>
        <v/>
      </c>
      <c r="F453">
        <f>IFERROR(INDEX($S$4:$S$3183,MATCH(SMALL($V$4:$V$3183,450),$V$4:$V$3183,0)),"")</f>
        <v/>
      </c>
      <c r="I453" s="29">
        <f>IF($B453="","",IFERROR(INDEX($U$4:$U$3183,MATCH(SMALL($V$4:$V$3183,450),$V$4:$V$3183,0)),""))</f>
        <v/>
      </c>
      <c r="J453">
        <f>IF($B453="","",IF($D453&gt;$F$2,"À venir",IF($E453&lt;$D$2,"Passé","Dans la période")))</f>
        <v/>
      </c>
      <c r="K453">
        <f>IF(OR($B453="",NOT(ISNUMBER($D453))),"",IF(AND($E453&lt;$D$2,$G453&lt;&gt;"X",$F453&lt;&gt;"Réalisé",$F453&lt;&gt;"Clôturé"),"RETARD",""))</f>
        <v/>
      </c>
      <c r="L453">
        <f>IF(OR($B453="",NOT(ISNUMBER($D453))),"",IF(AND($D453&gt;=$D$2,$D453&lt;=$H$2,$G453&lt;&gt;"X",$F453&lt;&gt;"Réalisé",$F453&lt;&gt;"Clôturé"),"≤ 7 j",""))</f>
        <v/>
      </c>
      <c r="M453" s="29">
        <f>IF($B453="","",IFERROR(INDEX($T$4:$T$3183,MATCH(SMALL($V$4:$V$3183,450),$V$4:$V$3183,0)),""))</f>
        <v/>
      </c>
      <c r="O453">
        <f>IF(INDEX(Suivi!$B:$B,462)="","",INDEX(Suivi!$B:$B,462))</f>
        <v/>
      </c>
      <c r="P453">
        <f>IF($O453="","",IF(INDEX(Suivi!$D:$D,462)="",INDEX(Suivi!$C:$C,462),INDEX(Suivi!$D:$D,462)))</f>
        <v/>
      </c>
      <c r="Q453">
        <f>IF($O453="","",INDEX(Suivi!$E:$E,462))</f>
        <v/>
      </c>
      <c r="R453">
        <f>IF($O453="","",INDEX(Suivi!$F:$F,462))</f>
        <v/>
      </c>
      <c r="S453">
        <f>IF($O453="","",INDEX(Suivi!$G:$G,462))</f>
        <v/>
      </c>
      <c r="T453">
        <f>IF($O453="","",IF(INDEX(Dossiers!$F$4:$F$63,9)="","",INDEX(Dossiers!$F$4:$F$63,9)))</f>
        <v/>
      </c>
      <c r="U453">
        <f>IF($O453="","",IF(INDEX(Dossiers!$G$4:$G$63,9)="","",INDEX(Dossiers!$G$4:$G$63,9)))</f>
        <v/>
      </c>
      <c r="V453">
        <f>IF(OR($O453="",NOT(ISNUMBER($Q453))),"",$Q453*1000000+453)</f>
        <v/>
      </c>
      <c r="W453" s="29">
        <f>IF($B453="","",IFERROR(INDEX($U$4:$U$3183,MATCH(SMALL($V$4:$V$3183,450),$V$4:$V$3183,0)),""))</f>
        <v/>
      </c>
    </row>
    <row r="454">
      <c r="A454">
        <f>IFERROR(INDEX($N$4:$N$3183,MATCH(SMALL($V$4:$V$3183,451),$V$4:$V$3183,0)),"")</f>
        <v/>
      </c>
      <c r="B454">
        <f>IFERROR(INDEX($O$4:$O$3183,MATCH(SMALL($V$4:$V$3183,451),$V$4:$V$3183,0)),"")</f>
        <v/>
      </c>
      <c r="C454">
        <f>IFERROR(INDEX($P$4:$P$3183,MATCH(SMALL($V$4:$V$3183,451),$V$4:$V$3183,0)),"")</f>
        <v/>
      </c>
      <c r="D454" s="29">
        <f>IFERROR(INDEX($Q$4:$Q$3183,MATCH(SMALL($V$4:$V$3183,451),$V$4:$V$3183,0)),"")</f>
        <v/>
      </c>
      <c r="E454" s="29">
        <f>IFERROR(INDEX($R$4:$R$3183,MATCH(SMALL($V$4:$V$3183,451),$V$4:$V$3183,0)),"")</f>
        <v/>
      </c>
      <c r="F454">
        <f>IFERROR(INDEX($S$4:$S$3183,MATCH(SMALL($V$4:$V$3183,451),$V$4:$V$3183,0)),"")</f>
        <v/>
      </c>
      <c r="I454" s="29">
        <f>IF($B454="","",IFERROR(INDEX($U$4:$U$3183,MATCH(SMALL($V$4:$V$3183,451),$V$4:$V$3183,0)),""))</f>
        <v/>
      </c>
      <c r="J454">
        <f>IF($B454="","",IF($D454&gt;$F$2,"À venir",IF($E454&lt;$D$2,"Passé","Dans la période")))</f>
        <v/>
      </c>
      <c r="K454">
        <f>IF(OR($B454="",NOT(ISNUMBER($D454))),"",IF(AND($E454&lt;$D$2,$G454&lt;&gt;"X",$F454&lt;&gt;"Réalisé",$F454&lt;&gt;"Clôturé"),"RETARD",""))</f>
        <v/>
      </c>
      <c r="L454">
        <f>IF(OR($B454="",NOT(ISNUMBER($D454))),"",IF(AND($D454&gt;=$D$2,$D454&lt;=$H$2,$G454&lt;&gt;"X",$F454&lt;&gt;"Réalisé",$F454&lt;&gt;"Clôturé"),"≤ 7 j",""))</f>
        <v/>
      </c>
      <c r="M454" s="29">
        <f>IF($B454="","",IFERROR(INDEX($T$4:$T$3183,MATCH(SMALL($V$4:$V$3183,451),$V$4:$V$3183,0)),""))</f>
        <v/>
      </c>
      <c r="O454">
        <f>IF(INDEX(Suivi!$B:$B,463)="","",INDEX(Suivi!$B:$B,463))</f>
        <v/>
      </c>
      <c r="P454">
        <f>IF($O454="","",IF(INDEX(Suivi!$D:$D,463)="",INDEX(Suivi!$C:$C,463),INDEX(Suivi!$D:$D,463)))</f>
        <v/>
      </c>
      <c r="Q454">
        <f>IF($O454="","",INDEX(Suivi!$E:$E,463))</f>
        <v/>
      </c>
      <c r="R454">
        <f>IF($O454="","",INDEX(Suivi!$F:$F,463))</f>
        <v/>
      </c>
      <c r="S454">
        <f>IF($O454="","",INDEX(Suivi!$G:$G,463))</f>
        <v/>
      </c>
      <c r="T454">
        <f>IF($O454="","",IF(INDEX(Dossiers!$F$4:$F$63,9)="","",INDEX(Dossiers!$F$4:$F$63,9)))</f>
        <v/>
      </c>
      <c r="U454">
        <f>IF($O454="","",IF(INDEX(Dossiers!$G$4:$G$63,9)="","",INDEX(Dossiers!$G$4:$G$63,9)))</f>
        <v/>
      </c>
      <c r="V454">
        <f>IF(OR($O454="",NOT(ISNUMBER($Q454))),"",$Q454*1000000+454)</f>
        <v/>
      </c>
      <c r="W454" s="29">
        <f>IF($B454="","",IFERROR(INDEX($U$4:$U$3183,MATCH(SMALL($V$4:$V$3183,451),$V$4:$V$3183,0)),""))</f>
        <v/>
      </c>
    </row>
    <row r="455">
      <c r="A455">
        <f>IFERROR(INDEX($N$4:$N$3183,MATCH(SMALL($V$4:$V$3183,452),$V$4:$V$3183,0)),"")</f>
        <v/>
      </c>
      <c r="B455">
        <f>IFERROR(INDEX($O$4:$O$3183,MATCH(SMALL($V$4:$V$3183,452),$V$4:$V$3183,0)),"")</f>
        <v/>
      </c>
      <c r="C455">
        <f>IFERROR(INDEX($P$4:$P$3183,MATCH(SMALL($V$4:$V$3183,452),$V$4:$V$3183,0)),"")</f>
        <v/>
      </c>
      <c r="D455" s="29">
        <f>IFERROR(INDEX($Q$4:$Q$3183,MATCH(SMALL($V$4:$V$3183,452),$V$4:$V$3183,0)),"")</f>
        <v/>
      </c>
      <c r="E455" s="29">
        <f>IFERROR(INDEX($R$4:$R$3183,MATCH(SMALL($V$4:$V$3183,452),$V$4:$V$3183,0)),"")</f>
        <v/>
      </c>
      <c r="F455">
        <f>IFERROR(INDEX($S$4:$S$3183,MATCH(SMALL($V$4:$V$3183,452),$V$4:$V$3183,0)),"")</f>
        <v/>
      </c>
      <c r="I455" s="29">
        <f>IF($B455="","",IFERROR(INDEX($U$4:$U$3183,MATCH(SMALL($V$4:$V$3183,452),$V$4:$V$3183,0)),""))</f>
        <v/>
      </c>
      <c r="J455">
        <f>IF($B455="","",IF($D455&gt;$F$2,"À venir",IF($E455&lt;$D$2,"Passé","Dans la période")))</f>
        <v/>
      </c>
      <c r="K455">
        <f>IF(OR($B455="",NOT(ISNUMBER($D455))),"",IF(AND($E455&lt;$D$2,$G455&lt;&gt;"X",$F455&lt;&gt;"Réalisé",$F455&lt;&gt;"Clôturé"),"RETARD",""))</f>
        <v/>
      </c>
      <c r="L455">
        <f>IF(OR($B455="",NOT(ISNUMBER($D455))),"",IF(AND($D455&gt;=$D$2,$D455&lt;=$H$2,$G455&lt;&gt;"X",$F455&lt;&gt;"Réalisé",$F455&lt;&gt;"Clôturé"),"≤ 7 j",""))</f>
        <v/>
      </c>
      <c r="M455" s="29">
        <f>IF($B455="","",IFERROR(INDEX($T$4:$T$3183,MATCH(SMALL($V$4:$V$3183,452),$V$4:$V$3183,0)),""))</f>
        <v/>
      </c>
      <c r="O455">
        <f>IF(INDEX(Suivi!$B:$B,464)="","",INDEX(Suivi!$B:$B,464))</f>
        <v/>
      </c>
      <c r="P455">
        <f>IF($O455="","",IF(INDEX(Suivi!$D:$D,464)="",INDEX(Suivi!$C:$C,464),INDEX(Suivi!$D:$D,464)))</f>
        <v/>
      </c>
      <c r="Q455">
        <f>IF($O455="","",INDEX(Suivi!$E:$E,464))</f>
        <v/>
      </c>
      <c r="R455">
        <f>IF($O455="","",INDEX(Suivi!$F:$F,464))</f>
        <v/>
      </c>
      <c r="S455">
        <f>IF($O455="","",INDEX(Suivi!$G:$G,464))</f>
        <v/>
      </c>
      <c r="T455">
        <f>IF($O455="","",IF(INDEX(Dossiers!$F$4:$F$63,9)="","",INDEX(Dossiers!$F$4:$F$63,9)))</f>
        <v/>
      </c>
      <c r="U455">
        <f>IF($O455="","",IF(INDEX(Dossiers!$G$4:$G$63,9)="","",INDEX(Dossiers!$G$4:$G$63,9)))</f>
        <v/>
      </c>
      <c r="V455">
        <f>IF(OR($O455="",NOT(ISNUMBER($Q455))),"",$Q455*1000000+455)</f>
        <v/>
      </c>
      <c r="W455" s="29">
        <f>IF($B455="","",IFERROR(INDEX($U$4:$U$3183,MATCH(SMALL($V$4:$V$3183,452),$V$4:$V$3183,0)),""))</f>
        <v/>
      </c>
    </row>
    <row r="456">
      <c r="A456">
        <f>IFERROR(INDEX($N$4:$N$3183,MATCH(SMALL($V$4:$V$3183,453),$V$4:$V$3183,0)),"")</f>
        <v/>
      </c>
      <c r="B456">
        <f>IFERROR(INDEX($O$4:$O$3183,MATCH(SMALL($V$4:$V$3183,453),$V$4:$V$3183,0)),"")</f>
        <v/>
      </c>
      <c r="C456">
        <f>IFERROR(INDEX($P$4:$P$3183,MATCH(SMALL($V$4:$V$3183,453),$V$4:$V$3183,0)),"")</f>
        <v/>
      </c>
      <c r="D456" s="29">
        <f>IFERROR(INDEX($Q$4:$Q$3183,MATCH(SMALL($V$4:$V$3183,453),$V$4:$V$3183,0)),"")</f>
        <v/>
      </c>
      <c r="E456" s="29">
        <f>IFERROR(INDEX($R$4:$R$3183,MATCH(SMALL($V$4:$V$3183,453),$V$4:$V$3183,0)),"")</f>
        <v/>
      </c>
      <c r="F456">
        <f>IFERROR(INDEX($S$4:$S$3183,MATCH(SMALL($V$4:$V$3183,453),$V$4:$V$3183,0)),"")</f>
        <v/>
      </c>
      <c r="I456" s="29">
        <f>IF($B456="","",IFERROR(INDEX($U$4:$U$3183,MATCH(SMALL($V$4:$V$3183,453),$V$4:$V$3183,0)),""))</f>
        <v/>
      </c>
      <c r="J456">
        <f>IF($B456="","",IF($D456&gt;$F$2,"À venir",IF($E456&lt;$D$2,"Passé","Dans la période")))</f>
        <v/>
      </c>
      <c r="K456">
        <f>IF(OR($B456="",NOT(ISNUMBER($D456))),"",IF(AND($E456&lt;$D$2,$G456&lt;&gt;"X",$F456&lt;&gt;"Réalisé",$F456&lt;&gt;"Clôturé"),"RETARD",""))</f>
        <v/>
      </c>
      <c r="L456">
        <f>IF(OR($B456="",NOT(ISNUMBER($D456))),"",IF(AND($D456&gt;=$D$2,$D456&lt;=$H$2,$G456&lt;&gt;"X",$F456&lt;&gt;"Réalisé",$F456&lt;&gt;"Clôturé"),"≤ 7 j",""))</f>
        <v/>
      </c>
      <c r="M456" s="29">
        <f>IF($B456="","",IFERROR(INDEX($T$4:$T$3183,MATCH(SMALL($V$4:$V$3183,453),$V$4:$V$3183,0)),""))</f>
        <v/>
      </c>
      <c r="O456">
        <f>IF(INDEX(Suivi!$B:$B,465)="","",INDEX(Suivi!$B:$B,465))</f>
        <v/>
      </c>
      <c r="P456">
        <f>IF($O456="","",IF(INDEX(Suivi!$D:$D,465)="",INDEX(Suivi!$C:$C,465),INDEX(Suivi!$D:$D,465)))</f>
        <v/>
      </c>
      <c r="Q456">
        <f>IF($O456="","",INDEX(Suivi!$E:$E,465))</f>
        <v/>
      </c>
      <c r="R456">
        <f>IF($O456="","",INDEX(Suivi!$F:$F,465))</f>
        <v/>
      </c>
      <c r="S456">
        <f>IF($O456="","",INDEX(Suivi!$G:$G,465))</f>
        <v/>
      </c>
      <c r="T456">
        <f>IF($O456="","",IF(INDEX(Dossiers!$F$4:$F$63,9)="","",INDEX(Dossiers!$F$4:$F$63,9)))</f>
        <v/>
      </c>
      <c r="U456">
        <f>IF($O456="","",IF(INDEX(Dossiers!$G$4:$G$63,9)="","",INDEX(Dossiers!$G$4:$G$63,9)))</f>
        <v/>
      </c>
      <c r="V456">
        <f>IF(OR($O456="",NOT(ISNUMBER($Q456))),"",$Q456*1000000+456)</f>
        <v/>
      </c>
      <c r="W456" s="29">
        <f>IF($B456="","",IFERROR(INDEX($U$4:$U$3183,MATCH(SMALL($V$4:$V$3183,453),$V$4:$V$3183,0)),""))</f>
        <v/>
      </c>
    </row>
    <row r="457">
      <c r="A457">
        <f>IFERROR(INDEX($N$4:$N$3183,MATCH(SMALL($V$4:$V$3183,454),$V$4:$V$3183,0)),"")</f>
        <v/>
      </c>
      <c r="B457">
        <f>IFERROR(INDEX($O$4:$O$3183,MATCH(SMALL($V$4:$V$3183,454),$V$4:$V$3183,0)),"")</f>
        <v/>
      </c>
      <c r="C457">
        <f>IFERROR(INDEX($P$4:$P$3183,MATCH(SMALL($V$4:$V$3183,454),$V$4:$V$3183,0)),"")</f>
        <v/>
      </c>
      <c r="D457" s="29">
        <f>IFERROR(INDEX($Q$4:$Q$3183,MATCH(SMALL($V$4:$V$3183,454),$V$4:$V$3183,0)),"")</f>
        <v/>
      </c>
      <c r="E457" s="29">
        <f>IFERROR(INDEX($R$4:$R$3183,MATCH(SMALL($V$4:$V$3183,454),$V$4:$V$3183,0)),"")</f>
        <v/>
      </c>
      <c r="F457">
        <f>IFERROR(INDEX($S$4:$S$3183,MATCH(SMALL($V$4:$V$3183,454),$V$4:$V$3183,0)),"")</f>
        <v/>
      </c>
      <c r="I457" s="29">
        <f>IF($B457="","",IFERROR(INDEX($U$4:$U$3183,MATCH(SMALL($V$4:$V$3183,454),$V$4:$V$3183,0)),""))</f>
        <v/>
      </c>
      <c r="J457">
        <f>IF($B457="","",IF($D457&gt;$F$2,"À venir",IF($E457&lt;$D$2,"Passé","Dans la période")))</f>
        <v/>
      </c>
      <c r="K457">
        <f>IF(OR($B457="",NOT(ISNUMBER($D457))),"",IF(AND($E457&lt;$D$2,$G457&lt;&gt;"X",$F457&lt;&gt;"Réalisé",$F457&lt;&gt;"Clôturé"),"RETARD",""))</f>
        <v/>
      </c>
      <c r="L457">
        <f>IF(OR($B457="",NOT(ISNUMBER($D457))),"",IF(AND($D457&gt;=$D$2,$D457&lt;=$H$2,$G457&lt;&gt;"X",$F457&lt;&gt;"Réalisé",$F457&lt;&gt;"Clôturé"),"≤ 7 j",""))</f>
        <v/>
      </c>
      <c r="M457" s="29">
        <f>IF($B457="","",IFERROR(INDEX($T$4:$T$3183,MATCH(SMALL($V$4:$V$3183,454),$V$4:$V$3183,0)),""))</f>
        <v/>
      </c>
      <c r="O457">
        <f>IF(INDEX(Suivi!$B:$B,466)="","",INDEX(Suivi!$B:$B,466))</f>
        <v/>
      </c>
      <c r="P457">
        <f>IF($O457="","",IF(INDEX(Suivi!$D:$D,466)="",INDEX(Suivi!$C:$C,466),INDEX(Suivi!$D:$D,466)))</f>
        <v/>
      </c>
      <c r="Q457">
        <f>IF($O457="","",INDEX(Suivi!$E:$E,466))</f>
        <v/>
      </c>
      <c r="R457">
        <f>IF($O457="","",INDEX(Suivi!$F:$F,466))</f>
        <v/>
      </c>
      <c r="S457">
        <f>IF($O457="","",INDEX(Suivi!$G:$G,466))</f>
        <v/>
      </c>
      <c r="T457">
        <f>IF($O457="","",IF(INDEX(Dossiers!$F$4:$F$63,9)="","",INDEX(Dossiers!$F$4:$F$63,9)))</f>
        <v/>
      </c>
      <c r="U457">
        <f>IF($O457="","",IF(INDEX(Dossiers!$G$4:$G$63,9)="","",INDEX(Dossiers!$G$4:$G$63,9)))</f>
        <v/>
      </c>
      <c r="V457">
        <f>IF(OR($O457="",NOT(ISNUMBER($Q457))),"",$Q457*1000000+457)</f>
        <v/>
      </c>
      <c r="W457" s="29">
        <f>IF($B457="","",IFERROR(INDEX($U$4:$U$3183,MATCH(SMALL($V$4:$V$3183,454),$V$4:$V$3183,0)),""))</f>
        <v/>
      </c>
    </row>
    <row r="458">
      <c r="A458">
        <f>IFERROR(INDEX($N$4:$N$3183,MATCH(SMALL($V$4:$V$3183,455),$V$4:$V$3183,0)),"")</f>
        <v/>
      </c>
      <c r="B458">
        <f>IFERROR(INDEX($O$4:$O$3183,MATCH(SMALL($V$4:$V$3183,455),$V$4:$V$3183,0)),"")</f>
        <v/>
      </c>
      <c r="C458">
        <f>IFERROR(INDEX($P$4:$P$3183,MATCH(SMALL($V$4:$V$3183,455),$V$4:$V$3183,0)),"")</f>
        <v/>
      </c>
      <c r="D458" s="29">
        <f>IFERROR(INDEX($Q$4:$Q$3183,MATCH(SMALL($V$4:$V$3183,455),$V$4:$V$3183,0)),"")</f>
        <v/>
      </c>
      <c r="E458" s="29">
        <f>IFERROR(INDEX($R$4:$R$3183,MATCH(SMALL($V$4:$V$3183,455),$V$4:$V$3183,0)),"")</f>
        <v/>
      </c>
      <c r="F458">
        <f>IFERROR(INDEX($S$4:$S$3183,MATCH(SMALL($V$4:$V$3183,455),$V$4:$V$3183,0)),"")</f>
        <v/>
      </c>
      <c r="I458" s="29">
        <f>IF($B458="","",IFERROR(INDEX($U$4:$U$3183,MATCH(SMALL($V$4:$V$3183,455),$V$4:$V$3183,0)),""))</f>
        <v/>
      </c>
      <c r="J458">
        <f>IF($B458="","",IF($D458&gt;$F$2,"À venir",IF($E458&lt;$D$2,"Passé","Dans la période")))</f>
        <v/>
      </c>
      <c r="K458">
        <f>IF(OR($B458="",NOT(ISNUMBER($D458))),"",IF(AND($E458&lt;$D$2,$G458&lt;&gt;"X",$F458&lt;&gt;"Réalisé",$F458&lt;&gt;"Clôturé"),"RETARD",""))</f>
        <v/>
      </c>
      <c r="L458">
        <f>IF(OR($B458="",NOT(ISNUMBER($D458))),"",IF(AND($D458&gt;=$D$2,$D458&lt;=$H$2,$G458&lt;&gt;"X",$F458&lt;&gt;"Réalisé",$F458&lt;&gt;"Clôturé"),"≤ 7 j",""))</f>
        <v/>
      </c>
      <c r="M458" s="29">
        <f>IF($B458="","",IFERROR(INDEX($T$4:$T$3183,MATCH(SMALL($V$4:$V$3183,455),$V$4:$V$3183,0)),""))</f>
        <v/>
      </c>
      <c r="O458">
        <f>IF(INDEX(Suivi!$B:$B,467)="","",INDEX(Suivi!$B:$B,467))</f>
        <v/>
      </c>
      <c r="P458">
        <f>IF($O458="","",IF(INDEX(Suivi!$D:$D,467)="",INDEX(Suivi!$C:$C,467),INDEX(Suivi!$D:$D,467)))</f>
        <v/>
      </c>
      <c r="Q458">
        <f>IF($O458="","",INDEX(Suivi!$E:$E,467))</f>
        <v/>
      </c>
      <c r="R458">
        <f>IF($O458="","",INDEX(Suivi!$F:$F,467))</f>
        <v/>
      </c>
      <c r="S458">
        <f>IF($O458="","",INDEX(Suivi!$G:$G,467))</f>
        <v/>
      </c>
      <c r="T458">
        <f>IF($O458="","",IF(INDEX(Dossiers!$F$4:$F$63,9)="","",INDEX(Dossiers!$F$4:$F$63,9)))</f>
        <v/>
      </c>
      <c r="U458">
        <f>IF($O458="","",IF(INDEX(Dossiers!$G$4:$G$63,9)="","",INDEX(Dossiers!$G$4:$G$63,9)))</f>
        <v/>
      </c>
      <c r="V458">
        <f>IF(OR($O458="",NOT(ISNUMBER($Q458))),"",$Q458*1000000+458)</f>
        <v/>
      </c>
      <c r="W458" s="29">
        <f>IF($B458="","",IFERROR(INDEX($U$4:$U$3183,MATCH(SMALL($V$4:$V$3183,455),$V$4:$V$3183,0)),""))</f>
        <v/>
      </c>
    </row>
    <row r="459">
      <c r="A459">
        <f>IFERROR(INDEX($N$4:$N$3183,MATCH(SMALL($V$4:$V$3183,456),$V$4:$V$3183,0)),"")</f>
        <v/>
      </c>
      <c r="B459">
        <f>IFERROR(INDEX($O$4:$O$3183,MATCH(SMALL($V$4:$V$3183,456),$V$4:$V$3183,0)),"")</f>
        <v/>
      </c>
      <c r="C459">
        <f>IFERROR(INDEX($P$4:$P$3183,MATCH(SMALL($V$4:$V$3183,456),$V$4:$V$3183,0)),"")</f>
        <v/>
      </c>
      <c r="D459" s="29">
        <f>IFERROR(INDEX($Q$4:$Q$3183,MATCH(SMALL($V$4:$V$3183,456),$V$4:$V$3183,0)),"")</f>
        <v/>
      </c>
      <c r="E459" s="29">
        <f>IFERROR(INDEX($R$4:$R$3183,MATCH(SMALL($V$4:$V$3183,456),$V$4:$V$3183,0)),"")</f>
        <v/>
      </c>
      <c r="F459">
        <f>IFERROR(INDEX($S$4:$S$3183,MATCH(SMALL($V$4:$V$3183,456),$V$4:$V$3183,0)),"")</f>
        <v/>
      </c>
      <c r="I459" s="29">
        <f>IF($B459="","",IFERROR(INDEX($U$4:$U$3183,MATCH(SMALL($V$4:$V$3183,456),$V$4:$V$3183,0)),""))</f>
        <v/>
      </c>
      <c r="J459">
        <f>IF($B459="","",IF($D459&gt;$F$2,"À venir",IF($E459&lt;$D$2,"Passé","Dans la période")))</f>
        <v/>
      </c>
      <c r="K459">
        <f>IF(OR($B459="",NOT(ISNUMBER($D459))),"",IF(AND($E459&lt;$D$2,$G459&lt;&gt;"X",$F459&lt;&gt;"Réalisé",$F459&lt;&gt;"Clôturé"),"RETARD",""))</f>
        <v/>
      </c>
      <c r="L459">
        <f>IF(OR($B459="",NOT(ISNUMBER($D459))),"",IF(AND($D459&gt;=$D$2,$D459&lt;=$H$2,$G459&lt;&gt;"X",$F459&lt;&gt;"Réalisé",$F459&lt;&gt;"Clôturé"),"≤ 7 j",""))</f>
        <v/>
      </c>
      <c r="M459" s="29">
        <f>IF($B459="","",IFERROR(INDEX($T$4:$T$3183,MATCH(SMALL($V$4:$V$3183,456),$V$4:$V$3183,0)),""))</f>
        <v/>
      </c>
      <c r="O459">
        <f>IF(INDEX(Suivi!$B:$B,468)="","",INDEX(Suivi!$B:$B,468))</f>
        <v/>
      </c>
      <c r="P459">
        <f>IF($O459="","",IF(INDEX(Suivi!$D:$D,468)="",INDEX(Suivi!$C:$C,468),INDEX(Suivi!$D:$D,468)))</f>
        <v/>
      </c>
      <c r="Q459">
        <f>IF($O459="","",INDEX(Suivi!$E:$E,468))</f>
        <v/>
      </c>
      <c r="R459">
        <f>IF($O459="","",INDEX(Suivi!$F:$F,468))</f>
        <v/>
      </c>
      <c r="S459">
        <f>IF($O459="","",INDEX(Suivi!$G:$G,468))</f>
        <v/>
      </c>
      <c r="T459">
        <f>IF($O459="","",IF(INDEX(Dossiers!$F$4:$F$63,9)="","",INDEX(Dossiers!$F$4:$F$63,9)))</f>
        <v/>
      </c>
      <c r="U459">
        <f>IF($O459="","",IF(INDEX(Dossiers!$G$4:$G$63,9)="","",INDEX(Dossiers!$G$4:$G$63,9)))</f>
        <v/>
      </c>
      <c r="V459">
        <f>IF(OR($O459="",NOT(ISNUMBER($Q459))),"",$Q459*1000000+459)</f>
        <v/>
      </c>
      <c r="W459" s="29">
        <f>IF($B459="","",IFERROR(INDEX($U$4:$U$3183,MATCH(SMALL($V$4:$V$3183,456),$V$4:$V$3183,0)),""))</f>
        <v/>
      </c>
    </row>
    <row r="460">
      <c r="A460">
        <f>IFERROR(INDEX($N$4:$N$3183,MATCH(SMALL($V$4:$V$3183,457),$V$4:$V$3183,0)),"")</f>
        <v/>
      </c>
      <c r="B460">
        <f>IFERROR(INDEX($O$4:$O$3183,MATCH(SMALL($V$4:$V$3183,457),$V$4:$V$3183,0)),"")</f>
        <v/>
      </c>
      <c r="C460">
        <f>IFERROR(INDEX($P$4:$P$3183,MATCH(SMALL($V$4:$V$3183,457),$V$4:$V$3183,0)),"")</f>
        <v/>
      </c>
      <c r="D460" s="29">
        <f>IFERROR(INDEX($Q$4:$Q$3183,MATCH(SMALL($V$4:$V$3183,457),$V$4:$V$3183,0)),"")</f>
        <v/>
      </c>
      <c r="E460" s="29">
        <f>IFERROR(INDEX($R$4:$R$3183,MATCH(SMALL($V$4:$V$3183,457),$V$4:$V$3183,0)),"")</f>
        <v/>
      </c>
      <c r="F460">
        <f>IFERROR(INDEX($S$4:$S$3183,MATCH(SMALL($V$4:$V$3183,457),$V$4:$V$3183,0)),"")</f>
        <v/>
      </c>
      <c r="I460" s="29">
        <f>IF($B460="","",IFERROR(INDEX($U$4:$U$3183,MATCH(SMALL($V$4:$V$3183,457),$V$4:$V$3183,0)),""))</f>
        <v/>
      </c>
      <c r="J460">
        <f>IF($B460="","",IF($D460&gt;$F$2,"À venir",IF($E460&lt;$D$2,"Passé","Dans la période")))</f>
        <v/>
      </c>
      <c r="K460">
        <f>IF(OR($B460="",NOT(ISNUMBER($D460))),"",IF(AND($E460&lt;$D$2,$G460&lt;&gt;"X",$F460&lt;&gt;"Réalisé",$F460&lt;&gt;"Clôturé"),"RETARD",""))</f>
        <v/>
      </c>
      <c r="L460">
        <f>IF(OR($B460="",NOT(ISNUMBER($D460))),"",IF(AND($D460&gt;=$D$2,$D460&lt;=$H$2,$G460&lt;&gt;"X",$F460&lt;&gt;"Réalisé",$F460&lt;&gt;"Clôturé"),"≤ 7 j",""))</f>
        <v/>
      </c>
      <c r="M460" s="29">
        <f>IF($B460="","",IFERROR(INDEX($T$4:$T$3183,MATCH(SMALL($V$4:$V$3183,457),$V$4:$V$3183,0)),""))</f>
        <v/>
      </c>
      <c r="O460">
        <f>IF(INDEX(Suivi!$B:$B,469)="","",INDEX(Suivi!$B:$B,469))</f>
        <v/>
      </c>
      <c r="P460">
        <f>IF($O460="","",IF(INDEX(Suivi!$D:$D,469)="",INDEX(Suivi!$C:$C,469),INDEX(Suivi!$D:$D,469)))</f>
        <v/>
      </c>
      <c r="Q460">
        <f>IF($O460="","",INDEX(Suivi!$E:$E,469))</f>
        <v/>
      </c>
      <c r="R460">
        <f>IF($O460="","",INDEX(Suivi!$F:$F,469))</f>
        <v/>
      </c>
      <c r="S460">
        <f>IF($O460="","",INDEX(Suivi!$G:$G,469))</f>
        <v/>
      </c>
      <c r="T460">
        <f>IF($O460="","",IF(INDEX(Dossiers!$F$4:$F$63,9)="","",INDEX(Dossiers!$F$4:$F$63,9)))</f>
        <v/>
      </c>
      <c r="U460">
        <f>IF($O460="","",IF(INDEX(Dossiers!$G$4:$G$63,9)="","",INDEX(Dossiers!$G$4:$G$63,9)))</f>
        <v/>
      </c>
      <c r="V460">
        <f>IF(OR($O460="",NOT(ISNUMBER($Q460))),"",$Q460*1000000+460)</f>
        <v/>
      </c>
      <c r="W460" s="29">
        <f>IF($B460="","",IFERROR(INDEX($U$4:$U$3183,MATCH(SMALL($V$4:$V$3183,457),$V$4:$V$3183,0)),""))</f>
        <v/>
      </c>
    </row>
    <row r="461">
      <c r="A461">
        <f>IFERROR(INDEX($N$4:$N$3183,MATCH(SMALL($V$4:$V$3183,458),$V$4:$V$3183,0)),"")</f>
        <v/>
      </c>
      <c r="B461">
        <f>IFERROR(INDEX($O$4:$O$3183,MATCH(SMALL($V$4:$V$3183,458),$V$4:$V$3183,0)),"")</f>
        <v/>
      </c>
      <c r="C461">
        <f>IFERROR(INDEX($P$4:$P$3183,MATCH(SMALL($V$4:$V$3183,458),$V$4:$V$3183,0)),"")</f>
        <v/>
      </c>
      <c r="D461" s="29">
        <f>IFERROR(INDEX($Q$4:$Q$3183,MATCH(SMALL($V$4:$V$3183,458),$V$4:$V$3183,0)),"")</f>
        <v/>
      </c>
      <c r="E461" s="29">
        <f>IFERROR(INDEX($R$4:$R$3183,MATCH(SMALL($V$4:$V$3183,458),$V$4:$V$3183,0)),"")</f>
        <v/>
      </c>
      <c r="F461">
        <f>IFERROR(INDEX($S$4:$S$3183,MATCH(SMALL($V$4:$V$3183,458),$V$4:$V$3183,0)),"")</f>
        <v/>
      </c>
      <c r="I461" s="29">
        <f>IF($B461="","",IFERROR(INDEX($U$4:$U$3183,MATCH(SMALL($V$4:$V$3183,458),$V$4:$V$3183,0)),""))</f>
        <v/>
      </c>
      <c r="J461">
        <f>IF($B461="","",IF($D461&gt;$F$2,"À venir",IF($E461&lt;$D$2,"Passé","Dans la période")))</f>
        <v/>
      </c>
      <c r="K461">
        <f>IF(OR($B461="",NOT(ISNUMBER($D461))),"",IF(AND($E461&lt;$D$2,$G461&lt;&gt;"X",$F461&lt;&gt;"Réalisé",$F461&lt;&gt;"Clôturé"),"RETARD",""))</f>
        <v/>
      </c>
      <c r="L461">
        <f>IF(OR($B461="",NOT(ISNUMBER($D461))),"",IF(AND($D461&gt;=$D$2,$D461&lt;=$H$2,$G461&lt;&gt;"X",$F461&lt;&gt;"Réalisé",$F461&lt;&gt;"Clôturé"),"≤ 7 j",""))</f>
        <v/>
      </c>
      <c r="M461" s="29">
        <f>IF($B461="","",IFERROR(INDEX($T$4:$T$3183,MATCH(SMALL($V$4:$V$3183,458),$V$4:$V$3183,0)),""))</f>
        <v/>
      </c>
      <c r="O461">
        <f>IF(INDEX(Suivi!$B:$B,470)="","",INDEX(Suivi!$B:$B,470))</f>
        <v/>
      </c>
      <c r="P461">
        <f>IF($O461="","",IF(INDEX(Suivi!$D:$D,470)="",INDEX(Suivi!$C:$C,470),INDEX(Suivi!$D:$D,470)))</f>
        <v/>
      </c>
      <c r="Q461">
        <f>IF($O461="","",INDEX(Suivi!$E:$E,470))</f>
        <v/>
      </c>
      <c r="R461">
        <f>IF($O461="","",INDEX(Suivi!$F:$F,470))</f>
        <v/>
      </c>
      <c r="S461">
        <f>IF($O461="","",INDEX(Suivi!$G:$G,470))</f>
        <v/>
      </c>
      <c r="T461">
        <f>IF($O461="","",IF(INDEX(Dossiers!$F$4:$F$63,9)="","",INDEX(Dossiers!$F$4:$F$63,9)))</f>
        <v/>
      </c>
      <c r="U461">
        <f>IF($O461="","",IF(INDEX(Dossiers!$G$4:$G$63,9)="","",INDEX(Dossiers!$G$4:$G$63,9)))</f>
        <v/>
      </c>
      <c r="V461">
        <f>IF(OR($O461="",NOT(ISNUMBER($Q461))),"",$Q461*1000000+461)</f>
        <v/>
      </c>
      <c r="W461" s="29">
        <f>IF($B461="","",IFERROR(INDEX($U$4:$U$3183,MATCH(SMALL($V$4:$V$3183,458),$V$4:$V$3183,0)),""))</f>
        <v/>
      </c>
    </row>
    <row r="462">
      <c r="A462">
        <f>IFERROR(INDEX($N$4:$N$3183,MATCH(SMALL($V$4:$V$3183,459),$V$4:$V$3183,0)),"")</f>
        <v/>
      </c>
      <c r="B462">
        <f>IFERROR(INDEX($O$4:$O$3183,MATCH(SMALL($V$4:$V$3183,459),$V$4:$V$3183,0)),"")</f>
        <v/>
      </c>
      <c r="C462">
        <f>IFERROR(INDEX($P$4:$P$3183,MATCH(SMALL($V$4:$V$3183,459),$V$4:$V$3183,0)),"")</f>
        <v/>
      </c>
      <c r="D462" s="29">
        <f>IFERROR(INDEX($Q$4:$Q$3183,MATCH(SMALL($V$4:$V$3183,459),$V$4:$V$3183,0)),"")</f>
        <v/>
      </c>
      <c r="E462" s="29">
        <f>IFERROR(INDEX($R$4:$R$3183,MATCH(SMALL($V$4:$V$3183,459),$V$4:$V$3183,0)),"")</f>
        <v/>
      </c>
      <c r="F462">
        <f>IFERROR(INDEX($S$4:$S$3183,MATCH(SMALL($V$4:$V$3183,459),$V$4:$V$3183,0)),"")</f>
        <v/>
      </c>
      <c r="I462" s="29">
        <f>IF($B462="","",IFERROR(INDEX($U$4:$U$3183,MATCH(SMALL($V$4:$V$3183,459),$V$4:$V$3183,0)),""))</f>
        <v/>
      </c>
      <c r="J462">
        <f>IF($B462="","",IF($D462&gt;$F$2,"À venir",IF($E462&lt;$D$2,"Passé","Dans la période")))</f>
        <v/>
      </c>
      <c r="K462">
        <f>IF(OR($B462="",NOT(ISNUMBER($D462))),"",IF(AND($E462&lt;$D$2,$G462&lt;&gt;"X",$F462&lt;&gt;"Réalisé",$F462&lt;&gt;"Clôturé"),"RETARD",""))</f>
        <v/>
      </c>
      <c r="L462">
        <f>IF(OR($B462="",NOT(ISNUMBER($D462))),"",IF(AND($D462&gt;=$D$2,$D462&lt;=$H$2,$G462&lt;&gt;"X",$F462&lt;&gt;"Réalisé",$F462&lt;&gt;"Clôturé"),"≤ 7 j",""))</f>
        <v/>
      </c>
      <c r="M462" s="29">
        <f>IF($B462="","",IFERROR(INDEX($T$4:$T$3183,MATCH(SMALL($V$4:$V$3183,459),$V$4:$V$3183,0)),""))</f>
        <v/>
      </c>
      <c r="O462">
        <f>IF(INDEX(Suivi!$B:$B,471)="","",INDEX(Suivi!$B:$B,471))</f>
        <v/>
      </c>
      <c r="P462">
        <f>IF($O462="","",IF(INDEX(Suivi!$D:$D,471)="",INDEX(Suivi!$C:$C,471),INDEX(Suivi!$D:$D,471)))</f>
        <v/>
      </c>
      <c r="Q462">
        <f>IF($O462="","",INDEX(Suivi!$E:$E,471))</f>
        <v/>
      </c>
      <c r="R462">
        <f>IF($O462="","",INDEX(Suivi!$F:$F,471))</f>
        <v/>
      </c>
      <c r="S462">
        <f>IF($O462="","",INDEX(Suivi!$G:$G,471))</f>
        <v/>
      </c>
      <c r="T462">
        <f>IF($O462="","",IF(INDEX(Dossiers!$F$4:$F$63,9)="","",INDEX(Dossiers!$F$4:$F$63,9)))</f>
        <v/>
      </c>
      <c r="U462">
        <f>IF($O462="","",IF(INDEX(Dossiers!$G$4:$G$63,9)="","",INDEX(Dossiers!$G$4:$G$63,9)))</f>
        <v/>
      </c>
      <c r="V462">
        <f>IF(OR($O462="",NOT(ISNUMBER($Q462))),"",$Q462*1000000+462)</f>
        <v/>
      </c>
      <c r="W462" s="29">
        <f>IF($B462="","",IFERROR(INDEX($U$4:$U$3183,MATCH(SMALL($V$4:$V$3183,459),$V$4:$V$3183,0)),""))</f>
        <v/>
      </c>
    </row>
    <row r="463">
      <c r="A463">
        <f>IFERROR(INDEX($N$4:$N$3183,MATCH(SMALL($V$4:$V$3183,460),$V$4:$V$3183,0)),"")</f>
        <v/>
      </c>
      <c r="B463">
        <f>IFERROR(INDEX($O$4:$O$3183,MATCH(SMALL($V$4:$V$3183,460),$V$4:$V$3183,0)),"")</f>
        <v/>
      </c>
      <c r="C463">
        <f>IFERROR(INDEX($P$4:$P$3183,MATCH(SMALL($V$4:$V$3183,460),$V$4:$V$3183,0)),"")</f>
        <v/>
      </c>
      <c r="D463" s="29">
        <f>IFERROR(INDEX($Q$4:$Q$3183,MATCH(SMALL($V$4:$V$3183,460),$V$4:$V$3183,0)),"")</f>
        <v/>
      </c>
      <c r="E463" s="29">
        <f>IFERROR(INDEX($R$4:$R$3183,MATCH(SMALL($V$4:$V$3183,460),$V$4:$V$3183,0)),"")</f>
        <v/>
      </c>
      <c r="F463">
        <f>IFERROR(INDEX($S$4:$S$3183,MATCH(SMALL($V$4:$V$3183,460),$V$4:$V$3183,0)),"")</f>
        <v/>
      </c>
      <c r="I463" s="29">
        <f>IF($B463="","",IFERROR(INDEX($U$4:$U$3183,MATCH(SMALL($V$4:$V$3183,460),$V$4:$V$3183,0)),""))</f>
        <v/>
      </c>
      <c r="J463">
        <f>IF($B463="","",IF($D463&gt;$F$2,"À venir",IF($E463&lt;$D$2,"Passé","Dans la période")))</f>
        <v/>
      </c>
      <c r="K463">
        <f>IF(OR($B463="",NOT(ISNUMBER($D463))),"",IF(AND($E463&lt;$D$2,$G463&lt;&gt;"X",$F463&lt;&gt;"Réalisé",$F463&lt;&gt;"Clôturé"),"RETARD",""))</f>
        <v/>
      </c>
      <c r="L463">
        <f>IF(OR($B463="",NOT(ISNUMBER($D463))),"",IF(AND($D463&gt;=$D$2,$D463&lt;=$H$2,$G463&lt;&gt;"X",$F463&lt;&gt;"Réalisé",$F463&lt;&gt;"Clôturé"),"≤ 7 j",""))</f>
        <v/>
      </c>
      <c r="M463" s="29">
        <f>IF($B463="","",IFERROR(INDEX($T$4:$T$3183,MATCH(SMALL($V$4:$V$3183,460),$V$4:$V$3183,0)),""))</f>
        <v/>
      </c>
      <c r="O463">
        <f>IF(INDEX(Suivi!$B:$B,472)="","",INDEX(Suivi!$B:$B,472))</f>
        <v/>
      </c>
      <c r="P463">
        <f>IF($O463="","",IF(INDEX(Suivi!$D:$D,472)="",INDEX(Suivi!$C:$C,472),INDEX(Suivi!$D:$D,472)))</f>
        <v/>
      </c>
      <c r="Q463">
        <f>IF($O463="","",INDEX(Suivi!$E:$E,472))</f>
        <v/>
      </c>
      <c r="R463">
        <f>IF($O463="","",INDEX(Suivi!$F:$F,472))</f>
        <v/>
      </c>
      <c r="S463">
        <f>IF($O463="","",INDEX(Suivi!$G:$G,472))</f>
        <v/>
      </c>
      <c r="T463">
        <f>IF($O463="","",IF(INDEX(Dossiers!$F$4:$F$63,9)="","",INDEX(Dossiers!$F$4:$F$63,9)))</f>
        <v/>
      </c>
      <c r="U463">
        <f>IF($O463="","",IF(INDEX(Dossiers!$G$4:$G$63,9)="","",INDEX(Dossiers!$G$4:$G$63,9)))</f>
        <v/>
      </c>
      <c r="V463">
        <f>IF(OR($O463="",NOT(ISNUMBER($Q463))),"",$Q463*1000000+463)</f>
        <v/>
      </c>
      <c r="W463" s="29">
        <f>IF($B463="","",IFERROR(INDEX($U$4:$U$3183,MATCH(SMALL($V$4:$V$3183,460),$V$4:$V$3183,0)),""))</f>
        <v/>
      </c>
    </row>
    <row r="464">
      <c r="A464">
        <f>IFERROR(INDEX($N$4:$N$3183,MATCH(SMALL($V$4:$V$3183,461),$V$4:$V$3183,0)),"")</f>
        <v/>
      </c>
      <c r="B464">
        <f>IFERROR(INDEX($O$4:$O$3183,MATCH(SMALL($V$4:$V$3183,461),$V$4:$V$3183,0)),"")</f>
        <v/>
      </c>
      <c r="C464">
        <f>IFERROR(INDEX($P$4:$P$3183,MATCH(SMALL($V$4:$V$3183,461),$V$4:$V$3183,0)),"")</f>
        <v/>
      </c>
      <c r="D464" s="29">
        <f>IFERROR(INDEX($Q$4:$Q$3183,MATCH(SMALL($V$4:$V$3183,461),$V$4:$V$3183,0)),"")</f>
        <v/>
      </c>
      <c r="E464" s="29">
        <f>IFERROR(INDEX($R$4:$R$3183,MATCH(SMALL($V$4:$V$3183,461),$V$4:$V$3183,0)),"")</f>
        <v/>
      </c>
      <c r="F464">
        <f>IFERROR(INDEX($S$4:$S$3183,MATCH(SMALL($V$4:$V$3183,461),$V$4:$V$3183,0)),"")</f>
        <v/>
      </c>
      <c r="I464" s="29">
        <f>IF($B464="","",IFERROR(INDEX($U$4:$U$3183,MATCH(SMALL($V$4:$V$3183,461),$V$4:$V$3183,0)),""))</f>
        <v/>
      </c>
      <c r="J464">
        <f>IF($B464="","",IF($D464&gt;$F$2,"À venir",IF($E464&lt;$D$2,"Passé","Dans la période")))</f>
        <v/>
      </c>
      <c r="K464">
        <f>IF(OR($B464="",NOT(ISNUMBER($D464))),"",IF(AND($E464&lt;$D$2,$G464&lt;&gt;"X",$F464&lt;&gt;"Réalisé",$F464&lt;&gt;"Clôturé"),"RETARD",""))</f>
        <v/>
      </c>
      <c r="L464">
        <f>IF(OR($B464="",NOT(ISNUMBER($D464))),"",IF(AND($D464&gt;=$D$2,$D464&lt;=$H$2,$G464&lt;&gt;"X",$F464&lt;&gt;"Réalisé",$F464&lt;&gt;"Clôturé"),"≤ 7 j",""))</f>
        <v/>
      </c>
      <c r="M464" s="29">
        <f>IF($B464="","",IFERROR(INDEX($T$4:$T$3183,MATCH(SMALL($V$4:$V$3183,461),$V$4:$V$3183,0)),""))</f>
        <v/>
      </c>
      <c r="O464">
        <f>IF(INDEX(Suivi!$B:$B,473)="","",INDEX(Suivi!$B:$B,473))</f>
        <v/>
      </c>
      <c r="P464">
        <f>IF($O464="","",IF(INDEX(Suivi!$D:$D,473)="",INDEX(Suivi!$C:$C,473),INDEX(Suivi!$D:$D,473)))</f>
        <v/>
      </c>
      <c r="Q464">
        <f>IF($O464="","",INDEX(Suivi!$E:$E,473))</f>
        <v/>
      </c>
      <c r="R464">
        <f>IF($O464="","",INDEX(Suivi!$F:$F,473))</f>
        <v/>
      </c>
      <c r="S464">
        <f>IF($O464="","",INDEX(Suivi!$G:$G,473))</f>
        <v/>
      </c>
      <c r="T464">
        <f>IF($O464="","",IF(INDEX(Dossiers!$F$4:$F$63,9)="","",INDEX(Dossiers!$F$4:$F$63,9)))</f>
        <v/>
      </c>
      <c r="U464">
        <f>IF($O464="","",IF(INDEX(Dossiers!$G$4:$G$63,9)="","",INDEX(Dossiers!$G$4:$G$63,9)))</f>
        <v/>
      </c>
      <c r="V464">
        <f>IF(OR($O464="",NOT(ISNUMBER($Q464))),"",$Q464*1000000+464)</f>
        <v/>
      </c>
      <c r="W464" s="29">
        <f>IF($B464="","",IFERROR(INDEX($U$4:$U$3183,MATCH(SMALL($V$4:$V$3183,461),$V$4:$V$3183,0)),""))</f>
        <v/>
      </c>
    </row>
    <row r="465">
      <c r="A465">
        <f>IFERROR(INDEX($N$4:$N$3183,MATCH(SMALL($V$4:$V$3183,462),$V$4:$V$3183,0)),"")</f>
        <v/>
      </c>
      <c r="B465">
        <f>IFERROR(INDEX($O$4:$O$3183,MATCH(SMALL($V$4:$V$3183,462),$V$4:$V$3183,0)),"")</f>
        <v/>
      </c>
      <c r="C465">
        <f>IFERROR(INDEX($P$4:$P$3183,MATCH(SMALL($V$4:$V$3183,462),$V$4:$V$3183,0)),"")</f>
        <v/>
      </c>
      <c r="D465" s="29">
        <f>IFERROR(INDEX($Q$4:$Q$3183,MATCH(SMALL($V$4:$V$3183,462),$V$4:$V$3183,0)),"")</f>
        <v/>
      </c>
      <c r="E465" s="29">
        <f>IFERROR(INDEX($R$4:$R$3183,MATCH(SMALL($V$4:$V$3183,462),$V$4:$V$3183,0)),"")</f>
        <v/>
      </c>
      <c r="F465">
        <f>IFERROR(INDEX($S$4:$S$3183,MATCH(SMALL($V$4:$V$3183,462),$V$4:$V$3183,0)),"")</f>
        <v/>
      </c>
      <c r="I465" s="29">
        <f>IF($B465="","",IFERROR(INDEX($U$4:$U$3183,MATCH(SMALL($V$4:$V$3183,462),$V$4:$V$3183,0)),""))</f>
        <v/>
      </c>
      <c r="J465">
        <f>IF($B465="","",IF($D465&gt;$F$2,"À venir",IF($E465&lt;$D$2,"Passé","Dans la période")))</f>
        <v/>
      </c>
      <c r="K465">
        <f>IF(OR($B465="",NOT(ISNUMBER($D465))),"",IF(AND($E465&lt;$D$2,$G465&lt;&gt;"X",$F465&lt;&gt;"Réalisé",$F465&lt;&gt;"Clôturé"),"RETARD",""))</f>
        <v/>
      </c>
      <c r="L465">
        <f>IF(OR($B465="",NOT(ISNUMBER($D465))),"",IF(AND($D465&gt;=$D$2,$D465&lt;=$H$2,$G465&lt;&gt;"X",$F465&lt;&gt;"Réalisé",$F465&lt;&gt;"Clôturé"),"≤ 7 j",""))</f>
        <v/>
      </c>
      <c r="M465" s="29">
        <f>IF($B465="","",IFERROR(INDEX($T$4:$T$3183,MATCH(SMALL($V$4:$V$3183,462),$V$4:$V$3183,0)),""))</f>
        <v/>
      </c>
      <c r="O465">
        <f>IF(INDEX(Suivi!$B:$B,474)="","",INDEX(Suivi!$B:$B,474))</f>
        <v/>
      </c>
      <c r="P465">
        <f>IF($O465="","",IF(INDEX(Suivi!$D:$D,474)="",INDEX(Suivi!$C:$C,474),INDEX(Suivi!$D:$D,474)))</f>
        <v/>
      </c>
      <c r="Q465">
        <f>IF($O465="","",INDEX(Suivi!$E:$E,474))</f>
        <v/>
      </c>
      <c r="R465">
        <f>IF($O465="","",INDEX(Suivi!$F:$F,474))</f>
        <v/>
      </c>
      <c r="S465">
        <f>IF($O465="","",INDEX(Suivi!$G:$G,474))</f>
        <v/>
      </c>
      <c r="T465">
        <f>IF($O465="","",IF(INDEX(Dossiers!$F$4:$F$63,9)="","",INDEX(Dossiers!$F$4:$F$63,9)))</f>
        <v/>
      </c>
      <c r="U465">
        <f>IF($O465="","",IF(INDEX(Dossiers!$G$4:$G$63,9)="","",INDEX(Dossiers!$G$4:$G$63,9)))</f>
        <v/>
      </c>
      <c r="V465">
        <f>IF(OR($O465="",NOT(ISNUMBER($Q465))),"",$Q465*1000000+465)</f>
        <v/>
      </c>
      <c r="W465" s="29">
        <f>IF($B465="","",IFERROR(INDEX($U$4:$U$3183,MATCH(SMALL($V$4:$V$3183,462),$V$4:$V$3183,0)),""))</f>
        <v/>
      </c>
    </row>
    <row r="466">
      <c r="A466">
        <f>IFERROR(INDEX($N$4:$N$3183,MATCH(SMALL($V$4:$V$3183,463),$V$4:$V$3183,0)),"")</f>
        <v/>
      </c>
      <c r="B466">
        <f>IFERROR(INDEX($O$4:$O$3183,MATCH(SMALL($V$4:$V$3183,463),$V$4:$V$3183,0)),"")</f>
        <v/>
      </c>
      <c r="C466">
        <f>IFERROR(INDEX($P$4:$P$3183,MATCH(SMALL($V$4:$V$3183,463),$V$4:$V$3183,0)),"")</f>
        <v/>
      </c>
      <c r="D466" s="29">
        <f>IFERROR(INDEX($Q$4:$Q$3183,MATCH(SMALL($V$4:$V$3183,463),$V$4:$V$3183,0)),"")</f>
        <v/>
      </c>
      <c r="E466" s="29">
        <f>IFERROR(INDEX($R$4:$R$3183,MATCH(SMALL($V$4:$V$3183,463),$V$4:$V$3183,0)),"")</f>
        <v/>
      </c>
      <c r="F466">
        <f>IFERROR(INDEX($S$4:$S$3183,MATCH(SMALL($V$4:$V$3183,463),$V$4:$V$3183,0)),"")</f>
        <v/>
      </c>
      <c r="I466" s="29">
        <f>IF($B466="","",IFERROR(INDEX($U$4:$U$3183,MATCH(SMALL($V$4:$V$3183,463),$V$4:$V$3183,0)),""))</f>
        <v/>
      </c>
      <c r="J466">
        <f>IF($B466="","",IF($D466&gt;$F$2,"À venir",IF($E466&lt;$D$2,"Passé","Dans la période")))</f>
        <v/>
      </c>
      <c r="K466">
        <f>IF(OR($B466="",NOT(ISNUMBER($D466))),"",IF(AND($E466&lt;$D$2,$G466&lt;&gt;"X",$F466&lt;&gt;"Réalisé",$F466&lt;&gt;"Clôturé"),"RETARD",""))</f>
        <v/>
      </c>
      <c r="L466">
        <f>IF(OR($B466="",NOT(ISNUMBER($D466))),"",IF(AND($D466&gt;=$D$2,$D466&lt;=$H$2,$G466&lt;&gt;"X",$F466&lt;&gt;"Réalisé",$F466&lt;&gt;"Clôturé"),"≤ 7 j",""))</f>
        <v/>
      </c>
      <c r="M466" s="29">
        <f>IF($B466="","",IFERROR(INDEX($T$4:$T$3183,MATCH(SMALL($V$4:$V$3183,463),$V$4:$V$3183,0)),""))</f>
        <v/>
      </c>
      <c r="O466">
        <f>IF(INDEX(Suivi!$B:$B,475)="","",INDEX(Suivi!$B:$B,475))</f>
        <v/>
      </c>
      <c r="P466">
        <f>IF($O466="","",IF(INDEX(Suivi!$D:$D,475)="",INDEX(Suivi!$C:$C,475),INDEX(Suivi!$D:$D,475)))</f>
        <v/>
      </c>
      <c r="Q466">
        <f>IF($O466="","",INDEX(Suivi!$E:$E,475))</f>
        <v/>
      </c>
      <c r="R466">
        <f>IF($O466="","",INDEX(Suivi!$F:$F,475))</f>
        <v/>
      </c>
      <c r="S466">
        <f>IF($O466="","",INDEX(Suivi!$G:$G,475))</f>
        <v/>
      </c>
      <c r="T466">
        <f>IF($O466="","",IF(INDEX(Dossiers!$F$4:$F$63,9)="","",INDEX(Dossiers!$F$4:$F$63,9)))</f>
        <v/>
      </c>
      <c r="U466">
        <f>IF($O466="","",IF(INDEX(Dossiers!$G$4:$G$63,9)="","",INDEX(Dossiers!$G$4:$G$63,9)))</f>
        <v/>
      </c>
      <c r="V466">
        <f>IF(OR($O466="",NOT(ISNUMBER($Q466))),"",$Q466*1000000+466)</f>
        <v/>
      </c>
      <c r="W466" s="29">
        <f>IF($B466="","",IFERROR(INDEX($U$4:$U$3183,MATCH(SMALL($V$4:$V$3183,463),$V$4:$V$3183,0)),""))</f>
        <v/>
      </c>
    </row>
    <row r="467">
      <c r="A467">
        <f>IFERROR(INDEX($N$4:$N$3183,MATCH(SMALL($V$4:$V$3183,464),$V$4:$V$3183,0)),"")</f>
        <v/>
      </c>
      <c r="B467">
        <f>IFERROR(INDEX($O$4:$O$3183,MATCH(SMALL($V$4:$V$3183,464),$V$4:$V$3183,0)),"")</f>
        <v/>
      </c>
      <c r="C467">
        <f>IFERROR(INDEX($P$4:$P$3183,MATCH(SMALL($V$4:$V$3183,464),$V$4:$V$3183,0)),"")</f>
        <v/>
      </c>
      <c r="D467" s="29">
        <f>IFERROR(INDEX($Q$4:$Q$3183,MATCH(SMALL($V$4:$V$3183,464),$V$4:$V$3183,0)),"")</f>
        <v/>
      </c>
      <c r="E467" s="29">
        <f>IFERROR(INDEX($R$4:$R$3183,MATCH(SMALL($V$4:$V$3183,464),$V$4:$V$3183,0)),"")</f>
        <v/>
      </c>
      <c r="F467">
        <f>IFERROR(INDEX($S$4:$S$3183,MATCH(SMALL($V$4:$V$3183,464),$V$4:$V$3183,0)),"")</f>
        <v/>
      </c>
      <c r="I467" s="29">
        <f>IF($B467="","",IFERROR(INDEX($U$4:$U$3183,MATCH(SMALL($V$4:$V$3183,464),$V$4:$V$3183,0)),""))</f>
        <v/>
      </c>
      <c r="J467">
        <f>IF($B467="","",IF($D467&gt;$F$2,"À venir",IF($E467&lt;$D$2,"Passé","Dans la période")))</f>
        <v/>
      </c>
      <c r="K467">
        <f>IF(OR($B467="",NOT(ISNUMBER($D467))),"",IF(AND($E467&lt;$D$2,$G467&lt;&gt;"X",$F467&lt;&gt;"Réalisé",$F467&lt;&gt;"Clôturé"),"RETARD",""))</f>
        <v/>
      </c>
      <c r="L467">
        <f>IF(OR($B467="",NOT(ISNUMBER($D467))),"",IF(AND($D467&gt;=$D$2,$D467&lt;=$H$2,$G467&lt;&gt;"X",$F467&lt;&gt;"Réalisé",$F467&lt;&gt;"Clôturé"),"≤ 7 j",""))</f>
        <v/>
      </c>
      <c r="M467" s="29">
        <f>IF($B467="","",IFERROR(INDEX($T$4:$T$3183,MATCH(SMALL($V$4:$V$3183,464),$V$4:$V$3183,0)),""))</f>
        <v/>
      </c>
      <c r="O467">
        <f>IF(INDEX(Suivi!$B:$B,476)="","",INDEX(Suivi!$B:$B,476))</f>
        <v/>
      </c>
      <c r="P467">
        <f>IF($O467="","",IF(INDEX(Suivi!$D:$D,476)="",INDEX(Suivi!$C:$C,476),INDEX(Suivi!$D:$D,476)))</f>
        <v/>
      </c>
      <c r="Q467">
        <f>IF($O467="","",INDEX(Suivi!$E:$E,476))</f>
        <v/>
      </c>
      <c r="R467">
        <f>IF($O467="","",INDEX(Suivi!$F:$F,476))</f>
        <v/>
      </c>
      <c r="S467">
        <f>IF($O467="","",INDEX(Suivi!$G:$G,476))</f>
        <v/>
      </c>
      <c r="T467">
        <f>IF($O467="","",IF(INDEX(Dossiers!$F$4:$F$63,9)="","",INDEX(Dossiers!$F$4:$F$63,9)))</f>
        <v/>
      </c>
      <c r="U467">
        <f>IF($O467="","",IF(INDEX(Dossiers!$G$4:$G$63,9)="","",INDEX(Dossiers!$G$4:$G$63,9)))</f>
        <v/>
      </c>
      <c r="V467">
        <f>IF(OR($O467="",NOT(ISNUMBER($Q467))),"",$Q467*1000000+467)</f>
        <v/>
      </c>
      <c r="W467" s="29">
        <f>IF($B467="","",IFERROR(INDEX($U$4:$U$3183,MATCH(SMALL($V$4:$V$3183,464),$V$4:$V$3183,0)),""))</f>
        <v/>
      </c>
    </row>
    <row r="468">
      <c r="A468">
        <f>IFERROR(INDEX($N$4:$N$3183,MATCH(SMALL($V$4:$V$3183,465),$V$4:$V$3183,0)),"")</f>
        <v/>
      </c>
      <c r="B468">
        <f>IFERROR(INDEX($O$4:$O$3183,MATCH(SMALL($V$4:$V$3183,465),$V$4:$V$3183,0)),"")</f>
        <v/>
      </c>
      <c r="C468">
        <f>IFERROR(INDEX($P$4:$P$3183,MATCH(SMALL($V$4:$V$3183,465),$V$4:$V$3183,0)),"")</f>
        <v/>
      </c>
      <c r="D468" s="29">
        <f>IFERROR(INDEX($Q$4:$Q$3183,MATCH(SMALL($V$4:$V$3183,465),$V$4:$V$3183,0)),"")</f>
        <v/>
      </c>
      <c r="E468" s="29">
        <f>IFERROR(INDEX($R$4:$R$3183,MATCH(SMALL($V$4:$V$3183,465),$V$4:$V$3183,0)),"")</f>
        <v/>
      </c>
      <c r="F468">
        <f>IFERROR(INDEX($S$4:$S$3183,MATCH(SMALL($V$4:$V$3183,465),$V$4:$V$3183,0)),"")</f>
        <v/>
      </c>
      <c r="I468" s="29">
        <f>IF($B468="","",IFERROR(INDEX($U$4:$U$3183,MATCH(SMALL($V$4:$V$3183,465),$V$4:$V$3183,0)),""))</f>
        <v/>
      </c>
      <c r="J468">
        <f>IF($B468="","",IF($D468&gt;$F$2,"À venir",IF($E468&lt;$D$2,"Passé","Dans la période")))</f>
        <v/>
      </c>
      <c r="K468">
        <f>IF(OR($B468="",NOT(ISNUMBER($D468))),"",IF(AND($E468&lt;$D$2,$G468&lt;&gt;"X",$F468&lt;&gt;"Réalisé",$F468&lt;&gt;"Clôturé"),"RETARD",""))</f>
        <v/>
      </c>
      <c r="L468">
        <f>IF(OR($B468="",NOT(ISNUMBER($D468))),"",IF(AND($D468&gt;=$D$2,$D468&lt;=$H$2,$G468&lt;&gt;"X",$F468&lt;&gt;"Réalisé",$F468&lt;&gt;"Clôturé"),"≤ 7 j",""))</f>
        <v/>
      </c>
      <c r="M468" s="29">
        <f>IF($B468="","",IFERROR(INDEX($T$4:$T$3183,MATCH(SMALL($V$4:$V$3183,465),$V$4:$V$3183,0)),""))</f>
        <v/>
      </c>
      <c r="O468">
        <f>IF(INDEX(Suivi!$B:$B,477)="","",INDEX(Suivi!$B:$B,477))</f>
        <v/>
      </c>
      <c r="P468">
        <f>IF($O468="","",IF(INDEX(Suivi!$D:$D,477)="",INDEX(Suivi!$C:$C,477),INDEX(Suivi!$D:$D,477)))</f>
        <v/>
      </c>
      <c r="Q468">
        <f>IF($O468="","",INDEX(Suivi!$E:$E,477))</f>
        <v/>
      </c>
      <c r="R468">
        <f>IF($O468="","",INDEX(Suivi!$F:$F,477))</f>
        <v/>
      </c>
      <c r="S468">
        <f>IF($O468="","",INDEX(Suivi!$G:$G,477))</f>
        <v/>
      </c>
      <c r="T468">
        <f>IF($O468="","",IF(INDEX(Dossiers!$F$4:$F$63,9)="","",INDEX(Dossiers!$F$4:$F$63,9)))</f>
        <v/>
      </c>
      <c r="U468">
        <f>IF($O468="","",IF(INDEX(Dossiers!$G$4:$G$63,9)="","",INDEX(Dossiers!$G$4:$G$63,9)))</f>
        <v/>
      </c>
      <c r="V468">
        <f>IF(OR($O468="",NOT(ISNUMBER($Q468))),"",$Q468*1000000+468)</f>
        <v/>
      </c>
      <c r="W468" s="29">
        <f>IF($B468="","",IFERROR(INDEX($U$4:$U$3183,MATCH(SMALL($V$4:$V$3183,465),$V$4:$V$3183,0)),""))</f>
        <v/>
      </c>
    </row>
    <row r="469">
      <c r="A469">
        <f>IFERROR(INDEX($N$4:$N$3183,MATCH(SMALL($V$4:$V$3183,466),$V$4:$V$3183,0)),"")</f>
        <v/>
      </c>
      <c r="B469">
        <f>IFERROR(INDEX($O$4:$O$3183,MATCH(SMALL($V$4:$V$3183,466),$V$4:$V$3183,0)),"")</f>
        <v/>
      </c>
      <c r="C469">
        <f>IFERROR(INDEX($P$4:$P$3183,MATCH(SMALL($V$4:$V$3183,466),$V$4:$V$3183,0)),"")</f>
        <v/>
      </c>
      <c r="D469" s="29">
        <f>IFERROR(INDEX($Q$4:$Q$3183,MATCH(SMALL($V$4:$V$3183,466),$V$4:$V$3183,0)),"")</f>
        <v/>
      </c>
      <c r="E469" s="29">
        <f>IFERROR(INDEX($R$4:$R$3183,MATCH(SMALL($V$4:$V$3183,466),$V$4:$V$3183,0)),"")</f>
        <v/>
      </c>
      <c r="F469">
        <f>IFERROR(INDEX($S$4:$S$3183,MATCH(SMALL($V$4:$V$3183,466),$V$4:$V$3183,0)),"")</f>
        <v/>
      </c>
      <c r="I469" s="29">
        <f>IF($B469="","",IFERROR(INDEX($U$4:$U$3183,MATCH(SMALL($V$4:$V$3183,466),$V$4:$V$3183,0)),""))</f>
        <v/>
      </c>
      <c r="J469">
        <f>IF($B469="","",IF($D469&gt;$F$2,"À venir",IF($E469&lt;$D$2,"Passé","Dans la période")))</f>
        <v/>
      </c>
      <c r="K469">
        <f>IF(OR($B469="",NOT(ISNUMBER($D469))),"",IF(AND($E469&lt;$D$2,$G469&lt;&gt;"X",$F469&lt;&gt;"Réalisé",$F469&lt;&gt;"Clôturé"),"RETARD",""))</f>
        <v/>
      </c>
      <c r="L469">
        <f>IF(OR($B469="",NOT(ISNUMBER($D469))),"",IF(AND($D469&gt;=$D$2,$D469&lt;=$H$2,$G469&lt;&gt;"X",$F469&lt;&gt;"Réalisé",$F469&lt;&gt;"Clôturé"),"≤ 7 j",""))</f>
        <v/>
      </c>
      <c r="M469" s="29">
        <f>IF($B469="","",IFERROR(INDEX($T$4:$T$3183,MATCH(SMALL($V$4:$V$3183,466),$V$4:$V$3183,0)),""))</f>
        <v/>
      </c>
      <c r="O469">
        <f>IF(INDEX(Suivi!$B:$B,478)="","",INDEX(Suivi!$B:$B,478))</f>
        <v/>
      </c>
      <c r="P469">
        <f>IF($O469="","",IF(INDEX(Suivi!$D:$D,478)="",INDEX(Suivi!$C:$C,478),INDEX(Suivi!$D:$D,478)))</f>
        <v/>
      </c>
      <c r="Q469">
        <f>IF($O469="","",INDEX(Suivi!$E:$E,478))</f>
        <v/>
      </c>
      <c r="R469">
        <f>IF($O469="","",INDEX(Suivi!$F:$F,478))</f>
        <v/>
      </c>
      <c r="S469">
        <f>IF($O469="","",INDEX(Suivi!$G:$G,478))</f>
        <v/>
      </c>
      <c r="T469">
        <f>IF($O469="","",IF(INDEX(Dossiers!$F$4:$F$63,9)="","",INDEX(Dossiers!$F$4:$F$63,9)))</f>
        <v/>
      </c>
      <c r="U469">
        <f>IF($O469="","",IF(INDEX(Dossiers!$G$4:$G$63,9)="","",INDEX(Dossiers!$G$4:$G$63,9)))</f>
        <v/>
      </c>
      <c r="V469">
        <f>IF(OR($O469="",NOT(ISNUMBER($Q469))),"",$Q469*1000000+469)</f>
        <v/>
      </c>
      <c r="W469" s="29">
        <f>IF($B469="","",IFERROR(INDEX($U$4:$U$3183,MATCH(SMALL($V$4:$V$3183,466),$V$4:$V$3183,0)),""))</f>
        <v/>
      </c>
    </row>
    <row r="470">
      <c r="A470">
        <f>IFERROR(INDEX($N$4:$N$3183,MATCH(SMALL($V$4:$V$3183,467),$V$4:$V$3183,0)),"")</f>
        <v/>
      </c>
      <c r="B470">
        <f>IFERROR(INDEX($O$4:$O$3183,MATCH(SMALL($V$4:$V$3183,467),$V$4:$V$3183,0)),"")</f>
        <v/>
      </c>
      <c r="C470">
        <f>IFERROR(INDEX($P$4:$P$3183,MATCH(SMALL($V$4:$V$3183,467),$V$4:$V$3183,0)),"")</f>
        <v/>
      </c>
      <c r="D470" s="29">
        <f>IFERROR(INDEX($Q$4:$Q$3183,MATCH(SMALL($V$4:$V$3183,467),$V$4:$V$3183,0)),"")</f>
        <v/>
      </c>
      <c r="E470" s="29">
        <f>IFERROR(INDEX($R$4:$R$3183,MATCH(SMALL($V$4:$V$3183,467),$V$4:$V$3183,0)),"")</f>
        <v/>
      </c>
      <c r="F470">
        <f>IFERROR(INDEX($S$4:$S$3183,MATCH(SMALL($V$4:$V$3183,467),$V$4:$V$3183,0)),"")</f>
        <v/>
      </c>
      <c r="I470" s="29">
        <f>IF($B470="","",IFERROR(INDEX($U$4:$U$3183,MATCH(SMALL($V$4:$V$3183,467),$V$4:$V$3183,0)),""))</f>
        <v/>
      </c>
      <c r="J470">
        <f>IF($B470="","",IF($D470&gt;$F$2,"À venir",IF($E470&lt;$D$2,"Passé","Dans la période")))</f>
        <v/>
      </c>
      <c r="K470">
        <f>IF(OR($B470="",NOT(ISNUMBER($D470))),"",IF(AND($E470&lt;$D$2,$G470&lt;&gt;"X",$F470&lt;&gt;"Réalisé",$F470&lt;&gt;"Clôturé"),"RETARD",""))</f>
        <v/>
      </c>
      <c r="L470">
        <f>IF(OR($B470="",NOT(ISNUMBER($D470))),"",IF(AND($D470&gt;=$D$2,$D470&lt;=$H$2,$G470&lt;&gt;"X",$F470&lt;&gt;"Réalisé",$F470&lt;&gt;"Clôturé"),"≤ 7 j",""))</f>
        <v/>
      </c>
      <c r="M470" s="29">
        <f>IF($B470="","",IFERROR(INDEX($T$4:$T$3183,MATCH(SMALL($V$4:$V$3183,467),$V$4:$V$3183,0)),""))</f>
        <v/>
      </c>
      <c r="O470">
        <f>IF(INDEX(Suivi!$B:$B,479)="","",INDEX(Suivi!$B:$B,479))</f>
        <v/>
      </c>
      <c r="P470">
        <f>IF($O470="","",IF(INDEX(Suivi!$D:$D,479)="",INDEX(Suivi!$C:$C,479),INDEX(Suivi!$D:$D,479)))</f>
        <v/>
      </c>
      <c r="Q470">
        <f>IF($O470="","",INDEX(Suivi!$E:$E,479))</f>
        <v/>
      </c>
      <c r="R470">
        <f>IF($O470="","",INDEX(Suivi!$F:$F,479))</f>
        <v/>
      </c>
      <c r="S470">
        <f>IF($O470="","",INDEX(Suivi!$G:$G,479))</f>
        <v/>
      </c>
      <c r="T470">
        <f>IF($O470="","",IF(INDEX(Dossiers!$F$4:$F$63,9)="","",INDEX(Dossiers!$F$4:$F$63,9)))</f>
        <v/>
      </c>
      <c r="U470">
        <f>IF($O470="","",IF(INDEX(Dossiers!$G$4:$G$63,9)="","",INDEX(Dossiers!$G$4:$G$63,9)))</f>
        <v/>
      </c>
      <c r="V470">
        <f>IF(OR($O470="",NOT(ISNUMBER($Q470))),"",$Q470*1000000+470)</f>
        <v/>
      </c>
      <c r="W470" s="29">
        <f>IF($B470="","",IFERROR(INDEX($U$4:$U$3183,MATCH(SMALL($V$4:$V$3183,467),$V$4:$V$3183,0)),""))</f>
        <v/>
      </c>
    </row>
    <row r="471">
      <c r="A471">
        <f>IFERROR(INDEX($N$4:$N$3183,MATCH(SMALL($V$4:$V$3183,468),$V$4:$V$3183,0)),"")</f>
        <v/>
      </c>
      <c r="B471">
        <f>IFERROR(INDEX($O$4:$O$3183,MATCH(SMALL($V$4:$V$3183,468),$V$4:$V$3183,0)),"")</f>
        <v/>
      </c>
      <c r="C471">
        <f>IFERROR(INDEX($P$4:$P$3183,MATCH(SMALL($V$4:$V$3183,468),$V$4:$V$3183,0)),"")</f>
        <v/>
      </c>
      <c r="D471" s="29">
        <f>IFERROR(INDEX($Q$4:$Q$3183,MATCH(SMALL($V$4:$V$3183,468),$V$4:$V$3183,0)),"")</f>
        <v/>
      </c>
      <c r="E471" s="29">
        <f>IFERROR(INDEX($R$4:$R$3183,MATCH(SMALL($V$4:$V$3183,468),$V$4:$V$3183,0)),"")</f>
        <v/>
      </c>
      <c r="F471">
        <f>IFERROR(INDEX($S$4:$S$3183,MATCH(SMALL($V$4:$V$3183,468),$V$4:$V$3183,0)),"")</f>
        <v/>
      </c>
      <c r="I471" s="29">
        <f>IF($B471="","",IFERROR(INDEX($U$4:$U$3183,MATCH(SMALL($V$4:$V$3183,468),$V$4:$V$3183,0)),""))</f>
        <v/>
      </c>
      <c r="J471">
        <f>IF($B471="","",IF($D471&gt;$F$2,"À venir",IF($E471&lt;$D$2,"Passé","Dans la période")))</f>
        <v/>
      </c>
      <c r="K471">
        <f>IF(OR($B471="",NOT(ISNUMBER($D471))),"",IF(AND($E471&lt;$D$2,$G471&lt;&gt;"X",$F471&lt;&gt;"Réalisé",$F471&lt;&gt;"Clôturé"),"RETARD",""))</f>
        <v/>
      </c>
      <c r="L471">
        <f>IF(OR($B471="",NOT(ISNUMBER($D471))),"",IF(AND($D471&gt;=$D$2,$D471&lt;=$H$2,$G471&lt;&gt;"X",$F471&lt;&gt;"Réalisé",$F471&lt;&gt;"Clôturé"),"≤ 7 j",""))</f>
        <v/>
      </c>
      <c r="M471" s="29">
        <f>IF($B471="","",IFERROR(INDEX($T$4:$T$3183,MATCH(SMALL($V$4:$V$3183,468),$V$4:$V$3183,0)),""))</f>
        <v/>
      </c>
      <c r="O471">
        <f>IF(INDEX(Suivi!$B:$B,480)="","",INDEX(Suivi!$B:$B,480))</f>
        <v/>
      </c>
      <c r="P471">
        <f>IF($O471="","",IF(INDEX(Suivi!$D:$D,480)="",INDEX(Suivi!$C:$C,480),INDEX(Suivi!$D:$D,480)))</f>
        <v/>
      </c>
      <c r="Q471">
        <f>IF($O471="","",INDEX(Suivi!$E:$E,480))</f>
        <v/>
      </c>
      <c r="R471">
        <f>IF($O471="","",INDEX(Suivi!$F:$F,480))</f>
        <v/>
      </c>
      <c r="S471">
        <f>IF($O471="","",INDEX(Suivi!$G:$G,480))</f>
        <v/>
      </c>
      <c r="T471">
        <f>IF($O471="","",IF(INDEX(Dossiers!$F$4:$F$63,9)="","",INDEX(Dossiers!$F$4:$F$63,9)))</f>
        <v/>
      </c>
      <c r="U471">
        <f>IF($O471="","",IF(INDEX(Dossiers!$G$4:$G$63,9)="","",INDEX(Dossiers!$G$4:$G$63,9)))</f>
        <v/>
      </c>
      <c r="V471">
        <f>IF(OR($O471="",NOT(ISNUMBER($Q471))),"",$Q471*1000000+471)</f>
        <v/>
      </c>
      <c r="W471" s="29">
        <f>IF($B471="","",IFERROR(INDEX($U$4:$U$3183,MATCH(SMALL($V$4:$V$3183,468),$V$4:$V$3183,0)),""))</f>
        <v/>
      </c>
    </row>
    <row r="472">
      <c r="A472">
        <f>IFERROR(INDEX($N$4:$N$3183,MATCH(SMALL($V$4:$V$3183,469),$V$4:$V$3183,0)),"")</f>
        <v/>
      </c>
      <c r="B472">
        <f>IFERROR(INDEX($O$4:$O$3183,MATCH(SMALL($V$4:$V$3183,469),$V$4:$V$3183,0)),"")</f>
        <v/>
      </c>
      <c r="C472">
        <f>IFERROR(INDEX($P$4:$P$3183,MATCH(SMALL($V$4:$V$3183,469),$V$4:$V$3183,0)),"")</f>
        <v/>
      </c>
      <c r="D472" s="29">
        <f>IFERROR(INDEX($Q$4:$Q$3183,MATCH(SMALL($V$4:$V$3183,469),$V$4:$V$3183,0)),"")</f>
        <v/>
      </c>
      <c r="E472" s="29">
        <f>IFERROR(INDEX($R$4:$R$3183,MATCH(SMALL($V$4:$V$3183,469),$V$4:$V$3183,0)),"")</f>
        <v/>
      </c>
      <c r="F472">
        <f>IFERROR(INDEX($S$4:$S$3183,MATCH(SMALL($V$4:$V$3183,469),$V$4:$V$3183,0)),"")</f>
        <v/>
      </c>
      <c r="I472" s="29">
        <f>IF($B472="","",IFERROR(INDEX($U$4:$U$3183,MATCH(SMALL($V$4:$V$3183,469),$V$4:$V$3183,0)),""))</f>
        <v/>
      </c>
      <c r="J472">
        <f>IF($B472="","",IF($D472&gt;$F$2,"À venir",IF($E472&lt;$D$2,"Passé","Dans la période")))</f>
        <v/>
      </c>
      <c r="K472">
        <f>IF(OR($B472="",NOT(ISNUMBER($D472))),"",IF(AND($E472&lt;$D$2,$G472&lt;&gt;"X",$F472&lt;&gt;"Réalisé",$F472&lt;&gt;"Clôturé"),"RETARD",""))</f>
        <v/>
      </c>
      <c r="L472">
        <f>IF(OR($B472="",NOT(ISNUMBER($D472))),"",IF(AND($D472&gt;=$D$2,$D472&lt;=$H$2,$G472&lt;&gt;"X",$F472&lt;&gt;"Réalisé",$F472&lt;&gt;"Clôturé"),"≤ 7 j",""))</f>
        <v/>
      </c>
      <c r="M472" s="29">
        <f>IF($B472="","",IFERROR(INDEX($T$4:$T$3183,MATCH(SMALL($V$4:$V$3183,469),$V$4:$V$3183,0)),""))</f>
        <v/>
      </c>
      <c r="O472">
        <f>IF(INDEX(Suivi!$B:$B,481)="","",INDEX(Suivi!$B:$B,481))</f>
        <v/>
      </c>
      <c r="P472">
        <f>IF($O472="","",IF(INDEX(Suivi!$D:$D,481)="",INDEX(Suivi!$C:$C,481),INDEX(Suivi!$D:$D,481)))</f>
        <v/>
      </c>
      <c r="Q472">
        <f>IF($O472="","",INDEX(Suivi!$E:$E,481))</f>
        <v/>
      </c>
      <c r="R472">
        <f>IF($O472="","",INDEX(Suivi!$F:$F,481))</f>
        <v/>
      </c>
      <c r="S472">
        <f>IF($O472="","",INDEX(Suivi!$G:$G,481))</f>
        <v/>
      </c>
      <c r="T472">
        <f>IF($O472="","",IF(INDEX(Dossiers!$F$4:$F$63,9)="","",INDEX(Dossiers!$F$4:$F$63,9)))</f>
        <v/>
      </c>
      <c r="U472">
        <f>IF($O472="","",IF(INDEX(Dossiers!$G$4:$G$63,9)="","",INDEX(Dossiers!$G$4:$G$63,9)))</f>
        <v/>
      </c>
      <c r="V472">
        <f>IF(OR($O472="",NOT(ISNUMBER($Q472))),"",$Q472*1000000+472)</f>
        <v/>
      </c>
      <c r="W472" s="29">
        <f>IF($B472="","",IFERROR(INDEX($U$4:$U$3183,MATCH(SMALL($V$4:$V$3183,469),$V$4:$V$3183,0)),""))</f>
        <v/>
      </c>
    </row>
    <row r="473">
      <c r="A473">
        <f>IFERROR(INDEX($N$4:$N$3183,MATCH(SMALL($V$4:$V$3183,470),$V$4:$V$3183,0)),"")</f>
        <v/>
      </c>
      <c r="B473">
        <f>IFERROR(INDEX($O$4:$O$3183,MATCH(SMALL($V$4:$V$3183,470),$V$4:$V$3183,0)),"")</f>
        <v/>
      </c>
      <c r="C473">
        <f>IFERROR(INDEX($P$4:$P$3183,MATCH(SMALL($V$4:$V$3183,470),$V$4:$V$3183,0)),"")</f>
        <v/>
      </c>
      <c r="D473" s="29">
        <f>IFERROR(INDEX($Q$4:$Q$3183,MATCH(SMALL($V$4:$V$3183,470),$V$4:$V$3183,0)),"")</f>
        <v/>
      </c>
      <c r="E473" s="29">
        <f>IFERROR(INDEX($R$4:$R$3183,MATCH(SMALL($V$4:$V$3183,470),$V$4:$V$3183,0)),"")</f>
        <v/>
      </c>
      <c r="F473">
        <f>IFERROR(INDEX($S$4:$S$3183,MATCH(SMALL($V$4:$V$3183,470),$V$4:$V$3183,0)),"")</f>
        <v/>
      </c>
      <c r="I473" s="29">
        <f>IF($B473="","",IFERROR(INDEX($U$4:$U$3183,MATCH(SMALL($V$4:$V$3183,470),$V$4:$V$3183,0)),""))</f>
        <v/>
      </c>
      <c r="J473">
        <f>IF($B473="","",IF($D473&gt;$F$2,"À venir",IF($E473&lt;$D$2,"Passé","Dans la période")))</f>
        <v/>
      </c>
      <c r="K473">
        <f>IF(OR($B473="",NOT(ISNUMBER($D473))),"",IF(AND($E473&lt;$D$2,$G473&lt;&gt;"X",$F473&lt;&gt;"Réalisé",$F473&lt;&gt;"Clôturé"),"RETARD",""))</f>
        <v/>
      </c>
      <c r="L473">
        <f>IF(OR($B473="",NOT(ISNUMBER($D473))),"",IF(AND($D473&gt;=$D$2,$D473&lt;=$H$2,$G473&lt;&gt;"X",$F473&lt;&gt;"Réalisé",$F473&lt;&gt;"Clôturé"),"≤ 7 j",""))</f>
        <v/>
      </c>
      <c r="M473" s="29">
        <f>IF($B473="","",IFERROR(INDEX($T$4:$T$3183,MATCH(SMALL($V$4:$V$3183,470),$V$4:$V$3183,0)),""))</f>
        <v/>
      </c>
      <c r="O473">
        <f>IF(INDEX(Suivi!$B:$B,482)="","",INDEX(Suivi!$B:$B,482))</f>
        <v/>
      </c>
      <c r="P473">
        <f>IF($O473="","",IF(INDEX(Suivi!$D:$D,482)="",INDEX(Suivi!$C:$C,482),INDEX(Suivi!$D:$D,482)))</f>
        <v/>
      </c>
      <c r="Q473">
        <f>IF($O473="","",INDEX(Suivi!$E:$E,482))</f>
        <v/>
      </c>
      <c r="R473">
        <f>IF($O473="","",INDEX(Suivi!$F:$F,482))</f>
        <v/>
      </c>
      <c r="S473">
        <f>IF($O473="","",INDEX(Suivi!$G:$G,482))</f>
        <v/>
      </c>
      <c r="T473">
        <f>IF($O473="","",IF(INDEX(Dossiers!$F$4:$F$63,9)="","",INDEX(Dossiers!$F$4:$F$63,9)))</f>
        <v/>
      </c>
      <c r="U473">
        <f>IF($O473="","",IF(INDEX(Dossiers!$G$4:$G$63,9)="","",INDEX(Dossiers!$G$4:$G$63,9)))</f>
        <v/>
      </c>
      <c r="V473">
        <f>IF(OR($O473="",NOT(ISNUMBER($Q473))),"",$Q473*1000000+473)</f>
        <v/>
      </c>
      <c r="W473" s="29">
        <f>IF($B473="","",IFERROR(INDEX($U$4:$U$3183,MATCH(SMALL($V$4:$V$3183,470),$V$4:$V$3183,0)),""))</f>
        <v/>
      </c>
    </row>
    <row r="474">
      <c r="A474">
        <f>IFERROR(INDEX($N$4:$N$3183,MATCH(SMALL($V$4:$V$3183,471),$V$4:$V$3183,0)),"")</f>
        <v/>
      </c>
      <c r="B474">
        <f>IFERROR(INDEX($O$4:$O$3183,MATCH(SMALL($V$4:$V$3183,471),$V$4:$V$3183,0)),"")</f>
        <v/>
      </c>
      <c r="C474">
        <f>IFERROR(INDEX($P$4:$P$3183,MATCH(SMALL($V$4:$V$3183,471),$V$4:$V$3183,0)),"")</f>
        <v/>
      </c>
      <c r="D474" s="29">
        <f>IFERROR(INDEX($Q$4:$Q$3183,MATCH(SMALL($V$4:$V$3183,471),$V$4:$V$3183,0)),"")</f>
        <v/>
      </c>
      <c r="E474" s="29">
        <f>IFERROR(INDEX($R$4:$R$3183,MATCH(SMALL($V$4:$V$3183,471),$V$4:$V$3183,0)),"")</f>
        <v/>
      </c>
      <c r="F474">
        <f>IFERROR(INDEX($S$4:$S$3183,MATCH(SMALL($V$4:$V$3183,471),$V$4:$V$3183,0)),"")</f>
        <v/>
      </c>
      <c r="I474" s="29">
        <f>IF($B474="","",IFERROR(INDEX($U$4:$U$3183,MATCH(SMALL($V$4:$V$3183,471),$V$4:$V$3183,0)),""))</f>
        <v/>
      </c>
      <c r="J474">
        <f>IF($B474="","",IF($D474&gt;$F$2,"À venir",IF($E474&lt;$D$2,"Passé","Dans la période")))</f>
        <v/>
      </c>
      <c r="K474">
        <f>IF(OR($B474="",NOT(ISNUMBER($D474))),"",IF(AND($E474&lt;$D$2,$G474&lt;&gt;"X",$F474&lt;&gt;"Réalisé",$F474&lt;&gt;"Clôturé"),"RETARD",""))</f>
        <v/>
      </c>
      <c r="L474">
        <f>IF(OR($B474="",NOT(ISNUMBER($D474))),"",IF(AND($D474&gt;=$D$2,$D474&lt;=$H$2,$G474&lt;&gt;"X",$F474&lt;&gt;"Réalisé",$F474&lt;&gt;"Clôturé"),"≤ 7 j",""))</f>
        <v/>
      </c>
      <c r="M474" s="29">
        <f>IF($B474="","",IFERROR(INDEX($T$4:$T$3183,MATCH(SMALL($V$4:$V$3183,471),$V$4:$V$3183,0)),""))</f>
        <v/>
      </c>
      <c r="O474">
        <f>IF(INDEX(Suivi!$B:$B,483)="","",INDEX(Suivi!$B:$B,483))</f>
        <v/>
      </c>
      <c r="P474">
        <f>IF($O474="","",IF(INDEX(Suivi!$D:$D,483)="",INDEX(Suivi!$C:$C,483),INDEX(Suivi!$D:$D,483)))</f>
        <v/>
      </c>
      <c r="Q474">
        <f>IF($O474="","",INDEX(Suivi!$E:$E,483))</f>
        <v/>
      </c>
      <c r="R474">
        <f>IF($O474="","",INDEX(Suivi!$F:$F,483))</f>
        <v/>
      </c>
      <c r="S474">
        <f>IF($O474="","",INDEX(Suivi!$G:$G,483))</f>
        <v/>
      </c>
      <c r="T474">
        <f>IF($O474="","",IF(INDEX(Dossiers!$F$4:$F$63,9)="","",INDEX(Dossiers!$F$4:$F$63,9)))</f>
        <v/>
      </c>
      <c r="U474">
        <f>IF($O474="","",IF(INDEX(Dossiers!$G$4:$G$63,9)="","",INDEX(Dossiers!$G$4:$G$63,9)))</f>
        <v/>
      </c>
      <c r="V474">
        <f>IF(OR($O474="",NOT(ISNUMBER($Q474))),"",$Q474*1000000+474)</f>
        <v/>
      </c>
      <c r="W474" s="29">
        <f>IF($B474="","",IFERROR(INDEX($U$4:$U$3183,MATCH(SMALL($V$4:$V$3183,471),$V$4:$V$3183,0)),""))</f>
        <v/>
      </c>
    </row>
    <row r="475">
      <c r="A475">
        <f>IFERROR(INDEX($N$4:$N$3183,MATCH(SMALL($V$4:$V$3183,472),$V$4:$V$3183,0)),"")</f>
        <v/>
      </c>
      <c r="B475">
        <f>IFERROR(INDEX($O$4:$O$3183,MATCH(SMALL($V$4:$V$3183,472),$V$4:$V$3183,0)),"")</f>
        <v/>
      </c>
      <c r="C475">
        <f>IFERROR(INDEX($P$4:$P$3183,MATCH(SMALL($V$4:$V$3183,472),$V$4:$V$3183,0)),"")</f>
        <v/>
      </c>
      <c r="D475" s="29">
        <f>IFERROR(INDEX($Q$4:$Q$3183,MATCH(SMALL($V$4:$V$3183,472),$V$4:$V$3183,0)),"")</f>
        <v/>
      </c>
      <c r="E475" s="29">
        <f>IFERROR(INDEX($R$4:$R$3183,MATCH(SMALL($V$4:$V$3183,472),$V$4:$V$3183,0)),"")</f>
        <v/>
      </c>
      <c r="F475">
        <f>IFERROR(INDEX($S$4:$S$3183,MATCH(SMALL($V$4:$V$3183,472),$V$4:$V$3183,0)),"")</f>
        <v/>
      </c>
      <c r="I475" s="29">
        <f>IF($B475="","",IFERROR(INDEX($U$4:$U$3183,MATCH(SMALL($V$4:$V$3183,472),$V$4:$V$3183,0)),""))</f>
        <v/>
      </c>
      <c r="J475">
        <f>IF($B475="","",IF($D475&gt;$F$2,"À venir",IF($E475&lt;$D$2,"Passé","Dans la période")))</f>
        <v/>
      </c>
      <c r="K475">
        <f>IF(OR($B475="",NOT(ISNUMBER($D475))),"",IF(AND($E475&lt;$D$2,$G475&lt;&gt;"X",$F475&lt;&gt;"Réalisé",$F475&lt;&gt;"Clôturé"),"RETARD",""))</f>
        <v/>
      </c>
      <c r="L475">
        <f>IF(OR($B475="",NOT(ISNUMBER($D475))),"",IF(AND($D475&gt;=$D$2,$D475&lt;=$H$2,$G475&lt;&gt;"X",$F475&lt;&gt;"Réalisé",$F475&lt;&gt;"Clôturé"),"≤ 7 j",""))</f>
        <v/>
      </c>
      <c r="M475" s="29">
        <f>IF($B475="","",IFERROR(INDEX($T$4:$T$3183,MATCH(SMALL($V$4:$V$3183,472),$V$4:$V$3183,0)),""))</f>
        <v/>
      </c>
      <c r="O475">
        <f>IF(INDEX(Suivi!$B:$B,484)="","",INDEX(Suivi!$B:$B,484))</f>
        <v/>
      </c>
      <c r="P475">
        <f>IF($O475="","",IF(INDEX(Suivi!$D:$D,484)="",INDEX(Suivi!$C:$C,484),INDEX(Suivi!$D:$D,484)))</f>
        <v/>
      </c>
      <c r="Q475">
        <f>IF($O475="","",INDEX(Suivi!$E:$E,484))</f>
        <v/>
      </c>
      <c r="R475">
        <f>IF($O475="","",INDEX(Suivi!$F:$F,484))</f>
        <v/>
      </c>
      <c r="S475">
        <f>IF($O475="","",INDEX(Suivi!$G:$G,484))</f>
        <v/>
      </c>
      <c r="T475">
        <f>IF($O475="","",IF(INDEX(Dossiers!$F$4:$F$63,9)="","",INDEX(Dossiers!$F$4:$F$63,9)))</f>
        <v/>
      </c>
      <c r="U475">
        <f>IF($O475="","",IF(INDEX(Dossiers!$G$4:$G$63,9)="","",INDEX(Dossiers!$G$4:$G$63,9)))</f>
        <v/>
      </c>
      <c r="V475">
        <f>IF(OR($O475="",NOT(ISNUMBER($Q475))),"",$Q475*1000000+475)</f>
        <v/>
      </c>
      <c r="W475" s="29">
        <f>IF($B475="","",IFERROR(INDEX($U$4:$U$3183,MATCH(SMALL($V$4:$V$3183,472),$V$4:$V$3183,0)),""))</f>
        <v/>
      </c>
    </row>
    <row r="476">
      <c r="A476">
        <f>IFERROR(INDEX($N$4:$N$3183,MATCH(SMALL($V$4:$V$3183,473),$V$4:$V$3183,0)),"")</f>
        <v/>
      </c>
      <c r="B476">
        <f>IFERROR(INDEX($O$4:$O$3183,MATCH(SMALL($V$4:$V$3183,473),$V$4:$V$3183,0)),"")</f>
        <v/>
      </c>
      <c r="C476">
        <f>IFERROR(INDEX($P$4:$P$3183,MATCH(SMALL($V$4:$V$3183,473),$V$4:$V$3183,0)),"")</f>
        <v/>
      </c>
      <c r="D476" s="29">
        <f>IFERROR(INDEX($Q$4:$Q$3183,MATCH(SMALL($V$4:$V$3183,473),$V$4:$V$3183,0)),"")</f>
        <v/>
      </c>
      <c r="E476" s="29">
        <f>IFERROR(INDEX($R$4:$R$3183,MATCH(SMALL($V$4:$V$3183,473),$V$4:$V$3183,0)),"")</f>
        <v/>
      </c>
      <c r="F476">
        <f>IFERROR(INDEX($S$4:$S$3183,MATCH(SMALL($V$4:$V$3183,473),$V$4:$V$3183,0)),"")</f>
        <v/>
      </c>
      <c r="I476" s="29">
        <f>IF($B476="","",IFERROR(INDEX($U$4:$U$3183,MATCH(SMALL($V$4:$V$3183,473),$V$4:$V$3183,0)),""))</f>
        <v/>
      </c>
      <c r="J476">
        <f>IF($B476="","",IF($D476&gt;$F$2,"À venir",IF($E476&lt;$D$2,"Passé","Dans la période")))</f>
        <v/>
      </c>
      <c r="K476">
        <f>IF(OR($B476="",NOT(ISNUMBER($D476))),"",IF(AND($E476&lt;$D$2,$G476&lt;&gt;"X",$F476&lt;&gt;"Réalisé",$F476&lt;&gt;"Clôturé"),"RETARD",""))</f>
        <v/>
      </c>
      <c r="L476">
        <f>IF(OR($B476="",NOT(ISNUMBER($D476))),"",IF(AND($D476&gt;=$D$2,$D476&lt;=$H$2,$G476&lt;&gt;"X",$F476&lt;&gt;"Réalisé",$F476&lt;&gt;"Clôturé"),"≤ 7 j",""))</f>
        <v/>
      </c>
      <c r="M476" s="29">
        <f>IF($B476="","",IFERROR(INDEX($T$4:$T$3183,MATCH(SMALL($V$4:$V$3183,473),$V$4:$V$3183,0)),""))</f>
        <v/>
      </c>
      <c r="O476">
        <f>IF(INDEX(Suivi!$B:$B,485)="","",INDEX(Suivi!$B:$B,485))</f>
        <v/>
      </c>
      <c r="P476">
        <f>IF($O476="","",IF(INDEX(Suivi!$D:$D,485)="",INDEX(Suivi!$C:$C,485),INDEX(Suivi!$D:$D,485)))</f>
        <v/>
      </c>
      <c r="Q476">
        <f>IF($O476="","",INDEX(Suivi!$E:$E,485))</f>
        <v/>
      </c>
      <c r="R476">
        <f>IF($O476="","",INDEX(Suivi!$F:$F,485))</f>
        <v/>
      </c>
      <c r="S476">
        <f>IF($O476="","",INDEX(Suivi!$G:$G,485))</f>
        <v/>
      </c>
      <c r="T476">
        <f>IF($O476="","",IF(INDEX(Dossiers!$F$4:$F$63,9)="","",INDEX(Dossiers!$F$4:$F$63,9)))</f>
        <v/>
      </c>
      <c r="U476">
        <f>IF($O476="","",IF(INDEX(Dossiers!$G$4:$G$63,9)="","",INDEX(Dossiers!$G$4:$G$63,9)))</f>
        <v/>
      </c>
      <c r="V476">
        <f>IF(OR($O476="",NOT(ISNUMBER($Q476))),"",$Q476*1000000+476)</f>
        <v/>
      </c>
      <c r="W476" s="29">
        <f>IF($B476="","",IFERROR(INDEX($U$4:$U$3183,MATCH(SMALL($V$4:$V$3183,473),$V$4:$V$3183,0)),""))</f>
        <v/>
      </c>
    </row>
    <row r="477">
      <c r="A477">
        <f>IFERROR(INDEX($N$4:$N$3183,MATCH(SMALL($V$4:$V$3183,474),$V$4:$V$3183,0)),"")</f>
        <v/>
      </c>
      <c r="B477">
        <f>IFERROR(INDEX($O$4:$O$3183,MATCH(SMALL($V$4:$V$3183,474),$V$4:$V$3183,0)),"")</f>
        <v/>
      </c>
      <c r="C477">
        <f>IFERROR(INDEX($P$4:$P$3183,MATCH(SMALL($V$4:$V$3183,474),$V$4:$V$3183,0)),"")</f>
        <v/>
      </c>
      <c r="D477" s="29">
        <f>IFERROR(INDEX($Q$4:$Q$3183,MATCH(SMALL($V$4:$V$3183,474),$V$4:$V$3183,0)),"")</f>
        <v/>
      </c>
      <c r="E477" s="29">
        <f>IFERROR(INDEX($R$4:$R$3183,MATCH(SMALL($V$4:$V$3183,474),$V$4:$V$3183,0)),"")</f>
        <v/>
      </c>
      <c r="F477">
        <f>IFERROR(INDEX($S$4:$S$3183,MATCH(SMALL($V$4:$V$3183,474),$V$4:$V$3183,0)),"")</f>
        <v/>
      </c>
      <c r="I477" s="29">
        <f>IF($B477="","",IFERROR(INDEX($U$4:$U$3183,MATCH(SMALL($V$4:$V$3183,474),$V$4:$V$3183,0)),""))</f>
        <v/>
      </c>
      <c r="J477">
        <f>IF($B477="","",IF($D477&gt;$F$2,"À venir",IF($E477&lt;$D$2,"Passé","Dans la période")))</f>
        <v/>
      </c>
      <c r="K477">
        <f>IF(OR($B477="",NOT(ISNUMBER($D477))),"",IF(AND($E477&lt;$D$2,$G477&lt;&gt;"X",$F477&lt;&gt;"Réalisé",$F477&lt;&gt;"Clôturé"),"RETARD",""))</f>
        <v/>
      </c>
      <c r="L477">
        <f>IF(OR($B477="",NOT(ISNUMBER($D477))),"",IF(AND($D477&gt;=$D$2,$D477&lt;=$H$2,$G477&lt;&gt;"X",$F477&lt;&gt;"Réalisé",$F477&lt;&gt;"Clôturé"),"≤ 7 j",""))</f>
        <v/>
      </c>
      <c r="M477" s="29">
        <f>IF($B477="","",IFERROR(INDEX($T$4:$T$3183,MATCH(SMALL($V$4:$V$3183,474),$V$4:$V$3183,0)),""))</f>
        <v/>
      </c>
      <c r="O477">
        <f>IF(INDEX(Suivi!$B:$B,486)="","",INDEX(Suivi!$B:$B,486))</f>
        <v/>
      </c>
      <c r="P477">
        <f>IF($O477="","",IF(INDEX(Suivi!$D:$D,486)="",INDEX(Suivi!$C:$C,486),INDEX(Suivi!$D:$D,486)))</f>
        <v/>
      </c>
      <c r="Q477">
        <f>IF($O477="","",INDEX(Suivi!$E:$E,486))</f>
        <v/>
      </c>
      <c r="R477">
        <f>IF($O477="","",INDEX(Suivi!$F:$F,486))</f>
        <v/>
      </c>
      <c r="S477">
        <f>IF($O477="","",INDEX(Suivi!$G:$G,486))</f>
        <v/>
      </c>
      <c r="T477">
        <f>IF($O477="","",IF(INDEX(Dossiers!$F$4:$F$63,9)="","",INDEX(Dossiers!$F$4:$F$63,9)))</f>
        <v/>
      </c>
      <c r="U477">
        <f>IF($O477="","",IF(INDEX(Dossiers!$G$4:$G$63,9)="","",INDEX(Dossiers!$G$4:$G$63,9)))</f>
        <v/>
      </c>
      <c r="V477">
        <f>IF(OR($O477="",NOT(ISNUMBER($Q477))),"",$Q477*1000000+477)</f>
        <v/>
      </c>
      <c r="W477" s="29">
        <f>IF($B477="","",IFERROR(INDEX($U$4:$U$3183,MATCH(SMALL($V$4:$V$3183,474),$V$4:$V$3183,0)),""))</f>
        <v/>
      </c>
    </row>
    <row r="478">
      <c r="A478">
        <f>IFERROR(INDEX($N$4:$N$3183,MATCH(SMALL($V$4:$V$3183,475),$V$4:$V$3183,0)),"")</f>
        <v/>
      </c>
      <c r="B478">
        <f>IFERROR(INDEX($O$4:$O$3183,MATCH(SMALL($V$4:$V$3183,475),$V$4:$V$3183,0)),"")</f>
        <v/>
      </c>
      <c r="C478">
        <f>IFERROR(INDEX($P$4:$P$3183,MATCH(SMALL($V$4:$V$3183,475),$V$4:$V$3183,0)),"")</f>
        <v/>
      </c>
      <c r="D478" s="29">
        <f>IFERROR(INDEX($Q$4:$Q$3183,MATCH(SMALL($V$4:$V$3183,475),$V$4:$V$3183,0)),"")</f>
        <v/>
      </c>
      <c r="E478" s="29">
        <f>IFERROR(INDEX($R$4:$R$3183,MATCH(SMALL($V$4:$V$3183,475),$V$4:$V$3183,0)),"")</f>
        <v/>
      </c>
      <c r="F478">
        <f>IFERROR(INDEX($S$4:$S$3183,MATCH(SMALL($V$4:$V$3183,475),$V$4:$V$3183,0)),"")</f>
        <v/>
      </c>
      <c r="I478" s="29">
        <f>IF($B478="","",IFERROR(INDEX($U$4:$U$3183,MATCH(SMALL($V$4:$V$3183,475),$V$4:$V$3183,0)),""))</f>
        <v/>
      </c>
      <c r="J478">
        <f>IF($B478="","",IF($D478&gt;$F$2,"À venir",IF($E478&lt;$D$2,"Passé","Dans la période")))</f>
        <v/>
      </c>
      <c r="K478">
        <f>IF(OR($B478="",NOT(ISNUMBER($D478))),"",IF(AND($E478&lt;$D$2,$G478&lt;&gt;"X",$F478&lt;&gt;"Réalisé",$F478&lt;&gt;"Clôturé"),"RETARD",""))</f>
        <v/>
      </c>
      <c r="L478">
        <f>IF(OR($B478="",NOT(ISNUMBER($D478))),"",IF(AND($D478&gt;=$D$2,$D478&lt;=$H$2,$G478&lt;&gt;"X",$F478&lt;&gt;"Réalisé",$F478&lt;&gt;"Clôturé"),"≤ 7 j",""))</f>
        <v/>
      </c>
      <c r="M478" s="29">
        <f>IF($B478="","",IFERROR(INDEX($T$4:$T$3183,MATCH(SMALL($V$4:$V$3183,475),$V$4:$V$3183,0)),""))</f>
        <v/>
      </c>
      <c r="O478">
        <f>IF(INDEX(Suivi!$B:$B,487)="","",INDEX(Suivi!$B:$B,487))</f>
        <v/>
      </c>
      <c r="P478">
        <f>IF($O478="","",IF(INDEX(Suivi!$D:$D,487)="",INDEX(Suivi!$C:$C,487),INDEX(Suivi!$D:$D,487)))</f>
        <v/>
      </c>
      <c r="Q478">
        <f>IF($O478="","",INDEX(Suivi!$E:$E,487))</f>
        <v/>
      </c>
      <c r="R478">
        <f>IF($O478="","",INDEX(Suivi!$F:$F,487))</f>
        <v/>
      </c>
      <c r="S478">
        <f>IF($O478="","",INDEX(Suivi!$G:$G,487))</f>
        <v/>
      </c>
      <c r="T478">
        <f>IF($O478="","",IF(INDEX(Dossiers!$F$4:$F$63,9)="","",INDEX(Dossiers!$F$4:$F$63,9)))</f>
        <v/>
      </c>
      <c r="U478">
        <f>IF($O478="","",IF(INDEX(Dossiers!$G$4:$G$63,9)="","",INDEX(Dossiers!$G$4:$G$63,9)))</f>
        <v/>
      </c>
      <c r="V478">
        <f>IF(OR($O478="",NOT(ISNUMBER($Q478))),"",$Q478*1000000+478)</f>
        <v/>
      </c>
      <c r="W478" s="29">
        <f>IF($B478="","",IFERROR(INDEX($U$4:$U$3183,MATCH(SMALL($V$4:$V$3183,475),$V$4:$V$3183,0)),""))</f>
        <v/>
      </c>
    </row>
    <row r="479">
      <c r="A479">
        <f>IFERROR(INDEX($N$4:$N$3183,MATCH(SMALL($V$4:$V$3183,476),$V$4:$V$3183,0)),"")</f>
        <v/>
      </c>
      <c r="B479">
        <f>IFERROR(INDEX($O$4:$O$3183,MATCH(SMALL($V$4:$V$3183,476),$V$4:$V$3183,0)),"")</f>
        <v/>
      </c>
      <c r="C479">
        <f>IFERROR(INDEX($P$4:$P$3183,MATCH(SMALL($V$4:$V$3183,476),$V$4:$V$3183,0)),"")</f>
        <v/>
      </c>
      <c r="D479" s="29">
        <f>IFERROR(INDEX($Q$4:$Q$3183,MATCH(SMALL($V$4:$V$3183,476),$V$4:$V$3183,0)),"")</f>
        <v/>
      </c>
      <c r="E479" s="29">
        <f>IFERROR(INDEX($R$4:$R$3183,MATCH(SMALL($V$4:$V$3183,476),$V$4:$V$3183,0)),"")</f>
        <v/>
      </c>
      <c r="F479">
        <f>IFERROR(INDEX($S$4:$S$3183,MATCH(SMALL($V$4:$V$3183,476),$V$4:$V$3183,0)),"")</f>
        <v/>
      </c>
      <c r="I479" s="29">
        <f>IF($B479="","",IFERROR(INDEX($U$4:$U$3183,MATCH(SMALL($V$4:$V$3183,476),$V$4:$V$3183,0)),""))</f>
        <v/>
      </c>
      <c r="J479">
        <f>IF($B479="","",IF($D479&gt;$F$2,"À venir",IF($E479&lt;$D$2,"Passé","Dans la période")))</f>
        <v/>
      </c>
      <c r="K479">
        <f>IF(OR($B479="",NOT(ISNUMBER($D479))),"",IF(AND($E479&lt;$D$2,$G479&lt;&gt;"X",$F479&lt;&gt;"Réalisé",$F479&lt;&gt;"Clôturé"),"RETARD",""))</f>
        <v/>
      </c>
      <c r="L479">
        <f>IF(OR($B479="",NOT(ISNUMBER($D479))),"",IF(AND($D479&gt;=$D$2,$D479&lt;=$H$2,$G479&lt;&gt;"X",$F479&lt;&gt;"Réalisé",$F479&lt;&gt;"Clôturé"),"≤ 7 j",""))</f>
        <v/>
      </c>
      <c r="M479" s="29">
        <f>IF($B479="","",IFERROR(INDEX($T$4:$T$3183,MATCH(SMALL($V$4:$V$3183,476),$V$4:$V$3183,0)),""))</f>
        <v/>
      </c>
      <c r="O479">
        <f>IF(INDEX(Suivi!$B:$B,488)="","",INDEX(Suivi!$B:$B,488))</f>
        <v/>
      </c>
      <c r="P479">
        <f>IF($O479="","",IF(INDEX(Suivi!$D:$D,488)="",INDEX(Suivi!$C:$C,488),INDEX(Suivi!$D:$D,488)))</f>
        <v/>
      </c>
      <c r="Q479">
        <f>IF($O479="","",INDEX(Suivi!$E:$E,488))</f>
        <v/>
      </c>
      <c r="R479">
        <f>IF($O479="","",INDEX(Suivi!$F:$F,488))</f>
        <v/>
      </c>
      <c r="S479">
        <f>IF($O479="","",INDEX(Suivi!$G:$G,488))</f>
        <v/>
      </c>
      <c r="T479">
        <f>IF($O479="","",IF(INDEX(Dossiers!$F$4:$F$63,9)="","",INDEX(Dossiers!$F$4:$F$63,9)))</f>
        <v/>
      </c>
      <c r="U479">
        <f>IF($O479="","",IF(INDEX(Dossiers!$G$4:$G$63,9)="","",INDEX(Dossiers!$G$4:$G$63,9)))</f>
        <v/>
      </c>
      <c r="V479">
        <f>IF(OR($O479="",NOT(ISNUMBER($Q479))),"",$Q479*1000000+479)</f>
        <v/>
      </c>
      <c r="W479" s="29">
        <f>IF($B479="","",IFERROR(INDEX($U$4:$U$3183,MATCH(SMALL($V$4:$V$3183,476),$V$4:$V$3183,0)),""))</f>
        <v/>
      </c>
    </row>
    <row r="480">
      <c r="A480">
        <f>IFERROR(INDEX($N$4:$N$3183,MATCH(SMALL($V$4:$V$3183,477),$V$4:$V$3183,0)),"")</f>
        <v/>
      </c>
      <c r="B480">
        <f>IFERROR(INDEX($O$4:$O$3183,MATCH(SMALL($V$4:$V$3183,477),$V$4:$V$3183,0)),"")</f>
        <v/>
      </c>
      <c r="C480">
        <f>IFERROR(INDEX($P$4:$P$3183,MATCH(SMALL($V$4:$V$3183,477),$V$4:$V$3183,0)),"")</f>
        <v/>
      </c>
      <c r="D480" s="29">
        <f>IFERROR(INDEX($Q$4:$Q$3183,MATCH(SMALL($V$4:$V$3183,477),$V$4:$V$3183,0)),"")</f>
        <v/>
      </c>
      <c r="E480" s="29">
        <f>IFERROR(INDEX($R$4:$R$3183,MATCH(SMALL($V$4:$V$3183,477),$V$4:$V$3183,0)),"")</f>
        <v/>
      </c>
      <c r="F480">
        <f>IFERROR(INDEX($S$4:$S$3183,MATCH(SMALL($V$4:$V$3183,477),$V$4:$V$3183,0)),"")</f>
        <v/>
      </c>
      <c r="I480" s="29">
        <f>IF($B480="","",IFERROR(INDEX($U$4:$U$3183,MATCH(SMALL($V$4:$V$3183,477),$V$4:$V$3183,0)),""))</f>
        <v/>
      </c>
      <c r="J480">
        <f>IF($B480="","",IF($D480&gt;$F$2,"À venir",IF($E480&lt;$D$2,"Passé","Dans la période")))</f>
        <v/>
      </c>
      <c r="K480">
        <f>IF(OR($B480="",NOT(ISNUMBER($D480))),"",IF(AND($E480&lt;$D$2,$G480&lt;&gt;"X",$F480&lt;&gt;"Réalisé",$F480&lt;&gt;"Clôturé"),"RETARD",""))</f>
        <v/>
      </c>
      <c r="L480">
        <f>IF(OR($B480="",NOT(ISNUMBER($D480))),"",IF(AND($D480&gt;=$D$2,$D480&lt;=$H$2,$G480&lt;&gt;"X",$F480&lt;&gt;"Réalisé",$F480&lt;&gt;"Clôturé"),"≤ 7 j",""))</f>
        <v/>
      </c>
      <c r="M480" s="29">
        <f>IF($B480="","",IFERROR(INDEX($T$4:$T$3183,MATCH(SMALL($V$4:$V$3183,477),$V$4:$V$3183,0)),""))</f>
        <v/>
      </c>
      <c r="O480">
        <f>IF(INDEX(Suivi!$B:$B,489)="","",INDEX(Suivi!$B:$B,489))</f>
        <v/>
      </c>
      <c r="P480">
        <f>IF($O480="","",IF(INDEX(Suivi!$D:$D,489)="",INDEX(Suivi!$C:$C,489),INDEX(Suivi!$D:$D,489)))</f>
        <v/>
      </c>
      <c r="Q480">
        <f>IF($O480="","",INDEX(Suivi!$E:$E,489))</f>
        <v/>
      </c>
      <c r="R480">
        <f>IF($O480="","",INDEX(Suivi!$F:$F,489))</f>
        <v/>
      </c>
      <c r="S480">
        <f>IF($O480="","",INDEX(Suivi!$G:$G,489))</f>
        <v/>
      </c>
      <c r="T480">
        <f>IF($O480="","",IF(INDEX(Dossiers!$F$4:$F$63,9)="","",INDEX(Dossiers!$F$4:$F$63,9)))</f>
        <v/>
      </c>
      <c r="U480">
        <f>IF($O480="","",IF(INDEX(Dossiers!$G$4:$G$63,9)="","",INDEX(Dossiers!$G$4:$G$63,9)))</f>
        <v/>
      </c>
      <c r="V480">
        <f>IF(OR($O480="",NOT(ISNUMBER($Q480))),"",$Q480*1000000+480)</f>
        <v/>
      </c>
      <c r="W480" s="29">
        <f>IF($B480="","",IFERROR(INDEX($U$4:$U$3183,MATCH(SMALL($V$4:$V$3183,477),$V$4:$V$3183,0)),""))</f>
        <v/>
      </c>
    </row>
    <row r="481">
      <c r="A481">
        <f>IFERROR(INDEX($N$4:$N$3183,MATCH(SMALL($V$4:$V$3183,478),$V$4:$V$3183,0)),"")</f>
        <v/>
      </c>
      <c r="B481">
        <f>IFERROR(INDEX($O$4:$O$3183,MATCH(SMALL($V$4:$V$3183,478),$V$4:$V$3183,0)),"")</f>
        <v/>
      </c>
      <c r="C481">
        <f>IFERROR(INDEX($P$4:$P$3183,MATCH(SMALL($V$4:$V$3183,478),$V$4:$V$3183,0)),"")</f>
        <v/>
      </c>
      <c r="D481" s="29">
        <f>IFERROR(INDEX($Q$4:$Q$3183,MATCH(SMALL($V$4:$V$3183,478),$V$4:$V$3183,0)),"")</f>
        <v/>
      </c>
      <c r="E481" s="29">
        <f>IFERROR(INDEX($R$4:$R$3183,MATCH(SMALL($V$4:$V$3183,478),$V$4:$V$3183,0)),"")</f>
        <v/>
      </c>
      <c r="F481">
        <f>IFERROR(INDEX($S$4:$S$3183,MATCH(SMALL($V$4:$V$3183,478),$V$4:$V$3183,0)),"")</f>
        <v/>
      </c>
      <c r="I481" s="29">
        <f>IF($B481="","",IFERROR(INDEX($U$4:$U$3183,MATCH(SMALL($V$4:$V$3183,478),$V$4:$V$3183,0)),""))</f>
        <v/>
      </c>
      <c r="J481">
        <f>IF($B481="","",IF($D481&gt;$F$2,"À venir",IF($E481&lt;$D$2,"Passé","Dans la période")))</f>
        <v/>
      </c>
      <c r="K481">
        <f>IF(OR($B481="",NOT(ISNUMBER($D481))),"",IF(AND($E481&lt;$D$2,$G481&lt;&gt;"X",$F481&lt;&gt;"Réalisé",$F481&lt;&gt;"Clôturé"),"RETARD",""))</f>
        <v/>
      </c>
      <c r="L481">
        <f>IF(OR($B481="",NOT(ISNUMBER($D481))),"",IF(AND($D481&gt;=$D$2,$D481&lt;=$H$2,$G481&lt;&gt;"X",$F481&lt;&gt;"Réalisé",$F481&lt;&gt;"Clôturé"),"≤ 7 j",""))</f>
        <v/>
      </c>
      <c r="M481" s="29">
        <f>IF($B481="","",IFERROR(INDEX($T$4:$T$3183,MATCH(SMALL($V$4:$V$3183,478),$V$4:$V$3183,0)),""))</f>
        <v/>
      </c>
      <c r="O481">
        <f>IF(INDEX(Suivi!$B:$B,491)="","",INDEX(Suivi!$B:$B,491))</f>
        <v/>
      </c>
      <c r="P481">
        <f>IF($O481="","",IF(INDEX(Suivi!$D:$D,491)="",INDEX(Suivi!$C:$C,491),INDEX(Suivi!$D:$D,491)))</f>
        <v/>
      </c>
      <c r="Q481">
        <f>IF($O481="","",INDEX(Suivi!$E:$E,491))</f>
        <v/>
      </c>
      <c r="R481">
        <f>IF($O481="","",INDEX(Suivi!$F:$F,491))</f>
        <v/>
      </c>
      <c r="S481">
        <f>IF($O481="","",INDEX(Suivi!$G:$G,491))</f>
        <v/>
      </c>
      <c r="T481">
        <f>IF($O481="","",IF(INDEX(Dossiers!$F$4:$F$63,10)="","",INDEX(Dossiers!$F$4:$F$63,10)))</f>
        <v/>
      </c>
      <c r="U481">
        <f>IF($O481="","",IF(INDEX(Dossiers!$G$4:$G$63,10)="","",INDEX(Dossiers!$G$4:$G$63,10)))</f>
        <v/>
      </c>
      <c r="V481">
        <f>IF(OR($O481="",NOT(ISNUMBER($Q481))),"",$Q481*1000000+481)</f>
        <v/>
      </c>
      <c r="W481" s="29">
        <f>IF($B481="","",IFERROR(INDEX($U$4:$U$3183,MATCH(SMALL($V$4:$V$3183,478),$V$4:$V$3183,0)),""))</f>
        <v/>
      </c>
    </row>
    <row r="482">
      <c r="A482">
        <f>IFERROR(INDEX($N$4:$N$3183,MATCH(SMALL($V$4:$V$3183,479),$V$4:$V$3183,0)),"")</f>
        <v/>
      </c>
      <c r="B482">
        <f>IFERROR(INDEX($O$4:$O$3183,MATCH(SMALL($V$4:$V$3183,479),$V$4:$V$3183,0)),"")</f>
        <v/>
      </c>
      <c r="C482">
        <f>IFERROR(INDEX($P$4:$P$3183,MATCH(SMALL($V$4:$V$3183,479),$V$4:$V$3183,0)),"")</f>
        <v/>
      </c>
      <c r="D482" s="29">
        <f>IFERROR(INDEX($Q$4:$Q$3183,MATCH(SMALL($V$4:$V$3183,479),$V$4:$V$3183,0)),"")</f>
        <v/>
      </c>
      <c r="E482" s="29">
        <f>IFERROR(INDEX($R$4:$R$3183,MATCH(SMALL($V$4:$V$3183,479),$V$4:$V$3183,0)),"")</f>
        <v/>
      </c>
      <c r="F482">
        <f>IFERROR(INDEX($S$4:$S$3183,MATCH(SMALL($V$4:$V$3183,479),$V$4:$V$3183,0)),"")</f>
        <v/>
      </c>
      <c r="I482" s="29">
        <f>IF($B482="","",IFERROR(INDEX($U$4:$U$3183,MATCH(SMALL($V$4:$V$3183,479),$V$4:$V$3183,0)),""))</f>
        <v/>
      </c>
      <c r="J482">
        <f>IF($B482="","",IF($D482&gt;$F$2,"À venir",IF($E482&lt;$D$2,"Passé","Dans la période")))</f>
        <v/>
      </c>
      <c r="K482">
        <f>IF(OR($B482="",NOT(ISNUMBER($D482))),"",IF(AND($E482&lt;$D$2,$G482&lt;&gt;"X",$F482&lt;&gt;"Réalisé",$F482&lt;&gt;"Clôturé"),"RETARD",""))</f>
        <v/>
      </c>
      <c r="L482">
        <f>IF(OR($B482="",NOT(ISNUMBER($D482))),"",IF(AND($D482&gt;=$D$2,$D482&lt;=$H$2,$G482&lt;&gt;"X",$F482&lt;&gt;"Réalisé",$F482&lt;&gt;"Clôturé"),"≤ 7 j",""))</f>
        <v/>
      </c>
      <c r="M482" s="29">
        <f>IF($B482="","",IFERROR(INDEX($T$4:$T$3183,MATCH(SMALL($V$4:$V$3183,479),$V$4:$V$3183,0)),""))</f>
        <v/>
      </c>
      <c r="O482">
        <f>IF(INDEX(Suivi!$B:$B,492)="","",INDEX(Suivi!$B:$B,492))</f>
        <v/>
      </c>
      <c r="P482">
        <f>IF($O482="","",IF(INDEX(Suivi!$D:$D,492)="",INDEX(Suivi!$C:$C,492),INDEX(Suivi!$D:$D,492)))</f>
        <v/>
      </c>
      <c r="Q482">
        <f>IF($O482="","",INDEX(Suivi!$E:$E,492))</f>
        <v/>
      </c>
      <c r="R482">
        <f>IF($O482="","",INDEX(Suivi!$F:$F,492))</f>
        <v/>
      </c>
      <c r="S482">
        <f>IF($O482="","",INDEX(Suivi!$G:$G,492))</f>
        <v/>
      </c>
      <c r="T482">
        <f>IF($O482="","",IF(INDEX(Dossiers!$F$4:$F$63,10)="","",INDEX(Dossiers!$F$4:$F$63,10)))</f>
        <v/>
      </c>
      <c r="U482">
        <f>IF($O482="","",IF(INDEX(Dossiers!$G$4:$G$63,10)="","",INDEX(Dossiers!$G$4:$G$63,10)))</f>
        <v/>
      </c>
      <c r="V482">
        <f>IF(OR($O482="",NOT(ISNUMBER($Q482))),"",$Q482*1000000+482)</f>
        <v/>
      </c>
      <c r="W482" s="29">
        <f>IF($B482="","",IFERROR(INDEX($U$4:$U$3183,MATCH(SMALL($V$4:$V$3183,479),$V$4:$V$3183,0)),""))</f>
        <v/>
      </c>
    </row>
    <row r="483">
      <c r="A483">
        <f>IFERROR(INDEX($N$4:$N$3183,MATCH(SMALL($V$4:$V$3183,480),$V$4:$V$3183,0)),"")</f>
        <v/>
      </c>
      <c r="B483">
        <f>IFERROR(INDEX($O$4:$O$3183,MATCH(SMALL($V$4:$V$3183,480),$V$4:$V$3183,0)),"")</f>
        <v/>
      </c>
      <c r="C483">
        <f>IFERROR(INDEX($P$4:$P$3183,MATCH(SMALL($V$4:$V$3183,480),$V$4:$V$3183,0)),"")</f>
        <v/>
      </c>
      <c r="D483" s="29">
        <f>IFERROR(INDEX($Q$4:$Q$3183,MATCH(SMALL($V$4:$V$3183,480),$V$4:$V$3183,0)),"")</f>
        <v/>
      </c>
      <c r="E483" s="29">
        <f>IFERROR(INDEX($R$4:$R$3183,MATCH(SMALL($V$4:$V$3183,480),$V$4:$V$3183,0)),"")</f>
        <v/>
      </c>
      <c r="F483">
        <f>IFERROR(INDEX($S$4:$S$3183,MATCH(SMALL($V$4:$V$3183,480),$V$4:$V$3183,0)),"")</f>
        <v/>
      </c>
      <c r="I483" s="29">
        <f>IF($B483="","",IFERROR(INDEX($U$4:$U$3183,MATCH(SMALL($V$4:$V$3183,480),$V$4:$V$3183,0)),""))</f>
        <v/>
      </c>
      <c r="J483">
        <f>IF($B483="","",IF($D483&gt;$F$2,"À venir",IF($E483&lt;$D$2,"Passé","Dans la période")))</f>
        <v/>
      </c>
      <c r="K483">
        <f>IF(OR($B483="",NOT(ISNUMBER($D483))),"",IF(AND($E483&lt;$D$2,$G483&lt;&gt;"X",$F483&lt;&gt;"Réalisé",$F483&lt;&gt;"Clôturé"),"RETARD",""))</f>
        <v/>
      </c>
      <c r="L483">
        <f>IF(OR($B483="",NOT(ISNUMBER($D483))),"",IF(AND($D483&gt;=$D$2,$D483&lt;=$H$2,$G483&lt;&gt;"X",$F483&lt;&gt;"Réalisé",$F483&lt;&gt;"Clôturé"),"≤ 7 j",""))</f>
        <v/>
      </c>
      <c r="M483" s="29">
        <f>IF($B483="","",IFERROR(INDEX($T$4:$T$3183,MATCH(SMALL($V$4:$V$3183,480),$V$4:$V$3183,0)),""))</f>
        <v/>
      </c>
      <c r="O483">
        <f>IF(INDEX(Suivi!$B:$B,493)="","",INDEX(Suivi!$B:$B,493))</f>
        <v/>
      </c>
      <c r="P483">
        <f>IF($O483="","",IF(INDEX(Suivi!$D:$D,493)="",INDEX(Suivi!$C:$C,493),INDEX(Suivi!$D:$D,493)))</f>
        <v/>
      </c>
      <c r="Q483">
        <f>IF($O483="","",INDEX(Suivi!$E:$E,493))</f>
        <v/>
      </c>
      <c r="R483">
        <f>IF($O483="","",INDEX(Suivi!$F:$F,493))</f>
        <v/>
      </c>
      <c r="S483">
        <f>IF($O483="","",INDEX(Suivi!$G:$G,493))</f>
        <v/>
      </c>
      <c r="T483">
        <f>IF($O483="","",IF(INDEX(Dossiers!$F$4:$F$63,10)="","",INDEX(Dossiers!$F$4:$F$63,10)))</f>
        <v/>
      </c>
      <c r="U483">
        <f>IF($O483="","",IF(INDEX(Dossiers!$G$4:$G$63,10)="","",INDEX(Dossiers!$G$4:$G$63,10)))</f>
        <v/>
      </c>
      <c r="V483">
        <f>IF(OR($O483="",NOT(ISNUMBER($Q483))),"",$Q483*1000000+483)</f>
        <v/>
      </c>
      <c r="W483" s="29">
        <f>IF($B483="","",IFERROR(INDEX($U$4:$U$3183,MATCH(SMALL($V$4:$V$3183,480),$V$4:$V$3183,0)),""))</f>
        <v/>
      </c>
    </row>
    <row r="484">
      <c r="A484">
        <f>IFERROR(INDEX($N$4:$N$3183,MATCH(SMALL($V$4:$V$3183,481),$V$4:$V$3183,0)),"")</f>
        <v/>
      </c>
      <c r="B484">
        <f>IFERROR(INDEX($O$4:$O$3183,MATCH(SMALL($V$4:$V$3183,481),$V$4:$V$3183,0)),"")</f>
        <v/>
      </c>
      <c r="C484">
        <f>IFERROR(INDEX($P$4:$P$3183,MATCH(SMALL($V$4:$V$3183,481),$V$4:$V$3183,0)),"")</f>
        <v/>
      </c>
      <c r="D484" s="29">
        <f>IFERROR(INDEX($Q$4:$Q$3183,MATCH(SMALL($V$4:$V$3183,481),$V$4:$V$3183,0)),"")</f>
        <v/>
      </c>
      <c r="E484" s="29">
        <f>IFERROR(INDEX($R$4:$R$3183,MATCH(SMALL($V$4:$V$3183,481),$V$4:$V$3183,0)),"")</f>
        <v/>
      </c>
      <c r="F484">
        <f>IFERROR(INDEX($S$4:$S$3183,MATCH(SMALL($V$4:$V$3183,481),$V$4:$V$3183,0)),"")</f>
        <v/>
      </c>
      <c r="I484" s="29">
        <f>IF($B484="","",IFERROR(INDEX($U$4:$U$3183,MATCH(SMALL($V$4:$V$3183,481),$V$4:$V$3183,0)),""))</f>
        <v/>
      </c>
      <c r="J484">
        <f>IF($B484="","",IF($D484&gt;$F$2,"À venir",IF($E484&lt;$D$2,"Passé","Dans la période")))</f>
        <v/>
      </c>
      <c r="K484">
        <f>IF(OR($B484="",NOT(ISNUMBER($D484))),"",IF(AND($E484&lt;$D$2,$G484&lt;&gt;"X",$F484&lt;&gt;"Réalisé",$F484&lt;&gt;"Clôturé"),"RETARD",""))</f>
        <v/>
      </c>
      <c r="L484">
        <f>IF(OR($B484="",NOT(ISNUMBER($D484))),"",IF(AND($D484&gt;=$D$2,$D484&lt;=$H$2,$G484&lt;&gt;"X",$F484&lt;&gt;"Réalisé",$F484&lt;&gt;"Clôturé"),"≤ 7 j",""))</f>
        <v/>
      </c>
      <c r="M484" s="29">
        <f>IF($B484="","",IFERROR(INDEX($T$4:$T$3183,MATCH(SMALL($V$4:$V$3183,481),$V$4:$V$3183,0)),""))</f>
        <v/>
      </c>
      <c r="O484">
        <f>IF(INDEX(Suivi!$B:$B,494)="","",INDEX(Suivi!$B:$B,494))</f>
        <v/>
      </c>
      <c r="P484">
        <f>IF($O484="","",IF(INDEX(Suivi!$D:$D,494)="",INDEX(Suivi!$C:$C,494),INDEX(Suivi!$D:$D,494)))</f>
        <v/>
      </c>
      <c r="Q484">
        <f>IF($O484="","",INDEX(Suivi!$E:$E,494))</f>
        <v/>
      </c>
      <c r="R484">
        <f>IF($O484="","",INDEX(Suivi!$F:$F,494))</f>
        <v/>
      </c>
      <c r="S484">
        <f>IF($O484="","",INDEX(Suivi!$G:$G,494))</f>
        <v/>
      </c>
      <c r="T484">
        <f>IF($O484="","",IF(INDEX(Dossiers!$F$4:$F$63,10)="","",INDEX(Dossiers!$F$4:$F$63,10)))</f>
        <v/>
      </c>
      <c r="U484">
        <f>IF($O484="","",IF(INDEX(Dossiers!$G$4:$G$63,10)="","",INDEX(Dossiers!$G$4:$G$63,10)))</f>
        <v/>
      </c>
      <c r="V484">
        <f>IF(OR($O484="",NOT(ISNUMBER($Q484))),"",$Q484*1000000+484)</f>
        <v/>
      </c>
      <c r="W484" s="29">
        <f>IF($B484="","",IFERROR(INDEX($U$4:$U$3183,MATCH(SMALL($V$4:$V$3183,481),$V$4:$V$3183,0)),""))</f>
        <v/>
      </c>
    </row>
    <row r="485">
      <c r="A485">
        <f>IFERROR(INDEX($N$4:$N$3183,MATCH(SMALL($V$4:$V$3183,482),$V$4:$V$3183,0)),"")</f>
        <v/>
      </c>
      <c r="B485">
        <f>IFERROR(INDEX($O$4:$O$3183,MATCH(SMALL($V$4:$V$3183,482),$V$4:$V$3183,0)),"")</f>
        <v/>
      </c>
      <c r="C485">
        <f>IFERROR(INDEX($P$4:$P$3183,MATCH(SMALL($V$4:$V$3183,482),$V$4:$V$3183,0)),"")</f>
        <v/>
      </c>
      <c r="D485" s="29">
        <f>IFERROR(INDEX($Q$4:$Q$3183,MATCH(SMALL($V$4:$V$3183,482),$V$4:$V$3183,0)),"")</f>
        <v/>
      </c>
      <c r="E485" s="29">
        <f>IFERROR(INDEX($R$4:$R$3183,MATCH(SMALL($V$4:$V$3183,482),$V$4:$V$3183,0)),"")</f>
        <v/>
      </c>
      <c r="F485">
        <f>IFERROR(INDEX($S$4:$S$3183,MATCH(SMALL($V$4:$V$3183,482),$V$4:$V$3183,0)),"")</f>
        <v/>
      </c>
      <c r="I485" s="29">
        <f>IF($B485="","",IFERROR(INDEX($U$4:$U$3183,MATCH(SMALL($V$4:$V$3183,482),$V$4:$V$3183,0)),""))</f>
        <v/>
      </c>
      <c r="J485">
        <f>IF($B485="","",IF($D485&gt;$F$2,"À venir",IF($E485&lt;$D$2,"Passé","Dans la période")))</f>
        <v/>
      </c>
      <c r="K485">
        <f>IF(OR($B485="",NOT(ISNUMBER($D485))),"",IF(AND($E485&lt;$D$2,$G485&lt;&gt;"X",$F485&lt;&gt;"Réalisé",$F485&lt;&gt;"Clôturé"),"RETARD",""))</f>
        <v/>
      </c>
      <c r="L485">
        <f>IF(OR($B485="",NOT(ISNUMBER($D485))),"",IF(AND($D485&gt;=$D$2,$D485&lt;=$H$2,$G485&lt;&gt;"X",$F485&lt;&gt;"Réalisé",$F485&lt;&gt;"Clôturé"),"≤ 7 j",""))</f>
        <v/>
      </c>
      <c r="M485" s="29">
        <f>IF($B485="","",IFERROR(INDEX($T$4:$T$3183,MATCH(SMALL($V$4:$V$3183,482),$V$4:$V$3183,0)),""))</f>
        <v/>
      </c>
      <c r="O485">
        <f>IF(INDEX(Suivi!$B:$B,495)="","",INDEX(Suivi!$B:$B,495))</f>
        <v/>
      </c>
      <c r="P485">
        <f>IF($O485="","",IF(INDEX(Suivi!$D:$D,495)="",INDEX(Suivi!$C:$C,495),INDEX(Suivi!$D:$D,495)))</f>
        <v/>
      </c>
      <c r="Q485">
        <f>IF($O485="","",INDEX(Suivi!$E:$E,495))</f>
        <v/>
      </c>
      <c r="R485">
        <f>IF($O485="","",INDEX(Suivi!$F:$F,495))</f>
        <v/>
      </c>
      <c r="S485">
        <f>IF($O485="","",INDEX(Suivi!$G:$G,495))</f>
        <v/>
      </c>
      <c r="T485">
        <f>IF($O485="","",IF(INDEX(Dossiers!$F$4:$F$63,10)="","",INDEX(Dossiers!$F$4:$F$63,10)))</f>
        <v/>
      </c>
      <c r="U485">
        <f>IF($O485="","",IF(INDEX(Dossiers!$G$4:$G$63,10)="","",INDEX(Dossiers!$G$4:$G$63,10)))</f>
        <v/>
      </c>
      <c r="V485">
        <f>IF(OR($O485="",NOT(ISNUMBER($Q485))),"",$Q485*1000000+485)</f>
        <v/>
      </c>
      <c r="W485" s="29">
        <f>IF($B485="","",IFERROR(INDEX($U$4:$U$3183,MATCH(SMALL($V$4:$V$3183,482),$V$4:$V$3183,0)),""))</f>
        <v/>
      </c>
    </row>
    <row r="486">
      <c r="A486">
        <f>IFERROR(INDEX($N$4:$N$3183,MATCH(SMALL($V$4:$V$3183,483),$V$4:$V$3183,0)),"")</f>
        <v/>
      </c>
      <c r="B486">
        <f>IFERROR(INDEX($O$4:$O$3183,MATCH(SMALL($V$4:$V$3183,483),$V$4:$V$3183,0)),"")</f>
        <v/>
      </c>
      <c r="C486">
        <f>IFERROR(INDEX($P$4:$P$3183,MATCH(SMALL($V$4:$V$3183,483),$V$4:$V$3183,0)),"")</f>
        <v/>
      </c>
      <c r="D486" s="29">
        <f>IFERROR(INDEX($Q$4:$Q$3183,MATCH(SMALL($V$4:$V$3183,483),$V$4:$V$3183,0)),"")</f>
        <v/>
      </c>
      <c r="E486" s="29">
        <f>IFERROR(INDEX($R$4:$R$3183,MATCH(SMALL($V$4:$V$3183,483),$V$4:$V$3183,0)),"")</f>
        <v/>
      </c>
      <c r="F486">
        <f>IFERROR(INDEX($S$4:$S$3183,MATCH(SMALL($V$4:$V$3183,483),$V$4:$V$3183,0)),"")</f>
        <v/>
      </c>
      <c r="I486" s="29">
        <f>IF($B486="","",IFERROR(INDEX($U$4:$U$3183,MATCH(SMALL($V$4:$V$3183,483),$V$4:$V$3183,0)),""))</f>
        <v/>
      </c>
      <c r="J486">
        <f>IF($B486="","",IF($D486&gt;$F$2,"À venir",IF($E486&lt;$D$2,"Passé","Dans la période")))</f>
        <v/>
      </c>
      <c r="K486">
        <f>IF(OR($B486="",NOT(ISNUMBER($D486))),"",IF(AND($E486&lt;$D$2,$G486&lt;&gt;"X",$F486&lt;&gt;"Réalisé",$F486&lt;&gt;"Clôturé"),"RETARD",""))</f>
        <v/>
      </c>
      <c r="L486">
        <f>IF(OR($B486="",NOT(ISNUMBER($D486))),"",IF(AND($D486&gt;=$D$2,$D486&lt;=$H$2,$G486&lt;&gt;"X",$F486&lt;&gt;"Réalisé",$F486&lt;&gt;"Clôturé"),"≤ 7 j",""))</f>
        <v/>
      </c>
      <c r="M486" s="29">
        <f>IF($B486="","",IFERROR(INDEX($T$4:$T$3183,MATCH(SMALL($V$4:$V$3183,483),$V$4:$V$3183,0)),""))</f>
        <v/>
      </c>
      <c r="O486">
        <f>IF(INDEX(Suivi!$B:$B,496)="","",INDEX(Suivi!$B:$B,496))</f>
        <v/>
      </c>
      <c r="P486">
        <f>IF($O486="","",IF(INDEX(Suivi!$D:$D,496)="",INDEX(Suivi!$C:$C,496),INDEX(Suivi!$D:$D,496)))</f>
        <v/>
      </c>
      <c r="Q486">
        <f>IF($O486="","",INDEX(Suivi!$E:$E,496))</f>
        <v/>
      </c>
      <c r="R486">
        <f>IF($O486="","",INDEX(Suivi!$F:$F,496))</f>
        <v/>
      </c>
      <c r="S486">
        <f>IF($O486="","",INDEX(Suivi!$G:$G,496))</f>
        <v/>
      </c>
      <c r="T486">
        <f>IF($O486="","",IF(INDEX(Dossiers!$F$4:$F$63,10)="","",INDEX(Dossiers!$F$4:$F$63,10)))</f>
        <v/>
      </c>
      <c r="U486">
        <f>IF($O486="","",IF(INDEX(Dossiers!$G$4:$G$63,10)="","",INDEX(Dossiers!$G$4:$G$63,10)))</f>
        <v/>
      </c>
      <c r="V486">
        <f>IF(OR($O486="",NOT(ISNUMBER($Q486))),"",$Q486*1000000+486)</f>
        <v/>
      </c>
      <c r="W486" s="29">
        <f>IF($B486="","",IFERROR(INDEX($U$4:$U$3183,MATCH(SMALL($V$4:$V$3183,483),$V$4:$V$3183,0)),""))</f>
        <v/>
      </c>
    </row>
    <row r="487">
      <c r="A487">
        <f>IFERROR(INDEX($N$4:$N$3183,MATCH(SMALL($V$4:$V$3183,484),$V$4:$V$3183,0)),"")</f>
        <v/>
      </c>
      <c r="B487">
        <f>IFERROR(INDEX($O$4:$O$3183,MATCH(SMALL($V$4:$V$3183,484),$V$4:$V$3183,0)),"")</f>
        <v/>
      </c>
      <c r="C487">
        <f>IFERROR(INDEX($P$4:$P$3183,MATCH(SMALL($V$4:$V$3183,484),$V$4:$V$3183,0)),"")</f>
        <v/>
      </c>
      <c r="D487" s="29">
        <f>IFERROR(INDEX($Q$4:$Q$3183,MATCH(SMALL($V$4:$V$3183,484),$V$4:$V$3183,0)),"")</f>
        <v/>
      </c>
      <c r="E487" s="29">
        <f>IFERROR(INDEX($R$4:$R$3183,MATCH(SMALL($V$4:$V$3183,484),$V$4:$V$3183,0)),"")</f>
        <v/>
      </c>
      <c r="F487">
        <f>IFERROR(INDEX($S$4:$S$3183,MATCH(SMALL($V$4:$V$3183,484),$V$4:$V$3183,0)),"")</f>
        <v/>
      </c>
      <c r="I487" s="29">
        <f>IF($B487="","",IFERROR(INDEX($U$4:$U$3183,MATCH(SMALL($V$4:$V$3183,484),$V$4:$V$3183,0)),""))</f>
        <v/>
      </c>
      <c r="J487">
        <f>IF($B487="","",IF($D487&gt;$F$2,"À venir",IF($E487&lt;$D$2,"Passé","Dans la période")))</f>
        <v/>
      </c>
      <c r="K487">
        <f>IF(OR($B487="",NOT(ISNUMBER($D487))),"",IF(AND($E487&lt;$D$2,$G487&lt;&gt;"X",$F487&lt;&gt;"Réalisé",$F487&lt;&gt;"Clôturé"),"RETARD",""))</f>
        <v/>
      </c>
      <c r="L487">
        <f>IF(OR($B487="",NOT(ISNUMBER($D487))),"",IF(AND($D487&gt;=$D$2,$D487&lt;=$H$2,$G487&lt;&gt;"X",$F487&lt;&gt;"Réalisé",$F487&lt;&gt;"Clôturé"),"≤ 7 j",""))</f>
        <v/>
      </c>
      <c r="M487" s="29">
        <f>IF($B487="","",IFERROR(INDEX($T$4:$T$3183,MATCH(SMALL($V$4:$V$3183,484),$V$4:$V$3183,0)),""))</f>
        <v/>
      </c>
      <c r="O487">
        <f>IF(INDEX(Suivi!$B:$B,497)="","",INDEX(Suivi!$B:$B,497))</f>
        <v/>
      </c>
      <c r="P487">
        <f>IF($O487="","",IF(INDEX(Suivi!$D:$D,497)="",INDEX(Suivi!$C:$C,497),INDEX(Suivi!$D:$D,497)))</f>
        <v/>
      </c>
      <c r="Q487">
        <f>IF($O487="","",INDEX(Suivi!$E:$E,497))</f>
        <v/>
      </c>
      <c r="R487">
        <f>IF($O487="","",INDEX(Suivi!$F:$F,497))</f>
        <v/>
      </c>
      <c r="S487">
        <f>IF($O487="","",INDEX(Suivi!$G:$G,497))</f>
        <v/>
      </c>
      <c r="T487">
        <f>IF($O487="","",IF(INDEX(Dossiers!$F$4:$F$63,10)="","",INDEX(Dossiers!$F$4:$F$63,10)))</f>
        <v/>
      </c>
      <c r="U487">
        <f>IF($O487="","",IF(INDEX(Dossiers!$G$4:$G$63,10)="","",INDEX(Dossiers!$G$4:$G$63,10)))</f>
        <v/>
      </c>
      <c r="V487">
        <f>IF(OR($O487="",NOT(ISNUMBER($Q487))),"",$Q487*1000000+487)</f>
        <v/>
      </c>
      <c r="W487" s="29">
        <f>IF($B487="","",IFERROR(INDEX($U$4:$U$3183,MATCH(SMALL($V$4:$V$3183,484),$V$4:$V$3183,0)),""))</f>
        <v/>
      </c>
    </row>
    <row r="488">
      <c r="A488">
        <f>IFERROR(INDEX($N$4:$N$3183,MATCH(SMALL($V$4:$V$3183,485),$V$4:$V$3183,0)),"")</f>
        <v/>
      </c>
      <c r="B488">
        <f>IFERROR(INDEX($O$4:$O$3183,MATCH(SMALL($V$4:$V$3183,485),$V$4:$V$3183,0)),"")</f>
        <v/>
      </c>
      <c r="C488">
        <f>IFERROR(INDEX($P$4:$P$3183,MATCH(SMALL($V$4:$V$3183,485),$V$4:$V$3183,0)),"")</f>
        <v/>
      </c>
      <c r="D488" s="29">
        <f>IFERROR(INDEX($Q$4:$Q$3183,MATCH(SMALL($V$4:$V$3183,485),$V$4:$V$3183,0)),"")</f>
        <v/>
      </c>
      <c r="E488" s="29">
        <f>IFERROR(INDEX($R$4:$R$3183,MATCH(SMALL($V$4:$V$3183,485),$V$4:$V$3183,0)),"")</f>
        <v/>
      </c>
      <c r="F488">
        <f>IFERROR(INDEX($S$4:$S$3183,MATCH(SMALL($V$4:$V$3183,485),$V$4:$V$3183,0)),"")</f>
        <v/>
      </c>
      <c r="I488" s="29">
        <f>IF($B488="","",IFERROR(INDEX($U$4:$U$3183,MATCH(SMALL($V$4:$V$3183,485),$V$4:$V$3183,0)),""))</f>
        <v/>
      </c>
      <c r="J488">
        <f>IF($B488="","",IF($D488&gt;$F$2,"À venir",IF($E488&lt;$D$2,"Passé","Dans la période")))</f>
        <v/>
      </c>
      <c r="K488">
        <f>IF(OR($B488="",NOT(ISNUMBER($D488))),"",IF(AND($E488&lt;$D$2,$G488&lt;&gt;"X",$F488&lt;&gt;"Réalisé",$F488&lt;&gt;"Clôturé"),"RETARD",""))</f>
        <v/>
      </c>
      <c r="L488">
        <f>IF(OR($B488="",NOT(ISNUMBER($D488))),"",IF(AND($D488&gt;=$D$2,$D488&lt;=$H$2,$G488&lt;&gt;"X",$F488&lt;&gt;"Réalisé",$F488&lt;&gt;"Clôturé"),"≤ 7 j",""))</f>
        <v/>
      </c>
      <c r="M488" s="29">
        <f>IF($B488="","",IFERROR(INDEX($T$4:$T$3183,MATCH(SMALL($V$4:$V$3183,485),$V$4:$V$3183,0)),""))</f>
        <v/>
      </c>
      <c r="O488">
        <f>IF(INDEX(Suivi!$B:$B,498)="","",INDEX(Suivi!$B:$B,498))</f>
        <v/>
      </c>
      <c r="P488">
        <f>IF($O488="","",IF(INDEX(Suivi!$D:$D,498)="",INDEX(Suivi!$C:$C,498),INDEX(Suivi!$D:$D,498)))</f>
        <v/>
      </c>
      <c r="Q488">
        <f>IF($O488="","",INDEX(Suivi!$E:$E,498))</f>
        <v/>
      </c>
      <c r="R488">
        <f>IF($O488="","",INDEX(Suivi!$F:$F,498))</f>
        <v/>
      </c>
      <c r="S488">
        <f>IF($O488="","",INDEX(Suivi!$G:$G,498))</f>
        <v/>
      </c>
      <c r="T488">
        <f>IF($O488="","",IF(INDEX(Dossiers!$F$4:$F$63,10)="","",INDEX(Dossiers!$F$4:$F$63,10)))</f>
        <v/>
      </c>
      <c r="U488">
        <f>IF($O488="","",IF(INDEX(Dossiers!$G$4:$G$63,10)="","",INDEX(Dossiers!$G$4:$G$63,10)))</f>
        <v/>
      </c>
      <c r="V488">
        <f>IF(OR($O488="",NOT(ISNUMBER($Q488))),"",$Q488*1000000+488)</f>
        <v/>
      </c>
      <c r="W488" s="29">
        <f>IF($B488="","",IFERROR(INDEX($U$4:$U$3183,MATCH(SMALL($V$4:$V$3183,485),$V$4:$V$3183,0)),""))</f>
        <v/>
      </c>
    </row>
    <row r="489">
      <c r="A489">
        <f>IFERROR(INDEX($N$4:$N$3183,MATCH(SMALL($V$4:$V$3183,486),$V$4:$V$3183,0)),"")</f>
        <v/>
      </c>
      <c r="B489">
        <f>IFERROR(INDEX($O$4:$O$3183,MATCH(SMALL($V$4:$V$3183,486),$V$4:$V$3183,0)),"")</f>
        <v/>
      </c>
      <c r="C489">
        <f>IFERROR(INDEX($P$4:$P$3183,MATCH(SMALL($V$4:$V$3183,486),$V$4:$V$3183,0)),"")</f>
        <v/>
      </c>
      <c r="D489" s="29">
        <f>IFERROR(INDEX($Q$4:$Q$3183,MATCH(SMALL($V$4:$V$3183,486),$V$4:$V$3183,0)),"")</f>
        <v/>
      </c>
      <c r="E489" s="29">
        <f>IFERROR(INDEX($R$4:$R$3183,MATCH(SMALL($V$4:$V$3183,486),$V$4:$V$3183,0)),"")</f>
        <v/>
      </c>
      <c r="F489">
        <f>IFERROR(INDEX($S$4:$S$3183,MATCH(SMALL($V$4:$V$3183,486),$V$4:$V$3183,0)),"")</f>
        <v/>
      </c>
      <c r="I489" s="29">
        <f>IF($B489="","",IFERROR(INDEX($U$4:$U$3183,MATCH(SMALL($V$4:$V$3183,486),$V$4:$V$3183,0)),""))</f>
        <v/>
      </c>
      <c r="J489">
        <f>IF($B489="","",IF($D489&gt;$F$2,"À venir",IF($E489&lt;$D$2,"Passé","Dans la période")))</f>
        <v/>
      </c>
      <c r="K489">
        <f>IF(OR($B489="",NOT(ISNUMBER($D489))),"",IF(AND($E489&lt;$D$2,$G489&lt;&gt;"X",$F489&lt;&gt;"Réalisé",$F489&lt;&gt;"Clôturé"),"RETARD",""))</f>
        <v/>
      </c>
      <c r="L489">
        <f>IF(OR($B489="",NOT(ISNUMBER($D489))),"",IF(AND($D489&gt;=$D$2,$D489&lt;=$H$2,$G489&lt;&gt;"X",$F489&lt;&gt;"Réalisé",$F489&lt;&gt;"Clôturé"),"≤ 7 j",""))</f>
        <v/>
      </c>
      <c r="M489" s="29">
        <f>IF($B489="","",IFERROR(INDEX($T$4:$T$3183,MATCH(SMALL($V$4:$V$3183,486),$V$4:$V$3183,0)),""))</f>
        <v/>
      </c>
      <c r="O489">
        <f>IF(INDEX(Suivi!$B:$B,499)="","",INDEX(Suivi!$B:$B,499))</f>
        <v/>
      </c>
      <c r="P489">
        <f>IF($O489="","",IF(INDEX(Suivi!$D:$D,499)="",INDEX(Suivi!$C:$C,499),INDEX(Suivi!$D:$D,499)))</f>
        <v/>
      </c>
      <c r="Q489">
        <f>IF($O489="","",INDEX(Suivi!$E:$E,499))</f>
        <v/>
      </c>
      <c r="R489">
        <f>IF($O489="","",INDEX(Suivi!$F:$F,499))</f>
        <v/>
      </c>
      <c r="S489">
        <f>IF($O489="","",INDEX(Suivi!$G:$G,499))</f>
        <v/>
      </c>
      <c r="T489">
        <f>IF($O489="","",IF(INDEX(Dossiers!$F$4:$F$63,10)="","",INDEX(Dossiers!$F$4:$F$63,10)))</f>
        <v/>
      </c>
      <c r="U489">
        <f>IF($O489="","",IF(INDEX(Dossiers!$G$4:$G$63,10)="","",INDEX(Dossiers!$G$4:$G$63,10)))</f>
        <v/>
      </c>
      <c r="V489">
        <f>IF(OR($O489="",NOT(ISNUMBER($Q489))),"",$Q489*1000000+489)</f>
        <v/>
      </c>
      <c r="W489" s="29">
        <f>IF($B489="","",IFERROR(INDEX($U$4:$U$3183,MATCH(SMALL($V$4:$V$3183,486),$V$4:$V$3183,0)),""))</f>
        <v/>
      </c>
    </row>
    <row r="490">
      <c r="A490">
        <f>IFERROR(INDEX($N$4:$N$3183,MATCH(SMALL($V$4:$V$3183,487),$V$4:$V$3183,0)),"")</f>
        <v/>
      </c>
      <c r="B490">
        <f>IFERROR(INDEX($O$4:$O$3183,MATCH(SMALL($V$4:$V$3183,487),$V$4:$V$3183,0)),"")</f>
        <v/>
      </c>
      <c r="C490">
        <f>IFERROR(INDEX($P$4:$P$3183,MATCH(SMALL($V$4:$V$3183,487),$V$4:$V$3183,0)),"")</f>
        <v/>
      </c>
      <c r="D490" s="29">
        <f>IFERROR(INDEX($Q$4:$Q$3183,MATCH(SMALL($V$4:$V$3183,487),$V$4:$V$3183,0)),"")</f>
        <v/>
      </c>
      <c r="E490" s="29">
        <f>IFERROR(INDEX($R$4:$R$3183,MATCH(SMALL($V$4:$V$3183,487),$V$4:$V$3183,0)),"")</f>
        <v/>
      </c>
      <c r="F490">
        <f>IFERROR(INDEX($S$4:$S$3183,MATCH(SMALL($V$4:$V$3183,487),$V$4:$V$3183,0)),"")</f>
        <v/>
      </c>
      <c r="I490" s="29">
        <f>IF($B490="","",IFERROR(INDEX($U$4:$U$3183,MATCH(SMALL($V$4:$V$3183,487),$V$4:$V$3183,0)),""))</f>
        <v/>
      </c>
      <c r="J490">
        <f>IF($B490="","",IF($D490&gt;$F$2,"À venir",IF($E490&lt;$D$2,"Passé","Dans la période")))</f>
        <v/>
      </c>
      <c r="K490">
        <f>IF(OR($B490="",NOT(ISNUMBER($D490))),"",IF(AND($E490&lt;$D$2,$G490&lt;&gt;"X",$F490&lt;&gt;"Réalisé",$F490&lt;&gt;"Clôturé"),"RETARD",""))</f>
        <v/>
      </c>
      <c r="L490">
        <f>IF(OR($B490="",NOT(ISNUMBER($D490))),"",IF(AND($D490&gt;=$D$2,$D490&lt;=$H$2,$G490&lt;&gt;"X",$F490&lt;&gt;"Réalisé",$F490&lt;&gt;"Clôturé"),"≤ 7 j",""))</f>
        <v/>
      </c>
      <c r="M490" s="29">
        <f>IF($B490="","",IFERROR(INDEX($T$4:$T$3183,MATCH(SMALL($V$4:$V$3183,487),$V$4:$V$3183,0)),""))</f>
        <v/>
      </c>
      <c r="O490">
        <f>IF(INDEX(Suivi!$B:$B,500)="","",INDEX(Suivi!$B:$B,500))</f>
        <v/>
      </c>
      <c r="P490">
        <f>IF($O490="","",IF(INDEX(Suivi!$D:$D,500)="",INDEX(Suivi!$C:$C,500),INDEX(Suivi!$D:$D,500)))</f>
        <v/>
      </c>
      <c r="Q490">
        <f>IF($O490="","",INDEX(Suivi!$E:$E,500))</f>
        <v/>
      </c>
      <c r="R490">
        <f>IF($O490="","",INDEX(Suivi!$F:$F,500))</f>
        <v/>
      </c>
      <c r="S490">
        <f>IF($O490="","",INDEX(Suivi!$G:$G,500))</f>
        <v/>
      </c>
      <c r="T490">
        <f>IF($O490="","",IF(INDEX(Dossiers!$F$4:$F$63,10)="","",INDEX(Dossiers!$F$4:$F$63,10)))</f>
        <v/>
      </c>
      <c r="U490">
        <f>IF($O490="","",IF(INDEX(Dossiers!$G$4:$G$63,10)="","",INDEX(Dossiers!$G$4:$G$63,10)))</f>
        <v/>
      </c>
      <c r="V490">
        <f>IF(OR($O490="",NOT(ISNUMBER($Q490))),"",$Q490*1000000+490)</f>
        <v/>
      </c>
      <c r="W490" s="29">
        <f>IF($B490="","",IFERROR(INDEX($U$4:$U$3183,MATCH(SMALL($V$4:$V$3183,487),$V$4:$V$3183,0)),""))</f>
        <v/>
      </c>
    </row>
    <row r="491">
      <c r="A491">
        <f>IFERROR(INDEX($N$4:$N$3183,MATCH(SMALL($V$4:$V$3183,488),$V$4:$V$3183,0)),"")</f>
        <v/>
      </c>
      <c r="B491">
        <f>IFERROR(INDEX($O$4:$O$3183,MATCH(SMALL($V$4:$V$3183,488),$V$4:$V$3183,0)),"")</f>
        <v/>
      </c>
      <c r="C491">
        <f>IFERROR(INDEX($P$4:$P$3183,MATCH(SMALL($V$4:$V$3183,488),$V$4:$V$3183,0)),"")</f>
        <v/>
      </c>
      <c r="D491" s="29">
        <f>IFERROR(INDEX($Q$4:$Q$3183,MATCH(SMALL($V$4:$V$3183,488),$V$4:$V$3183,0)),"")</f>
        <v/>
      </c>
      <c r="E491" s="29">
        <f>IFERROR(INDEX($R$4:$R$3183,MATCH(SMALL($V$4:$V$3183,488),$V$4:$V$3183,0)),"")</f>
        <v/>
      </c>
      <c r="F491">
        <f>IFERROR(INDEX($S$4:$S$3183,MATCH(SMALL($V$4:$V$3183,488),$V$4:$V$3183,0)),"")</f>
        <v/>
      </c>
      <c r="I491" s="29">
        <f>IF($B491="","",IFERROR(INDEX($U$4:$U$3183,MATCH(SMALL($V$4:$V$3183,488),$V$4:$V$3183,0)),""))</f>
        <v/>
      </c>
      <c r="J491">
        <f>IF($B491="","",IF($D491&gt;$F$2,"À venir",IF($E491&lt;$D$2,"Passé","Dans la période")))</f>
        <v/>
      </c>
      <c r="K491">
        <f>IF(OR($B491="",NOT(ISNUMBER($D491))),"",IF(AND($E491&lt;$D$2,$G491&lt;&gt;"X",$F491&lt;&gt;"Réalisé",$F491&lt;&gt;"Clôturé"),"RETARD",""))</f>
        <v/>
      </c>
      <c r="L491">
        <f>IF(OR($B491="",NOT(ISNUMBER($D491))),"",IF(AND($D491&gt;=$D$2,$D491&lt;=$H$2,$G491&lt;&gt;"X",$F491&lt;&gt;"Réalisé",$F491&lt;&gt;"Clôturé"),"≤ 7 j",""))</f>
        <v/>
      </c>
      <c r="M491" s="29">
        <f>IF($B491="","",IFERROR(INDEX($T$4:$T$3183,MATCH(SMALL($V$4:$V$3183,488),$V$4:$V$3183,0)),""))</f>
        <v/>
      </c>
      <c r="O491">
        <f>IF(INDEX(Suivi!$B:$B,501)="","",INDEX(Suivi!$B:$B,501))</f>
        <v/>
      </c>
      <c r="P491">
        <f>IF($O491="","",IF(INDEX(Suivi!$D:$D,501)="",INDEX(Suivi!$C:$C,501),INDEX(Suivi!$D:$D,501)))</f>
        <v/>
      </c>
      <c r="Q491">
        <f>IF($O491="","",INDEX(Suivi!$E:$E,501))</f>
        <v/>
      </c>
      <c r="R491">
        <f>IF($O491="","",INDEX(Suivi!$F:$F,501))</f>
        <v/>
      </c>
      <c r="S491">
        <f>IF($O491="","",INDEX(Suivi!$G:$G,501))</f>
        <v/>
      </c>
      <c r="T491">
        <f>IF($O491="","",IF(INDEX(Dossiers!$F$4:$F$63,10)="","",INDEX(Dossiers!$F$4:$F$63,10)))</f>
        <v/>
      </c>
      <c r="U491">
        <f>IF($O491="","",IF(INDEX(Dossiers!$G$4:$G$63,10)="","",INDEX(Dossiers!$G$4:$G$63,10)))</f>
        <v/>
      </c>
      <c r="V491">
        <f>IF(OR($O491="",NOT(ISNUMBER($Q491))),"",$Q491*1000000+491)</f>
        <v/>
      </c>
      <c r="W491" s="29">
        <f>IF($B491="","",IFERROR(INDEX($U$4:$U$3183,MATCH(SMALL($V$4:$V$3183,488),$V$4:$V$3183,0)),""))</f>
        <v/>
      </c>
    </row>
    <row r="492">
      <c r="A492">
        <f>IFERROR(INDEX($N$4:$N$3183,MATCH(SMALL($V$4:$V$3183,489),$V$4:$V$3183,0)),"")</f>
        <v/>
      </c>
      <c r="B492">
        <f>IFERROR(INDEX($O$4:$O$3183,MATCH(SMALL($V$4:$V$3183,489),$V$4:$V$3183,0)),"")</f>
        <v/>
      </c>
      <c r="C492">
        <f>IFERROR(INDEX($P$4:$P$3183,MATCH(SMALL($V$4:$V$3183,489),$V$4:$V$3183,0)),"")</f>
        <v/>
      </c>
      <c r="D492" s="29">
        <f>IFERROR(INDEX($Q$4:$Q$3183,MATCH(SMALL($V$4:$V$3183,489),$V$4:$V$3183,0)),"")</f>
        <v/>
      </c>
      <c r="E492" s="29">
        <f>IFERROR(INDEX($R$4:$R$3183,MATCH(SMALL($V$4:$V$3183,489),$V$4:$V$3183,0)),"")</f>
        <v/>
      </c>
      <c r="F492">
        <f>IFERROR(INDEX($S$4:$S$3183,MATCH(SMALL($V$4:$V$3183,489),$V$4:$V$3183,0)),"")</f>
        <v/>
      </c>
      <c r="I492" s="29">
        <f>IF($B492="","",IFERROR(INDEX($U$4:$U$3183,MATCH(SMALL($V$4:$V$3183,489),$V$4:$V$3183,0)),""))</f>
        <v/>
      </c>
      <c r="J492">
        <f>IF($B492="","",IF($D492&gt;$F$2,"À venir",IF($E492&lt;$D$2,"Passé","Dans la période")))</f>
        <v/>
      </c>
      <c r="K492">
        <f>IF(OR($B492="",NOT(ISNUMBER($D492))),"",IF(AND($E492&lt;$D$2,$G492&lt;&gt;"X",$F492&lt;&gt;"Réalisé",$F492&lt;&gt;"Clôturé"),"RETARD",""))</f>
        <v/>
      </c>
      <c r="L492">
        <f>IF(OR($B492="",NOT(ISNUMBER($D492))),"",IF(AND($D492&gt;=$D$2,$D492&lt;=$H$2,$G492&lt;&gt;"X",$F492&lt;&gt;"Réalisé",$F492&lt;&gt;"Clôturé"),"≤ 7 j",""))</f>
        <v/>
      </c>
      <c r="M492" s="29">
        <f>IF($B492="","",IFERROR(INDEX($T$4:$T$3183,MATCH(SMALL($V$4:$V$3183,489),$V$4:$V$3183,0)),""))</f>
        <v/>
      </c>
      <c r="O492">
        <f>IF(INDEX(Suivi!$B:$B,502)="","",INDEX(Suivi!$B:$B,502))</f>
        <v/>
      </c>
      <c r="P492">
        <f>IF($O492="","",IF(INDEX(Suivi!$D:$D,502)="",INDEX(Suivi!$C:$C,502),INDEX(Suivi!$D:$D,502)))</f>
        <v/>
      </c>
      <c r="Q492">
        <f>IF($O492="","",INDEX(Suivi!$E:$E,502))</f>
        <v/>
      </c>
      <c r="R492">
        <f>IF($O492="","",INDEX(Suivi!$F:$F,502))</f>
        <v/>
      </c>
      <c r="S492">
        <f>IF($O492="","",INDEX(Suivi!$G:$G,502))</f>
        <v/>
      </c>
      <c r="T492">
        <f>IF($O492="","",IF(INDEX(Dossiers!$F$4:$F$63,10)="","",INDEX(Dossiers!$F$4:$F$63,10)))</f>
        <v/>
      </c>
      <c r="U492">
        <f>IF($O492="","",IF(INDEX(Dossiers!$G$4:$G$63,10)="","",INDEX(Dossiers!$G$4:$G$63,10)))</f>
        <v/>
      </c>
      <c r="V492">
        <f>IF(OR($O492="",NOT(ISNUMBER($Q492))),"",$Q492*1000000+492)</f>
        <v/>
      </c>
      <c r="W492" s="29">
        <f>IF($B492="","",IFERROR(INDEX($U$4:$U$3183,MATCH(SMALL($V$4:$V$3183,489),$V$4:$V$3183,0)),""))</f>
        <v/>
      </c>
    </row>
    <row r="493">
      <c r="A493">
        <f>IFERROR(INDEX($N$4:$N$3183,MATCH(SMALL($V$4:$V$3183,490),$V$4:$V$3183,0)),"")</f>
        <v/>
      </c>
      <c r="B493">
        <f>IFERROR(INDEX($O$4:$O$3183,MATCH(SMALL($V$4:$V$3183,490),$V$4:$V$3183,0)),"")</f>
        <v/>
      </c>
      <c r="C493">
        <f>IFERROR(INDEX($P$4:$P$3183,MATCH(SMALL($V$4:$V$3183,490),$V$4:$V$3183,0)),"")</f>
        <v/>
      </c>
      <c r="D493" s="29">
        <f>IFERROR(INDEX($Q$4:$Q$3183,MATCH(SMALL($V$4:$V$3183,490),$V$4:$V$3183,0)),"")</f>
        <v/>
      </c>
      <c r="E493" s="29">
        <f>IFERROR(INDEX($R$4:$R$3183,MATCH(SMALL($V$4:$V$3183,490),$V$4:$V$3183,0)),"")</f>
        <v/>
      </c>
      <c r="F493">
        <f>IFERROR(INDEX($S$4:$S$3183,MATCH(SMALL($V$4:$V$3183,490),$V$4:$V$3183,0)),"")</f>
        <v/>
      </c>
      <c r="I493" s="29">
        <f>IF($B493="","",IFERROR(INDEX($U$4:$U$3183,MATCH(SMALL($V$4:$V$3183,490),$V$4:$V$3183,0)),""))</f>
        <v/>
      </c>
      <c r="J493">
        <f>IF($B493="","",IF($D493&gt;$F$2,"À venir",IF($E493&lt;$D$2,"Passé","Dans la période")))</f>
        <v/>
      </c>
      <c r="K493">
        <f>IF(OR($B493="",NOT(ISNUMBER($D493))),"",IF(AND($E493&lt;$D$2,$G493&lt;&gt;"X",$F493&lt;&gt;"Réalisé",$F493&lt;&gt;"Clôturé"),"RETARD",""))</f>
        <v/>
      </c>
      <c r="L493">
        <f>IF(OR($B493="",NOT(ISNUMBER($D493))),"",IF(AND($D493&gt;=$D$2,$D493&lt;=$H$2,$G493&lt;&gt;"X",$F493&lt;&gt;"Réalisé",$F493&lt;&gt;"Clôturé"),"≤ 7 j",""))</f>
        <v/>
      </c>
      <c r="M493" s="29">
        <f>IF($B493="","",IFERROR(INDEX($T$4:$T$3183,MATCH(SMALL($V$4:$V$3183,490),$V$4:$V$3183,0)),""))</f>
        <v/>
      </c>
      <c r="O493">
        <f>IF(INDEX(Suivi!$B:$B,503)="","",INDEX(Suivi!$B:$B,503))</f>
        <v/>
      </c>
      <c r="P493">
        <f>IF($O493="","",IF(INDEX(Suivi!$D:$D,503)="",INDEX(Suivi!$C:$C,503),INDEX(Suivi!$D:$D,503)))</f>
        <v/>
      </c>
      <c r="Q493">
        <f>IF($O493="","",INDEX(Suivi!$E:$E,503))</f>
        <v/>
      </c>
      <c r="R493">
        <f>IF($O493="","",INDEX(Suivi!$F:$F,503))</f>
        <v/>
      </c>
      <c r="S493">
        <f>IF($O493="","",INDEX(Suivi!$G:$G,503))</f>
        <v/>
      </c>
      <c r="T493">
        <f>IF($O493="","",IF(INDEX(Dossiers!$F$4:$F$63,10)="","",INDEX(Dossiers!$F$4:$F$63,10)))</f>
        <v/>
      </c>
      <c r="U493">
        <f>IF($O493="","",IF(INDEX(Dossiers!$G$4:$G$63,10)="","",INDEX(Dossiers!$G$4:$G$63,10)))</f>
        <v/>
      </c>
      <c r="V493">
        <f>IF(OR($O493="",NOT(ISNUMBER($Q493))),"",$Q493*1000000+493)</f>
        <v/>
      </c>
      <c r="W493" s="29">
        <f>IF($B493="","",IFERROR(INDEX($U$4:$U$3183,MATCH(SMALL($V$4:$V$3183,490),$V$4:$V$3183,0)),""))</f>
        <v/>
      </c>
    </row>
    <row r="494">
      <c r="A494">
        <f>IFERROR(INDEX($N$4:$N$3183,MATCH(SMALL($V$4:$V$3183,491),$V$4:$V$3183,0)),"")</f>
        <v/>
      </c>
      <c r="B494">
        <f>IFERROR(INDEX($O$4:$O$3183,MATCH(SMALL($V$4:$V$3183,491),$V$4:$V$3183,0)),"")</f>
        <v/>
      </c>
      <c r="C494">
        <f>IFERROR(INDEX($P$4:$P$3183,MATCH(SMALL($V$4:$V$3183,491),$V$4:$V$3183,0)),"")</f>
        <v/>
      </c>
      <c r="D494" s="29">
        <f>IFERROR(INDEX($Q$4:$Q$3183,MATCH(SMALL($V$4:$V$3183,491),$V$4:$V$3183,0)),"")</f>
        <v/>
      </c>
      <c r="E494" s="29">
        <f>IFERROR(INDEX($R$4:$R$3183,MATCH(SMALL($V$4:$V$3183,491),$V$4:$V$3183,0)),"")</f>
        <v/>
      </c>
      <c r="F494">
        <f>IFERROR(INDEX($S$4:$S$3183,MATCH(SMALL($V$4:$V$3183,491),$V$4:$V$3183,0)),"")</f>
        <v/>
      </c>
      <c r="I494" s="29">
        <f>IF($B494="","",IFERROR(INDEX($U$4:$U$3183,MATCH(SMALL($V$4:$V$3183,491),$V$4:$V$3183,0)),""))</f>
        <v/>
      </c>
      <c r="J494">
        <f>IF($B494="","",IF($D494&gt;$F$2,"À venir",IF($E494&lt;$D$2,"Passé","Dans la période")))</f>
        <v/>
      </c>
      <c r="K494">
        <f>IF(OR($B494="",NOT(ISNUMBER($D494))),"",IF(AND($E494&lt;$D$2,$G494&lt;&gt;"X",$F494&lt;&gt;"Réalisé",$F494&lt;&gt;"Clôturé"),"RETARD",""))</f>
        <v/>
      </c>
      <c r="L494">
        <f>IF(OR($B494="",NOT(ISNUMBER($D494))),"",IF(AND($D494&gt;=$D$2,$D494&lt;=$H$2,$G494&lt;&gt;"X",$F494&lt;&gt;"Réalisé",$F494&lt;&gt;"Clôturé"),"≤ 7 j",""))</f>
        <v/>
      </c>
      <c r="M494" s="29">
        <f>IF($B494="","",IFERROR(INDEX($T$4:$T$3183,MATCH(SMALL($V$4:$V$3183,491),$V$4:$V$3183,0)),""))</f>
        <v/>
      </c>
      <c r="O494">
        <f>IF(INDEX(Suivi!$B:$B,504)="","",INDEX(Suivi!$B:$B,504))</f>
        <v/>
      </c>
      <c r="P494">
        <f>IF($O494="","",IF(INDEX(Suivi!$D:$D,504)="",INDEX(Suivi!$C:$C,504),INDEX(Suivi!$D:$D,504)))</f>
        <v/>
      </c>
      <c r="Q494">
        <f>IF($O494="","",INDEX(Suivi!$E:$E,504))</f>
        <v/>
      </c>
      <c r="R494">
        <f>IF($O494="","",INDEX(Suivi!$F:$F,504))</f>
        <v/>
      </c>
      <c r="S494">
        <f>IF($O494="","",INDEX(Suivi!$G:$G,504))</f>
        <v/>
      </c>
      <c r="T494">
        <f>IF($O494="","",IF(INDEX(Dossiers!$F$4:$F$63,10)="","",INDEX(Dossiers!$F$4:$F$63,10)))</f>
        <v/>
      </c>
      <c r="U494">
        <f>IF($O494="","",IF(INDEX(Dossiers!$G$4:$G$63,10)="","",INDEX(Dossiers!$G$4:$G$63,10)))</f>
        <v/>
      </c>
      <c r="V494">
        <f>IF(OR($O494="",NOT(ISNUMBER($Q494))),"",$Q494*1000000+494)</f>
        <v/>
      </c>
      <c r="W494" s="29">
        <f>IF($B494="","",IFERROR(INDEX($U$4:$U$3183,MATCH(SMALL($V$4:$V$3183,491),$V$4:$V$3183,0)),""))</f>
        <v/>
      </c>
    </row>
    <row r="495">
      <c r="A495">
        <f>IFERROR(INDEX($N$4:$N$3183,MATCH(SMALL($V$4:$V$3183,492),$V$4:$V$3183,0)),"")</f>
        <v/>
      </c>
      <c r="B495">
        <f>IFERROR(INDEX($O$4:$O$3183,MATCH(SMALL($V$4:$V$3183,492),$V$4:$V$3183,0)),"")</f>
        <v/>
      </c>
      <c r="C495">
        <f>IFERROR(INDEX($P$4:$P$3183,MATCH(SMALL($V$4:$V$3183,492),$V$4:$V$3183,0)),"")</f>
        <v/>
      </c>
      <c r="D495" s="29">
        <f>IFERROR(INDEX($Q$4:$Q$3183,MATCH(SMALL($V$4:$V$3183,492),$V$4:$V$3183,0)),"")</f>
        <v/>
      </c>
      <c r="E495" s="29">
        <f>IFERROR(INDEX($R$4:$R$3183,MATCH(SMALL($V$4:$V$3183,492),$V$4:$V$3183,0)),"")</f>
        <v/>
      </c>
      <c r="F495">
        <f>IFERROR(INDEX($S$4:$S$3183,MATCH(SMALL($V$4:$V$3183,492),$V$4:$V$3183,0)),"")</f>
        <v/>
      </c>
      <c r="I495" s="29">
        <f>IF($B495="","",IFERROR(INDEX($U$4:$U$3183,MATCH(SMALL($V$4:$V$3183,492),$V$4:$V$3183,0)),""))</f>
        <v/>
      </c>
      <c r="J495">
        <f>IF($B495="","",IF($D495&gt;$F$2,"À venir",IF($E495&lt;$D$2,"Passé","Dans la période")))</f>
        <v/>
      </c>
      <c r="K495">
        <f>IF(OR($B495="",NOT(ISNUMBER($D495))),"",IF(AND($E495&lt;$D$2,$G495&lt;&gt;"X",$F495&lt;&gt;"Réalisé",$F495&lt;&gt;"Clôturé"),"RETARD",""))</f>
        <v/>
      </c>
      <c r="L495">
        <f>IF(OR($B495="",NOT(ISNUMBER($D495))),"",IF(AND($D495&gt;=$D$2,$D495&lt;=$H$2,$G495&lt;&gt;"X",$F495&lt;&gt;"Réalisé",$F495&lt;&gt;"Clôturé"),"≤ 7 j",""))</f>
        <v/>
      </c>
      <c r="M495" s="29">
        <f>IF($B495="","",IFERROR(INDEX($T$4:$T$3183,MATCH(SMALL($V$4:$V$3183,492),$V$4:$V$3183,0)),""))</f>
        <v/>
      </c>
      <c r="O495">
        <f>IF(INDEX(Suivi!$B:$B,505)="","",INDEX(Suivi!$B:$B,505))</f>
        <v/>
      </c>
      <c r="P495">
        <f>IF($O495="","",IF(INDEX(Suivi!$D:$D,505)="",INDEX(Suivi!$C:$C,505),INDEX(Suivi!$D:$D,505)))</f>
        <v/>
      </c>
      <c r="Q495">
        <f>IF($O495="","",INDEX(Suivi!$E:$E,505))</f>
        <v/>
      </c>
      <c r="R495">
        <f>IF($O495="","",INDEX(Suivi!$F:$F,505))</f>
        <v/>
      </c>
      <c r="S495">
        <f>IF($O495="","",INDEX(Suivi!$G:$G,505))</f>
        <v/>
      </c>
      <c r="T495">
        <f>IF($O495="","",IF(INDEX(Dossiers!$F$4:$F$63,10)="","",INDEX(Dossiers!$F$4:$F$63,10)))</f>
        <v/>
      </c>
      <c r="U495">
        <f>IF($O495="","",IF(INDEX(Dossiers!$G$4:$G$63,10)="","",INDEX(Dossiers!$G$4:$G$63,10)))</f>
        <v/>
      </c>
      <c r="V495">
        <f>IF(OR($O495="",NOT(ISNUMBER($Q495))),"",$Q495*1000000+495)</f>
        <v/>
      </c>
      <c r="W495" s="29">
        <f>IF($B495="","",IFERROR(INDEX($U$4:$U$3183,MATCH(SMALL($V$4:$V$3183,492),$V$4:$V$3183,0)),""))</f>
        <v/>
      </c>
    </row>
    <row r="496">
      <c r="A496">
        <f>IFERROR(INDEX($N$4:$N$3183,MATCH(SMALL($V$4:$V$3183,493),$V$4:$V$3183,0)),"")</f>
        <v/>
      </c>
      <c r="B496">
        <f>IFERROR(INDEX($O$4:$O$3183,MATCH(SMALL($V$4:$V$3183,493),$V$4:$V$3183,0)),"")</f>
        <v/>
      </c>
      <c r="C496">
        <f>IFERROR(INDEX($P$4:$P$3183,MATCH(SMALL($V$4:$V$3183,493),$V$4:$V$3183,0)),"")</f>
        <v/>
      </c>
      <c r="D496" s="29">
        <f>IFERROR(INDEX($Q$4:$Q$3183,MATCH(SMALL($V$4:$V$3183,493),$V$4:$V$3183,0)),"")</f>
        <v/>
      </c>
      <c r="E496" s="29">
        <f>IFERROR(INDEX($R$4:$R$3183,MATCH(SMALL($V$4:$V$3183,493),$V$4:$V$3183,0)),"")</f>
        <v/>
      </c>
      <c r="F496">
        <f>IFERROR(INDEX($S$4:$S$3183,MATCH(SMALL($V$4:$V$3183,493),$V$4:$V$3183,0)),"")</f>
        <v/>
      </c>
      <c r="I496" s="29">
        <f>IF($B496="","",IFERROR(INDEX($U$4:$U$3183,MATCH(SMALL($V$4:$V$3183,493),$V$4:$V$3183,0)),""))</f>
        <v/>
      </c>
      <c r="J496">
        <f>IF($B496="","",IF($D496&gt;$F$2,"À venir",IF($E496&lt;$D$2,"Passé","Dans la période")))</f>
        <v/>
      </c>
      <c r="K496">
        <f>IF(OR($B496="",NOT(ISNUMBER($D496))),"",IF(AND($E496&lt;$D$2,$G496&lt;&gt;"X",$F496&lt;&gt;"Réalisé",$F496&lt;&gt;"Clôturé"),"RETARD",""))</f>
        <v/>
      </c>
      <c r="L496">
        <f>IF(OR($B496="",NOT(ISNUMBER($D496))),"",IF(AND($D496&gt;=$D$2,$D496&lt;=$H$2,$G496&lt;&gt;"X",$F496&lt;&gt;"Réalisé",$F496&lt;&gt;"Clôturé"),"≤ 7 j",""))</f>
        <v/>
      </c>
      <c r="M496" s="29">
        <f>IF($B496="","",IFERROR(INDEX($T$4:$T$3183,MATCH(SMALL($V$4:$V$3183,493),$V$4:$V$3183,0)),""))</f>
        <v/>
      </c>
      <c r="O496">
        <f>IF(INDEX(Suivi!$B:$B,506)="","",INDEX(Suivi!$B:$B,506))</f>
        <v/>
      </c>
      <c r="P496">
        <f>IF($O496="","",IF(INDEX(Suivi!$D:$D,506)="",INDEX(Suivi!$C:$C,506),INDEX(Suivi!$D:$D,506)))</f>
        <v/>
      </c>
      <c r="Q496">
        <f>IF($O496="","",INDEX(Suivi!$E:$E,506))</f>
        <v/>
      </c>
      <c r="R496">
        <f>IF($O496="","",INDEX(Suivi!$F:$F,506))</f>
        <v/>
      </c>
      <c r="S496">
        <f>IF($O496="","",INDEX(Suivi!$G:$G,506))</f>
        <v/>
      </c>
      <c r="T496">
        <f>IF($O496="","",IF(INDEX(Dossiers!$F$4:$F$63,10)="","",INDEX(Dossiers!$F$4:$F$63,10)))</f>
        <v/>
      </c>
      <c r="U496">
        <f>IF($O496="","",IF(INDEX(Dossiers!$G$4:$G$63,10)="","",INDEX(Dossiers!$G$4:$G$63,10)))</f>
        <v/>
      </c>
      <c r="V496">
        <f>IF(OR($O496="",NOT(ISNUMBER($Q496))),"",$Q496*1000000+496)</f>
        <v/>
      </c>
      <c r="W496" s="29">
        <f>IF($B496="","",IFERROR(INDEX($U$4:$U$3183,MATCH(SMALL($V$4:$V$3183,493),$V$4:$V$3183,0)),""))</f>
        <v/>
      </c>
    </row>
    <row r="497">
      <c r="A497">
        <f>IFERROR(INDEX($N$4:$N$3183,MATCH(SMALL($V$4:$V$3183,494),$V$4:$V$3183,0)),"")</f>
        <v/>
      </c>
      <c r="B497">
        <f>IFERROR(INDEX($O$4:$O$3183,MATCH(SMALL($V$4:$V$3183,494),$V$4:$V$3183,0)),"")</f>
        <v/>
      </c>
      <c r="C497">
        <f>IFERROR(INDEX($P$4:$P$3183,MATCH(SMALL($V$4:$V$3183,494),$V$4:$V$3183,0)),"")</f>
        <v/>
      </c>
      <c r="D497" s="29">
        <f>IFERROR(INDEX($Q$4:$Q$3183,MATCH(SMALL($V$4:$V$3183,494),$V$4:$V$3183,0)),"")</f>
        <v/>
      </c>
      <c r="E497" s="29">
        <f>IFERROR(INDEX($R$4:$R$3183,MATCH(SMALL($V$4:$V$3183,494),$V$4:$V$3183,0)),"")</f>
        <v/>
      </c>
      <c r="F497">
        <f>IFERROR(INDEX($S$4:$S$3183,MATCH(SMALL($V$4:$V$3183,494),$V$4:$V$3183,0)),"")</f>
        <v/>
      </c>
      <c r="I497" s="29">
        <f>IF($B497="","",IFERROR(INDEX($U$4:$U$3183,MATCH(SMALL($V$4:$V$3183,494),$V$4:$V$3183,0)),""))</f>
        <v/>
      </c>
      <c r="J497">
        <f>IF($B497="","",IF($D497&gt;$F$2,"À venir",IF($E497&lt;$D$2,"Passé","Dans la période")))</f>
        <v/>
      </c>
      <c r="K497">
        <f>IF(OR($B497="",NOT(ISNUMBER($D497))),"",IF(AND($E497&lt;$D$2,$G497&lt;&gt;"X",$F497&lt;&gt;"Réalisé",$F497&lt;&gt;"Clôturé"),"RETARD",""))</f>
        <v/>
      </c>
      <c r="L497">
        <f>IF(OR($B497="",NOT(ISNUMBER($D497))),"",IF(AND($D497&gt;=$D$2,$D497&lt;=$H$2,$G497&lt;&gt;"X",$F497&lt;&gt;"Réalisé",$F497&lt;&gt;"Clôturé"),"≤ 7 j",""))</f>
        <v/>
      </c>
      <c r="M497" s="29">
        <f>IF($B497="","",IFERROR(INDEX($T$4:$T$3183,MATCH(SMALL($V$4:$V$3183,494),$V$4:$V$3183,0)),""))</f>
        <v/>
      </c>
      <c r="O497">
        <f>IF(INDEX(Suivi!$B:$B,507)="","",INDEX(Suivi!$B:$B,507))</f>
        <v/>
      </c>
      <c r="P497">
        <f>IF($O497="","",IF(INDEX(Suivi!$D:$D,507)="",INDEX(Suivi!$C:$C,507),INDEX(Suivi!$D:$D,507)))</f>
        <v/>
      </c>
      <c r="Q497">
        <f>IF($O497="","",INDEX(Suivi!$E:$E,507))</f>
        <v/>
      </c>
      <c r="R497">
        <f>IF($O497="","",INDEX(Suivi!$F:$F,507))</f>
        <v/>
      </c>
      <c r="S497">
        <f>IF($O497="","",INDEX(Suivi!$G:$G,507))</f>
        <v/>
      </c>
      <c r="T497">
        <f>IF($O497="","",IF(INDEX(Dossiers!$F$4:$F$63,10)="","",INDEX(Dossiers!$F$4:$F$63,10)))</f>
        <v/>
      </c>
      <c r="U497">
        <f>IF($O497="","",IF(INDEX(Dossiers!$G$4:$G$63,10)="","",INDEX(Dossiers!$G$4:$G$63,10)))</f>
        <v/>
      </c>
      <c r="V497">
        <f>IF(OR($O497="",NOT(ISNUMBER($Q497))),"",$Q497*1000000+497)</f>
        <v/>
      </c>
      <c r="W497" s="29">
        <f>IF($B497="","",IFERROR(INDEX($U$4:$U$3183,MATCH(SMALL($V$4:$V$3183,494),$V$4:$V$3183,0)),""))</f>
        <v/>
      </c>
    </row>
    <row r="498">
      <c r="A498">
        <f>IFERROR(INDEX($N$4:$N$3183,MATCH(SMALL($V$4:$V$3183,495),$V$4:$V$3183,0)),"")</f>
        <v/>
      </c>
      <c r="B498">
        <f>IFERROR(INDEX($O$4:$O$3183,MATCH(SMALL($V$4:$V$3183,495),$V$4:$V$3183,0)),"")</f>
        <v/>
      </c>
      <c r="C498">
        <f>IFERROR(INDEX($P$4:$P$3183,MATCH(SMALL($V$4:$V$3183,495),$V$4:$V$3183,0)),"")</f>
        <v/>
      </c>
      <c r="D498" s="29">
        <f>IFERROR(INDEX($Q$4:$Q$3183,MATCH(SMALL($V$4:$V$3183,495),$V$4:$V$3183,0)),"")</f>
        <v/>
      </c>
      <c r="E498" s="29">
        <f>IFERROR(INDEX($R$4:$R$3183,MATCH(SMALL($V$4:$V$3183,495),$V$4:$V$3183,0)),"")</f>
        <v/>
      </c>
      <c r="F498">
        <f>IFERROR(INDEX($S$4:$S$3183,MATCH(SMALL($V$4:$V$3183,495),$V$4:$V$3183,0)),"")</f>
        <v/>
      </c>
      <c r="I498" s="29">
        <f>IF($B498="","",IFERROR(INDEX($U$4:$U$3183,MATCH(SMALL($V$4:$V$3183,495),$V$4:$V$3183,0)),""))</f>
        <v/>
      </c>
      <c r="J498">
        <f>IF($B498="","",IF($D498&gt;$F$2,"À venir",IF($E498&lt;$D$2,"Passé","Dans la période")))</f>
        <v/>
      </c>
      <c r="K498">
        <f>IF(OR($B498="",NOT(ISNUMBER($D498))),"",IF(AND($E498&lt;$D$2,$G498&lt;&gt;"X",$F498&lt;&gt;"Réalisé",$F498&lt;&gt;"Clôturé"),"RETARD",""))</f>
        <v/>
      </c>
      <c r="L498">
        <f>IF(OR($B498="",NOT(ISNUMBER($D498))),"",IF(AND($D498&gt;=$D$2,$D498&lt;=$H$2,$G498&lt;&gt;"X",$F498&lt;&gt;"Réalisé",$F498&lt;&gt;"Clôturé"),"≤ 7 j",""))</f>
        <v/>
      </c>
      <c r="M498" s="29">
        <f>IF($B498="","",IFERROR(INDEX($T$4:$T$3183,MATCH(SMALL($V$4:$V$3183,495),$V$4:$V$3183,0)),""))</f>
        <v/>
      </c>
      <c r="O498">
        <f>IF(INDEX(Suivi!$B:$B,508)="","",INDEX(Suivi!$B:$B,508))</f>
        <v/>
      </c>
      <c r="P498">
        <f>IF($O498="","",IF(INDEX(Suivi!$D:$D,508)="",INDEX(Suivi!$C:$C,508),INDEX(Suivi!$D:$D,508)))</f>
        <v/>
      </c>
      <c r="Q498">
        <f>IF($O498="","",INDEX(Suivi!$E:$E,508))</f>
        <v/>
      </c>
      <c r="R498">
        <f>IF($O498="","",INDEX(Suivi!$F:$F,508))</f>
        <v/>
      </c>
      <c r="S498">
        <f>IF($O498="","",INDEX(Suivi!$G:$G,508))</f>
        <v/>
      </c>
      <c r="T498">
        <f>IF($O498="","",IF(INDEX(Dossiers!$F$4:$F$63,10)="","",INDEX(Dossiers!$F$4:$F$63,10)))</f>
        <v/>
      </c>
      <c r="U498">
        <f>IF($O498="","",IF(INDEX(Dossiers!$G$4:$G$63,10)="","",INDEX(Dossiers!$G$4:$G$63,10)))</f>
        <v/>
      </c>
      <c r="V498">
        <f>IF(OR($O498="",NOT(ISNUMBER($Q498))),"",$Q498*1000000+498)</f>
        <v/>
      </c>
      <c r="W498" s="29">
        <f>IF($B498="","",IFERROR(INDEX($U$4:$U$3183,MATCH(SMALL($V$4:$V$3183,495),$V$4:$V$3183,0)),""))</f>
        <v/>
      </c>
    </row>
    <row r="499">
      <c r="A499">
        <f>IFERROR(INDEX($N$4:$N$3183,MATCH(SMALL($V$4:$V$3183,496),$V$4:$V$3183,0)),"")</f>
        <v/>
      </c>
      <c r="B499">
        <f>IFERROR(INDEX($O$4:$O$3183,MATCH(SMALL($V$4:$V$3183,496),$V$4:$V$3183,0)),"")</f>
        <v/>
      </c>
      <c r="C499">
        <f>IFERROR(INDEX($P$4:$P$3183,MATCH(SMALL($V$4:$V$3183,496),$V$4:$V$3183,0)),"")</f>
        <v/>
      </c>
      <c r="D499" s="29">
        <f>IFERROR(INDEX($Q$4:$Q$3183,MATCH(SMALL($V$4:$V$3183,496),$V$4:$V$3183,0)),"")</f>
        <v/>
      </c>
      <c r="E499" s="29">
        <f>IFERROR(INDEX($R$4:$R$3183,MATCH(SMALL($V$4:$V$3183,496),$V$4:$V$3183,0)),"")</f>
        <v/>
      </c>
      <c r="F499">
        <f>IFERROR(INDEX($S$4:$S$3183,MATCH(SMALL($V$4:$V$3183,496),$V$4:$V$3183,0)),"")</f>
        <v/>
      </c>
      <c r="I499" s="29">
        <f>IF($B499="","",IFERROR(INDEX($U$4:$U$3183,MATCH(SMALL($V$4:$V$3183,496),$V$4:$V$3183,0)),""))</f>
        <v/>
      </c>
      <c r="J499">
        <f>IF($B499="","",IF($D499&gt;$F$2,"À venir",IF($E499&lt;$D$2,"Passé","Dans la période")))</f>
        <v/>
      </c>
      <c r="K499">
        <f>IF(OR($B499="",NOT(ISNUMBER($D499))),"",IF(AND($E499&lt;$D$2,$G499&lt;&gt;"X",$F499&lt;&gt;"Réalisé",$F499&lt;&gt;"Clôturé"),"RETARD",""))</f>
        <v/>
      </c>
      <c r="L499">
        <f>IF(OR($B499="",NOT(ISNUMBER($D499))),"",IF(AND($D499&gt;=$D$2,$D499&lt;=$H$2,$G499&lt;&gt;"X",$F499&lt;&gt;"Réalisé",$F499&lt;&gt;"Clôturé"),"≤ 7 j",""))</f>
        <v/>
      </c>
      <c r="M499" s="29">
        <f>IF($B499="","",IFERROR(INDEX($T$4:$T$3183,MATCH(SMALL($V$4:$V$3183,496),$V$4:$V$3183,0)),""))</f>
        <v/>
      </c>
      <c r="O499">
        <f>IF(INDEX(Suivi!$B:$B,509)="","",INDEX(Suivi!$B:$B,509))</f>
        <v/>
      </c>
      <c r="P499">
        <f>IF($O499="","",IF(INDEX(Suivi!$D:$D,509)="",INDEX(Suivi!$C:$C,509),INDEX(Suivi!$D:$D,509)))</f>
        <v/>
      </c>
      <c r="Q499">
        <f>IF($O499="","",INDEX(Suivi!$E:$E,509))</f>
        <v/>
      </c>
      <c r="R499">
        <f>IF($O499="","",INDEX(Suivi!$F:$F,509))</f>
        <v/>
      </c>
      <c r="S499">
        <f>IF($O499="","",INDEX(Suivi!$G:$G,509))</f>
        <v/>
      </c>
      <c r="T499">
        <f>IF($O499="","",IF(INDEX(Dossiers!$F$4:$F$63,10)="","",INDEX(Dossiers!$F$4:$F$63,10)))</f>
        <v/>
      </c>
      <c r="U499">
        <f>IF($O499="","",IF(INDEX(Dossiers!$G$4:$G$63,10)="","",INDEX(Dossiers!$G$4:$G$63,10)))</f>
        <v/>
      </c>
      <c r="V499">
        <f>IF(OR($O499="",NOT(ISNUMBER($Q499))),"",$Q499*1000000+499)</f>
        <v/>
      </c>
      <c r="W499" s="29">
        <f>IF($B499="","",IFERROR(INDEX($U$4:$U$3183,MATCH(SMALL($V$4:$V$3183,496),$V$4:$V$3183,0)),""))</f>
        <v/>
      </c>
    </row>
    <row r="500">
      <c r="A500">
        <f>IFERROR(INDEX($N$4:$N$3183,MATCH(SMALL($V$4:$V$3183,497),$V$4:$V$3183,0)),"")</f>
        <v/>
      </c>
      <c r="B500">
        <f>IFERROR(INDEX($O$4:$O$3183,MATCH(SMALL($V$4:$V$3183,497),$V$4:$V$3183,0)),"")</f>
        <v/>
      </c>
      <c r="C500">
        <f>IFERROR(INDEX($P$4:$P$3183,MATCH(SMALL($V$4:$V$3183,497),$V$4:$V$3183,0)),"")</f>
        <v/>
      </c>
      <c r="D500" s="29">
        <f>IFERROR(INDEX($Q$4:$Q$3183,MATCH(SMALL($V$4:$V$3183,497),$V$4:$V$3183,0)),"")</f>
        <v/>
      </c>
      <c r="E500" s="29">
        <f>IFERROR(INDEX($R$4:$R$3183,MATCH(SMALL($V$4:$V$3183,497),$V$4:$V$3183,0)),"")</f>
        <v/>
      </c>
      <c r="F500">
        <f>IFERROR(INDEX($S$4:$S$3183,MATCH(SMALL($V$4:$V$3183,497),$V$4:$V$3183,0)),"")</f>
        <v/>
      </c>
      <c r="I500" s="29">
        <f>IF($B500="","",IFERROR(INDEX($U$4:$U$3183,MATCH(SMALL($V$4:$V$3183,497),$V$4:$V$3183,0)),""))</f>
        <v/>
      </c>
      <c r="J500">
        <f>IF($B500="","",IF($D500&gt;$F$2,"À venir",IF($E500&lt;$D$2,"Passé","Dans la période")))</f>
        <v/>
      </c>
      <c r="K500">
        <f>IF(OR($B500="",NOT(ISNUMBER($D500))),"",IF(AND($E500&lt;$D$2,$G500&lt;&gt;"X",$F500&lt;&gt;"Réalisé",$F500&lt;&gt;"Clôturé"),"RETARD",""))</f>
        <v/>
      </c>
      <c r="L500">
        <f>IF(OR($B500="",NOT(ISNUMBER($D500))),"",IF(AND($D500&gt;=$D$2,$D500&lt;=$H$2,$G500&lt;&gt;"X",$F500&lt;&gt;"Réalisé",$F500&lt;&gt;"Clôturé"),"≤ 7 j",""))</f>
        <v/>
      </c>
      <c r="M500" s="29">
        <f>IF($B500="","",IFERROR(INDEX($T$4:$T$3183,MATCH(SMALL($V$4:$V$3183,497),$V$4:$V$3183,0)),""))</f>
        <v/>
      </c>
      <c r="O500">
        <f>IF(INDEX(Suivi!$B:$B,510)="","",INDEX(Suivi!$B:$B,510))</f>
        <v/>
      </c>
      <c r="P500">
        <f>IF($O500="","",IF(INDEX(Suivi!$D:$D,510)="",INDEX(Suivi!$C:$C,510),INDEX(Suivi!$D:$D,510)))</f>
        <v/>
      </c>
      <c r="Q500">
        <f>IF($O500="","",INDEX(Suivi!$E:$E,510))</f>
        <v/>
      </c>
      <c r="R500">
        <f>IF($O500="","",INDEX(Suivi!$F:$F,510))</f>
        <v/>
      </c>
      <c r="S500">
        <f>IF($O500="","",INDEX(Suivi!$G:$G,510))</f>
        <v/>
      </c>
      <c r="T500">
        <f>IF($O500="","",IF(INDEX(Dossiers!$F$4:$F$63,10)="","",INDEX(Dossiers!$F$4:$F$63,10)))</f>
        <v/>
      </c>
      <c r="U500">
        <f>IF($O500="","",IF(INDEX(Dossiers!$G$4:$G$63,10)="","",INDEX(Dossiers!$G$4:$G$63,10)))</f>
        <v/>
      </c>
      <c r="V500">
        <f>IF(OR($O500="",NOT(ISNUMBER($Q500))),"",$Q500*1000000+500)</f>
        <v/>
      </c>
      <c r="W500" s="29">
        <f>IF($B500="","",IFERROR(INDEX($U$4:$U$3183,MATCH(SMALL($V$4:$V$3183,497),$V$4:$V$3183,0)),""))</f>
        <v/>
      </c>
    </row>
    <row r="501">
      <c r="A501">
        <f>IFERROR(INDEX($N$4:$N$3183,MATCH(SMALL($V$4:$V$3183,498),$V$4:$V$3183,0)),"")</f>
        <v/>
      </c>
      <c r="B501">
        <f>IFERROR(INDEX($O$4:$O$3183,MATCH(SMALL($V$4:$V$3183,498),$V$4:$V$3183,0)),"")</f>
        <v/>
      </c>
      <c r="C501">
        <f>IFERROR(INDEX($P$4:$P$3183,MATCH(SMALL($V$4:$V$3183,498),$V$4:$V$3183,0)),"")</f>
        <v/>
      </c>
      <c r="D501" s="29">
        <f>IFERROR(INDEX($Q$4:$Q$3183,MATCH(SMALL($V$4:$V$3183,498),$V$4:$V$3183,0)),"")</f>
        <v/>
      </c>
      <c r="E501" s="29">
        <f>IFERROR(INDEX($R$4:$R$3183,MATCH(SMALL($V$4:$V$3183,498),$V$4:$V$3183,0)),"")</f>
        <v/>
      </c>
      <c r="F501">
        <f>IFERROR(INDEX($S$4:$S$3183,MATCH(SMALL($V$4:$V$3183,498),$V$4:$V$3183,0)),"")</f>
        <v/>
      </c>
      <c r="I501" s="29">
        <f>IF($B501="","",IFERROR(INDEX($U$4:$U$3183,MATCH(SMALL($V$4:$V$3183,498),$V$4:$V$3183,0)),""))</f>
        <v/>
      </c>
      <c r="J501">
        <f>IF($B501="","",IF($D501&gt;$F$2,"À venir",IF($E501&lt;$D$2,"Passé","Dans la période")))</f>
        <v/>
      </c>
      <c r="K501">
        <f>IF(OR($B501="",NOT(ISNUMBER($D501))),"",IF(AND($E501&lt;$D$2,$G501&lt;&gt;"X",$F501&lt;&gt;"Réalisé",$F501&lt;&gt;"Clôturé"),"RETARD",""))</f>
        <v/>
      </c>
      <c r="L501">
        <f>IF(OR($B501="",NOT(ISNUMBER($D501))),"",IF(AND($D501&gt;=$D$2,$D501&lt;=$H$2,$G501&lt;&gt;"X",$F501&lt;&gt;"Réalisé",$F501&lt;&gt;"Clôturé"),"≤ 7 j",""))</f>
        <v/>
      </c>
      <c r="M501" s="29">
        <f>IF($B501="","",IFERROR(INDEX($T$4:$T$3183,MATCH(SMALL($V$4:$V$3183,498),$V$4:$V$3183,0)),""))</f>
        <v/>
      </c>
      <c r="O501">
        <f>IF(INDEX(Suivi!$B:$B,511)="","",INDEX(Suivi!$B:$B,511))</f>
        <v/>
      </c>
      <c r="P501">
        <f>IF($O501="","",IF(INDEX(Suivi!$D:$D,511)="",INDEX(Suivi!$C:$C,511),INDEX(Suivi!$D:$D,511)))</f>
        <v/>
      </c>
      <c r="Q501">
        <f>IF($O501="","",INDEX(Suivi!$E:$E,511))</f>
        <v/>
      </c>
      <c r="R501">
        <f>IF($O501="","",INDEX(Suivi!$F:$F,511))</f>
        <v/>
      </c>
      <c r="S501">
        <f>IF($O501="","",INDEX(Suivi!$G:$G,511))</f>
        <v/>
      </c>
      <c r="T501">
        <f>IF($O501="","",IF(INDEX(Dossiers!$F$4:$F$63,10)="","",INDEX(Dossiers!$F$4:$F$63,10)))</f>
        <v/>
      </c>
      <c r="U501">
        <f>IF($O501="","",IF(INDEX(Dossiers!$G$4:$G$63,10)="","",INDEX(Dossiers!$G$4:$G$63,10)))</f>
        <v/>
      </c>
      <c r="V501">
        <f>IF(OR($O501="",NOT(ISNUMBER($Q501))),"",$Q501*1000000+501)</f>
        <v/>
      </c>
      <c r="W501" s="29">
        <f>IF($B501="","",IFERROR(INDEX($U$4:$U$3183,MATCH(SMALL($V$4:$V$3183,498),$V$4:$V$3183,0)),""))</f>
        <v/>
      </c>
    </row>
    <row r="502">
      <c r="A502">
        <f>IFERROR(INDEX($N$4:$N$3183,MATCH(SMALL($V$4:$V$3183,499),$V$4:$V$3183,0)),"")</f>
        <v/>
      </c>
      <c r="B502">
        <f>IFERROR(INDEX($O$4:$O$3183,MATCH(SMALL($V$4:$V$3183,499),$V$4:$V$3183,0)),"")</f>
        <v/>
      </c>
      <c r="C502">
        <f>IFERROR(INDEX($P$4:$P$3183,MATCH(SMALL($V$4:$V$3183,499),$V$4:$V$3183,0)),"")</f>
        <v/>
      </c>
      <c r="D502" s="29">
        <f>IFERROR(INDEX($Q$4:$Q$3183,MATCH(SMALL($V$4:$V$3183,499),$V$4:$V$3183,0)),"")</f>
        <v/>
      </c>
      <c r="E502" s="29">
        <f>IFERROR(INDEX($R$4:$R$3183,MATCH(SMALL($V$4:$V$3183,499),$V$4:$V$3183,0)),"")</f>
        <v/>
      </c>
      <c r="F502">
        <f>IFERROR(INDEX($S$4:$S$3183,MATCH(SMALL($V$4:$V$3183,499),$V$4:$V$3183,0)),"")</f>
        <v/>
      </c>
      <c r="I502" s="29">
        <f>IF($B502="","",IFERROR(INDEX($U$4:$U$3183,MATCH(SMALL($V$4:$V$3183,499),$V$4:$V$3183,0)),""))</f>
        <v/>
      </c>
      <c r="J502">
        <f>IF($B502="","",IF($D502&gt;$F$2,"À venir",IF($E502&lt;$D$2,"Passé","Dans la période")))</f>
        <v/>
      </c>
      <c r="K502">
        <f>IF(OR($B502="",NOT(ISNUMBER($D502))),"",IF(AND($E502&lt;$D$2,$G502&lt;&gt;"X",$F502&lt;&gt;"Réalisé",$F502&lt;&gt;"Clôturé"),"RETARD",""))</f>
        <v/>
      </c>
      <c r="L502">
        <f>IF(OR($B502="",NOT(ISNUMBER($D502))),"",IF(AND($D502&gt;=$D$2,$D502&lt;=$H$2,$G502&lt;&gt;"X",$F502&lt;&gt;"Réalisé",$F502&lt;&gt;"Clôturé"),"≤ 7 j",""))</f>
        <v/>
      </c>
      <c r="M502" s="29">
        <f>IF($B502="","",IFERROR(INDEX($T$4:$T$3183,MATCH(SMALL($V$4:$V$3183,499),$V$4:$V$3183,0)),""))</f>
        <v/>
      </c>
      <c r="O502">
        <f>IF(INDEX(Suivi!$B:$B,512)="","",INDEX(Suivi!$B:$B,512))</f>
        <v/>
      </c>
      <c r="P502">
        <f>IF($O502="","",IF(INDEX(Suivi!$D:$D,512)="",INDEX(Suivi!$C:$C,512),INDEX(Suivi!$D:$D,512)))</f>
        <v/>
      </c>
      <c r="Q502">
        <f>IF($O502="","",INDEX(Suivi!$E:$E,512))</f>
        <v/>
      </c>
      <c r="R502">
        <f>IF($O502="","",INDEX(Suivi!$F:$F,512))</f>
        <v/>
      </c>
      <c r="S502">
        <f>IF($O502="","",INDEX(Suivi!$G:$G,512))</f>
        <v/>
      </c>
      <c r="T502">
        <f>IF($O502="","",IF(INDEX(Dossiers!$F$4:$F$63,10)="","",INDEX(Dossiers!$F$4:$F$63,10)))</f>
        <v/>
      </c>
      <c r="U502">
        <f>IF($O502="","",IF(INDEX(Dossiers!$G$4:$G$63,10)="","",INDEX(Dossiers!$G$4:$G$63,10)))</f>
        <v/>
      </c>
      <c r="V502">
        <f>IF(OR($O502="",NOT(ISNUMBER($Q502))),"",$Q502*1000000+502)</f>
        <v/>
      </c>
      <c r="W502" s="29">
        <f>IF($B502="","",IFERROR(INDEX($U$4:$U$3183,MATCH(SMALL($V$4:$V$3183,499),$V$4:$V$3183,0)),""))</f>
        <v/>
      </c>
    </row>
    <row r="503">
      <c r="A503">
        <f>IFERROR(INDEX($N$4:$N$3183,MATCH(SMALL($V$4:$V$3183,500),$V$4:$V$3183,0)),"")</f>
        <v/>
      </c>
      <c r="B503">
        <f>IFERROR(INDEX($O$4:$O$3183,MATCH(SMALL($V$4:$V$3183,500),$V$4:$V$3183,0)),"")</f>
        <v/>
      </c>
      <c r="C503">
        <f>IFERROR(INDEX($P$4:$P$3183,MATCH(SMALL($V$4:$V$3183,500),$V$4:$V$3183,0)),"")</f>
        <v/>
      </c>
      <c r="D503" s="29">
        <f>IFERROR(INDEX($Q$4:$Q$3183,MATCH(SMALL($V$4:$V$3183,500),$V$4:$V$3183,0)),"")</f>
        <v/>
      </c>
      <c r="E503" s="29">
        <f>IFERROR(INDEX($R$4:$R$3183,MATCH(SMALL($V$4:$V$3183,500),$V$4:$V$3183,0)),"")</f>
        <v/>
      </c>
      <c r="F503">
        <f>IFERROR(INDEX($S$4:$S$3183,MATCH(SMALL($V$4:$V$3183,500),$V$4:$V$3183,0)),"")</f>
        <v/>
      </c>
      <c r="I503" s="29">
        <f>IF($B503="","",IFERROR(INDEX($U$4:$U$3183,MATCH(SMALL($V$4:$V$3183,500),$V$4:$V$3183,0)),""))</f>
        <v/>
      </c>
      <c r="J503">
        <f>IF($B503="","",IF($D503&gt;$F$2,"À venir",IF($E503&lt;$D$2,"Passé","Dans la période")))</f>
        <v/>
      </c>
      <c r="K503">
        <f>IF(OR($B503="",NOT(ISNUMBER($D503))),"",IF(AND($E503&lt;$D$2,$G503&lt;&gt;"X",$F503&lt;&gt;"Réalisé",$F503&lt;&gt;"Clôturé"),"RETARD",""))</f>
        <v/>
      </c>
      <c r="L503">
        <f>IF(OR($B503="",NOT(ISNUMBER($D503))),"",IF(AND($D503&gt;=$D$2,$D503&lt;=$H$2,$G503&lt;&gt;"X",$F503&lt;&gt;"Réalisé",$F503&lt;&gt;"Clôturé"),"≤ 7 j",""))</f>
        <v/>
      </c>
      <c r="M503" s="29">
        <f>IF($B503="","",IFERROR(INDEX($T$4:$T$3183,MATCH(SMALL($V$4:$V$3183,500),$V$4:$V$3183,0)),""))</f>
        <v/>
      </c>
      <c r="O503">
        <f>IF(INDEX(Suivi!$B:$B,513)="","",INDEX(Suivi!$B:$B,513))</f>
        <v/>
      </c>
      <c r="P503">
        <f>IF($O503="","",IF(INDEX(Suivi!$D:$D,513)="",INDEX(Suivi!$C:$C,513),INDEX(Suivi!$D:$D,513)))</f>
        <v/>
      </c>
      <c r="Q503">
        <f>IF($O503="","",INDEX(Suivi!$E:$E,513))</f>
        <v/>
      </c>
      <c r="R503">
        <f>IF($O503="","",INDEX(Suivi!$F:$F,513))</f>
        <v/>
      </c>
      <c r="S503">
        <f>IF($O503="","",INDEX(Suivi!$G:$G,513))</f>
        <v/>
      </c>
      <c r="T503">
        <f>IF($O503="","",IF(INDEX(Dossiers!$F$4:$F$63,10)="","",INDEX(Dossiers!$F$4:$F$63,10)))</f>
        <v/>
      </c>
      <c r="U503">
        <f>IF($O503="","",IF(INDEX(Dossiers!$G$4:$G$63,10)="","",INDEX(Dossiers!$G$4:$G$63,10)))</f>
        <v/>
      </c>
      <c r="V503">
        <f>IF(OR($O503="",NOT(ISNUMBER($Q503))),"",$Q503*1000000+503)</f>
        <v/>
      </c>
      <c r="W503" s="29">
        <f>IF($B503="","",IFERROR(INDEX($U$4:$U$3183,MATCH(SMALL($V$4:$V$3183,500),$V$4:$V$3183,0)),""))</f>
        <v/>
      </c>
    </row>
    <row r="504">
      <c r="A504">
        <f>IFERROR(INDEX($N$4:$N$3183,MATCH(SMALL($V$4:$V$3183,501),$V$4:$V$3183,0)),"")</f>
        <v/>
      </c>
      <c r="B504">
        <f>IFERROR(INDEX($O$4:$O$3183,MATCH(SMALL($V$4:$V$3183,501),$V$4:$V$3183,0)),"")</f>
        <v/>
      </c>
      <c r="C504">
        <f>IFERROR(INDEX($P$4:$P$3183,MATCH(SMALL($V$4:$V$3183,501),$V$4:$V$3183,0)),"")</f>
        <v/>
      </c>
      <c r="D504" s="29">
        <f>IFERROR(INDEX($Q$4:$Q$3183,MATCH(SMALL($V$4:$V$3183,501),$V$4:$V$3183,0)),"")</f>
        <v/>
      </c>
      <c r="E504" s="29">
        <f>IFERROR(INDEX($R$4:$R$3183,MATCH(SMALL($V$4:$V$3183,501),$V$4:$V$3183,0)),"")</f>
        <v/>
      </c>
      <c r="F504">
        <f>IFERROR(INDEX($S$4:$S$3183,MATCH(SMALL($V$4:$V$3183,501),$V$4:$V$3183,0)),"")</f>
        <v/>
      </c>
      <c r="I504" s="29">
        <f>IF($B504="","",IFERROR(INDEX($U$4:$U$3183,MATCH(SMALL($V$4:$V$3183,501),$V$4:$V$3183,0)),""))</f>
        <v/>
      </c>
      <c r="J504">
        <f>IF($B504="","",IF($D504&gt;$F$2,"À venir",IF($E504&lt;$D$2,"Passé","Dans la période")))</f>
        <v/>
      </c>
      <c r="K504">
        <f>IF(OR($B504="",NOT(ISNUMBER($D504))),"",IF(AND($E504&lt;$D$2,$G504&lt;&gt;"X",$F504&lt;&gt;"Réalisé",$F504&lt;&gt;"Clôturé"),"RETARD",""))</f>
        <v/>
      </c>
      <c r="L504">
        <f>IF(OR($B504="",NOT(ISNUMBER($D504))),"",IF(AND($D504&gt;=$D$2,$D504&lt;=$H$2,$G504&lt;&gt;"X",$F504&lt;&gt;"Réalisé",$F504&lt;&gt;"Clôturé"),"≤ 7 j",""))</f>
        <v/>
      </c>
      <c r="M504" s="29">
        <f>IF($B504="","",IFERROR(INDEX($T$4:$T$3183,MATCH(SMALL($V$4:$V$3183,501),$V$4:$V$3183,0)),""))</f>
        <v/>
      </c>
      <c r="O504">
        <f>IF(INDEX(Suivi!$B:$B,514)="","",INDEX(Suivi!$B:$B,514))</f>
        <v/>
      </c>
      <c r="P504">
        <f>IF($O504="","",IF(INDEX(Suivi!$D:$D,514)="",INDEX(Suivi!$C:$C,514),INDEX(Suivi!$D:$D,514)))</f>
        <v/>
      </c>
      <c r="Q504">
        <f>IF($O504="","",INDEX(Suivi!$E:$E,514))</f>
        <v/>
      </c>
      <c r="R504">
        <f>IF($O504="","",INDEX(Suivi!$F:$F,514))</f>
        <v/>
      </c>
      <c r="S504">
        <f>IF($O504="","",INDEX(Suivi!$G:$G,514))</f>
        <v/>
      </c>
      <c r="T504">
        <f>IF($O504="","",IF(INDEX(Dossiers!$F$4:$F$63,10)="","",INDEX(Dossiers!$F$4:$F$63,10)))</f>
        <v/>
      </c>
      <c r="U504">
        <f>IF($O504="","",IF(INDEX(Dossiers!$G$4:$G$63,10)="","",INDEX(Dossiers!$G$4:$G$63,10)))</f>
        <v/>
      </c>
      <c r="V504">
        <f>IF(OR($O504="",NOT(ISNUMBER($Q504))),"",$Q504*1000000+504)</f>
        <v/>
      </c>
      <c r="W504" s="29">
        <f>IF($B504="","",IFERROR(INDEX($U$4:$U$3183,MATCH(SMALL($V$4:$V$3183,501),$V$4:$V$3183,0)),""))</f>
        <v/>
      </c>
    </row>
    <row r="505">
      <c r="A505">
        <f>IFERROR(INDEX($N$4:$N$3183,MATCH(SMALL($V$4:$V$3183,502),$V$4:$V$3183,0)),"")</f>
        <v/>
      </c>
      <c r="B505">
        <f>IFERROR(INDEX($O$4:$O$3183,MATCH(SMALL($V$4:$V$3183,502),$V$4:$V$3183,0)),"")</f>
        <v/>
      </c>
      <c r="C505">
        <f>IFERROR(INDEX($P$4:$P$3183,MATCH(SMALL($V$4:$V$3183,502),$V$4:$V$3183,0)),"")</f>
        <v/>
      </c>
      <c r="D505" s="29">
        <f>IFERROR(INDEX($Q$4:$Q$3183,MATCH(SMALL($V$4:$V$3183,502),$V$4:$V$3183,0)),"")</f>
        <v/>
      </c>
      <c r="E505" s="29">
        <f>IFERROR(INDEX($R$4:$R$3183,MATCH(SMALL($V$4:$V$3183,502),$V$4:$V$3183,0)),"")</f>
        <v/>
      </c>
      <c r="F505">
        <f>IFERROR(INDEX($S$4:$S$3183,MATCH(SMALL($V$4:$V$3183,502),$V$4:$V$3183,0)),"")</f>
        <v/>
      </c>
      <c r="I505" s="29">
        <f>IF($B505="","",IFERROR(INDEX($U$4:$U$3183,MATCH(SMALL($V$4:$V$3183,502),$V$4:$V$3183,0)),""))</f>
        <v/>
      </c>
      <c r="J505">
        <f>IF($B505="","",IF($D505&gt;$F$2,"À venir",IF($E505&lt;$D$2,"Passé","Dans la période")))</f>
        <v/>
      </c>
      <c r="K505">
        <f>IF(OR($B505="",NOT(ISNUMBER($D505))),"",IF(AND($E505&lt;$D$2,$G505&lt;&gt;"X",$F505&lt;&gt;"Réalisé",$F505&lt;&gt;"Clôturé"),"RETARD",""))</f>
        <v/>
      </c>
      <c r="L505">
        <f>IF(OR($B505="",NOT(ISNUMBER($D505))),"",IF(AND($D505&gt;=$D$2,$D505&lt;=$H$2,$G505&lt;&gt;"X",$F505&lt;&gt;"Réalisé",$F505&lt;&gt;"Clôturé"),"≤ 7 j",""))</f>
        <v/>
      </c>
      <c r="M505" s="29">
        <f>IF($B505="","",IFERROR(INDEX($T$4:$T$3183,MATCH(SMALL($V$4:$V$3183,502),$V$4:$V$3183,0)),""))</f>
        <v/>
      </c>
      <c r="O505">
        <f>IF(INDEX(Suivi!$B:$B,515)="","",INDEX(Suivi!$B:$B,515))</f>
        <v/>
      </c>
      <c r="P505">
        <f>IF($O505="","",IF(INDEX(Suivi!$D:$D,515)="",INDEX(Suivi!$C:$C,515),INDEX(Suivi!$D:$D,515)))</f>
        <v/>
      </c>
      <c r="Q505">
        <f>IF($O505="","",INDEX(Suivi!$E:$E,515))</f>
        <v/>
      </c>
      <c r="R505">
        <f>IF($O505="","",INDEX(Suivi!$F:$F,515))</f>
        <v/>
      </c>
      <c r="S505">
        <f>IF($O505="","",INDEX(Suivi!$G:$G,515))</f>
        <v/>
      </c>
      <c r="T505">
        <f>IF($O505="","",IF(INDEX(Dossiers!$F$4:$F$63,10)="","",INDEX(Dossiers!$F$4:$F$63,10)))</f>
        <v/>
      </c>
      <c r="U505">
        <f>IF($O505="","",IF(INDEX(Dossiers!$G$4:$G$63,10)="","",INDEX(Dossiers!$G$4:$G$63,10)))</f>
        <v/>
      </c>
      <c r="V505">
        <f>IF(OR($O505="",NOT(ISNUMBER($Q505))),"",$Q505*1000000+505)</f>
        <v/>
      </c>
      <c r="W505" s="29">
        <f>IF($B505="","",IFERROR(INDEX($U$4:$U$3183,MATCH(SMALL($V$4:$V$3183,502),$V$4:$V$3183,0)),""))</f>
        <v/>
      </c>
    </row>
    <row r="506">
      <c r="A506">
        <f>IFERROR(INDEX($N$4:$N$3183,MATCH(SMALL($V$4:$V$3183,503),$V$4:$V$3183,0)),"")</f>
        <v/>
      </c>
      <c r="B506">
        <f>IFERROR(INDEX($O$4:$O$3183,MATCH(SMALL($V$4:$V$3183,503),$V$4:$V$3183,0)),"")</f>
        <v/>
      </c>
      <c r="C506">
        <f>IFERROR(INDEX($P$4:$P$3183,MATCH(SMALL($V$4:$V$3183,503),$V$4:$V$3183,0)),"")</f>
        <v/>
      </c>
      <c r="D506" s="29">
        <f>IFERROR(INDEX($Q$4:$Q$3183,MATCH(SMALL($V$4:$V$3183,503),$V$4:$V$3183,0)),"")</f>
        <v/>
      </c>
      <c r="E506" s="29">
        <f>IFERROR(INDEX($R$4:$R$3183,MATCH(SMALL($V$4:$V$3183,503),$V$4:$V$3183,0)),"")</f>
        <v/>
      </c>
      <c r="F506">
        <f>IFERROR(INDEX($S$4:$S$3183,MATCH(SMALL($V$4:$V$3183,503),$V$4:$V$3183,0)),"")</f>
        <v/>
      </c>
      <c r="I506" s="29">
        <f>IF($B506="","",IFERROR(INDEX($U$4:$U$3183,MATCH(SMALL($V$4:$V$3183,503),$V$4:$V$3183,0)),""))</f>
        <v/>
      </c>
      <c r="J506">
        <f>IF($B506="","",IF($D506&gt;$F$2,"À venir",IF($E506&lt;$D$2,"Passé","Dans la période")))</f>
        <v/>
      </c>
      <c r="K506">
        <f>IF(OR($B506="",NOT(ISNUMBER($D506))),"",IF(AND($E506&lt;$D$2,$G506&lt;&gt;"X",$F506&lt;&gt;"Réalisé",$F506&lt;&gt;"Clôturé"),"RETARD",""))</f>
        <v/>
      </c>
      <c r="L506">
        <f>IF(OR($B506="",NOT(ISNUMBER($D506))),"",IF(AND($D506&gt;=$D$2,$D506&lt;=$H$2,$G506&lt;&gt;"X",$F506&lt;&gt;"Réalisé",$F506&lt;&gt;"Clôturé"),"≤ 7 j",""))</f>
        <v/>
      </c>
      <c r="M506" s="29">
        <f>IF($B506="","",IFERROR(INDEX($T$4:$T$3183,MATCH(SMALL($V$4:$V$3183,503),$V$4:$V$3183,0)),""))</f>
        <v/>
      </c>
      <c r="O506">
        <f>IF(INDEX(Suivi!$B:$B,516)="","",INDEX(Suivi!$B:$B,516))</f>
        <v/>
      </c>
      <c r="P506">
        <f>IF($O506="","",IF(INDEX(Suivi!$D:$D,516)="",INDEX(Suivi!$C:$C,516),INDEX(Suivi!$D:$D,516)))</f>
        <v/>
      </c>
      <c r="Q506">
        <f>IF($O506="","",INDEX(Suivi!$E:$E,516))</f>
        <v/>
      </c>
      <c r="R506">
        <f>IF($O506="","",INDEX(Suivi!$F:$F,516))</f>
        <v/>
      </c>
      <c r="S506">
        <f>IF($O506="","",INDEX(Suivi!$G:$G,516))</f>
        <v/>
      </c>
      <c r="T506">
        <f>IF($O506="","",IF(INDEX(Dossiers!$F$4:$F$63,10)="","",INDEX(Dossiers!$F$4:$F$63,10)))</f>
        <v/>
      </c>
      <c r="U506">
        <f>IF($O506="","",IF(INDEX(Dossiers!$G$4:$G$63,10)="","",INDEX(Dossiers!$G$4:$G$63,10)))</f>
        <v/>
      </c>
      <c r="V506">
        <f>IF(OR($O506="",NOT(ISNUMBER($Q506))),"",$Q506*1000000+506)</f>
        <v/>
      </c>
      <c r="W506" s="29">
        <f>IF($B506="","",IFERROR(INDEX($U$4:$U$3183,MATCH(SMALL($V$4:$V$3183,503),$V$4:$V$3183,0)),""))</f>
        <v/>
      </c>
    </row>
    <row r="507">
      <c r="A507">
        <f>IFERROR(INDEX($N$4:$N$3183,MATCH(SMALL($V$4:$V$3183,504),$V$4:$V$3183,0)),"")</f>
        <v/>
      </c>
      <c r="B507">
        <f>IFERROR(INDEX($O$4:$O$3183,MATCH(SMALL($V$4:$V$3183,504),$V$4:$V$3183,0)),"")</f>
        <v/>
      </c>
      <c r="C507">
        <f>IFERROR(INDEX($P$4:$P$3183,MATCH(SMALL($V$4:$V$3183,504),$V$4:$V$3183,0)),"")</f>
        <v/>
      </c>
      <c r="D507" s="29">
        <f>IFERROR(INDEX($Q$4:$Q$3183,MATCH(SMALL($V$4:$V$3183,504),$V$4:$V$3183,0)),"")</f>
        <v/>
      </c>
      <c r="E507" s="29">
        <f>IFERROR(INDEX($R$4:$R$3183,MATCH(SMALL($V$4:$V$3183,504),$V$4:$V$3183,0)),"")</f>
        <v/>
      </c>
      <c r="F507">
        <f>IFERROR(INDEX($S$4:$S$3183,MATCH(SMALL($V$4:$V$3183,504),$V$4:$V$3183,0)),"")</f>
        <v/>
      </c>
      <c r="I507" s="29">
        <f>IF($B507="","",IFERROR(INDEX($U$4:$U$3183,MATCH(SMALL($V$4:$V$3183,504),$V$4:$V$3183,0)),""))</f>
        <v/>
      </c>
      <c r="J507">
        <f>IF($B507="","",IF($D507&gt;$F$2,"À venir",IF($E507&lt;$D$2,"Passé","Dans la période")))</f>
        <v/>
      </c>
      <c r="K507">
        <f>IF(OR($B507="",NOT(ISNUMBER($D507))),"",IF(AND($E507&lt;$D$2,$G507&lt;&gt;"X",$F507&lt;&gt;"Réalisé",$F507&lt;&gt;"Clôturé"),"RETARD",""))</f>
        <v/>
      </c>
      <c r="L507">
        <f>IF(OR($B507="",NOT(ISNUMBER($D507))),"",IF(AND($D507&gt;=$D$2,$D507&lt;=$H$2,$G507&lt;&gt;"X",$F507&lt;&gt;"Réalisé",$F507&lt;&gt;"Clôturé"),"≤ 7 j",""))</f>
        <v/>
      </c>
      <c r="M507" s="29">
        <f>IF($B507="","",IFERROR(INDEX($T$4:$T$3183,MATCH(SMALL($V$4:$V$3183,504),$V$4:$V$3183,0)),""))</f>
        <v/>
      </c>
      <c r="O507">
        <f>IF(INDEX(Suivi!$B:$B,517)="","",INDEX(Suivi!$B:$B,517))</f>
        <v/>
      </c>
      <c r="P507">
        <f>IF($O507="","",IF(INDEX(Suivi!$D:$D,517)="",INDEX(Suivi!$C:$C,517),INDEX(Suivi!$D:$D,517)))</f>
        <v/>
      </c>
      <c r="Q507">
        <f>IF($O507="","",INDEX(Suivi!$E:$E,517))</f>
        <v/>
      </c>
      <c r="R507">
        <f>IF($O507="","",INDEX(Suivi!$F:$F,517))</f>
        <v/>
      </c>
      <c r="S507">
        <f>IF($O507="","",INDEX(Suivi!$G:$G,517))</f>
        <v/>
      </c>
      <c r="T507">
        <f>IF($O507="","",IF(INDEX(Dossiers!$F$4:$F$63,10)="","",INDEX(Dossiers!$F$4:$F$63,10)))</f>
        <v/>
      </c>
      <c r="U507">
        <f>IF($O507="","",IF(INDEX(Dossiers!$G$4:$G$63,10)="","",INDEX(Dossiers!$G$4:$G$63,10)))</f>
        <v/>
      </c>
      <c r="V507">
        <f>IF(OR($O507="",NOT(ISNUMBER($Q507))),"",$Q507*1000000+507)</f>
        <v/>
      </c>
      <c r="W507" s="29">
        <f>IF($B507="","",IFERROR(INDEX($U$4:$U$3183,MATCH(SMALL($V$4:$V$3183,504),$V$4:$V$3183,0)),""))</f>
        <v/>
      </c>
    </row>
    <row r="508">
      <c r="A508">
        <f>IFERROR(INDEX($N$4:$N$3183,MATCH(SMALL($V$4:$V$3183,505),$V$4:$V$3183,0)),"")</f>
        <v/>
      </c>
      <c r="B508">
        <f>IFERROR(INDEX($O$4:$O$3183,MATCH(SMALL($V$4:$V$3183,505),$V$4:$V$3183,0)),"")</f>
        <v/>
      </c>
      <c r="C508">
        <f>IFERROR(INDEX($P$4:$P$3183,MATCH(SMALL($V$4:$V$3183,505),$V$4:$V$3183,0)),"")</f>
        <v/>
      </c>
      <c r="D508" s="29">
        <f>IFERROR(INDEX($Q$4:$Q$3183,MATCH(SMALL($V$4:$V$3183,505),$V$4:$V$3183,0)),"")</f>
        <v/>
      </c>
      <c r="E508" s="29">
        <f>IFERROR(INDEX($R$4:$R$3183,MATCH(SMALL($V$4:$V$3183,505),$V$4:$V$3183,0)),"")</f>
        <v/>
      </c>
      <c r="F508">
        <f>IFERROR(INDEX($S$4:$S$3183,MATCH(SMALL($V$4:$V$3183,505),$V$4:$V$3183,0)),"")</f>
        <v/>
      </c>
      <c r="I508" s="29">
        <f>IF($B508="","",IFERROR(INDEX($U$4:$U$3183,MATCH(SMALL($V$4:$V$3183,505),$V$4:$V$3183,0)),""))</f>
        <v/>
      </c>
      <c r="J508">
        <f>IF($B508="","",IF($D508&gt;$F$2,"À venir",IF($E508&lt;$D$2,"Passé","Dans la période")))</f>
        <v/>
      </c>
      <c r="K508">
        <f>IF(OR($B508="",NOT(ISNUMBER($D508))),"",IF(AND($E508&lt;$D$2,$G508&lt;&gt;"X",$F508&lt;&gt;"Réalisé",$F508&lt;&gt;"Clôturé"),"RETARD",""))</f>
        <v/>
      </c>
      <c r="L508">
        <f>IF(OR($B508="",NOT(ISNUMBER($D508))),"",IF(AND($D508&gt;=$D$2,$D508&lt;=$H$2,$G508&lt;&gt;"X",$F508&lt;&gt;"Réalisé",$F508&lt;&gt;"Clôturé"),"≤ 7 j",""))</f>
        <v/>
      </c>
      <c r="M508" s="29">
        <f>IF($B508="","",IFERROR(INDEX($T$4:$T$3183,MATCH(SMALL($V$4:$V$3183,505),$V$4:$V$3183,0)),""))</f>
        <v/>
      </c>
      <c r="O508">
        <f>IF(INDEX(Suivi!$B:$B,518)="","",INDEX(Suivi!$B:$B,518))</f>
        <v/>
      </c>
      <c r="P508">
        <f>IF($O508="","",IF(INDEX(Suivi!$D:$D,518)="",INDEX(Suivi!$C:$C,518),INDEX(Suivi!$D:$D,518)))</f>
        <v/>
      </c>
      <c r="Q508">
        <f>IF($O508="","",INDEX(Suivi!$E:$E,518))</f>
        <v/>
      </c>
      <c r="R508">
        <f>IF($O508="","",INDEX(Suivi!$F:$F,518))</f>
        <v/>
      </c>
      <c r="S508">
        <f>IF($O508="","",INDEX(Suivi!$G:$G,518))</f>
        <v/>
      </c>
      <c r="T508">
        <f>IF($O508="","",IF(INDEX(Dossiers!$F$4:$F$63,10)="","",INDEX(Dossiers!$F$4:$F$63,10)))</f>
        <v/>
      </c>
      <c r="U508">
        <f>IF($O508="","",IF(INDEX(Dossiers!$G$4:$G$63,10)="","",INDEX(Dossiers!$G$4:$G$63,10)))</f>
        <v/>
      </c>
      <c r="V508">
        <f>IF(OR($O508="",NOT(ISNUMBER($Q508))),"",$Q508*1000000+508)</f>
        <v/>
      </c>
      <c r="W508" s="29">
        <f>IF($B508="","",IFERROR(INDEX($U$4:$U$3183,MATCH(SMALL($V$4:$V$3183,505),$V$4:$V$3183,0)),""))</f>
        <v/>
      </c>
    </row>
    <row r="509">
      <c r="A509">
        <f>IFERROR(INDEX($N$4:$N$3183,MATCH(SMALL($V$4:$V$3183,506),$V$4:$V$3183,0)),"")</f>
        <v/>
      </c>
      <c r="B509">
        <f>IFERROR(INDEX($O$4:$O$3183,MATCH(SMALL($V$4:$V$3183,506),$V$4:$V$3183,0)),"")</f>
        <v/>
      </c>
      <c r="C509">
        <f>IFERROR(INDEX($P$4:$P$3183,MATCH(SMALL($V$4:$V$3183,506),$V$4:$V$3183,0)),"")</f>
        <v/>
      </c>
      <c r="D509" s="29">
        <f>IFERROR(INDEX($Q$4:$Q$3183,MATCH(SMALL($V$4:$V$3183,506),$V$4:$V$3183,0)),"")</f>
        <v/>
      </c>
      <c r="E509" s="29">
        <f>IFERROR(INDEX($R$4:$R$3183,MATCH(SMALL($V$4:$V$3183,506),$V$4:$V$3183,0)),"")</f>
        <v/>
      </c>
      <c r="F509">
        <f>IFERROR(INDEX($S$4:$S$3183,MATCH(SMALL($V$4:$V$3183,506),$V$4:$V$3183,0)),"")</f>
        <v/>
      </c>
      <c r="I509" s="29">
        <f>IF($B509="","",IFERROR(INDEX($U$4:$U$3183,MATCH(SMALL($V$4:$V$3183,506),$V$4:$V$3183,0)),""))</f>
        <v/>
      </c>
      <c r="J509">
        <f>IF($B509="","",IF($D509&gt;$F$2,"À venir",IF($E509&lt;$D$2,"Passé","Dans la période")))</f>
        <v/>
      </c>
      <c r="K509">
        <f>IF(OR($B509="",NOT(ISNUMBER($D509))),"",IF(AND($E509&lt;$D$2,$G509&lt;&gt;"X",$F509&lt;&gt;"Réalisé",$F509&lt;&gt;"Clôturé"),"RETARD",""))</f>
        <v/>
      </c>
      <c r="L509">
        <f>IF(OR($B509="",NOT(ISNUMBER($D509))),"",IF(AND($D509&gt;=$D$2,$D509&lt;=$H$2,$G509&lt;&gt;"X",$F509&lt;&gt;"Réalisé",$F509&lt;&gt;"Clôturé"),"≤ 7 j",""))</f>
        <v/>
      </c>
      <c r="M509" s="29">
        <f>IF($B509="","",IFERROR(INDEX($T$4:$T$3183,MATCH(SMALL($V$4:$V$3183,506),$V$4:$V$3183,0)),""))</f>
        <v/>
      </c>
      <c r="O509">
        <f>IF(INDEX(Suivi!$B:$B,519)="","",INDEX(Suivi!$B:$B,519))</f>
        <v/>
      </c>
      <c r="P509">
        <f>IF($O509="","",IF(INDEX(Suivi!$D:$D,519)="",INDEX(Suivi!$C:$C,519),INDEX(Suivi!$D:$D,519)))</f>
        <v/>
      </c>
      <c r="Q509">
        <f>IF($O509="","",INDEX(Suivi!$E:$E,519))</f>
        <v/>
      </c>
      <c r="R509">
        <f>IF($O509="","",INDEX(Suivi!$F:$F,519))</f>
        <v/>
      </c>
      <c r="S509">
        <f>IF($O509="","",INDEX(Suivi!$G:$G,519))</f>
        <v/>
      </c>
      <c r="T509">
        <f>IF($O509="","",IF(INDEX(Dossiers!$F$4:$F$63,10)="","",INDEX(Dossiers!$F$4:$F$63,10)))</f>
        <v/>
      </c>
      <c r="U509">
        <f>IF($O509="","",IF(INDEX(Dossiers!$G$4:$G$63,10)="","",INDEX(Dossiers!$G$4:$G$63,10)))</f>
        <v/>
      </c>
      <c r="V509">
        <f>IF(OR($O509="",NOT(ISNUMBER($Q509))),"",$Q509*1000000+509)</f>
        <v/>
      </c>
      <c r="W509" s="29">
        <f>IF($B509="","",IFERROR(INDEX($U$4:$U$3183,MATCH(SMALL($V$4:$V$3183,506),$V$4:$V$3183,0)),""))</f>
        <v/>
      </c>
    </row>
    <row r="510">
      <c r="A510">
        <f>IFERROR(INDEX($N$4:$N$3183,MATCH(SMALL($V$4:$V$3183,507),$V$4:$V$3183,0)),"")</f>
        <v/>
      </c>
      <c r="B510">
        <f>IFERROR(INDEX($O$4:$O$3183,MATCH(SMALL($V$4:$V$3183,507),$V$4:$V$3183,0)),"")</f>
        <v/>
      </c>
      <c r="C510">
        <f>IFERROR(INDEX($P$4:$P$3183,MATCH(SMALL($V$4:$V$3183,507),$V$4:$V$3183,0)),"")</f>
        <v/>
      </c>
      <c r="D510" s="29">
        <f>IFERROR(INDEX($Q$4:$Q$3183,MATCH(SMALL($V$4:$V$3183,507),$V$4:$V$3183,0)),"")</f>
        <v/>
      </c>
      <c r="E510" s="29">
        <f>IFERROR(INDEX($R$4:$R$3183,MATCH(SMALL($V$4:$V$3183,507),$V$4:$V$3183,0)),"")</f>
        <v/>
      </c>
      <c r="F510">
        <f>IFERROR(INDEX($S$4:$S$3183,MATCH(SMALL($V$4:$V$3183,507),$V$4:$V$3183,0)),"")</f>
        <v/>
      </c>
      <c r="I510" s="29">
        <f>IF($B510="","",IFERROR(INDEX($U$4:$U$3183,MATCH(SMALL($V$4:$V$3183,507),$V$4:$V$3183,0)),""))</f>
        <v/>
      </c>
      <c r="J510">
        <f>IF($B510="","",IF($D510&gt;$F$2,"À venir",IF($E510&lt;$D$2,"Passé","Dans la période")))</f>
        <v/>
      </c>
      <c r="K510">
        <f>IF(OR($B510="",NOT(ISNUMBER($D510))),"",IF(AND($E510&lt;$D$2,$G510&lt;&gt;"X",$F510&lt;&gt;"Réalisé",$F510&lt;&gt;"Clôturé"),"RETARD",""))</f>
        <v/>
      </c>
      <c r="L510">
        <f>IF(OR($B510="",NOT(ISNUMBER($D510))),"",IF(AND($D510&gt;=$D$2,$D510&lt;=$H$2,$G510&lt;&gt;"X",$F510&lt;&gt;"Réalisé",$F510&lt;&gt;"Clôturé"),"≤ 7 j",""))</f>
        <v/>
      </c>
      <c r="M510" s="29">
        <f>IF($B510="","",IFERROR(INDEX($T$4:$T$3183,MATCH(SMALL($V$4:$V$3183,507),$V$4:$V$3183,0)),""))</f>
        <v/>
      </c>
      <c r="O510">
        <f>IF(INDEX(Suivi!$B:$B,520)="","",INDEX(Suivi!$B:$B,520))</f>
        <v/>
      </c>
      <c r="P510">
        <f>IF($O510="","",IF(INDEX(Suivi!$D:$D,520)="",INDEX(Suivi!$C:$C,520),INDEX(Suivi!$D:$D,520)))</f>
        <v/>
      </c>
      <c r="Q510">
        <f>IF($O510="","",INDEX(Suivi!$E:$E,520))</f>
        <v/>
      </c>
      <c r="R510">
        <f>IF($O510="","",INDEX(Suivi!$F:$F,520))</f>
        <v/>
      </c>
      <c r="S510">
        <f>IF($O510="","",INDEX(Suivi!$G:$G,520))</f>
        <v/>
      </c>
      <c r="T510">
        <f>IF($O510="","",IF(INDEX(Dossiers!$F$4:$F$63,10)="","",INDEX(Dossiers!$F$4:$F$63,10)))</f>
        <v/>
      </c>
      <c r="U510">
        <f>IF($O510="","",IF(INDEX(Dossiers!$G$4:$G$63,10)="","",INDEX(Dossiers!$G$4:$G$63,10)))</f>
        <v/>
      </c>
      <c r="V510">
        <f>IF(OR($O510="",NOT(ISNUMBER($Q510))),"",$Q510*1000000+510)</f>
        <v/>
      </c>
      <c r="W510" s="29">
        <f>IF($B510="","",IFERROR(INDEX($U$4:$U$3183,MATCH(SMALL($V$4:$V$3183,507),$V$4:$V$3183,0)),""))</f>
        <v/>
      </c>
    </row>
    <row r="511">
      <c r="A511">
        <f>IFERROR(INDEX($N$4:$N$3183,MATCH(SMALL($V$4:$V$3183,508),$V$4:$V$3183,0)),"")</f>
        <v/>
      </c>
      <c r="B511">
        <f>IFERROR(INDEX($O$4:$O$3183,MATCH(SMALL($V$4:$V$3183,508),$V$4:$V$3183,0)),"")</f>
        <v/>
      </c>
      <c r="C511">
        <f>IFERROR(INDEX($P$4:$P$3183,MATCH(SMALL($V$4:$V$3183,508),$V$4:$V$3183,0)),"")</f>
        <v/>
      </c>
      <c r="D511" s="29">
        <f>IFERROR(INDEX($Q$4:$Q$3183,MATCH(SMALL($V$4:$V$3183,508),$V$4:$V$3183,0)),"")</f>
        <v/>
      </c>
      <c r="E511" s="29">
        <f>IFERROR(INDEX($R$4:$R$3183,MATCH(SMALL($V$4:$V$3183,508),$V$4:$V$3183,0)),"")</f>
        <v/>
      </c>
      <c r="F511">
        <f>IFERROR(INDEX($S$4:$S$3183,MATCH(SMALL($V$4:$V$3183,508),$V$4:$V$3183,0)),"")</f>
        <v/>
      </c>
      <c r="I511" s="29">
        <f>IF($B511="","",IFERROR(INDEX($U$4:$U$3183,MATCH(SMALL($V$4:$V$3183,508),$V$4:$V$3183,0)),""))</f>
        <v/>
      </c>
      <c r="J511">
        <f>IF($B511="","",IF($D511&gt;$F$2,"À venir",IF($E511&lt;$D$2,"Passé","Dans la période")))</f>
        <v/>
      </c>
      <c r="K511">
        <f>IF(OR($B511="",NOT(ISNUMBER($D511))),"",IF(AND($E511&lt;$D$2,$G511&lt;&gt;"X",$F511&lt;&gt;"Réalisé",$F511&lt;&gt;"Clôturé"),"RETARD",""))</f>
        <v/>
      </c>
      <c r="L511">
        <f>IF(OR($B511="",NOT(ISNUMBER($D511))),"",IF(AND($D511&gt;=$D$2,$D511&lt;=$H$2,$G511&lt;&gt;"X",$F511&lt;&gt;"Réalisé",$F511&lt;&gt;"Clôturé"),"≤ 7 j",""))</f>
        <v/>
      </c>
      <c r="M511" s="29">
        <f>IF($B511="","",IFERROR(INDEX($T$4:$T$3183,MATCH(SMALL($V$4:$V$3183,508),$V$4:$V$3183,0)),""))</f>
        <v/>
      </c>
      <c r="O511">
        <f>IF(INDEX(Suivi!$B:$B,521)="","",INDEX(Suivi!$B:$B,521))</f>
        <v/>
      </c>
      <c r="P511">
        <f>IF($O511="","",IF(INDEX(Suivi!$D:$D,521)="",INDEX(Suivi!$C:$C,521),INDEX(Suivi!$D:$D,521)))</f>
        <v/>
      </c>
      <c r="Q511">
        <f>IF($O511="","",INDEX(Suivi!$E:$E,521))</f>
        <v/>
      </c>
      <c r="R511">
        <f>IF($O511="","",INDEX(Suivi!$F:$F,521))</f>
        <v/>
      </c>
      <c r="S511">
        <f>IF($O511="","",INDEX(Suivi!$G:$G,521))</f>
        <v/>
      </c>
      <c r="T511">
        <f>IF($O511="","",IF(INDEX(Dossiers!$F$4:$F$63,10)="","",INDEX(Dossiers!$F$4:$F$63,10)))</f>
        <v/>
      </c>
      <c r="U511">
        <f>IF($O511="","",IF(INDEX(Dossiers!$G$4:$G$63,10)="","",INDEX(Dossiers!$G$4:$G$63,10)))</f>
        <v/>
      </c>
      <c r="V511">
        <f>IF(OR($O511="",NOT(ISNUMBER($Q511))),"",$Q511*1000000+511)</f>
        <v/>
      </c>
      <c r="W511" s="29">
        <f>IF($B511="","",IFERROR(INDEX($U$4:$U$3183,MATCH(SMALL($V$4:$V$3183,508),$V$4:$V$3183,0)),""))</f>
        <v/>
      </c>
    </row>
    <row r="512">
      <c r="A512">
        <f>IFERROR(INDEX($N$4:$N$3183,MATCH(SMALL($V$4:$V$3183,509),$V$4:$V$3183,0)),"")</f>
        <v/>
      </c>
      <c r="B512">
        <f>IFERROR(INDEX($O$4:$O$3183,MATCH(SMALL($V$4:$V$3183,509),$V$4:$V$3183,0)),"")</f>
        <v/>
      </c>
      <c r="C512">
        <f>IFERROR(INDEX($P$4:$P$3183,MATCH(SMALL($V$4:$V$3183,509),$V$4:$V$3183,0)),"")</f>
        <v/>
      </c>
      <c r="D512" s="29">
        <f>IFERROR(INDEX($Q$4:$Q$3183,MATCH(SMALL($V$4:$V$3183,509),$V$4:$V$3183,0)),"")</f>
        <v/>
      </c>
      <c r="E512" s="29">
        <f>IFERROR(INDEX($R$4:$R$3183,MATCH(SMALL($V$4:$V$3183,509),$V$4:$V$3183,0)),"")</f>
        <v/>
      </c>
      <c r="F512">
        <f>IFERROR(INDEX($S$4:$S$3183,MATCH(SMALL($V$4:$V$3183,509),$V$4:$V$3183,0)),"")</f>
        <v/>
      </c>
      <c r="I512" s="29">
        <f>IF($B512="","",IFERROR(INDEX($U$4:$U$3183,MATCH(SMALL($V$4:$V$3183,509),$V$4:$V$3183,0)),""))</f>
        <v/>
      </c>
      <c r="J512">
        <f>IF($B512="","",IF($D512&gt;$F$2,"À venir",IF($E512&lt;$D$2,"Passé","Dans la période")))</f>
        <v/>
      </c>
      <c r="K512">
        <f>IF(OR($B512="",NOT(ISNUMBER($D512))),"",IF(AND($E512&lt;$D$2,$G512&lt;&gt;"X",$F512&lt;&gt;"Réalisé",$F512&lt;&gt;"Clôturé"),"RETARD",""))</f>
        <v/>
      </c>
      <c r="L512">
        <f>IF(OR($B512="",NOT(ISNUMBER($D512))),"",IF(AND($D512&gt;=$D$2,$D512&lt;=$H$2,$G512&lt;&gt;"X",$F512&lt;&gt;"Réalisé",$F512&lt;&gt;"Clôturé"),"≤ 7 j",""))</f>
        <v/>
      </c>
      <c r="M512" s="29">
        <f>IF($B512="","",IFERROR(INDEX($T$4:$T$3183,MATCH(SMALL($V$4:$V$3183,509),$V$4:$V$3183,0)),""))</f>
        <v/>
      </c>
      <c r="O512">
        <f>IF(INDEX(Suivi!$B:$B,522)="","",INDEX(Suivi!$B:$B,522))</f>
        <v/>
      </c>
      <c r="P512">
        <f>IF($O512="","",IF(INDEX(Suivi!$D:$D,522)="",INDEX(Suivi!$C:$C,522),INDEX(Suivi!$D:$D,522)))</f>
        <v/>
      </c>
      <c r="Q512">
        <f>IF($O512="","",INDEX(Suivi!$E:$E,522))</f>
        <v/>
      </c>
      <c r="R512">
        <f>IF($O512="","",INDEX(Suivi!$F:$F,522))</f>
        <v/>
      </c>
      <c r="S512">
        <f>IF($O512="","",INDEX(Suivi!$G:$G,522))</f>
        <v/>
      </c>
      <c r="T512">
        <f>IF($O512="","",IF(INDEX(Dossiers!$F$4:$F$63,10)="","",INDEX(Dossiers!$F$4:$F$63,10)))</f>
        <v/>
      </c>
      <c r="U512">
        <f>IF($O512="","",IF(INDEX(Dossiers!$G$4:$G$63,10)="","",INDEX(Dossiers!$G$4:$G$63,10)))</f>
        <v/>
      </c>
      <c r="V512">
        <f>IF(OR($O512="",NOT(ISNUMBER($Q512))),"",$Q512*1000000+512)</f>
        <v/>
      </c>
      <c r="W512" s="29">
        <f>IF($B512="","",IFERROR(INDEX($U$4:$U$3183,MATCH(SMALL($V$4:$V$3183,509),$V$4:$V$3183,0)),""))</f>
        <v/>
      </c>
    </row>
    <row r="513">
      <c r="A513">
        <f>IFERROR(INDEX($N$4:$N$3183,MATCH(SMALL($V$4:$V$3183,510),$V$4:$V$3183,0)),"")</f>
        <v/>
      </c>
      <c r="B513">
        <f>IFERROR(INDEX($O$4:$O$3183,MATCH(SMALL($V$4:$V$3183,510),$V$4:$V$3183,0)),"")</f>
        <v/>
      </c>
      <c r="C513">
        <f>IFERROR(INDEX($P$4:$P$3183,MATCH(SMALL($V$4:$V$3183,510),$V$4:$V$3183,0)),"")</f>
        <v/>
      </c>
      <c r="D513" s="29">
        <f>IFERROR(INDEX($Q$4:$Q$3183,MATCH(SMALL($V$4:$V$3183,510),$V$4:$V$3183,0)),"")</f>
        <v/>
      </c>
      <c r="E513" s="29">
        <f>IFERROR(INDEX($R$4:$R$3183,MATCH(SMALL($V$4:$V$3183,510),$V$4:$V$3183,0)),"")</f>
        <v/>
      </c>
      <c r="F513">
        <f>IFERROR(INDEX($S$4:$S$3183,MATCH(SMALL($V$4:$V$3183,510),$V$4:$V$3183,0)),"")</f>
        <v/>
      </c>
      <c r="I513" s="29">
        <f>IF($B513="","",IFERROR(INDEX($U$4:$U$3183,MATCH(SMALL($V$4:$V$3183,510),$V$4:$V$3183,0)),""))</f>
        <v/>
      </c>
      <c r="J513">
        <f>IF($B513="","",IF($D513&gt;$F$2,"À venir",IF($E513&lt;$D$2,"Passé","Dans la période")))</f>
        <v/>
      </c>
      <c r="K513">
        <f>IF(OR($B513="",NOT(ISNUMBER($D513))),"",IF(AND($E513&lt;$D$2,$G513&lt;&gt;"X",$F513&lt;&gt;"Réalisé",$F513&lt;&gt;"Clôturé"),"RETARD",""))</f>
        <v/>
      </c>
      <c r="L513">
        <f>IF(OR($B513="",NOT(ISNUMBER($D513))),"",IF(AND($D513&gt;=$D$2,$D513&lt;=$H$2,$G513&lt;&gt;"X",$F513&lt;&gt;"Réalisé",$F513&lt;&gt;"Clôturé"),"≤ 7 j",""))</f>
        <v/>
      </c>
      <c r="M513" s="29">
        <f>IF($B513="","",IFERROR(INDEX($T$4:$T$3183,MATCH(SMALL($V$4:$V$3183,510),$V$4:$V$3183,0)),""))</f>
        <v/>
      </c>
      <c r="O513">
        <f>IF(INDEX(Suivi!$B:$B,523)="","",INDEX(Suivi!$B:$B,523))</f>
        <v/>
      </c>
      <c r="P513">
        <f>IF($O513="","",IF(INDEX(Suivi!$D:$D,523)="",INDEX(Suivi!$C:$C,523),INDEX(Suivi!$D:$D,523)))</f>
        <v/>
      </c>
      <c r="Q513">
        <f>IF($O513="","",INDEX(Suivi!$E:$E,523))</f>
        <v/>
      </c>
      <c r="R513">
        <f>IF($O513="","",INDEX(Suivi!$F:$F,523))</f>
        <v/>
      </c>
      <c r="S513">
        <f>IF($O513="","",INDEX(Suivi!$G:$G,523))</f>
        <v/>
      </c>
      <c r="T513">
        <f>IF($O513="","",IF(INDEX(Dossiers!$F$4:$F$63,10)="","",INDEX(Dossiers!$F$4:$F$63,10)))</f>
        <v/>
      </c>
      <c r="U513">
        <f>IF($O513="","",IF(INDEX(Dossiers!$G$4:$G$63,10)="","",INDEX(Dossiers!$G$4:$G$63,10)))</f>
        <v/>
      </c>
      <c r="V513">
        <f>IF(OR($O513="",NOT(ISNUMBER($Q513))),"",$Q513*1000000+513)</f>
        <v/>
      </c>
      <c r="W513" s="29">
        <f>IF($B513="","",IFERROR(INDEX($U$4:$U$3183,MATCH(SMALL($V$4:$V$3183,510),$V$4:$V$3183,0)),""))</f>
        <v/>
      </c>
    </row>
    <row r="514">
      <c r="A514">
        <f>IFERROR(INDEX($N$4:$N$3183,MATCH(SMALL($V$4:$V$3183,511),$V$4:$V$3183,0)),"")</f>
        <v/>
      </c>
      <c r="B514">
        <f>IFERROR(INDEX($O$4:$O$3183,MATCH(SMALL($V$4:$V$3183,511),$V$4:$V$3183,0)),"")</f>
        <v/>
      </c>
      <c r="C514">
        <f>IFERROR(INDEX($P$4:$P$3183,MATCH(SMALL($V$4:$V$3183,511),$V$4:$V$3183,0)),"")</f>
        <v/>
      </c>
      <c r="D514" s="29">
        <f>IFERROR(INDEX($Q$4:$Q$3183,MATCH(SMALL($V$4:$V$3183,511),$V$4:$V$3183,0)),"")</f>
        <v/>
      </c>
      <c r="E514" s="29">
        <f>IFERROR(INDEX($R$4:$R$3183,MATCH(SMALL($V$4:$V$3183,511),$V$4:$V$3183,0)),"")</f>
        <v/>
      </c>
      <c r="F514">
        <f>IFERROR(INDEX($S$4:$S$3183,MATCH(SMALL($V$4:$V$3183,511),$V$4:$V$3183,0)),"")</f>
        <v/>
      </c>
      <c r="I514" s="29">
        <f>IF($B514="","",IFERROR(INDEX($U$4:$U$3183,MATCH(SMALL($V$4:$V$3183,511),$V$4:$V$3183,0)),""))</f>
        <v/>
      </c>
      <c r="J514">
        <f>IF($B514="","",IF($D514&gt;$F$2,"À venir",IF($E514&lt;$D$2,"Passé","Dans la période")))</f>
        <v/>
      </c>
      <c r="K514">
        <f>IF(OR($B514="",NOT(ISNUMBER($D514))),"",IF(AND($E514&lt;$D$2,$G514&lt;&gt;"X",$F514&lt;&gt;"Réalisé",$F514&lt;&gt;"Clôturé"),"RETARD",""))</f>
        <v/>
      </c>
      <c r="L514">
        <f>IF(OR($B514="",NOT(ISNUMBER($D514))),"",IF(AND($D514&gt;=$D$2,$D514&lt;=$H$2,$G514&lt;&gt;"X",$F514&lt;&gt;"Réalisé",$F514&lt;&gt;"Clôturé"),"≤ 7 j",""))</f>
        <v/>
      </c>
      <c r="M514" s="29">
        <f>IF($B514="","",IFERROR(INDEX($T$4:$T$3183,MATCH(SMALL($V$4:$V$3183,511),$V$4:$V$3183,0)),""))</f>
        <v/>
      </c>
      <c r="O514">
        <f>IF(INDEX(Suivi!$B:$B,524)="","",INDEX(Suivi!$B:$B,524))</f>
        <v/>
      </c>
      <c r="P514">
        <f>IF($O514="","",IF(INDEX(Suivi!$D:$D,524)="",INDEX(Suivi!$C:$C,524),INDEX(Suivi!$D:$D,524)))</f>
        <v/>
      </c>
      <c r="Q514">
        <f>IF($O514="","",INDEX(Suivi!$E:$E,524))</f>
        <v/>
      </c>
      <c r="R514">
        <f>IF($O514="","",INDEX(Suivi!$F:$F,524))</f>
        <v/>
      </c>
      <c r="S514">
        <f>IF($O514="","",INDEX(Suivi!$G:$G,524))</f>
        <v/>
      </c>
      <c r="T514">
        <f>IF($O514="","",IF(INDEX(Dossiers!$F$4:$F$63,10)="","",INDEX(Dossiers!$F$4:$F$63,10)))</f>
        <v/>
      </c>
      <c r="U514">
        <f>IF($O514="","",IF(INDEX(Dossiers!$G$4:$G$63,10)="","",INDEX(Dossiers!$G$4:$G$63,10)))</f>
        <v/>
      </c>
      <c r="V514">
        <f>IF(OR($O514="",NOT(ISNUMBER($Q514))),"",$Q514*1000000+514)</f>
        <v/>
      </c>
      <c r="W514" s="29">
        <f>IF($B514="","",IFERROR(INDEX($U$4:$U$3183,MATCH(SMALL($V$4:$V$3183,511),$V$4:$V$3183,0)),""))</f>
        <v/>
      </c>
    </row>
    <row r="515">
      <c r="A515">
        <f>IFERROR(INDEX($N$4:$N$3183,MATCH(SMALL($V$4:$V$3183,512),$V$4:$V$3183,0)),"")</f>
        <v/>
      </c>
      <c r="B515">
        <f>IFERROR(INDEX($O$4:$O$3183,MATCH(SMALL($V$4:$V$3183,512),$V$4:$V$3183,0)),"")</f>
        <v/>
      </c>
      <c r="C515">
        <f>IFERROR(INDEX($P$4:$P$3183,MATCH(SMALL($V$4:$V$3183,512),$V$4:$V$3183,0)),"")</f>
        <v/>
      </c>
      <c r="D515" s="29">
        <f>IFERROR(INDEX($Q$4:$Q$3183,MATCH(SMALL($V$4:$V$3183,512),$V$4:$V$3183,0)),"")</f>
        <v/>
      </c>
      <c r="E515" s="29">
        <f>IFERROR(INDEX($R$4:$R$3183,MATCH(SMALL($V$4:$V$3183,512),$V$4:$V$3183,0)),"")</f>
        <v/>
      </c>
      <c r="F515">
        <f>IFERROR(INDEX($S$4:$S$3183,MATCH(SMALL($V$4:$V$3183,512),$V$4:$V$3183,0)),"")</f>
        <v/>
      </c>
      <c r="I515" s="29">
        <f>IF($B515="","",IFERROR(INDEX($U$4:$U$3183,MATCH(SMALL($V$4:$V$3183,512),$V$4:$V$3183,0)),""))</f>
        <v/>
      </c>
      <c r="J515">
        <f>IF($B515="","",IF($D515&gt;$F$2,"À venir",IF($E515&lt;$D$2,"Passé","Dans la période")))</f>
        <v/>
      </c>
      <c r="K515">
        <f>IF(OR($B515="",NOT(ISNUMBER($D515))),"",IF(AND($E515&lt;$D$2,$G515&lt;&gt;"X",$F515&lt;&gt;"Réalisé",$F515&lt;&gt;"Clôturé"),"RETARD",""))</f>
        <v/>
      </c>
      <c r="L515">
        <f>IF(OR($B515="",NOT(ISNUMBER($D515))),"",IF(AND($D515&gt;=$D$2,$D515&lt;=$H$2,$G515&lt;&gt;"X",$F515&lt;&gt;"Réalisé",$F515&lt;&gt;"Clôturé"),"≤ 7 j",""))</f>
        <v/>
      </c>
      <c r="M515" s="29">
        <f>IF($B515="","",IFERROR(INDEX($T$4:$T$3183,MATCH(SMALL($V$4:$V$3183,512),$V$4:$V$3183,0)),""))</f>
        <v/>
      </c>
      <c r="O515">
        <f>IF(INDEX(Suivi!$B:$B,525)="","",INDEX(Suivi!$B:$B,525))</f>
        <v/>
      </c>
      <c r="P515">
        <f>IF($O515="","",IF(INDEX(Suivi!$D:$D,525)="",INDEX(Suivi!$C:$C,525),INDEX(Suivi!$D:$D,525)))</f>
        <v/>
      </c>
      <c r="Q515">
        <f>IF($O515="","",INDEX(Suivi!$E:$E,525))</f>
        <v/>
      </c>
      <c r="R515">
        <f>IF($O515="","",INDEX(Suivi!$F:$F,525))</f>
        <v/>
      </c>
      <c r="S515">
        <f>IF($O515="","",INDEX(Suivi!$G:$G,525))</f>
        <v/>
      </c>
      <c r="T515">
        <f>IF($O515="","",IF(INDEX(Dossiers!$F$4:$F$63,10)="","",INDEX(Dossiers!$F$4:$F$63,10)))</f>
        <v/>
      </c>
      <c r="U515">
        <f>IF($O515="","",IF(INDEX(Dossiers!$G$4:$G$63,10)="","",INDEX(Dossiers!$G$4:$G$63,10)))</f>
        <v/>
      </c>
      <c r="V515">
        <f>IF(OR($O515="",NOT(ISNUMBER($Q515))),"",$Q515*1000000+515)</f>
        <v/>
      </c>
      <c r="W515" s="29">
        <f>IF($B515="","",IFERROR(INDEX($U$4:$U$3183,MATCH(SMALL($V$4:$V$3183,512),$V$4:$V$3183,0)),""))</f>
        <v/>
      </c>
    </row>
    <row r="516">
      <c r="A516">
        <f>IFERROR(INDEX($N$4:$N$3183,MATCH(SMALL($V$4:$V$3183,513),$V$4:$V$3183,0)),"")</f>
        <v/>
      </c>
      <c r="B516">
        <f>IFERROR(INDEX($O$4:$O$3183,MATCH(SMALL($V$4:$V$3183,513),$V$4:$V$3183,0)),"")</f>
        <v/>
      </c>
      <c r="C516">
        <f>IFERROR(INDEX($P$4:$P$3183,MATCH(SMALL($V$4:$V$3183,513),$V$4:$V$3183,0)),"")</f>
        <v/>
      </c>
      <c r="D516" s="29">
        <f>IFERROR(INDEX($Q$4:$Q$3183,MATCH(SMALL($V$4:$V$3183,513),$V$4:$V$3183,0)),"")</f>
        <v/>
      </c>
      <c r="E516" s="29">
        <f>IFERROR(INDEX($R$4:$R$3183,MATCH(SMALL($V$4:$V$3183,513),$V$4:$V$3183,0)),"")</f>
        <v/>
      </c>
      <c r="F516">
        <f>IFERROR(INDEX($S$4:$S$3183,MATCH(SMALL($V$4:$V$3183,513),$V$4:$V$3183,0)),"")</f>
        <v/>
      </c>
      <c r="I516" s="29">
        <f>IF($B516="","",IFERROR(INDEX($U$4:$U$3183,MATCH(SMALL($V$4:$V$3183,513),$V$4:$V$3183,0)),""))</f>
        <v/>
      </c>
      <c r="J516">
        <f>IF($B516="","",IF($D516&gt;$F$2,"À venir",IF($E516&lt;$D$2,"Passé","Dans la période")))</f>
        <v/>
      </c>
      <c r="K516">
        <f>IF(OR($B516="",NOT(ISNUMBER($D516))),"",IF(AND($E516&lt;$D$2,$G516&lt;&gt;"X",$F516&lt;&gt;"Réalisé",$F516&lt;&gt;"Clôturé"),"RETARD",""))</f>
        <v/>
      </c>
      <c r="L516">
        <f>IF(OR($B516="",NOT(ISNUMBER($D516))),"",IF(AND($D516&gt;=$D$2,$D516&lt;=$H$2,$G516&lt;&gt;"X",$F516&lt;&gt;"Réalisé",$F516&lt;&gt;"Clôturé"),"≤ 7 j",""))</f>
        <v/>
      </c>
      <c r="M516" s="29">
        <f>IF($B516="","",IFERROR(INDEX($T$4:$T$3183,MATCH(SMALL($V$4:$V$3183,513),$V$4:$V$3183,0)),""))</f>
        <v/>
      </c>
      <c r="O516">
        <f>IF(INDEX(Suivi!$B:$B,526)="","",INDEX(Suivi!$B:$B,526))</f>
        <v/>
      </c>
      <c r="P516">
        <f>IF($O516="","",IF(INDEX(Suivi!$D:$D,526)="",INDEX(Suivi!$C:$C,526),INDEX(Suivi!$D:$D,526)))</f>
        <v/>
      </c>
      <c r="Q516">
        <f>IF($O516="","",INDEX(Suivi!$E:$E,526))</f>
        <v/>
      </c>
      <c r="R516">
        <f>IF($O516="","",INDEX(Suivi!$F:$F,526))</f>
        <v/>
      </c>
      <c r="S516">
        <f>IF($O516="","",INDEX(Suivi!$G:$G,526))</f>
        <v/>
      </c>
      <c r="T516">
        <f>IF($O516="","",IF(INDEX(Dossiers!$F$4:$F$63,10)="","",INDEX(Dossiers!$F$4:$F$63,10)))</f>
        <v/>
      </c>
      <c r="U516">
        <f>IF($O516="","",IF(INDEX(Dossiers!$G$4:$G$63,10)="","",INDEX(Dossiers!$G$4:$G$63,10)))</f>
        <v/>
      </c>
      <c r="V516">
        <f>IF(OR($O516="",NOT(ISNUMBER($Q516))),"",$Q516*1000000+516)</f>
        <v/>
      </c>
      <c r="W516" s="29">
        <f>IF($B516="","",IFERROR(INDEX($U$4:$U$3183,MATCH(SMALL($V$4:$V$3183,513),$V$4:$V$3183,0)),""))</f>
        <v/>
      </c>
    </row>
    <row r="517">
      <c r="A517">
        <f>IFERROR(INDEX($N$4:$N$3183,MATCH(SMALL($V$4:$V$3183,514),$V$4:$V$3183,0)),"")</f>
        <v/>
      </c>
      <c r="B517">
        <f>IFERROR(INDEX($O$4:$O$3183,MATCH(SMALL($V$4:$V$3183,514),$V$4:$V$3183,0)),"")</f>
        <v/>
      </c>
      <c r="C517">
        <f>IFERROR(INDEX($P$4:$P$3183,MATCH(SMALL($V$4:$V$3183,514),$V$4:$V$3183,0)),"")</f>
        <v/>
      </c>
      <c r="D517" s="29">
        <f>IFERROR(INDEX($Q$4:$Q$3183,MATCH(SMALL($V$4:$V$3183,514),$V$4:$V$3183,0)),"")</f>
        <v/>
      </c>
      <c r="E517" s="29">
        <f>IFERROR(INDEX($R$4:$R$3183,MATCH(SMALL($V$4:$V$3183,514),$V$4:$V$3183,0)),"")</f>
        <v/>
      </c>
      <c r="F517">
        <f>IFERROR(INDEX($S$4:$S$3183,MATCH(SMALL($V$4:$V$3183,514),$V$4:$V$3183,0)),"")</f>
        <v/>
      </c>
      <c r="I517" s="29">
        <f>IF($B517="","",IFERROR(INDEX($U$4:$U$3183,MATCH(SMALL($V$4:$V$3183,514),$V$4:$V$3183,0)),""))</f>
        <v/>
      </c>
      <c r="J517">
        <f>IF($B517="","",IF($D517&gt;$F$2,"À venir",IF($E517&lt;$D$2,"Passé","Dans la période")))</f>
        <v/>
      </c>
      <c r="K517">
        <f>IF(OR($B517="",NOT(ISNUMBER($D517))),"",IF(AND($E517&lt;$D$2,$G517&lt;&gt;"X",$F517&lt;&gt;"Réalisé",$F517&lt;&gt;"Clôturé"),"RETARD",""))</f>
        <v/>
      </c>
      <c r="L517">
        <f>IF(OR($B517="",NOT(ISNUMBER($D517))),"",IF(AND($D517&gt;=$D$2,$D517&lt;=$H$2,$G517&lt;&gt;"X",$F517&lt;&gt;"Réalisé",$F517&lt;&gt;"Clôturé"),"≤ 7 j",""))</f>
        <v/>
      </c>
      <c r="M517" s="29">
        <f>IF($B517="","",IFERROR(INDEX($T$4:$T$3183,MATCH(SMALL($V$4:$V$3183,514),$V$4:$V$3183,0)),""))</f>
        <v/>
      </c>
      <c r="O517">
        <f>IF(INDEX(Suivi!$B:$B,527)="","",INDEX(Suivi!$B:$B,527))</f>
        <v/>
      </c>
      <c r="P517">
        <f>IF($O517="","",IF(INDEX(Suivi!$D:$D,527)="",INDEX(Suivi!$C:$C,527),INDEX(Suivi!$D:$D,527)))</f>
        <v/>
      </c>
      <c r="Q517">
        <f>IF($O517="","",INDEX(Suivi!$E:$E,527))</f>
        <v/>
      </c>
      <c r="R517">
        <f>IF($O517="","",INDEX(Suivi!$F:$F,527))</f>
        <v/>
      </c>
      <c r="S517">
        <f>IF($O517="","",INDEX(Suivi!$G:$G,527))</f>
        <v/>
      </c>
      <c r="T517">
        <f>IF($O517="","",IF(INDEX(Dossiers!$F$4:$F$63,10)="","",INDEX(Dossiers!$F$4:$F$63,10)))</f>
        <v/>
      </c>
      <c r="U517">
        <f>IF($O517="","",IF(INDEX(Dossiers!$G$4:$G$63,10)="","",INDEX(Dossiers!$G$4:$G$63,10)))</f>
        <v/>
      </c>
      <c r="V517">
        <f>IF(OR($O517="",NOT(ISNUMBER($Q517))),"",$Q517*1000000+517)</f>
        <v/>
      </c>
      <c r="W517" s="29">
        <f>IF($B517="","",IFERROR(INDEX($U$4:$U$3183,MATCH(SMALL($V$4:$V$3183,514),$V$4:$V$3183,0)),""))</f>
        <v/>
      </c>
    </row>
    <row r="518">
      <c r="A518">
        <f>IFERROR(INDEX($N$4:$N$3183,MATCH(SMALL($V$4:$V$3183,515),$V$4:$V$3183,0)),"")</f>
        <v/>
      </c>
      <c r="B518">
        <f>IFERROR(INDEX($O$4:$O$3183,MATCH(SMALL($V$4:$V$3183,515),$V$4:$V$3183,0)),"")</f>
        <v/>
      </c>
      <c r="C518">
        <f>IFERROR(INDEX($P$4:$P$3183,MATCH(SMALL($V$4:$V$3183,515),$V$4:$V$3183,0)),"")</f>
        <v/>
      </c>
      <c r="D518" s="29">
        <f>IFERROR(INDEX($Q$4:$Q$3183,MATCH(SMALL($V$4:$V$3183,515),$V$4:$V$3183,0)),"")</f>
        <v/>
      </c>
      <c r="E518" s="29">
        <f>IFERROR(INDEX($R$4:$R$3183,MATCH(SMALL($V$4:$V$3183,515),$V$4:$V$3183,0)),"")</f>
        <v/>
      </c>
      <c r="F518">
        <f>IFERROR(INDEX($S$4:$S$3183,MATCH(SMALL($V$4:$V$3183,515),$V$4:$V$3183,0)),"")</f>
        <v/>
      </c>
      <c r="I518" s="29">
        <f>IF($B518="","",IFERROR(INDEX($U$4:$U$3183,MATCH(SMALL($V$4:$V$3183,515),$V$4:$V$3183,0)),""))</f>
        <v/>
      </c>
      <c r="J518">
        <f>IF($B518="","",IF($D518&gt;$F$2,"À venir",IF($E518&lt;$D$2,"Passé","Dans la période")))</f>
        <v/>
      </c>
      <c r="K518">
        <f>IF(OR($B518="",NOT(ISNUMBER($D518))),"",IF(AND($E518&lt;$D$2,$G518&lt;&gt;"X",$F518&lt;&gt;"Réalisé",$F518&lt;&gt;"Clôturé"),"RETARD",""))</f>
        <v/>
      </c>
      <c r="L518">
        <f>IF(OR($B518="",NOT(ISNUMBER($D518))),"",IF(AND($D518&gt;=$D$2,$D518&lt;=$H$2,$G518&lt;&gt;"X",$F518&lt;&gt;"Réalisé",$F518&lt;&gt;"Clôturé"),"≤ 7 j",""))</f>
        <v/>
      </c>
      <c r="M518" s="29">
        <f>IF($B518="","",IFERROR(INDEX($T$4:$T$3183,MATCH(SMALL($V$4:$V$3183,515),$V$4:$V$3183,0)),""))</f>
        <v/>
      </c>
      <c r="O518">
        <f>IF(INDEX(Suivi!$B:$B,528)="","",INDEX(Suivi!$B:$B,528))</f>
        <v/>
      </c>
      <c r="P518">
        <f>IF($O518="","",IF(INDEX(Suivi!$D:$D,528)="",INDEX(Suivi!$C:$C,528),INDEX(Suivi!$D:$D,528)))</f>
        <v/>
      </c>
      <c r="Q518">
        <f>IF($O518="","",INDEX(Suivi!$E:$E,528))</f>
        <v/>
      </c>
      <c r="R518">
        <f>IF($O518="","",INDEX(Suivi!$F:$F,528))</f>
        <v/>
      </c>
      <c r="S518">
        <f>IF($O518="","",INDEX(Suivi!$G:$G,528))</f>
        <v/>
      </c>
      <c r="T518">
        <f>IF($O518="","",IF(INDEX(Dossiers!$F$4:$F$63,10)="","",INDEX(Dossiers!$F$4:$F$63,10)))</f>
        <v/>
      </c>
      <c r="U518">
        <f>IF($O518="","",IF(INDEX(Dossiers!$G$4:$G$63,10)="","",INDEX(Dossiers!$G$4:$G$63,10)))</f>
        <v/>
      </c>
      <c r="V518">
        <f>IF(OR($O518="",NOT(ISNUMBER($Q518))),"",$Q518*1000000+518)</f>
        <v/>
      </c>
      <c r="W518" s="29">
        <f>IF($B518="","",IFERROR(INDEX($U$4:$U$3183,MATCH(SMALL($V$4:$V$3183,515),$V$4:$V$3183,0)),""))</f>
        <v/>
      </c>
    </row>
    <row r="519">
      <c r="A519">
        <f>IFERROR(INDEX($N$4:$N$3183,MATCH(SMALL($V$4:$V$3183,516),$V$4:$V$3183,0)),"")</f>
        <v/>
      </c>
      <c r="B519">
        <f>IFERROR(INDEX($O$4:$O$3183,MATCH(SMALL($V$4:$V$3183,516),$V$4:$V$3183,0)),"")</f>
        <v/>
      </c>
      <c r="C519">
        <f>IFERROR(INDEX($P$4:$P$3183,MATCH(SMALL($V$4:$V$3183,516),$V$4:$V$3183,0)),"")</f>
        <v/>
      </c>
      <c r="D519" s="29">
        <f>IFERROR(INDEX($Q$4:$Q$3183,MATCH(SMALL($V$4:$V$3183,516),$V$4:$V$3183,0)),"")</f>
        <v/>
      </c>
      <c r="E519" s="29">
        <f>IFERROR(INDEX($R$4:$R$3183,MATCH(SMALL($V$4:$V$3183,516),$V$4:$V$3183,0)),"")</f>
        <v/>
      </c>
      <c r="F519">
        <f>IFERROR(INDEX($S$4:$S$3183,MATCH(SMALL($V$4:$V$3183,516),$V$4:$V$3183,0)),"")</f>
        <v/>
      </c>
      <c r="I519" s="29">
        <f>IF($B519="","",IFERROR(INDEX($U$4:$U$3183,MATCH(SMALL($V$4:$V$3183,516),$V$4:$V$3183,0)),""))</f>
        <v/>
      </c>
      <c r="J519">
        <f>IF($B519="","",IF($D519&gt;$F$2,"À venir",IF($E519&lt;$D$2,"Passé","Dans la période")))</f>
        <v/>
      </c>
      <c r="K519">
        <f>IF(OR($B519="",NOT(ISNUMBER($D519))),"",IF(AND($E519&lt;$D$2,$G519&lt;&gt;"X",$F519&lt;&gt;"Réalisé",$F519&lt;&gt;"Clôturé"),"RETARD",""))</f>
        <v/>
      </c>
      <c r="L519">
        <f>IF(OR($B519="",NOT(ISNUMBER($D519))),"",IF(AND($D519&gt;=$D$2,$D519&lt;=$H$2,$G519&lt;&gt;"X",$F519&lt;&gt;"Réalisé",$F519&lt;&gt;"Clôturé"),"≤ 7 j",""))</f>
        <v/>
      </c>
      <c r="M519" s="29">
        <f>IF($B519="","",IFERROR(INDEX($T$4:$T$3183,MATCH(SMALL($V$4:$V$3183,516),$V$4:$V$3183,0)),""))</f>
        <v/>
      </c>
      <c r="O519">
        <f>IF(INDEX(Suivi!$B:$B,529)="","",INDEX(Suivi!$B:$B,529))</f>
        <v/>
      </c>
      <c r="P519">
        <f>IF($O519="","",IF(INDEX(Suivi!$D:$D,529)="",INDEX(Suivi!$C:$C,529),INDEX(Suivi!$D:$D,529)))</f>
        <v/>
      </c>
      <c r="Q519">
        <f>IF($O519="","",INDEX(Suivi!$E:$E,529))</f>
        <v/>
      </c>
      <c r="R519">
        <f>IF($O519="","",INDEX(Suivi!$F:$F,529))</f>
        <v/>
      </c>
      <c r="S519">
        <f>IF($O519="","",INDEX(Suivi!$G:$G,529))</f>
        <v/>
      </c>
      <c r="T519">
        <f>IF($O519="","",IF(INDEX(Dossiers!$F$4:$F$63,10)="","",INDEX(Dossiers!$F$4:$F$63,10)))</f>
        <v/>
      </c>
      <c r="U519">
        <f>IF($O519="","",IF(INDEX(Dossiers!$G$4:$G$63,10)="","",INDEX(Dossiers!$G$4:$G$63,10)))</f>
        <v/>
      </c>
      <c r="V519">
        <f>IF(OR($O519="",NOT(ISNUMBER($Q519))),"",$Q519*1000000+519)</f>
        <v/>
      </c>
      <c r="W519" s="29">
        <f>IF($B519="","",IFERROR(INDEX($U$4:$U$3183,MATCH(SMALL($V$4:$V$3183,516),$V$4:$V$3183,0)),""))</f>
        <v/>
      </c>
    </row>
    <row r="520">
      <c r="A520">
        <f>IFERROR(INDEX($N$4:$N$3183,MATCH(SMALL($V$4:$V$3183,517),$V$4:$V$3183,0)),"")</f>
        <v/>
      </c>
      <c r="B520">
        <f>IFERROR(INDEX($O$4:$O$3183,MATCH(SMALL($V$4:$V$3183,517),$V$4:$V$3183,0)),"")</f>
        <v/>
      </c>
      <c r="C520">
        <f>IFERROR(INDEX($P$4:$P$3183,MATCH(SMALL($V$4:$V$3183,517),$V$4:$V$3183,0)),"")</f>
        <v/>
      </c>
      <c r="D520" s="29">
        <f>IFERROR(INDEX($Q$4:$Q$3183,MATCH(SMALL($V$4:$V$3183,517),$V$4:$V$3183,0)),"")</f>
        <v/>
      </c>
      <c r="E520" s="29">
        <f>IFERROR(INDEX($R$4:$R$3183,MATCH(SMALL($V$4:$V$3183,517),$V$4:$V$3183,0)),"")</f>
        <v/>
      </c>
      <c r="F520">
        <f>IFERROR(INDEX($S$4:$S$3183,MATCH(SMALL($V$4:$V$3183,517),$V$4:$V$3183,0)),"")</f>
        <v/>
      </c>
      <c r="I520" s="29">
        <f>IF($B520="","",IFERROR(INDEX($U$4:$U$3183,MATCH(SMALL($V$4:$V$3183,517),$V$4:$V$3183,0)),""))</f>
        <v/>
      </c>
      <c r="J520">
        <f>IF($B520="","",IF($D520&gt;$F$2,"À venir",IF($E520&lt;$D$2,"Passé","Dans la période")))</f>
        <v/>
      </c>
      <c r="K520">
        <f>IF(OR($B520="",NOT(ISNUMBER($D520))),"",IF(AND($E520&lt;$D$2,$G520&lt;&gt;"X",$F520&lt;&gt;"Réalisé",$F520&lt;&gt;"Clôturé"),"RETARD",""))</f>
        <v/>
      </c>
      <c r="L520">
        <f>IF(OR($B520="",NOT(ISNUMBER($D520))),"",IF(AND($D520&gt;=$D$2,$D520&lt;=$H$2,$G520&lt;&gt;"X",$F520&lt;&gt;"Réalisé",$F520&lt;&gt;"Clôturé"),"≤ 7 j",""))</f>
        <v/>
      </c>
      <c r="M520" s="29">
        <f>IF($B520="","",IFERROR(INDEX($T$4:$T$3183,MATCH(SMALL($V$4:$V$3183,517),$V$4:$V$3183,0)),""))</f>
        <v/>
      </c>
      <c r="O520">
        <f>IF(INDEX(Suivi!$B:$B,530)="","",INDEX(Suivi!$B:$B,530))</f>
        <v/>
      </c>
      <c r="P520">
        <f>IF($O520="","",IF(INDEX(Suivi!$D:$D,530)="",INDEX(Suivi!$C:$C,530),INDEX(Suivi!$D:$D,530)))</f>
        <v/>
      </c>
      <c r="Q520">
        <f>IF($O520="","",INDEX(Suivi!$E:$E,530))</f>
        <v/>
      </c>
      <c r="R520">
        <f>IF($O520="","",INDEX(Suivi!$F:$F,530))</f>
        <v/>
      </c>
      <c r="S520">
        <f>IF($O520="","",INDEX(Suivi!$G:$G,530))</f>
        <v/>
      </c>
      <c r="T520">
        <f>IF($O520="","",IF(INDEX(Dossiers!$F$4:$F$63,10)="","",INDEX(Dossiers!$F$4:$F$63,10)))</f>
        <v/>
      </c>
      <c r="U520">
        <f>IF($O520="","",IF(INDEX(Dossiers!$G$4:$G$63,10)="","",INDEX(Dossiers!$G$4:$G$63,10)))</f>
        <v/>
      </c>
      <c r="V520">
        <f>IF(OR($O520="",NOT(ISNUMBER($Q520))),"",$Q520*1000000+520)</f>
        <v/>
      </c>
      <c r="W520" s="29">
        <f>IF($B520="","",IFERROR(INDEX($U$4:$U$3183,MATCH(SMALL($V$4:$V$3183,517),$V$4:$V$3183,0)),""))</f>
        <v/>
      </c>
    </row>
    <row r="521">
      <c r="A521">
        <f>IFERROR(INDEX($N$4:$N$3183,MATCH(SMALL($V$4:$V$3183,518),$V$4:$V$3183,0)),"")</f>
        <v/>
      </c>
      <c r="B521">
        <f>IFERROR(INDEX($O$4:$O$3183,MATCH(SMALL($V$4:$V$3183,518),$V$4:$V$3183,0)),"")</f>
        <v/>
      </c>
      <c r="C521">
        <f>IFERROR(INDEX($P$4:$P$3183,MATCH(SMALL($V$4:$V$3183,518),$V$4:$V$3183,0)),"")</f>
        <v/>
      </c>
      <c r="D521" s="29">
        <f>IFERROR(INDEX($Q$4:$Q$3183,MATCH(SMALL($V$4:$V$3183,518),$V$4:$V$3183,0)),"")</f>
        <v/>
      </c>
      <c r="E521" s="29">
        <f>IFERROR(INDEX($R$4:$R$3183,MATCH(SMALL($V$4:$V$3183,518),$V$4:$V$3183,0)),"")</f>
        <v/>
      </c>
      <c r="F521">
        <f>IFERROR(INDEX($S$4:$S$3183,MATCH(SMALL($V$4:$V$3183,518),$V$4:$V$3183,0)),"")</f>
        <v/>
      </c>
      <c r="I521" s="29">
        <f>IF($B521="","",IFERROR(INDEX($U$4:$U$3183,MATCH(SMALL($V$4:$V$3183,518),$V$4:$V$3183,0)),""))</f>
        <v/>
      </c>
      <c r="J521">
        <f>IF($B521="","",IF($D521&gt;$F$2,"À venir",IF($E521&lt;$D$2,"Passé","Dans la période")))</f>
        <v/>
      </c>
      <c r="K521">
        <f>IF(OR($B521="",NOT(ISNUMBER($D521))),"",IF(AND($E521&lt;$D$2,$G521&lt;&gt;"X",$F521&lt;&gt;"Réalisé",$F521&lt;&gt;"Clôturé"),"RETARD",""))</f>
        <v/>
      </c>
      <c r="L521">
        <f>IF(OR($B521="",NOT(ISNUMBER($D521))),"",IF(AND($D521&gt;=$D$2,$D521&lt;=$H$2,$G521&lt;&gt;"X",$F521&lt;&gt;"Réalisé",$F521&lt;&gt;"Clôturé"),"≤ 7 j",""))</f>
        <v/>
      </c>
      <c r="M521" s="29">
        <f>IF($B521="","",IFERROR(INDEX($T$4:$T$3183,MATCH(SMALL($V$4:$V$3183,518),$V$4:$V$3183,0)),""))</f>
        <v/>
      </c>
      <c r="O521">
        <f>IF(INDEX(Suivi!$B:$B,531)="","",INDEX(Suivi!$B:$B,531))</f>
        <v/>
      </c>
      <c r="P521">
        <f>IF($O521="","",IF(INDEX(Suivi!$D:$D,531)="",INDEX(Suivi!$C:$C,531),INDEX(Suivi!$D:$D,531)))</f>
        <v/>
      </c>
      <c r="Q521">
        <f>IF($O521="","",INDEX(Suivi!$E:$E,531))</f>
        <v/>
      </c>
      <c r="R521">
        <f>IF($O521="","",INDEX(Suivi!$F:$F,531))</f>
        <v/>
      </c>
      <c r="S521">
        <f>IF($O521="","",INDEX(Suivi!$G:$G,531))</f>
        <v/>
      </c>
      <c r="T521">
        <f>IF($O521="","",IF(INDEX(Dossiers!$F$4:$F$63,10)="","",INDEX(Dossiers!$F$4:$F$63,10)))</f>
        <v/>
      </c>
      <c r="U521">
        <f>IF($O521="","",IF(INDEX(Dossiers!$G$4:$G$63,10)="","",INDEX(Dossiers!$G$4:$G$63,10)))</f>
        <v/>
      </c>
      <c r="V521">
        <f>IF(OR($O521="",NOT(ISNUMBER($Q521))),"",$Q521*1000000+521)</f>
        <v/>
      </c>
      <c r="W521" s="29">
        <f>IF($B521="","",IFERROR(INDEX($U$4:$U$3183,MATCH(SMALL($V$4:$V$3183,518),$V$4:$V$3183,0)),""))</f>
        <v/>
      </c>
    </row>
    <row r="522">
      <c r="A522">
        <f>IFERROR(INDEX($N$4:$N$3183,MATCH(SMALL($V$4:$V$3183,519),$V$4:$V$3183,0)),"")</f>
        <v/>
      </c>
      <c r="B522">
        <f>IFERROR(INDEX($O$4:$O$3183,MATCH(SMALL($V$4:$V$3183,519),$V$4:$V$3183,0)),"")</f>
        <v/>
      </c>
      <c r="C522">
        <f>IFERROR(INDEX($P$4:$P$3183,MATCH(SMALL($V$4:$V$3183,519),$V$4:$V$3183,0)),"")</f>
        <v/>
      </c>
      <c r="D522" s="29">
        <f>IFERROR(INDEX($Q$4:$Q$3183,MATCH(SMALL($V$4:$V$3183,519),$V$4:$V$3183,0)),"")</f>
        <v/>
      </c>
      <c r="E522" s="29">
        <f>IFERROR(INDEX($R$4:$R$3183,MATCH(SMALL($V$4:$V$3183,519),$V$4:$V$3183,0)),"")</f>
        <v/>
      </c>
      <c r="F522">
        <f>IFERROR(INDEX($S$4:$S$3183,MATCH(SMALL($V$4:$V$3183,519),$V$4:$V$3183,0)),"")</f>
        <v/>
      </c>
      <c r="I522" s="29">
        <f>IF($B522="","",IFERROR(INDEX($U$4:$U$3183,MATCH(SMALL($V$4:$V$3183,519),$V$4:$V$3183,0)),""))</f>
        <v/>
      </c>
      <c r="J522">
        <f>IF($B522="","",IF($D522&gt;$F$2,"À venir",IF($E522&lt;$D$2,"Passé","Dans la période")))</f>
        <v/>
      </c>
      <c r="K522">
        <f>IF(OR($B522="",NOT(ISNUMBER($D522))),"",IF(AND($E522&lt;$D$2,$G522&lt;&gt;"X",$F522&lt;&gt;"Réalisé",$F522&lt;&gt;"Clôturé"),"RETARD",""))</f>
        <v/>
      </c>
      <c r="L522">
        <f>IF(OR($B522="",NOT(ISNUMBER($D522))),"",IF(AND($D522&gt;=$D$2,$D522&lt;=$H$2,$G522&lt;&gt;"X",$F522&lt;&gt;"Réalisé",$F522&lt;&gt;"Clôturé"),"≤ 7 j",""))</f>
        <v/>
      </c>
      <c r="M522" s="29">
        <f>IF($B522="","",IFERROR(INDEX($T$4:$T$3183,MATCH(SMALL($V$4:$V$3183,519),$V$4:$V$3183,0)),""))</f>
        <v/>
      </c>
      <c r="O522">
        <f>IF(INDEX(Suivi!$B:$B,532)="","",INDEX(Suivi!$B:$B,532))</f>
        <v/>
      </c>
      <c r="P522">
        <f>IF($O522="","",IF(INDEX(Suivi!$D:$D,532)="",INDEX(Suivi!$C:$C,532),INDEX(Suivi!$D:$D,532)))</f>
        <v/>
      </c>
      <c r="Q522">
        <f>IF($O522="","",INDEX(Suivi!$E:$E,532))</f>
        <v/>
      </c>
      <c r="R522">
        <f>IF($O522="","",INDEX(Suivi!$F:$F,532))</f>
        <v/>
      </c>
      <c r="S522">
        <f>IF($O522="","",INDEX(Suivi!$G:$G,532))</f>
        <v/>
      </c>
      <c r="T522">
        <f>IF($O522="","",IF(INDEX(Dossiers!$F$4:$F$63,10)="","",INDEX(Dossiers!$F$4:$F$63,10)))</f>
        <v/>
      </c>
      <c r="U522">
        <f>IF($O522="","",IF(INDEX(Dossiers!$G$4:$G$63,10)="","",INDEX(Dossiers!$G$4:$G$63,10)))</f>
        <v/>
      </c>
      <c r="V522">
        <f>IF(OR($O522="",NOT(ISNUMBER($Q522))),"",$Q522*1000000+522)</f>
        <v/>
      </c>
      <c r="W522" s="29">
        <f>IF($B522="","",IFERROR(INDEX($U$4:$U$3183,MATCH(SMALL($V$4:$V$3183,519),$V$4:$V$3183,0)),""))</f>
        <v/>
      </c>
    </row>
    <row r="523">
      <c r="A523">
        <f>IFERROR(INDEX($N$4:$N$3183,MATCH(SMALL($V$4:$V$3183,520),$V$4:$V$3183,0)),"")</f>
        <v/>
      </c>
      <c r="B523">
        <f>IFERROR(INDEX($O$4:$O$3183,MATCH(SMALL($V$4:$V$3183,520),$V$4:$V$3183,0)),"")</f>
        <v/>
      </c>
      <c r="C523">
        <f>IFERROR(INDEX($P$4:$P$3183,MATCH(SMALL($V$4:$V$3183,520),$V$4:$V$3183,0)),"")</f>
        <v/>
      </c>
      <c r="D523" s="29">
        <f>IFERROR(INDEX($Q$4:$Q$3183,MATCH(SMALL($V$4:$V$3183,520),$V$4:$V$3183,0)),"")</f>
        <v/>
      </c>
      <c r="E523" s="29">
        <f>IFERROR(INDEX($R$4:$R$3183,MATCH(SMALL($V$4:$V$3183,520),$V$4:$V$3183,0)),"")</f>
        <v/>
      </c>
      <c r="F523">
        <f>IFERROR(INDEX($S$4:$S$3183,MATCH(SMALL($V$4:$V$3183,520),$V$4:$V$3183,0)),"")</f>
        <v/>
      </c>
      <c r="I523" s="29">
        <f>IF($B523="","",IFERROR(INDEX($U$4:$U$3183,MATCH(SMALL($V$4:$V$3183,520),$V$4:$V$3183,0)),""))</f>
        <v/>
      </c>
      <c r="J523">
        <f>IF($B523="","",IF($D523&gt;$F$2,"À venir",IF($E523&lt;$D$2,"Passé","Dans la période")))</f>
        <v/>
      </c>
      <c r="K523">
        <f>IF(OR($B523="",NOT(ISNUMBER($D523))),"",IF(AND($E523&lt;$D$2,$G523&lt;&gt;"X",$F523&lt;&gt;"Réalisé",$F523&lt;&gt;"Clôturé"),"RETARD",""))</f>
        <v/>
      </c>
      <c r="L523">
        <f>IF(OR($B523="",NOT(ISNUMBER($D523))),"",IF(AND($D523&gt;=$D$2,$D523&lt;=$H$2,$G523&lt;&gt;"X",$F523&lt;&gt;"Réalisé",$F523&lt;&gt;"Clôturé"),"≤ 7 j",""))</f>
        <v/>
      </c>
      <c r="M523" s="29">
        <f>IF($B523="","",IFERROR(INDEX($T$4:$T$3183,MATCH(SMALL($V$4:$V$3183,520),$V$4:$V$3183,0)),""))</f>
        <v/>
      </c>
      <c r="O523">
        <f>IF(INDEX(Suivi!$B:$B,533)="","",INDEX(Suivi!$B:$B,533))</f>
        <v/>
      </c>
      <c r="P523">
        <f>IF($O523="","",IF(INDEX(Suivi!$D:$D,533)="",INDEX(Suivi!$C:$C,533),INDEX(Suivi!$D:$D,533)))</f>
        <v/>
      </c>
      <c r="Q523">
        <f>IF($O523="","",INDEX(Suivi!$E:$E,533))</f>
        <v/>
      </c>
      <c r="R523">
        <f>IF($O523="","",INDEX(Suivi!$F:$F,533))</f>
        <v/>
      </c>
      <c r="S523">
        <f>IF($O523="","",INDEX(Suivi!$G:$G,533))</f>
        <v/>
      </c>
      <c r="T523">
        <f>IF($O523="","",IF(INDEX(Dossiers!$F$4:$F$63,10)="","",INDEX(Dossiers!$F$4:$F$63,10)))</f>
        <v/>
      </c>
      <c r="U523">
        <f>IF($O523="","",IF(INDEX(Dossiers!$G$4:$G$63,10)="","",INDEX(Dossiers!$G$4:$G$63,10)))</f>
        <v/>
      </c>
      <c r="V523">
        <f>IF(OR($O523="",NOT(ISNUMBER($Q523))),"",$Q523*1000000+523)</f>
        <v/>
      </c>
      <c r="W523" s="29">
        <f>IF($B523="","",IFERROR(INDEX($U$4:$U$3183,MATCH(SMALL($V$4:$V$3183,520),$V$4:$V$3183,0)),""))</f>
        <v/>
      </c>
    </row>
    <row r="524">
      <c r="A524">
        <f>IFERROR(INDEX($N$4:$N$3183,MATCH(SMALL($V$4:$V$3183,521),$V$4:$V$3183,0)),"")</f>
        <v/>
      </c>
      <c r="B524">
        <f>IFERROR(INDEX($O$4:$O$3183,MATCH(SMALL($V$4:$V$3183,521),$V$4:$V$3183,0)),"")</f>
        <v/>
      </c>
      <c r="C524">
        <f>IFERROR(INDEX($P$4:$P$3183,MATCH(SMALL($V$4:$V$3183,521),$V$4:$V$3183,0)),"")</f>
        <v/>
      </c>
      <c r="D524" s="29">
        <f>IFERROR(INDEX($Q$4:$Q$3183,MATCH(SMALL($V$4:$V$3183,521),$V$4:$V$3183,0)),"")</f>
        <v/>
      </c>
      <c r="E524" s="29">
        <f>IFERROR(INDEX($R$4:$R$3183,MATCH(SMALL($V$4:$V$3183,521),$V$4:$V$3183,0)),"")</f>
        <v/>
      </c>
      <c r="F524">
        <f>IFERROR(INDEX($S$4:$S$3183,MATCH(SMALL($V$4:$V$3183,521),$V$4:$V$3183,0)),"")</f>
        <v/>
      </c>
      <c r="I524" s="29">
        <f>IF($B524="","",IFERROR(INDEX($U$4:$U$3183,MATCH(SMALL($V$4:$V$3183,521),$V$4:$V$3183,0)),""))</f>
        <v/>
      </c>
      <c r="J524">
        <f>IF($B524="","",IF($D524&gt;$F$2,"À venir",IF($E524&lt;$D$2,"Passé","Dans la période")))</f>
        <v/>
      </c>
      <c r="K524">
        <f>IF(OR($B524="",NOT(ISNUMBER($D524))),"",IF(AND($E524&lt;$D$2,$G524&lt;&gt;"X",$F524&lt;&gt;"Réalisé",$F524&lt;&gt;"Clôturé"),"RETARD",""))</f>
        <v/>
      </c>
      <c r="L524">
        <f>IF(OR($B524="",NOT(ISNUMBER($D524))),"",IF(AND($D524&gt;=$D$2,$D524&lt;=$H$2,$G524&lt;&gt;"X",$F524&lt;&gt;"Réalisé",$F524&lt;&gt;"Clôturé"),"≤ 7 j",""))</f>
        <v/>
      </c>
      <c r="M524" s="29">
        <f>IF($B524="","",IFERROR(INDEX($T$4:$T$3183,MATCH(SMALL($V$4:$V$3183,521),$V$4:$V$3183,0)),""))</f>
        <v/>
      </c>
      <c r="O524">
        <f>IF(INDEX(Suivi!$B:$B,534)="","",INDEX(Suivi!$B:$B,534))</f>
        <v/>
      </c>
      <c r="P524">
        <f>IF($O524="","",IF(INDEX(Suivi!$D:$D,534)="",INDEX(Suivi!$C:$C,534),INDEX(Suivi!$D:$D,534)))</f>
        <v/>
      </c>
      <c r="Q524">
        <f>IF($O524="","",INDEX(Suivi!$E:$E,534))</f>
        <v/>
      </c>
      <c r="R524">
        <f>IF($O524="","",INDEX(Suivi!$F:$F,534))</f>
        <v/>
      </c>
      <c r="S524">
        <f>IF($O524="","",INDEX(Suivi!$G:$G,534))</f>
        <v/>
      </c>
      <c r="T524">
        <f>IF($O524="","",IF(INDEX(Dossiers!$F$4:$F$63,10)="","",INDEX(Dossiers!$F$4:$F$63,10)))</f>
        <v/>
      </c>
      <c r="U524">
        <f>IF($O524="","",IF(INDEX(Dossiers!$G$4:$G$63,10)="","",INDEX(Dossiers!$G$4:$G$63,10)))</f>
        <v/>
      </c>
      <c r="V524">
        <f>IF(OR($O524="",NOT(ISNUMBER($Q524))),"",$Q524*1000000+524)</f>
        <v/>
      </c>
      <c r="W524" s="29">
        <f>IF($B524="","",IFERROR(INDEX($U$4:$U$3183,MATCH(SMALL($V$4:$V$3183,521),$V$4:$V$3183,0)),""))</f>
        <v/>
      </c>
    </row>
    <row r="525">
      <c r="A525">
        <f>IFERROR(INDEX($N$4:$N$3183,MATCH(SMALL($V$4:$V$3183,522),$V$4:$V$3183,0)),"")</f>
        <v/>
      </c>
      <c r="B525">
        <f>IFERROR(INDEX($O$4:$O$3183,MATCH(SMALL($V$4:$V$3183,522),$V$4:$V$3183,0)),"")</f>
        <v/>
      </c>
      <c r="C525">
        <f>IFERROR(INDEX($P$4:$P$3183,MATCH(SMALL($V$4:$V$3183,522),$V$4:$V$3183,0)),"")</f>
        <v/>
      </c>
      <c r="D525" s="29">
        <f>IFERROR(INDEX($Q$4:$Q$3183,MATCH(SMALL($V$4:$V$3183,522),$V$4:$V$3183,0)),"")</f>
        <v/>
      </c>
      <c r="E525" s="29">
        <f>IFERROR(INDEX($R$4:$R$3183,MATCH(SMALL($V$4:$V$3183,522),$V$4:$V$3183,0)),"")</f>
        <v/>
      </c>
      <c r="F525">
        <f>IFERROR(INDEX($S$4:$S$3183,MATCH(SMALL($V$4:$V$3183,522),$V$4:$V$3183,0)),"")</f>
        <v/>
      </c>
      <c r="I525" s="29">
        <f>IF($B525="","",IFERROR(INDEX($U$4:$U$3183,MATCH(SMALL($V$4:$V$3183,522),$V$4:$V$3183,0)),""))</f>
        <v/>
      </c>
      <c r="J525">
        <f>IF($B525="","",IF($D525&gt;$F$2,"À venir",IF($E525&lt;$D$2,"Passé","Dans la période")))</f>
        <v/>
      </c>
      <c r="K525">
        <f>IF(OR($B525="",NOT(ISNUMBER($D525))),"",IF(AND($E525&lt;$D$2,$G525&lt;&gt;"X",$F525&lt;&gt;"Réalisé",$F525&lt;&gt;"Clôturé"),"RETARD",""))</f>
        <v/>
      </c>
      <c r="L525">
        <f>IF(OR($B525="",NOT(ISNUMBER($D525))),"",IF(AND($D525&gt;=$D$2,$D525&lt;=$H$2,$G525&lt;&gt;"X",$F525&lt;&gt;"Réalisé",$F525&lt;&gt;"Clôturé"),"≤ 7 j",""))</f>
        <v/>
      </c>
      <c r="M525" s="29">
        <f>IF($B525="","",IFERROR(INDEX($T$4:$T$3183,MATCH(SMALL($V$4:$V$3183,522),$V$4:$V$3183,0)),""))</f>
        <v/>
      </c>
      <c r="O525">
        <f>IF(INDEX(Suivi!$B:$B,535)="","",INDEX(Suivi!$B:$B,535))</f>
        <v/>
      </c>
      <c r="P525">
        <f>IF($O525="","",IF(INDEX(Suivi!$D:$D,535)="",INDEX(Suivi!$C:$C,535),INDEX(Suivi!$D:$D,535)))</f>
        <v/>
      </c>
      <c r="Q525">
        <f>IF($O525="","",INDEX(Suivi!$E:$E,535))</f>
        <v/>
      </c>
      <c r="R525">
        <f>IF($O525="","",INDEX(Suivi!$F:$F,535))</f>
        <v/>
      </c>
      <c r="S525">
        <f>IF($O525="","",INDEX(Suivi!$G:$G,535))</f>
        <v/>
      </c>
      <c r="T525">
        <f>IF($O525="","",IF(INDEX(Dossiers!$F$4:$F$63,10)="","",INDEX(Dossiers!$F$4:$F$63,10)))</f>
        <v/>
      </c>
      <c r="U525">
        <f>IF($O525="","",IF(INDEX(Dossiers!$G$4:$G$63,10)="","",INDEX(Dossiers!$G$4:$G$63,10)))</f>
        <v/>
      </c>
      <c r="V525">
        <f>IF(OR($O525="",NOT(ISNUMBER($Q525))),"",$Q525*1000000+525)</f>
        <v/>
      </c>
      <c r="W525" s="29">
        <f>IF($B525="","",IFERROR(INDEX($U$4:$U$3183,MATCH(SMALL($V$4:$V$3183,522),$V$4:$V$3183,0)),""))</f>
        <v/>
      </c>
    </row>
    <row r="526">
      <c r="A526">
        <f>IFERROR(INDEX($N$4:$N$3183,MATCH(SMALL($V$4:$V$3183,523),$V$4:$V$3183,0)),"")</f>
        <v/>
      </c>
      <c r="B526">
        <f>IFERROR(INDEX($O$4:$O$3183,MATCH(SMALL($V$4:$V$3183,523),$V$4:$V$3183,0)),"")</f>
        <v/>
      </c>
      <c r="C526">
        <f>IFERROR(INDEX($P$4:$P$3183,MATCH(SMALL($V$4:$V$3183,523),$V$4:$V$3183,0)),"")</f>
        <v/>
      </c>
      <c r="D526" s="29">
        <f>IFERROR(INDEX($Q$4:$Q$3183,MATCH(SMALL($V$4:$V$3183,523),$V$4:$V$3183,0)),"")</f>
        <v/>
      </c>
      <c r="E526" s="29">
        <f>IFERROR(INDEX($R$4:$R$3183,MATCH(SMALL($V$4:$V$3183,523),$V$4:$V$3183,0)),"")</f>
        <v/>
      </c>
      <c r="F526">
        <f>IFERROR(INDEX($S$4:$S$3183,MATCH(SMALL($V$4:$V$3183,523),$V$4:$V$3183,0)),"")</f>
        <v/>
      </c>
      <c r="I526" s="29">
        <f>IF($B526="","",IFERROR(INDEX($U$4:$U$3183,MATCH(SMALL($V$4:$V$3183,523),$V$4:$V$3183,0)),""))</f>
        <v/>
      </c>
      <c r="J526">
        <f>IF($B526="","",IF($D526&gt;$F$2,"À venir",IF($E526&lt;$D$2,"Passé","Dans la période")))</f>
        <v/>
      </c>
      <c r="K526">
        <f>IF(OR($B526="",NOT(ISNUMBER($D526))),"",IF(AND($E526&lt;$D$2,$G526&lt;&gt;"X",$F526&lt;&gt;"Réalisé",$F526&lt;&gt;"Clôturé"),"RETARD",""))</f>
        <v/>
      </c>
      <c r="L526">
        <f>IF(OR($B526="",NOT(ISNUMBER($D526))),"",IF(AND($D526&gt;=$D$2,$D526&lt;=$H$2,$G526&lt;&gt;"X",$F526&lt;&gt;"Réalisé",$F526&lt;&gt;"Clôturé"),"≤ 7 j",""))</f>
        <v/>
      </c>
      <c r="M526" s="29">
        <f>IF($B526="","",IFERROR(INDEX($T$4:$T$3183,MATCH(SMALL($V$4:$V$3183,523),$V$4:$V$3183,0)),""))</f>
        <v/>
      </c>
      <c r="O526">
        <f>IF(INDEX(Suivi!$B:$B,536)="","",INDEX(Suivi!$B:$B,536))</f>
        <v/>
      </c>
      <c r="P526">
        <f>IF($O526="","",IF(INDEX(Suivi!$D:$D,536)="",INDEX(Suivi!$C:$C,536),INDEX(Suivi!$D:$D,536)))</f>
        <v/>
      </c>
      <c r="Q526">
        <f>IF($O526="","",INDEX(Suivi!$E:$E,536))</f>
        <v/>
      </c>
      <c r="R526">
        <f>IF($O526="","",INDEX(Suivi!$F:$F,536))</f>
        <v/>
      </c>
      <c r="S526">
        <f>IF($O526="","",INDEX(Suivi!$G:$G,536))</f>
        <v/>
      </c>
      <c r="T526">
        <f>IF($O526="","",IF(INDEX(Dossiers!$F$4:$F$63,10)="","",INDEX(Dossiers!$F$4:$F$63,10)))</f>
        <v/>
      </c>
      <c r="U526">
        <f>IF($O526="","",IF(INDEX(Dossiers!$G$4:$G$63,10)="","",INDEX(Dossiers!$G$4:$G$63,10)))</f>
        <v/>
      </c>
      <c r="V526">
        <f>IF(OR($O526="",NOT(ISNUMBER($Q526))),"",$Q526*1000000+526)</f>
        <v/>
      </c>
      <c r="W526" s="29">
        <f>IF($B526="","",IFERROR(INDEX($U$4:$U$3183,MATCH(SMALL($V$4:$V$3183,523),$V$4:$V$3183,0)),""))</f>
        <v/>
      </c>
    </row>
    <row r="527">
      <c r="A527">
        <f>IFERROR(INDEX($N$4:$N$3183,MATCH(SMALL($V$4:$V$3183,524),$V$4:$V$3183,0)),"")</f>
        <v/>
      </c>
      <c r="B527">
        <f>IFERROR(INDEX($O$4:$O$3183,MATCH(SMALL($V$4:$V$3183,524),$V$4:$V$3183,0)),"")</f>
        <v/>
      </c>
      <c r="C527">
        <f>IFERROR(INDEX($P$4:$P$3183,MATCH(SMALL($V$4:$V$3183,524),$V$4:$V$3183,0)),"")</f>
        <v/>
      </c>
      <c r="D527" s="29">
        <f>IFERROR(INDEX($Q$4:$Q$3183,MATCH(SMALL($V$4:$V$3183,524),$V$4:$V$3183,0)),"")</f>
        <v/>
      </c>
      <c r="E527" s="29">
        <f>IFERROR(INDEX($R$4:$R$3183,MATCH(SMALL($V$4:$V$3183,524),$V$4:$V$3183,0)),"")</f>
        <v/>
      </c>
      <c r="F527">
        <f>IFERROR(INDEX($S$4:$S$3183,MATCH(SMALL($V$4:$V$3183,524),$V$4:$V$3183,0)),"")</f>
        <v/>
      </c>
      <c r="I527" s="29">
        <f>IF($B527="","",IFERROR(INDEX($U$4:$U$3183,MATCH(SMALL($V$4:$V$3183,524),$V$4:$V$3183,0)),""))</f>
        <v/>
      </c>
      <c r="J527">
        <f>IF($B527="","",IF($D527&gt;$F$2,"À venir",IF($E527&lt;$D$2,"Passé","Dans la période")))</f>
        <v/>
      </c>
      <c r="K527">
        <f>IF(OR($B527="",NOT(ISNUMBER($D527))),"",IF(AND($E527&lt;$D$2,$G527&lt;&gt;"X",$F527&lt;&gt;"Réalisé",$F527&lt;&gt;"Clôturé"),"RETARD",""))</f>
        <v/>
      </c>
      <c r="L527">
        <f>IF(OR($B527="",NOT(ISNUMBER($D527))),"",IF(AND($D527&gt;=$D$2,$D527&lt;=$H$2,$G527&lt;&gt;"X",$F527&lt;&gt;"Réalisé",$F527&lt;&gt;"Clôturé"),"≤ 7 j",""))</f>
        <v/>
      </c>
      <c r="M527" s="29">
        <f>IF($B527="","",IFERROR(INDEX($T$4:$T$3183,MATCH(SMALL($V$4:$V$3183,524),$V$4:$V$3183,0)),""))</f>
        <v/>
      </c>
      <c r="O527">
        <f>IF(INDEX(Suivi!$B:$B,537)="","",INDEX(Suivi!$B:$B,537))</f>
        <v/>
      </c>
      <c r="P527">
        <f>IF($O527="","",IF(INDEX(Suivi!$D:$D,537)="",INDEX(Suivi!$C:$C,537),INDEX(Suivi!$D:$D,537)))</f>
        <v/>
      </c>
      <c r="Q527">
        <f>IF($O527="","",INDEX(Suivi!$E:$E,537))</f>
        <v/>
      </c>
      <c r="R527">
        <f>IF($O527="","",INDEX(Suivi!$F:$F,537))</f>
        <v/>
      </c>
      <c r="S527">
        <f>IF($O527="","",INDEX(Suivi!$G:$G,537))</f>
        <v/>
      </c>
      <c r="T527">
        <f>IF($O527="","",IF(INDEX(Dossiers!$F$4:$F$63,10)="","",INDEX(Dossiers!$F$4:$F$63,10)))</f>
        <v/>
      </c>
      <c r="U527">
        <f>IF($O527="","",IF(INDEX(Dossiers!$G$4:$G$63,10)="","",INDEX(Dossiers!$G$4:$G$63,10)))</f>
        <v/>
      </c>
      <c r="V527">
        <f>IF(OR($O527="",NOT(ISNUMBER($Q527))),"",$Q527*1000000+527)</f>
        <v/>
      </c>
      <c r="W527" s="29">
        <f>IF($B527="","",IFERROR(INDEX($U$4:$U$3183,MATCH(SMALL($V$4:$V$3183,524),$V$4:$V$3183,0)),""))</f>
        <v/>
      </c>
    </row>
    <row r="528">
      <c r="A528">
        <f>IFERROR(INDEX($N$4:$N$3183,MATCH(SMALL($V$4:$V$3183,525),$V$4:$V$3183,0)),"")</f>
        <v/>
      </c>
      <c r="B528">
        <f>IFERROR(INDEX($O$4:$O$3183,MATCH(SMALL($V$4:$V$3183,525),$V$4:$V$3183,0)),"")</f>
        <v/>
      </c>
      <c r="C528">
        <f>IFERROR(INDEX($P$4:$P$3183,MATCH(SMALL($V$4:$V$3183,525),$V$4:$V$3183,0)),"")</f>
        <v/>
      </c>
      <c r="D528" s="29">
        <f>IFERROR(INDEX($Q$4:$Q$3183,MATCH(SMALL($V$4:$V$3183,525),$V$4:$V$3183,0)),"")</f>
        <v/>
      </c>
      <c r="E528" s="29">
        <f>IFERROR(INDEX($R$4:$R$3183,MATCH(SMALL($V$4:$V$3183,525),$V$4:$V$3183,0)),"")</f>
        <v/>
      </c>
      <c r="F528">
        <f>IFERROR(INDEX($S$4:$S$3183,MATCH(SMALL($V$4:$V$3183,525),$V$4:$V$3183,0)),"")</f>
        <v/>
      </c>
      <c r="I528" s="29">
        <f>IF($B528="","",IFERROR(INDEX($U$4:$U$3183,MATCH(SMALL($V$4:$V$3183,525),$V$4:$V$3183,0)),""))</f>
        <v/>
      </c>
      <c r="J528">
        <f>IF($B528="","",IF($D528&gt;$F$2,"À venir",IF($E528&lt;$D$2,"Passé","Dans la période")))</f>
        <v/>
      </c>
      <c r="K528">
        <f>IF(OR($B528="",NOT(ISNUMBER($D528))),"",IF(AND($E528&lt;$D$2,$G528&lt;&gt;"X",$F528&lt;&gt;"Réalisé",$F528&lt;&gt;"Clôturé"),"RETARD",""))</f>
        <v/>
      </c>
      <c r="L528">
        <f>IF(OR($B528="",NOT(ISNUMBER($D528))),"",IF(AND($D528&gt;=$D$2,$D528&lt;=$H$2,$G528&lt;&gt;"X",$F528&lt;&gt;"Réalisé",$F528&lt;&gt;"Clôturé"),"≤ 7 j",""))</f>
        <v/>
      </c>
      <c r="M528" s="29">
        <f>IF($B528="","",IFERROR(INDEX($T$4:$T$3183,MATCH(SMALL($V$4:$V$3183,525),$V$4:$V$3183,0)),""))</f>
        <v/>
      </c>
      <c r="O528">
        <f>IF(INDEX(Suivi!$B:$B,538)="","",INDEX(Suivi!$B:$B,538))</f>
        <v/>
      </c>
      <c r="P528">
        <f>IF($O528="","",IF(INDEX(Suivi!$D:$D,538)="",INDEX(Suivi!$C:$C,538),INDEX(Suivi!$D:$D,538)))</f>
        <v/>
      </c>
      <c r="Q528">
        <f>IF($O528="","",INDEX(Suivi!$E:$E,538))</f>
        <v/>
      </c>
      <c r="R528">
        <f>IF($O528="","",INDEX(Suivi!$F:$F,538))</f>
        <v/>
      </c>
      <c r="S528">
        <f>IF($O528="","",INDEX(Suivi!$G:$G,538))</f>
        <v/>
      </c>
      <c r="T528">
        <f>IF($O528="","",IF(INDEX(Dossiers!$F$4:$F$63,10)="","",INDEX(Dossiers!$F$4:$F$63,10)))</f>
        <v/>
      </c>
      <c r="U528">
        <f>IF($O528="","",IF(INDEX(Dossiers!$G$4:$G$63,10)="","",INDEX(Dossiers!$G$4:$G$63,10)))</f>
        <v/>
      </c>
      <c r="V528">
        <f>IF(OR($O528="",NOT(ISNUMBER($Q528))),"",$Q528*1000000+528)</f>
        <v/>
      </c>
      <c r="W528" s="29">
        <f>IF($B528="","",IFERROR(INDEX($U$4:$U$3183,MATCH(SMALL($V$4:$V$3183,525),$V$4:$V$3183,0)),""))</f>
        <v/>
      </c>
    </row>
    <row r="529">
      <c r="A529">
        <f>IFERROR(INDEX($N$4:$N$3183,MATCH(SMALL($V$4:$V$3183,526),$V$4:$V$3183,0)),"")</f>
        <v/>
      </c>
      <c r="B529">
        <f>IFERROR(INDEX($O$4:$O$3183,MATCH(SMALL($V$4:$V$3183,526),$V$4:$V$3183,0)),"")</f>
        <v/>
      </c>
      <c r="C529">
        <f>IFERROR(INDEX($P$4:$P$3183,MATCH(SMALL($V$4:$V$3183,526),$V$4:$V$3183,0)),"")</f>
        <v/>
      </c>
      <c r="D529" s="29">
        <f>IFERROR(INDEX($Q$4:$Q$3183,MATCH(SMALL($V$4:$V$3183,526),$V$4:$V$3183,0)),"")</f>
        <v/>
      </c>
      <c r="E529" s="29">
        <f>IFERROR(INDEX($R$4:$R$3183,MATCH(SMALL($V$4:$V$3183,526),$V$4:$V$3183,0)),"")</f>
        <v/>
      </c>
      <c r="F529">
        <f>IFERROR(INDEX($S$4:$S$3183,MATCH(SMALL($V$4:$V$3183,526),$V$4:$V$3183,0)),"")</f>
        <v/>
      </c>
      <c r="I529" s="29">
        <f>IF($B529="","",IFERROR(INDEX($U$4:$U$3183,MATCH(SMALL($V$4:$V$3183,526),$V$4:$V$3183,0)),""))</f>
        <v/>
      </c>
      <c r="J529">
        <f>IF($B529="","",IF($D529&gt;$F$2,"À venir",IF($E529&lt;$D$2,"Passé","Dans la période")))</f>
        <v/>
      </c>
      <c r="K529">
        <f>IF(OR($B529="",NOT(ISNUMBER($D529))),"",IF(AND($E529&lt;$D$2,$G529&lt;&gt;"X",$F529&lt;&gt;"Réalisé",$F529&lt;&gt;"Clôturé"),"RETARD",""))</f>
        <v/>
      </c>
      <c r="L529">
        <f>IF(OR($B529="",NOT(ISNUMBER($D529))),"",IF(AND($D529&gt;=$D$2,$D529&lt;=$H$2,$G529&lt;&gt;"X",$F529&lt;&gt;"Réalisé",$F529&lt;&gt;"Clôturé"),"≤ 7 j",""))</f>
        <v/>
      </c>
      <c r="M529" s="29">
        <f>IF($B529="","",IFERROR(INDEX($T$4:$T$3183,MATCH(SMALL($V$4:$V$3183,526),$V$4:$V$3183,0)),""))</f>
        <v/>
      </c>
      <c r="O529">
        <f>IF(INDEX(Suivi!$B:$B,539)="","",INDEX(Suivi!$B:$B,539))</f>
        <v/>
      </c>
      <c r="P529">
        <f>IF($O529="","",IF(INDEX(Suivi!$D:$D,539)="",INDEX(Suivi!$C:$C,539),INDEX(Suivi!$D:$D,539)))</f>
        <v/>
      </c>
      <c r="Q529">
        <f>IF($O529="","",INDEX(Suivi!$E:$E,539))</f>
        <v/>
      </c>
      <c r="R529">
        <f>IF($O529="","",INDEX(Suivi!$F:$F,539))</f>
        <v/>
      </c>
      <c r="S529">
        <f>IF($O529="","",INDEX(Suivi!$G:$G,539))</f>
        <v/>
      </c>
      <c r="T529">
        <f>IF($O529="","",IF(INDEX(Dossiers!$F$4:$F$63,10)="","",INDEX(Dossiers!$F$4:$F$63,10)))</f>
        <v/>
      </c>
      <c r="U529">
        <f>IF($O529="","",IF(INDEX(Dossiers!$G$4:$G$63,10)="","",INDEX(Dossiers!$G$4:$G$63,10)))</f>
        <v/>
      </c>
      <c r="V529">
        <f>IF(OR($O529="",NOT(ISNUMBER($Q529))),"",$Q529*1000000+529)</f>
        <v/>
      </c>
      <c r="W529" s="29">
        <f>IF($B529="","",IFERROR(INDEX($U$4:$U$3183,MATCH(SMALL($V$4:$V$3183,526),$V$4:$V$3183,0)),""))</f>
        <v/>
      </c>
    </row>
    <row r="530">
      <c r="A530">
        <f>IFERROR(INDEX($N$4:$N$3183,MATCH(SMALL($V$4:$V$3183,527),$V$4:$V$3183,0)),"")</f>
        <v/>
      </c>
      <c r="B530">
        <f>IFERROR(INDEX($O$4:$O$3183,MATCH(SMALL($V$4:$V$3183,527),$V$4:$V$3183,0)),"")</f>
        <v/>
      </c>
      <c r="C530">
        <f>IFERROR(INDEX($P$4:$P$3183,MATCH(SMALL($V$4:$V$3183,527),$V$4:$V$3183,0)),"")</f>
        <v/>
      </c>
      <c r="D530" s="29">
        <f>IFERROR(INDEX($Q$4:$Q$3183,MATCH(SMALL($V$4:$V$3183,527),$V$4:$V$3183,0)),"")</f>
        <v/>
      </c>
      <c r="E530" s="29">
        <f>IFERROR(INDEX($R$4:$R$3183,MATCH(SMALL($V$4:$V$3183,527),$V$4:$V$3183,0)),"")</f>
        <v/>
      </c>
      <c r="F530">
        <f>IFERROR(INDEX($S$4:$S$3183,MATCH(SMALL($V$4:$V$3183,527),$V$4:$V$3183,0)),"")</f>
        <v/>
      </c>
      <c r="I530" s="29">
        <f>IF($B530="","",IFERROR(INDEX($U$4:$U$3183,MATCH(SMALL($V$4:$V$3183,527),$V$4:$V$3183,0)),""))</f>
        <v/>
      </c>
      <c r="J530">
        <f>IF($B530="","",IF($D530&gt;$F$2,"À venir",IF($E530&lt;$D$2,"Passé","Dans la période")))</f>
        <v/>
      </c>
      <c r="K530">
        <f>IF(OR($B530="",NOT(ISNUMBER($D530))),"",IF(AND($E530&lt;$D$2,$G530&lt;&gt;"X",$F530&lt;&gt;"Réalisé",$F530&lt;&gt;"Clôturé"),"RETARD",""))</f>
        <v/>
      </c>
      <c r="L530">
        <f>IF(OR($B530="",NOT(ISNUMBER($D530))),"",IF(AND($D530&gt;=$D$2,$D530&lt;=$H$2,$G530&lt;&gt;"X",$F530&lt;&gt;"Réalisé",$F530&lt;&gt;"Clôturé"),"≤ 7 j",""))</f>
        <v/>
      </c>
      <c r="M530" s="29">
        <f>IF($B530="","",IFERROR(INDEX($T$4:$T$3183,MATCH(SMALL($V$4:$V$3183,527),$V$4:$V$3183,0)),""))</f>
        <v/>
      </c>
      <c r="O530">
        <f>IF(INDEX(Suivi!$B:$B,540)="","",INDEX(Suivi!$B:$B,540))</f>
        <v/>
      </c>
      <c r="P530">
        <f>IF($O530="","",IF(INDEX(Suivi!$D:$D,540)="",INDEX(Suivi!$C:$C,540),INDEX(Suivi!$D:$D,540)))</f>
        <v/>
      </c>
      <c r="Q530">
        <f>IF($O530="","",INDEX(Suivi!$E:$E,540))</f>
        <v/>
      </c>
      <c r="R530">
        <f>IF($O530="","",INDEX(Suivi!$F:$F,540))</f>
        <v/>
      </c>
      <c r="S530">
        <f>IF($O530="","",INDEX(Suivi!$G:$G,540))</f>
        <v/>
      </c>
      <c r="T530">
        <f>IF($O530="","",IF(INDEX(Dossiers!$F$4:$F$63,10)="","",INDEX(Dossiers!$F$4:$F$63,10)))</f>
        <v/>
      </c>
      <c r="U530">
        <f>IF($O530="","",IF(INDEX(Dossiers!$G$4:$G$63,10)="","",INDEX(Dossiers!$G$4:$G$63,10)))</f>
        <v/>
      </c>
      <c r="V530">
        <f>IF(OR($O530="",NOT(ISNUMBER($Q530))),"",$Q530*1000000+530)</f>
        <v/>
      </c>
      <c r="W530" s="29">
        <f>IF($B530="","",IFERROR(INDEX($U$4:$U$3183,MATCH(SMALL($V$4:$V$3183,527),$V$4:$V$3183,0)),""))</f>
        <v/>
      </c>
    </row>
    <row r="531">
      <c r="A531">
        <f>IFERROR(INDEX($N$4:$N$3183,MATCH(SMALL($V$4:$V$3183,528),$V$4:$V$3183,0)),"")</f>
        <v/>
      </c>
      <c r="B531">
        <f>IFERROR(INDEX($O$4:$O$3183,MATCH(SMALL($V$4:$V$3183,528),$V$4:$V$3183,0)),"")</f>
        <v/>
      </c>
      <c r="C531">
        <f>IFERROR(INDEX($P$4:$P$3183,MATCH(SMALL($V$4:$V$3183,528),$V$4:$V$3183,0)),"")</f>
        <v/>
      </c>
      <c r="D531" s="29">
        <f>IFERROR(INDEX($Q$4:$Q$3183,MATCH(SMALL($V$4:$V$3183,528),$V$4:$V$3183,0)),"")</f>
        <v/>
      </c>
      <c r="E531" s="29">
        <f>IFERROR(INDEX($R$4:$R$3183,MATCH(SMALL($V$4:$V$3183,528),$V$4:$V$3183,0)),"")</f>
        <v/>
      </c>
      <c r="F531">
        <f>IFERROR(INDEX($S$4:$S$3183,MATCH(SMALL($V$4:$V$3183,528),$V$4:$V$3183,0)),"")</f>
        <v/>
      </c>
      <c r="I531" s="29">
        <f>IF($B531="","",IFERROR(INDEX($U$4:$U$3183,MATCH(SMALL($V$4:$V$3183,528),$V$4:$V$3183,0)),""))</f>
        <v/>
      </c>
      <c r="J531">
        <f>IF($B531="","",IF($D531&gt;$F$2,"À venir",IF($E531&lt;$D$2,"Passé","Dans la période")))</f>
        <v/>
      </c>
      <c r="K531">
        <f>IF(OR($B531="",NOT(ISNUMBER($D531))),"",IF(AND($E531&lt;$D$2,$G531&lt;&gt;"X",$F531&lt;&gt;"Réalisé",$F531&lt;&gt;"Clôturé"),"RETARD",""))</f>
        <v/>
      </c>
      <c r="L531">
        <f>IF(OR($B531="",NOT(ISNUMBER($D531))),"",IF(AND($D531&gt;=$D$2,$D531&lt;=$H$2,$G531&lt;&gt;"X",$F531&lt;&gt;"Réalisé",$F531&lt;&gt;"Clôturé"),"≤ 7 j",""))</f>
        <v/>
      </c>
      <c r="M531" s="29">
        <f>IF($B531="","",IFERROR(INDEX($T$4:$T$3183,MATCH(SMALL($V$4:$V$3183,528),$V$4:$V$3183,0)),""))</f>
        <v/>
      </c>
      <c r="O531">
        <f>IF(INDEX(Suivi!$B:$B,541)="","",INDEX(Suivi!$B:$B,541))</f>
        <v/>
      </c>
      <c r="P531">
        <f>IF($O531="","",IF(INDEX(Suivi!$D:$D,541)="",INDEX(Suivi!$C:$C,541),INDEX(Suivi!$D:$D,541)))</f>
        <v/>
      </c>
      <c r="Q531">
        <f>IF($O531="","",INDEX(Suivi!$E:$E,541))</f>
        <v/>
      </c>
      <c r="R531">
        <f>IF($O531="","",INDEX(Suivi!$F:$F,541))</f>
        <v/>
      </c>
      <c r="S531">
        <f>IF($O531="","",INDEX(Suivi!$G:$G,541))</f>
        <v/>
      </c>
      <c r="T531">
        <f>IF($O531="","",IF(INDEX(Dossiers!$F$4:$F$63,10)="","",INDEX(Dossiers!$F$4:$F$63,10)))</f>
        <v/>
      </c>
      <c r="U531">
        <f>IF($O531="","",IF(INDEX(Dossiers!$G$4:$G$63,10)="","",INDEX(Dossiers!$G$4:$G$63,10)))</f>
        <v/>
      </c>
      <c r="V531">
        <f>IF(OR($O531="",NOT(ISNUMBER($Q531))),"",$Q531*1000000+531)</f>
        <v/>
      </c>
      <c r="W531" s="29">
        <f>IF($B531="","",IFERROR(INDEX($U$4:$U$3183,MATCH(SMALL($V$4:$V$3183,528),$V$4:$V$3183,0)),""))</f>
        <v/>
      </c>
    </row>
    <row r="532">
      <c r="A532">
        <f>IFERROR(INDEX($N$4:$N$3183,MATCH(SMALL($V$4:$V$3183,529),$V$4:$V$3183,0)),"")</f>
        <v/>
      </c>
      <c r="B532">
        <f>IFERROR(INDEX($O$4:$O$3183,MATCH(SMALL($V$4:$V$3183,529),$V$4:$V$3183,0)),"")</f>
        <v/>
      </c>
      <c r="C532">
        <f>IFERROR(INDEX($P$4:$P$3183,MATCH(SMALL($V$4:$V$3183,529),$V$4:$V$3183,0)),"")</f>
        <v/>
      </c>
      <c r="D532" s="29">
        <f>IFERROR(INDEX($Q$4:$Q$3183,MATCH(SMALL($V$4:$V$3183,529),$V$4:$V$3183,0)),"")</f>
        <v/>
      </c>
      <c r="E532" s="29">
        <f>IFERROR(INDEX($R$4:$R$3183,MATCH(SMALL($V$4:$V$3183,529),$V$4:$V$3183,0)),"")</f>
        <v/>
      </c>
      <c r="F532">
        <f>IFERROR(INDEX($S$4:$S$3183,MATCH(SMALL($V$4:$V$3183,529),$V$4:$V$3183,0)),"")</f>
        <v/>
      </c>
      <c r="I532" s="29">
        <f>IF($B532="","",IFERROR(INDEX($U$4:$U$3183,MATCH(SMALL($V$4:$V$3183,529),$V$4:$V$3183,0)),""))</f>
        <v/>
      </c>
      <c r="J532">
        <f>IF($B532="","",IF($D532&gt;$F$2,"À venir",IF($E532&lt;$D$2,"Passé","Dans la période")))</f>
        <v/>
      </c>
      <c r="K532">
        <f>IF(OR($B532="",NOT(ISNUMBER($D532))),"",IF(AND($E532&lt;$D$2,$G532&lt;&gt;"X",$F532&lt;&gt;"Réalisé",$F532&lt;&gt;"Clôturé"),"RETARD",""))</f>
        <v/>
      </c>
      <c r="L532">
        <f>IF(OR($B532="",NOT(ISNUMBER($D532))),"",IF(AND($D532&gt;=$D$2,$D532&lt;=$H$2,$G532&lt;&gt;"X",$F532&lt;&gt;"Réalisé",$F532&lt;&gt;"Clôturé"),"≤ 7 j",""))</f>
        <v/>
      </c>
      <c r="M532" s="29">
        <f>IF($B532="","",IFERROR(INDEX($T$4:$T$3183,MATCH(SMALL($V$4:$V$3183,529),$V$4:$V$3183,0)),""))</f>
        <v/>
      </c>
      <c r="O532">
        <f>IF(INDEX(Suivi!$B:$B,542)="","",INDEX(Suivi!$B:$B,542))</f>
        <v/>
      </c>
      <c r="P532">
        <f>IF($O532="","",IF(INDEX(Suivi!$D:$D,542)="",INDEX(Suivi!$C:$C,542),INDEX(Suivi!$D:$D,542)))</f>
        <v/>
      </c>
      <c r="Q532">
        <f>IF($O532="","",INDEX(Suivi!$E:$E,542))</f>
        <v/>
      </c>
      <c r="R532">
        <f>IF($O532="","",INDEX(Suivi!$F:$F,542))</f>
        <v/>
      </c>
      <c r="S532">
        <f>IF($O532="","",INDEX(Suivi!$G:$G,542))</f>
        <v/>
      </c>
      <c r="T532">
        <f>IF($O532="","",IF(INDEX(Dossiers!$F$4:$F$63,10)="","",INDEX(Dossiers!$F$4:$F$63,10)))</f>
        <v/>
      </c>
      <c r="U532">
        <f>IF($O532="","",IF(INDEX(Dossiers!$G$4:$G$63,10)="","",INDEX(Dossiers!$G$4:$G$63,10)))</f>
        <v/>
      </c>
      <c r="V532">
        <f>IF(OR($O532="",NOT(ISNUMBER($Q532))),"",$Q532*1000000+532)</f>
        <v/>
      </c>
      <c r="W532" s="29">
        <f>IF($B532="","",IFERROR(INDEX($U$4:$U$3183,MATCH(SMALL($V$4:$V$3183,529),$V$4:$V$3183,0)),""))</f>
        <v/>
      </c>
    </row>
    <row r="533">
      <c r="A533">
        <f>IFERROR(INDEX($N$4:$N$3183,MATCH(SMALL($V$4:$V$3183,530),$V$4:$V$3183,0)),"")</f>
        <v/>
      </c>
      <c r="B533">
        <f>IFERROR(INDEX($O$4:$O$3183,MATCH(SMALL($V$4:$V$3183,530),$V$4:$V$3183,0)),"")</f>
        <v/>
      </c>
      <c r="C533">
        <f>IFERROR(INDEX($P$4:$P$3183,MATCH(SMALL($V$4:$V$3183,530),$V$4:$V$3183,0)),"")</f>
        <v/>
      </c>
      <c r="D533" s="29">
        <f>IFERROR(INDEX($Q$4:$Q$3183,MATCH(SMALL($V$4:$V$3183,530),$V$4:$V$3183,0)),"")</f>
        <v/>
      </c>
      <c r="E533" s="29">
        <f>IFERROR(INDEX($R$4:$R$3183,MATCH(SMALL($V$4:$V$3183,530),$V$4:$V$3183,0)),"")</f>
        <v/>
      </c>
      <c r="F533">
        <f>IFERROR(INDEX($S$4:$S$3183,MATCH(SMALL($V$4:$V$3183,530),$V$4:$V$3183,0)),"")</f>
        <v/>
      </c>
      <c r="I533" s="29">
        <f>IF($B533="","",IFERROR(INDEX($U$4:$U$3183,MATCH(SMALL($V$4:$V$3183,530),$V$4:$V$3183,0)),""))</f>
        <v/>
      </c>
      <c r="J533">
        <f>IF($B533="","",IF($D533&gt;$F$2,"À venir",IF($E533&lt;$D$2,"Passé","Dans la période")))</f>
        <v/>
      </c>
      <c r="K533">
        <f>IF(OR($B533="",NOT(ISNUMBER($D533))),"",IF(AND($E533&lt;$D$2,$G533&lt;&gt;"X",$F533&lt;&gt;"Réalisé",$F533&lt;&gt;"Clôturé"),"RETARD",""))</f>
        <v/>
      </c>
      <c r="L533">
        <f>IF(OR($B533="",NOT(ISNUMBER($D533))),"",IF(AND($D533&gt;=$D$2,$D533&lt;=$H$2,$G533&lt;&gt;"X",$F533&lt;&gt;"Réalisé",$F533&lt;&gt;"Clôturé"),"≤ 7 j",""))</f>
        <v/>
      </c>
      <c r="M533" s="29">
        <f>IF($B533="","",IFERROR(INDEX($T$4:$T$3183,MATCH(SMALL($V$4:$V$3183,530),$V$4:$V$3183,0)),""))</f>
        <v/>
      </c>
      <c r="O533">
        <f>IF(INDEX(Suivi!$B:$B,543)="","",INDEX(Suivi!$B:$B,543))</f>
        <v/>
      </c>
      <c r="P533">
        <f>IF($O533="","",IF(INDEX(Suivi!$D:$D,543)="",INDEX(Suivi!$C:$C,543),INDEX(Suivi!$D:$D,543)))</f>
        <v/>
      </c>
      <c r="Q533">
        <f>IF($O533="","",INDEX(Suivi!$E:$E,543))</f>
        <v/>
      </c>
      <c r="R533">
        <f>IF($O533="","",INDEX(Suivi!$F:$F,543))</f>
        <v/>
      </c>
      <c r="S533">
        <f>IF($O533="","",INDEX(Suivi!$G:$G,543))</f>
        <v/>
      </c>
      <c r="T533">
        <f>IF($O533="","",IF(INDEX(Dossiers!$F$4:$F$63,10)="","",INDEX(Dossiers!$F$4:$F$63,10)))</f>
        <v/>
      </c>
      <c r="U533">
        <f>IF($O533="","",IF(INDEX(Dossiers!$G$4:$G$63,10)="","",INDEX(Dossiers!$G$4:$G$63,10)))</f>
        <v/>
      </c>
      <c r="V533">
        <f>IF(OR($O533="",NOT(ISNUMBER($Q533))),"",$Q533*1000000+533)</f>
        <v/>
      </c>
      <c r="W533" s="29">
        <f>IF($B533="","",IFERROR(INDEX($U$4:$U$3183,MATCH(SMALL($V$4:$V$3183,530),$V$4:$V$3183,0)),""))</f>
        <v/>
      </c>
    </row>
    <row r="534">
      <c r="A534">
        <f>IFERROR(INDEX($N$4:$N$3183,MATCH(SMALL($V$4:$V$3183,531),$V$4:$V$3183,0)),"")</f>
        <v/>
      </c>
      <c r="B534">
        <f>IFERROR(INDEX($O$4:$O$3183,MATCH(SMALL($V$4:$V$3183,531),$V$4:$V$3183,0)),"")</f>
        <v/>
      </c>
      <c r="C534">
        <f>IFERROR(INDEX($P$4:$P$3183,MATCH(SMALL($V$4:$V$3183,531),$V$4:$V$3183,0)),"")</f>
        <v/>
      </c>
      <c r="D534" s="29">
        <f>IFERROR(INDEX($Q$4:$Q$3183,MATCH(SMALL($V$4:$V$3183,531),$V$4:$V$3183,0)),"")</f>
        <v/>
      </c>
      <c r="E534" s="29">
        <f>IFERROR(INDEX($R$4:$R$3183,MATCH(SMALL($V$4:$V$3183,531),$V$4:$V$3183,0)),"")</f>
        <v/>
      </c>
      <c r="F534">
        <f>IFERROR(INDEX($S$4:$S$3183,MATCH(SMALL($V$4:$V$3183,531),$V$4:$V$3183,0)),"")</f>
        <v/>
      </c>
      <c r="I534" s="29">
        <f>IF($B534="","",IFERROR(INDEX($U$4:$U$3183,MATCH(SMALL($V$4:$V$3183,531),$V$4:$V$3183,0)),""))</f>
        <v/>
      </c>
      <c r="J534">
        <f>IF($B534="","",IF($D534&gt;$F$2,"À venir",IF($E534&lt;$D$2,"Passé","Dans la période")))</f>
        <v/>
      </c>
      <c r="K534">
        <f>IF(OR($B534="",NOT(ISNUMBER($D534))),"",IF(AND($E534&lt;$D$2,$G534&lt;&gt;"X",$F534&lt;&gt;"Réalisé",$F534&lt;&gt;"Clôturé"),"RETARD",""))</f>
        <v/>
      </c>
      <c r="L534">
        <f>IF(OR($B534="",NOT(ISNUMBER($D534))),"",IF(AND($D534&gt;=$D$2,$D534&lt;=$H$2,$G534&lt;&gt;"X",$F534&lt;&gt;"Réalisé",$F534&lt;&gt;"Clôturé"),"≤ 7 j",""))</f>
        <v/>
      </c>
      <c r="M534" s="29">
        <f>IF($B534="","",IFERROR(INDEX($T$4:$T$3183,MATCH(SMALL($V$4:$V$3183,531),$V$4:$V$3183,0)),""))</f>
        <v/>
      </c>
      <c r="O534">
        <f>IF(INDEX(Suivi!$B:$B,545)="","",INDEX(Suivi!$B:$B,545))</f>
        <v/>
      </c>
      <c r="P534">
        <f>IF($O534="","",IF(INDEX(Suivi!$D:$D,545)="",INDEX(Suivi!$C:$C,545),INDEX(Suivi!$D:$D,545)))</f>
        <v/>
      </c>
      <c r="Q534">
        <f>IF($O534="","",INDEX(Suivi!$E:$E,545))</f>
        <v/>
      </c>
      <c r="R534">
        <f>IF($O534="","",INDEX(Suivi!$F:$F,545))</f>
        <v/>
      </c>
      <c r="S534">
        <f>IF($O534="","",INDEX(Suivi!$G:$G,545))</f>
        <v/>
      </c>
      <c r="T534">
        <f>IF($O534="","",IF(INDEX(Dossiers!$F$4:$F$63,11)="","",INDEX(Dossiers!$F$4:$F$63,11)))</f>
        <v/>
      </c>
      <c r="U534">
        <f>IF($O534="","",IF(INDEX(Dossiers!$G$4:$G$63,11)="","",INDEX(Dossiers!$G$4:$G$63,11)))</f>
        <v/>
      </c>
      <c r="V534">
        <f>IF(OR($O534="",NOT(ISNUMBER($Q534))),"",$Q534*1000000+534)</f>
        <v/>
      </c>
      <c r="W534" s="29">
        <f>IF($B534="","",IFERROR(INDEX($U$4:$U$3183,MATCH(SMALL($V$4:$V$3183,531),$V$4:$V$3183,0)),""))</f>
        <v/>
      </c>
    </row>
    <row r="535">
      <c r="A535">
        <f>IFERROR(INDEX($N$4:$N$3183,MATCH(SMALL($V$4:$V$3183,532),$V$4:$V$3183,0)),"")</f>
        <v/>
      </c>
      <c r="B535">
        <f>IFERROR(INDEX($O$4:$O$3183,MATCH(SMALL($V$4:$V$3183,532),$V$4:$V$3183,0)),"")</f>
        <v/>
      </c>
      <c r="C535">
        <f>IFERROR(INDEX($P$4:$P$3183,MATCH(SMALL($V$4:$V$3183,532),$V$4:$V$3183,0)),"")</f>
        <v/>
      </c>
      <c r="D535" s="29">
        <f>IFERROR(INDEX($Q$4:$Q$3183,MATCH(SMALL($V$4:$V$3183,532),$V$4:$V$3183,0)),"")</f>
        <v/>
      </c>
      <c r="E535" s="29">
        <f>IFERROR(INDEX($R$4:$R$3183,MATCH(SMALL($V$4:$V$3183,532),$V$4:$V$3183,0)),"")</f>
        <v/>
      </c>
      <c r="F535">
        <f>IFERROR(INDEX($S$4:$S$3183,MATCH(SMALL($V$4:$V$3183,532),$V$4:$V$3183,0)),"")</f>
        <v/>
      </c>
      <c r="I535" s="29">
        <f>IF($B535="","",IFERROR(INDEX($U$4:$U$3183,MATCH(SMALL($V$4:$V$3183,532),$V$4:$V$3183,0)),""))</f>
        <v/>
      </c>
      <c r="J535">
        <f>IF($B535="","",IF($D535&gt;$F$2,"À venir",IF($E535&lt;$D$2,"Passé","Dans la période")))</f>
        <v/>
      </c>
      <c r="K535">
        <f>IF(OR($B535="",NOT(ISNUMBER($D535))),"",IF(AND($E535&lt;$D$2,$G535&lt;&gt;"X",$F535&lt;&gt;"Réalisé",$F535&lt;&gt;"Clôturé"),"RETARD",""))</f>
        <v/>
      </c>
      <c r="L535">
        <f>IF(OR($B535="",NOT(ISNUMBER($D535))),"",IF(AND($D535&gt;=$D$2,$D535&lt;=$H$2,$G535&lt;&gt;"X",$F535&lt;&gt;"Réalisé",$F535&lt;&gt;"Clôturé"),"≤ 7 j",""))</f>
        <v/>
      </c>
      <c r="M535" s="29">
        <f>IF($B535="","",IFERROR(INDEX($T$4:$T$3183,MATCH(SMALL($V$4:$V$3183,532),$V$4:$V$3183,0)),""))</f>
        <v/>
      </c>
      <c r="O535">
        <f>IF(INDEX(Suivi!$B:$B,546)="","",INDEX(Suivi!$B:$B,546))</f>
        <v/>
      </c>
      <c r="P535">
        <f>IF($O535="","",IF(INDEX(Suivi!$D:$D,546)="",INDEX(Suivi!$C:$C,546),INDEX(Suivi!$D:$D,546)))</f>
        <v/>
      </c>
      <c r="Q535">
        <f>IF($O535="","",INDEX(Suivi!$E:$E,546))</f>
        <v/>
      </c>
      <c r="R535">
        <f>IF($O535="","",INDEX(Suivi!$F:$F,546))</f>
        <v/>
      </c>
      <c r="S535">
        <f>IF($O535="","",INDEX(Suivi!$G:$G,546))</f>
        <v/>
      </c>
      <c r="T535">
        <f>IF($O535="","",IF(INDEX(Dossiers!$F$4:$F$63,11)="","",INDEX(Dossiers!$F$4:$F$63,11)))</f>
        <v/>
      </c>
      <c r="U535">
        <f>IF($O535="","",IF(INDEX(Dossiers!$G$4:$G$63,11)="","",INDEX(Dossiers!$G$4:$G$63,11)))</f>
        <v/>
      </c>
      <c r="V535">
        <f>IF(OR($O535="",NOT(ISNUMBER($Q535))),"",$Q535*1000000+535)</f>
        <v/>
      </c>
      <c r="W535" s="29">
        <f>IF($B535="","",IFERROR(INDEX($U$4:$U$3183,MATCH(SMALL($V$4:$V$3183,532),$V$4:$V$3183,0)),""))</f>
        <v/>
      </c>
    </row>
    <row r="536">
      <c r="A536">
        <f>IFERROR(INDEX($N$4:$N$3183,MATCH(SMALL($V$4:$V$3183,533),$V$4:$V$3183,0)),"")</f>
        <v/>
      </c>
      <c r="B536">
        <f>IFERROR(INDEX($O$4:$O$3183,MATCH(SMALL($V$4:$V$3183,533),$V$4:$V$3183,0)),"")</f>
        <v/>
      </c>
      <c r="C536">
        <f>IFERROR(INDEX($P$4:$P$3183,MATCH(SMALL($V$4:$V$3183,533),$V$4:$V$3183,0)),"")</f>
        <v/>
      </c>
      <c r="D536" s="29">
        <f>IFERROR(INDEX($Q$4:$Q$3183,MATCH(SMALL($V$4:$V$3183,533),$V$4:$V$3183,0)),"")</f>
        <v/>
      </c>
      <c r="E536" s="29">
        <f>IFERROR(INDEX($R$4:$R$3183,MATCH(SMALL($V$4:$V$3183,533),$V$4:$V$3183,0)),"")</f>
        <v/>
      </c>
      <c r="F536">
        <f>IFERROR(INDEX($S$4:$S$3183,MATCH(SMALL($V$4:$V$3183,533),$V$4:$V$3183,0)),"")</f>
        <v/>
      </c>
      <c r="I536" s="29">
        <f>IF($B536="","",IFERROR(INDEX($U$4:$U$3183,MATCH(SMALL($V$4:$V$3183,533),$V$4:$V$3183,0)),""))</f>
        <v/>
      </c>
      <c r="J536">
        <f>IF($B536="","",IF($D536&gt;$F$2,"À venir",IF($E536&lt;$D$2,"Passé","Dans la période")))</f>
        <v/>
      </c>
      <c r="K536">
        <f>IF(OR($B536="",NOT(ISNUMBER($D536))),"",IF(AND($E536&lt;$D$2,$G536&lt;&gt;"X",$F536&lt;&gt;"Réalisé",$F536&lt;&gt;"Clôturé"),"RETARD",""))</f>
        <v/>
      </c>
      <c r="L536">
        <f>IF(OR($B536="",NOT(ISNUMBER($D536))),"",IF(AND($D536&gt;=$D$2,$D536&lt;=$H$2,$G536&lt;&gt;"X",$F536&lt;&gt;"Réalisé",$F536&lt;&gt;"Clôturé"),"≤ 7 j",""))</f>
        <v/>
      </c>
      <c r="M536" s="29">
        <f>IF($B536="","",IFERROR(INDEX($T$4:$T$3183,MATCH(SMALL($V$4:$V$3183,533),$V$4:$V$3183,0)),""))</f>
        <v/>
      </c>
      <c r="O536">
        <f>IF(INDEX(Suivi!$B:$B,547)="","",INDEX(Suivi!$B:$B,547))</f>
        <v/>
      </c>
      <c r="P536">
        <f>IF($O536="","",IF(INDEX(Suivi!$D:$D,547)="",INDEX(Suivi!$C:$C,547),INDEX(Suivi!$D:$D,547)))</f>
        <v/>
      </c>
      <c r="Q536">
        <f>IF($O536="","",INDEX(Suivi!$E:$E,547))</f>
        <v/>
      </c>
      <c r="R536">
        <f>IF($O536="","",INDEX(Suivi!$F:$F,547))</f>
        <v/>
      </c>
      <c r="S536">
        <f>IF($O536="","",INDEX(Suivi!$G:$G,547))</f>
        <v/>
      </c>
      <c r="T536">
        <f>IF($O536="","",IF(INDEX(Dossiers!$F$4:$F$63,11)="","",INDEX(Dossiers!$F$4:$F$63,11)))</f>
        <v/>
      </c>
      <c r="U536">
        <f>IF($O536="","",IF(INDEX(Dossiers!$G$4:$G$63,11)="","",INDEX(Dossiers!$G$4:$G$63,11)))</f>
        <v/>
      </c>
      <c r="V536">
        <f>IF(OR($O536="",NOT(ISNUMBER($Q536))),"",$Q536*1000000+536)</f>
        <v/>
      </c>
      <c r="W536" s="29">
        <f>IF($B536="","",IFERROR(INDEX($U$4:$U$3183,MATCH(SMALL($V$4:$V$3183,533),$V$4:$V$3183,0)),""))</f>
        <v/>
      </c>
    </row>
    <row r="537">
      <c r="A537">
        <f>IFERROR(INDEX($N$4:$N$3183,MATCH(SMALL($V$4:$V$3183,534),$V$4:$V$3183,0)),"")</f>
        <v/>
      </c>
      <c r="B537">
        <f>IFERROR(INDEX($O$4:$O$3183,MATCH(SMALL($V$4:$V$3183,534),$V$4:$V$3183,0)),"")</f>
        <v/>
      </c>
      <c r="C537">
        <f>IFERROR(INDEX($P$4:$P$3183,MATCH(SMALL($V$4:$V$3183,534),$V$4:$V$3183,0)),"")</f>
        <v/>
      </c>
      <c r="D537" s="29">
        <f>IFERROR(INDEX($Q$4:$Q$3183,MATCH(SMALL($V$4:$V$3183,534),$V$4:$V$3183,0)),"")</f>
        <v/>
      </c>
      <c r="E537" s="29">
        <f>IFERROR(INDEX($R$4:$R$3183,MATCH(SMALL($V$4:$V$3183,534),$V$4:$V$3183,0)),"")</f>
        <v/>
      </c>
      <c r="F537">
        <f>IFERROR(INDEX($S$4:$S$3183,MATCH(SMALL($V$4:$V$3183,534),$V$4:$V$3183,0)),"")</f>
        <v/>
      </c>
      <c r="I537" s="29">
        <f>IF($B537="","",IFERROR(INDEX($U$4:$U$3183,MATCH(SMALL($V$4:$V$3183,534),$V$4:$V$3183,0)),""))</f>
        <v/>
      </c>
      <c r="J537">
        <f>IF($B537="","",IF($D537&gt;$F$2,"À venir",IF($E537&lt;$D$2,"Passé","Dans la période")))</f>
        <v/>
      </c>
      <c r="K537">
        <f>IF(OR($B537="",NOT(ISNUMBER($D537))),"",IF(AND($E537&lt;$D$2,$G537&lt;&gt;"X",$F537&lt;&gt;"Réalisé",$F537&lt;&gt;"Clôturé"),"RETARD",""))</f>
        <v/>
      </c>
      <c r="L537">
        <f>IF(OR($B537="",NOT(ISNUMBER($D537))),"",IF(AND($D537&gt;=$D$2,$D537&lt;=$H$2,$G537&lt;&gt;"X",$F537&lt;&gt;"Réalisé",$F537&lt;&gt;"Clôturé"),"≤ 7 j",""))</f>
        <v/>
      </c>
      <c r="M537" s="29">
        <f>IF($B537="","",IFERROR(INDEX($T$4:$T$3183,MATCH(SMALL($V$4:$V$3183,534),$V$4:$V$3183,0)),""))</f>
        <v/>
      </c>
      <c r="O537">
        <f>IF(INDEX(Suivi!$B:$B,548)="","",INDEX(Suivi!$B:$B,548))</f>
        <v/>
      </c>
      <c r="P537">
        <f>IF($O537="","",IF(INDEX(Suivi!$D:$D,548)="",INDEX(Suivi!$C:$C,548),INDEX(Suivi!$D:$D,548)))</f>
        <v/>
      </c>
      <c r="Q537">
        <f>IF($O537="","",INDEX(Suivi!$E:$E,548))</f>
        <v/>
      </c>
      <c r="R537">
        <f>IF($O537="","",INDEX(Suivi!$F:$F,548))</f>
        <v/>
      </c>
      <c r="S537">
        <f>IF($O537="","",INDEX(Suivi!$G:$G,548))</f>
        <v/>
      </c>
      <c r="T537">
        <f>IF($O537="","",IF(INDEX(Dossiers!$F$4:$F$63,11)="","",INDEX(Dossiers!$F$4:$F$63,11)))</f>
        <v/>
      </c>
      <c r="U537">
        <f>IF($O537="","",IF(INDEX(Dossiers!$G$4:$G$63,11)="","",INDEX(Dossiers!$G$4:$G$63,11)))</f>
        <v/>
      </c>
      <c r="V537">
        <f>IF(OR($O537="",NOT(ISNUMBER($Q537))),"",$Q537*1000000+537)</f>
        <v/>
      </c>
      <c r="W537" s="29">
        <f>IF($B537="","",IFERROR(INDEX($U$4:$U$3183,MATCH(SMALL($V$4:$V$3183,534),$V$4:$V$3183,0)),""))</f>
        <v/>
      </c>
    </row>
    <row r="538">
      <c r="A538">
        <f>IFERROR(INDEX($N$4:$N$3183,MATCH(SMALL($V$4:$V$3183,535),$V$4:$V$3183,0)),"")</f>
        <v/>
      </c>
      <c r="B538">
        <f>IFERROR(INDEX($O$4:$O$3183,MATCH(SMALL($V$4:$V$3183,535),$V$4:$V$3183,0)),"")</f>
        <v/>
      </c>
      <c r="C538">
        <f>IFERROR(INDEX($P$4:$P$3183,MATCH(SMALL($V$4:$V$3183,535),$V$4:$V$3183,0)),"")</f>
        <v/>
      </c>
      <c r="D538" s="29">
        <f>IFERROR(INDEX($Q$4:$Q$3183,MATCH(SMALL($V$4:$V$3183,535),$V$4:$V$3183,0)),"")</f>
        <v/>
      </c>
      <c r="E538" s="29">
        <f>IFERROR(INDEX($R$4:$R$3183,MATCH(SMALL($V$4:$V$3183,535),$V$4:$V$3183,0)),"")</f>
        <v/>
      </c>
      <c r="F538">
        <f>IFERROR(INDEX($S$4:$S$3183,MATCH(SMALL($V$4:$V$3183,535),$V$4:$V$3183,0)),"")</f>
        <v/>
      </c>
      <c r="I538" s="29">
        <f>IF($B538="","",IFERROR(INDEX($U$4:$U$3183,MATCH(SMALL($V$4:$V$3183,535),$V$4:$V$3183,0)),""))</f>
        <v/>
      </c>
      <c r="J538">
        <f>IF($B538="","",IF($D538&gt;$F$2,"À venir",IF($E538&lt;$D$2,"Passé","Dans la période")))</f>
        <v/>
      </c>
      <c r="K538">
        <f>IF(OR($B538="",NOT(ISNUMBER($D538))),"",IF(AND($E538&lt;$D$2,$G538&lt;&gt;"X",$F538&lt;&gt;"Réalisé",$F538&lt;&gt;"Clôturé"),"RETARD",""))</f>
        <v/>
      </c>
      <c r="L538">
        <f>IF(OR($B538="",NOT(ISNUMBER($D538))),"",IF(AND($D538&gt;=$D$2,$D538&lt;=$H$2,$G538&lt;&gt;"X",$F538&lt;&gt;"Réalisé",$F538&lt;&gt;"Clôturé"),"≤ 7 j",""))</f>
        <v/>
      </c>
      <c r="M538" s="29">
        <f>IF($B538="","",IFERROR(INDEX($T$4:$T$3183,MATCH(SMALL($V$4:$V$3183,535),$V$4:$V$3183,0)),""))</f>
        <v/>
      </c>
      <c r="O538">
        <f>IF(INDEX(Suivi!$B:$B,549)="","",INDEX(Suivi!$B:$B,549))</f>
        <v/>
      </c>
      <c r="P538">
        <f>IF($O538="","",IF(INDEX(Suivi!$D:$D,549)="",INDEX(Suivi!$C:$C,549),INDEX(Suivi!$D:$D,549)))</f>
        <v/>
      </c>
      <c r="Q538">
        <f>IF($O538="","",INDEX(Suivi!$E:$E,549))</f>
        <v/>
      </c>
      <c r="R538">
        <f>IF($O538="","",INDEX(Suivi!$F:$F,549))</f>
        <v/>
      </c>
      <c r="S538">
        <f>IF($O538="","",INDEX(Suivi!$G:$G,549))</f>
        <v/>
      </c>
      <c r="T538">
        <f>IF($O538="","",IF(INDEX(Dossiers!$F$4:$F$63,11)="","",INDEX(Dossiers!$F$4:$F$63,11)))</f>
        <v/>
      </c>
      <c r="U538">
        <f>IF($O538="","",IF(INDEX(Dossiers!$G$4:$G$63,11)="","",INDEX(Dossiers!$G$4:$G$63,11)))</f>
        <v/>
      </c>
      <c r="V538">
        <f>IF(OR($O538="",NOT(ISNUMBER($Q538))),"",$Q538*1000000+538)</f>
        <v/>
      </c>
      <c r="W538" s="29">
        <f>IF($B538="","",IFERROR(INDEX($U$4:$U$3183,MATCH(SMALL($V$4:$V$3183,535),$V$4:$V$3183,0)),""))</f>
        <v/>
      </c>
    </row>
    <row r="539">
      <c r="A539">
        <f>IFERROR(INDEX($N$4:$N$3183,MATCH(SMALL($V$4:$V$3183,536),$V$4:$V$3183,0)),"")</f>
        <v/>
      </c>
      <c r="B539">
        <f>IFERROR(INDEX($O$4:$O$3183,MATCH(SMALL($V$4:$V$3183,536),$V$4:$V$3183,0)),"")</f>
        <v/>
      </c>
      <c r="C539">
        <f>IFERROR(INDEX($P$4:$P$3183,MATCH(SMALL($V$4:$V$3183,536),$V$4:$V$3183,0)),"")</f>
        <v/>
      </c>
      <c r="D539" s="29">
        <f>IFERROR(INDEX($Q$4:$Q$3183,MATCH(SMALL($V$4:$V$3183,536),$V$4:$V$3183,0)),"")</f>
        <v/>
      </c>
      <c r="E539" s="29">
        <f>IFERROR(INDEX($R$4:$R$3183,MATCH(SMALL($V$4:$V$3183,536),$V$4:$V$3183,0)),"")</f>
        <v/>
      </c>
      <c r="F539">
        <f>IFERROR(INDEX($S$4:$S$3183,MATCH(SMALL($V$4:$V$3183,536),$V$4:$V$3183,0)),"")</f>
        <v/>
      </c>
      <c r="I539" s="29">
        <f>IF($B539="","",IFERROR(INDEX($U$4:$U$3183,MATCH(SMALL($V$4:$V$3183,536),$V$4:$V$3183,0)),""))</f>
        <v/>
      </c>
      <c r="J539">
        <f>IF($B539="","",IF($D539&gt;$F$2,"À venir",IF($E539&lt;$D$2,"Passé","Dans la période")))</f>
        <v/>
      </c>
      <c r="K539">
        <f>IF(OR($B539="",NOT(ISNUMBER($D539))),"",IF(AND($E539&lt;$D$2,$G539&lt;&gt;"X",$F539&lt;&gt;"Réalisé",$F539&lt;&gt;"Clôturé"),"RETARD",""))</f>
        <v/>
      </c>
      <c r="L539">
        <f>IF(OR($B539="",NOT(ISNUMBER($D539))),"",IF(AND($D539&gt;=$D$2,$D539&lt;=$H$2,$G539&lt;&gt;"X",$F539&lt;&gt;"Réalisé",$F539&lt;&gt;"Clôturé"),"≤ 7 j",""))</f>
        <v/>
      </c>
      <c r="M539" s="29">
        <f>IF($B539="","",IFERROR(INDEX($T$4:$T$3183,MATCH(SMALL($V$4:$V$3183,536),$V$4:$V$3183,0)),""))</f>
        <v/>
      </c>
      <c r="O539">
        <f>IF(INDEX(Suivi!$B:$B,550)="","",INDEX(Suivi!$B:$B,550))</f>
        <v/>
      </c>
      <c r="P539">
        <f>IF($O539="","",IF(INDEX(Suivi!$D:$D,550)="",INDEX(Suivi!$C:$C,550),INDEX(Suivi!$D:$D,550)))</f>
        <v/>
      </c>
      <c r="Q539">
        <f>IF($O539="","",INDEX(Suivi!$E:$E,550))</f>
        <v/>
      </c>
      <c r="R539">
        <f>IF($O539="","",INDEX(Suivi!$F:$F,550))</f>
        <v/>
      </c>
      <c r="S539">
        <f>IF($O539="","",INDEX(Suivi!$G:$G,550))</f>
        <v/>
      </c>
      <c r="T539">
        <f>IF($O539="","",IF(INDEX(Dossiers!$F$4:$F$63,11)="","",INDEX(Dossiers!$F$4:$F$63,11)))</f>
        <v/>
      </c>
      <c r="U539">
        <f>IF($O539="","",IF(INDEX(Dossiers!$G$4:$G$63,11)="","",INDEX(Dossiers!$G$4:$G$63,11)))</f>
        <v/>
      </c>
      <c r="V539">
        <f>IF(OR($O539="",NOT(ISNUMBER($Q539))),"",$Q539*1000000+539)</f>
        <v/>
      </c>
      <c r="W539" s="29">
        <f>IF($B539="","",IFERROR(INDEX($U$4:$U$3183,MATCH(SMALL($V$4:$V$3183,536),$V$4:$V$3183,0)),""))</f>
        <v/>
      </c>
    </row>
    <row r="540">
      <c r="A540">
        <f>IFERROR(INDEX($N$4:$N$3183,MATCH(SMALL($V$4:$V$3183,537),$V$4:$V$3183,0)),"")</f>
        <v/>
      </c>
      <c r="B540">
        <f>IFERROR(INDEX($O$4:$O$3183,MATCH(SMALL($V$4:$V$3183,537),$V$4:$V$3183,0)),"")</f>
        <v/>
      </c>
      <c r="C540">
        <f>IFERROR(INDEX($P$4:$P$3183,MATCH(SMALL($V$4:$V$3183,537),$V$4:$V$3183,0)),"")</f>
        <v/>
      </c>
      <c r="D540" s="29">
        <f>IFERROR(INDEX($Q$4:$Q$3183,MATCH(SMALL($V$4:$V$3183,537),$V$4:$V$3183,0)),"")</f>
        <v/>
      </c>
      <c r="E540" s="29">
        <f>IFERROR(INDEX($R$4:$R$3183,MATCH(SMALL($V$4:$V$3183,537),$V$4:$V$3183,0)),"")</f>
        <v/>
      </c>
      <c r="F540">
        <f>IFERROR(INDEX($S$4:$S$3183,MATCH(SMALL($V$4:$V$3183,537),$V$4:$V$3183,0)),"")</f>
        <v/>
      </c>
      <c r="I540" s="29">
        <f>IF($B540="","",IFERROR(INDEX($U$4:$U$3183,MATCH(SMALL($V$4:$V$3183,537),$V$4:$V$3183,0)),""))</f>
        <v/>
      </c>
      <c r="J540">
        <f>IF($B540="","",IF($D540&gt;$F$2,"À venir",IF($E540&lt;$D$2,"Passé","Dans la période")))</f>
        <v/>
      </c>
      <c r="K540">
        <f>IF(OR($B540="",NOT(ISNUMBER($D540))),"",IF(AND($E540&lt;$D$2,$G540&lt;&gt;"X",$F540&lt;&gt;"Réalisé",$F540&lt;&gt;"Clôturé"),"RETARD",""))</f>
        <v/>
      </c>
      <c r="L540">
        <f>IF(OR($B540="",NOT(ISNUMBER($D540))),"",IF(AND($D540&gt;=$D$2,$D540&lt;=$H$2,$G540&lt;&gt;"X",$F540&lt;&gt;"Réalisé",$F540&lt;&gt;"Clôturé"),"≤ 7 j",""))</f>
        <v/>
      </c>
      <c r="M540" s="29">
        <f>IF($B540="","",IFERROR(INDEX($T$4:$T$3183,MATCH(SMALL($V$4:$V$3183,537),$V$4:$V$3183,0)),""))</f>
        <v/>
      </c>
      <c r="O540">
        <f>IF(INDEX(Suivi!$B:$B,551)="","",INDEX(Suivi!$B:$B,551))</f>
        <v/>
      </c>
      <c r="P540">
        <f>IF($O540="","",IF(INDEX(Suivi!$D:$D,551)="",INDEX(Suivi!$C:$C,551),INDEX(Suivi!$D:$D,551)))</f>
        <v/>
      </c>
      <c r="Q540">
        <f>IF($O540="","",INDEX(Suivi!$E:$E,551))</f>
        <v/>
      </c>
      <c r="R540">
        <f>IF($O540="","",INDEX(Suivi!$F:$F,551))</f>
        <v/>
      </c>
      <c r="S540">
        <f>IF($O540="","",INDEX(Suivi!$G:$G,551))</f>
        <v/>
      </c>
      <c r="T540">
        <f>IF($O540="","",IF(INDEX(Dossiers!$F$4:$F$63,11)="","",INDEX(Dossiers!$F$4:$F$63,11)))</f>
        <v/>
      </c>
      <c r="U540">
        <f>IF($O540="","",IF(INDEX(Dossiers!$G$4:$G$63,11)="","",INDEX(Dossiers!$G$4:$G$63,11)))</f>
        <v/>
      </c>
      <c r="V540">
        <f>IF(OR($O540="",NOT(ISNUMBER($Q540))),"",$Q540*1000000+540)</f>
        <v/>
      </c>
      <c r="W540" s="29">
        <f>IF($B540="","",IFERROR(INDEX($U$4:$U$3183,MATCH(SMALL($V$4:$V$3183,537),$V$4:$V$3183,0)),""))</f>
        <v/>
      </c>
    </row>
    <row r="541">
      <c r="A541">
        <f>IFERROR(INDEX($N$4:$N$3183,MATCH(SMALL($V$4:$V$3183,538),$V$4:$V$3183,0)),"")</f>
        <v/>
      </c>
      <c r="B541">
        <f>IFERROR(INDEX($O$4:$O$3183,MATCH(SMALL($V$4:$V$3183,538),$V$4:$V$3183,0)),"")</f>
        <v/>
      </c>
      <c r="C541">
        <f>IFERROR(INDEX($P$4:$P$3183,MATCH(SMALL($V$4:$V$3183,538),$V$4:$V$3183,0)),"")</f>
        <v/>
      </c>
      <c r="D541" s="29">
        <f>IFERROR(INDEX($Q$4:$Q$3183,MATCH(SMALL($V$4:$V$3183,538),$V$4:$V$3183,0)),"")</f>
        <v/>
      </c>
      <c r="E541" s="29">
        <f>IFERROR(INDEX($R$4:$R$3183,MATCH(SMALL($V$4:$V$3183,538),$V$4:$V$3183,0)),"")</f>
        <v/>
      </c>
      <c r="F541">
        <f>IFERROR(INDEX($S$4:$S$3183,MATCH(SMALL($V$4:$V$3183,538),$V$4:$V$3183,0)),"")</f>
        <v/>
      </c>
      <c r="I541" s="29">
        <f>IF($B541="","",IFERROR(INDEX($U$4:$U$3183,MATCH(SMALL($V$4:$V$3183,538),$V$4:$V$3183,0)),""))</f>
        <v/>
      </c>
      <c r="J541">
        <f>IF($B541="","",IF($D541&gt;$F$2,"À venir",IF($E541&lt;$D$2,"Passé","Dans la période")))</f>
        <v/>
      </c>
      <c r="K541">
        <f>IF(OR($B541="",NOT(ISNUMBER($D541))),"",IF(AND($E541&lt;$D$2,$G541&lt;&gt;"X",$F541&lt;&gt;"Réalisé",$F541&lt;&gt;"Clôturé"),"RETARD",""))</f>
        <v/>
      </c>
      <c r="L541">
        <f>IF(OR($B541="",NOT(ISNUMBER($D541))),"",IF(AND($D541&gt;=$D$2,$D541&lt;=$H$2,$G541&lt;&gt;"X",$F541&lt;&gt;"Réalisé",$F541&lt;&gt;"Clôturé"),"≤ 7 j",""))</f>
        <v/>
      </c>
      <c r="M541" s="29">
        <f>IF($B541="","",IFERROR(INDEX($T$4:$T$3183,MATCH(SMALL($V$4:$V$3183,538),$V$4:$V$3183,0)),""))</f>
        <v/>
      </c>
      <c r="O541">
        <f>IF(INDEX(Suivi!$B:$B,552)="","",INDEX(Suivi!$B:$B,552))</f>
        <v/>
      </c>
      <c r="P541">
        <f>IF($O541="","",IF(INDEX(Suivi!$D:$D,552)="",INDEX(Suivi!$C:$C,552),INDEX(Suivi!$D:$D,552)))</f>
        <v/>
      </c>
      <c r="Q541">
        <f>IF($O541="","",INDEX(Suivi!$E:$E,552))</f>
        <v/>
      </c>
      <c r="R541">
        <f>IF($O541="","",INDEX(Suivi!$F:$F,552))</f>
        <v/>
      </c>
      <c r="S541">
        <f>IF($O541="","",INDEX(Suivi!$G:$G,552))</f>
        <v/>
      </c>
      <c r="T541">
        <f>IF($O541="","",IF(INDEX(Dossiers!$F$4:$F$63,11)="","",INDEX(Dossiers!$F$4:$F$63,11)))</f>
        <v/>
      </c>
      <c r="U541">
        <f>IF($O541="","",IF(INDEX(Dossiers!$G$4:$G$63,11)="","",INDEX(Dossiers!$G$4:$G$63,11)))</f>
        <v/>
      </c>
      <c r="V541">
        <f>IF(OR($O541="",NOT(ISNUMBER($Q541))),"",$Q541*1000000+541)</f>
        <v/>
      </c>
      <c r="W541" s="29">
        <f>IF($B541="","",IFERROR(INDEX($U$4:$U$3183,MATCH(SMALL($V$4:$V$3183,538),$V$4:$V$3183,0)),""))</f>
        <v/>
      </c>
    </row>
    <row r="542">
      <c r="A542">
        <f>IFERROR(INDEX($N$4:$N$3183,MATCH(SMALL($V$4:$V$3183,539),$V$4:$V$3183,0)),"")</f>
        <v/>
      </c>
      <c r="B542">
        <f>IFERROR(INDEX($O$4:$O$3183,MATCH(SMALL($V$4:$V$3183,539),$V$4:$V$3183,0)),"")</f>
        <v/>
      </c>
      <c r="C542">
        <f>IFERROR(INDEX($P$4:$P$3183,MATCH(SMALL($V$4:$V$3183,539),$V$4:$V$3183,0)),"")</f>
        <v/>
      </c>
      <c r="D542" s="29">
        <f>IFERROR(INDEX($Q$4:$Q$3183,MATCH(SMALL($V$4:$V$3183,539),$V$4:$V$3183,0)),"")</f>
        <v/>
      </c>
      <c r="E542" s="29">
        <f>IFERROR(INDEX($R$4:$R$3183,MATCH(SMALL($V$4:$V$3183,539),$V$4:$V$3183,0)),"")</f>
        <v/>
      </c>
      <c r="F542">
        <f>IFERROR(INDEX($S$4:$S$3183,MATCH(SMALL($V$4:$V$3183,539),$V$4:$V$3183,0)),"")</f>
        <v/>
      </c>
      <c r="I542" s="29">
        <f>IF($B542="","",IFERROR(INDEX($U$4:$U$3183,MATCH(SMALL($V$4:$V$3183,539),$V$4:$V$3183,0)),""))</f>
        <v/>
      </c>
      <c r="J542">
        <f>IF($B542="","",IF($D542&gt;$F$2,"À venir",IF($E542&lt;$D$2,"Passé","Dans la période")))</f>
        <v/>
      </c>
      <c r="K542">
        <f>IF(OR($B542="",NOT(ISNUMBER($D542))),"",IF(AND($E542&lt;$D$2,$G542&lt;&gt;"X",$F542&lt;&gt;"Réalisé",$F542&lt;&gt;"Clôturé"),"RETARD",""))</f>
        <v/>
      </c>
      <c r="L542">
        <f>IF(OR($B542="",NOT(ISNUMBER($D542))),"",IF(AND($D542&gt;=$D$2,$D542&lt;=$H$2,$G542&lt;&gt;"X",$F542&lt;&gt;"Réalisé",$F542&lt;&gt;"Clôturé"),"≤ 7 j",""))</f>
        <v/>
      </c>
      <c r="M542" s="29">
        <f>IF($B542="","",IFERROR(INDEX($T$4:$T$3183,MATCH(SMALL($V$4:$V$3183,539),$V$4:$V$3183,0)),""))</f>
        <v/>
      </c>
      <c r="O542">
        <f>IF(INDEX(Suivi!$B:$B,553)="","",INDEX(Suivi!$B:$B,553))</f>
        <v/>
      </c>
      <c r="P542">
        <f>IF($O542="","",IF(INDEX(Suivi!$D:$D,553)="",INDEX(Suivi!$C:$C,553),INDEX(Suivi!$D:$D,553)))</f>
        <v/>
      </c>
      <c r="Q542">
        <f>IF($O542="","",INDEX(Suivi!$E:$E,553))</f>
        <v/>
      </c>
      <c r="R542">
        <f>IF($O542="","",INDEX(Suivi!$F:$F,553))</f>
        <v/>
      </c>
      <c r="S542">
        <f>IF($O542="","",INDEX(Suivi!$G:$G,553))</f>
        <v/>
      </c>
      <c r="T542">
        <f>IF($O542="","",IF(INDEX(Dossiers!$F$4:$F$63,11)="","",INDEX(Dossiers!$F$4:$F$63,11)))</f>
        <v/>
      </c>
      <c r="U542">
        <f>IF($O542="","",IF(INDEX(Dossiers!$G$4:$G$63,11)="","",INDEX(Dossiers!$G$4:$G$63,11)))</f>
        <v/>
      </c>
      <c r="V542">
        <f>IF(OR($O542="",NOT(ISNUMBER($Q542))),"",$Q542*1000000+542)</f>
        <v/>
      </c>
      <c r="W542" s="29">
        <f>IF($B542="","",IFERROR(INDEX($U$4:$U$3183,MATCH(SMALL($V$4:$V$3183,539),$V$4:$V$3183,0)),""))</f>
        <v/>
      </c>
    </row>
    <row r="543">
      <c r="A543">
        <f>IFERROR(INDEX($N$4:$N$3183,MATCH(SMALL($V$4:$V$3183,540),$V$4:$V$3183,0)),"")</f>
        <v/>
      </c>
      <c r="B543">
        <f>IFERROR(INDEX($O$4:$O$3183,MATCH(SMALL($V$4:$V$3183,540),$V$4:$V$3183,0)),"")</f>
        <v/>
      </c>
      <c r="C543">
        <f>IFERROR(INDEX($P$4:$P$3183,MATCH(SMALL($V$4:$V$3183,540),$V$4:$V$3183,0)),"")</f>
        <v/>
      </c>
      <c r="D543" s="29">
        <f>IFERROR(INDEX($Q$4:$Q$3183,MATCH(SMALL($V$4:$V$3183,540),$V$4:$V$3183,0)),"")</f>
        <v/>
      </c>
      <c r="E543" s="29">
        <f>IFERROR(INDEX($R$4:$R$3183,MATCH(SMALL($V$4:$V$3183,540),$V$4:$V$3183,0)),"")</f>
        <v/>
      </c>
      <c r="F543">
        <f>IFERROR(INDEX($S$4:$S$3183,MATCH(SMALL($V$4:$V$3183,540),$V$4:$V$3183,0)),"")</f>
        <v/>
      </c>
      <c r="I543" s="29">
        <f>IF($B543="","",IFERROR(INDEX($U$4:$U$3183,MATCH(SMALL($V$4:$V$3183,540),$V$4:$V$3183,0)),""))</f>
        <v/>
      </c>
      <c r="J543">
        <f>IF($B543="","",IF($D543&gt;$F$2,"À venir",IF($E543&lt;$D$2,"Passé","Dans la période")))</f>
        <v/>
      </c>
      <c r="K543">
        <f>IF(OR($B543="",NOT(ISNUMBER($D543))),"",IF(AND($E543&lt;$D$2,$G543&lt;&gt;"X",$F543&lt;&gt;"Réalisé",$F543&lt;&gt;"Clôturé"),"RETARD",""))</f>
        <v/>
      </c>
      <c r="L543">
        <f>IF(OR($B543="",NOT(ISNUMBER($D543))),"",IF(AND($D543&gt;=$D$2,$D543&lt;=$H$2,$G543&lt;&gt;"X",$F543&lt;&gt;"Réalisé",$F543&lt;&gt;"Clôturé"),"≤ 7 j",""))</f>
        <v/>
      </c>
      <c r="M543" s="29">
        <f>IF($B543="","",IFERROR(INDEX($T$4:$T$3183,MATCH(SMALL($V$4:$V$3183,540),$V$4:$V$3183,0)),""))</f>
        <v/>
      </c>
      <c r="O543">
        <f>IF(INDEX(Suivi!$B:$B,554)="","",INDEX(Suivi!$B:$B,554))</f>
        <v/>
      </c>
      <c r="P543">
        <f>IF($O543="","",IF(INDEX(Suivi!$D:$D,554)="",INDEX(Suivi!$C:$C,554),INDEX(Suivi!$D:$D,554)))</f>
        <v/>
      </c>
      <c r="Q543">
        <f>IF($O543="","",INDEX(Suivi!$E:$E,554))</f>
        <v/>
      </c>
      <c r="R543">
        <f>IF($O543="","",INDEX(Suivi!$F:$F,554))</f>
        <v/>
      </c>
      <c r="S543">
        <f>IF($O543="","",INDEX(Suivi!$G:$G,554))</f>
        <v/>
      </c>
      <c r="T543">
        <f>IF($O543="","",IF(INDEX(Dossiers!$F$4:$F$63,11)="","",INDEX(Dossiers!$F$4:$F$63,11)))</f>
        <v/>
      </c>
      <c r="U543">
        <f>IF($O543="","",IF(INDEX(Dossiers!$G$4:$G$63,11)="","",INDEX(Dossiers!$G$4:$G$63,11)))</f>
        <v/>
      </c>
      <c r="V543">
        <f>IF(OR($O543="",NOT(ISNUMBER($Q543))),"",$Q543*1000000+543)</f>
        <v/>
      </c>
      <c r="W543" s="29">
        <f>IF($B543="","",IFERROR(INDEX($U$4:$U$3183,MATCH(SMALL($V$4:$V$3183,540),$V$4:$V$3183,0)),""))</f>
        <v/>
      </c>
    </row>
    <row r="544">
      <c r="A544">
        <f>IFERROR(INDEX($N$4:$N$3183,MATCH(SMALL($V$4:$V$3183,541),$V$4:$V$3183,0)),"")</f>
        <v/>
      </c>
      <c r="B544">
        <f>IFERROR(INDEX($O$4:$O$3183,MATCH(SMALL($V$4:$V$3183,541),$V$4:$V$3183,0)),"")</f>
        <v/>
      </c>
      <c r="C544">
        <f>IFERROR(INDEX($P$4:$P$3183,MATCH(SMALL($V$4:$V$3183,541),$V$4:$V$3183,0)),"")</f>
        <v/>
      </c>
      <c r="D544" s="29">
        <f>IFERROR(INDEX($Q$4:$Q$3183,MATCH(SMALL($V$4:$V$3183,541),$V$4:$V$3183,0)),"")</f>
        <v/>
      </c>
      <c r="E544" s="29">
        <f>IFERROR(INDEX($R$4:$R$3183,MATCH(SMALL($V$4:$V$3183,541),$V$4:$V$3183,0)),"")</f>
        <v/>
      </c>
      <c r="F544">
        <f>IFERROR(INDEX($S$4:$S$3183,MATCH(SMALL($V$4:$V$3183,541),$V$4:$V$3183,0)),"")</f>
        <v/>
      </c>
      <c r="I544" s="29">
        <f>IF($B544="","",IFERROR(INDEX($U$4:$U$3183,MATCH(SMALL($V$4:$V$3183,541),$V$4:$V$3183,0)),""))</f>
        <v/>
      </c>
      <c r="J544">
        <f>IF($B544="","",IF($D544&gt;$F$2,"À venir",IF($E544&lt;$D$2,"Passé","Dans la période")))</f>
        <v/>
      </c>
      <c r="K544">
        <f>IF(OR($B544="",NOT(ISNUMBER($D544))),"",IF(AND($E544&lt;$D$2,$G544&lt;&gt;"X",$F544&lt;&gt;"Réalisé",$F544&lt;&gt;"Clôturé"),"RETARD",""))</f>
        <v/>
      </c>
      <c r="L544">
        <f>IF(OR($B544="",NOT(ISNUMBER($D544))),"",IF(AND($D544&gt;=$D$2,$D544&lt;=$H$2,$G544&lt;&gt;"X",$F544&lt;&gt;"Réalisé",$F544&lt;&gt;"Clôturé"),"≤ 7 j",""))</f>
        <v/>
      </c>
      <c r="M544" s="29">
        <f>IF($B544="","",IFERROR(INDEX($T$4:$T$3183,MATCH(SMALL($V$4:$V$3183,541),$V$4:$V$3183,0)),""))</f>
        <v/>
      </c>
      <c r="O544">
        <f>IF(INDEX(Suivi!$B:$B,555)="","",INDEX(Suivi!$B:$B,555))</f>
        <v/>
      </c>
      <c r="P544">
        <f>IF($O544="","",IF(INDEX(Suivi!$D:$D,555)="",INDEX(Suivi!$C:$C,555),INDEX(Suivi!$D:$D,555)))</f>
        <v/>
      </c>
      <c r="Q544">
        <f>IF($O544="","",INDEX(Suivi!$E:$E,555))</f>
        <v/>
      </c>
      <c r="R544">
        <f>IF($O544="","",INDEX(Suivi!$F:$F,555))</f>
        <v/>
      </c>
      <c r="S544">
        <f>IF($O544="","",INDEX(Suivi!$G:$G,555))</f>
        <v/>
      </c>
      <c r="T544">
        <f>IF($O544="","",IF(INDEX(Dossiers!$F$4:$F$63,11)="","",INDEX(Dossiers!$F$4:$F$63,11)))</f>
        <v/>
      </c>
      <c r="U544">
        <f>IF($O544="","",IF(INDEX(Dossiers!$G$4:$G$63,11)="","",INDEX(Dossiers!$G$4:$G$63,11)))</f>
        <v/>
      </c>
      <c r="V544">
        <f>IF(OR($O544="",NOT(ISNUMBER($Q544))),"",$Q544*1000000+544)</f>
        <v/>
      </c>
      <c r="W544" s="29">
        <f>IF($B544="","",IFERROR(INDEX($U$4:$U$3183,MATCH(SMALL($V$4:$V$3183,541),$V$4:$V$3183,0)),""))</f>
        <v/>
      </c>
    </row>
    <row r="545">
      <c r="A545">
        <f>IFERROR(INDEX($N$4:$N$3183,MATCH(SMALL($V$4:$V$3183,542),$V$4:$V$3183,0)),"")</f>
        <v/>
      </c>
      <c r="B545">
        <f>IFERROR(INDEX($O$4:$O$3183,MATCH(SMALL($V$4:$V$3183,542),$V$4:$V$3183,0)),"")</f>
        <v/>
      </c>
      <c r="C545">
        <f>IFERROR(INDEX($P$4:$P$3183,MATCH(SMALL($V$4:$V$3183,542),$V$4:$V$3183,0)),"")</f>
        <v/>
      </c>
      <c r="D545" s="29">
        <f>IFERROR(INDEX($Q$4:$Q$3183,MATCH(SMALL($V$4:$V$3183,542),$V$4:$V$3183,0)),"")</f>
        <v/>
      </c>
      <c r="E545" s="29">
        <f>IFERROR(INDEX($R$4:$R$3183,MATCH(SMALL($V$4:$V$3183,542),$V$4:$V$3183,0)),"")</f>
        <v/>
      </c>
      <c r="F545">
        <f>IFERROR(INDEX($S$4:$S$3183,MATCH(SMALL($V$4:$V$3183,542),$V$4:$V$3183,0)),"")</f>
        <v/>
      </c>
      <c r="I545" s="29">
        <f>IF($B545="","",IFERROR(INDEX($U$4:$U$3183,MATCH(SMALL($V$4:$V$3183,542),$V$4:$V$3183,0)),""))</f>
        <v/>
      </c>
      <c r="J545">
        <f>IF($B545="","",IF($D545&gt;$F$2,"À venir",IF($E545&lt;$D$2,"Passé","Dans la période")))</f>
        <v/>
      </c>
      <c r="K545">
        <f>IF(OR($B545="",NOT(ISNUMBER($D545))),"",IF(AND($E545&lt;$D$2,$G545&lt;&gt;"X",$F545&lt;&gt;"Réalisé",$F545&lt;&gt;"Clôturé"),"RETARD",""))</f>
        <v/>
      </c>
      <c r="L545">
        <f>IF(OR($B545="",NOT(ISNUMBER($D545))),"",IF(AND($D545&gt;=$D$2,$D545&lt;=$H$2,$G545&lt;&gt;"X",$F545&lt;&gt;"Réalisé",$F545&lt;&gt;"Clôturé"),"≤ 7 j",""))</f>
        <v/>
      </c>
      <c r="M545" s="29">
        <f>IF($B545="","",IFERROR(INDEX($T$4:$T$3183,MATCH(SMALL($V$4:$V$3183,542),$V$4:$V$3183,0)),""))</f>
        <v/>
      </c>
      <c r="O545">
        <f>IF(INDEX(Suivi!$B:$B,556)="","",INDEX(Suivi!$B:$B,556))</f>
        <v/>
      </c>
      <c r="P545">
        <f>IF($O545="","",IF(INDEX(Suivi!$D:$D,556)="",INDEX(Suivi!$C:$C,556),INDEX(Suivi!$D:$D,556)))</f>
        <v/>
      </c>
      <c r="Q545">
        <f>IF($O545="","",INDEX(Suivi!$E:$E,556))</f>
        <v/>
      </c>
      <c r="R545">
        <f>IF($O545="","",INDEX(Suivi!$F:$F,556))</f>
        <v/>
      </c>
      <c r="S545">
        <f>IF($O545="","",INDEX(Suivi!$G:$G,556))</f>
        <v/>
      </c>
      <c r="T545">
        <f>IF($O545="","",IF(INDEX(Dossiers!$F$4:$F$63,11)="","",INDEX(Dossiers!$F$4:$F$63,11)))</f>
        <v/>
      </c>
      <c r="U545">
        <f>IF($O545="","",IF(INDEX(Dossiers!$G$4:$G$63,11)="","",INDEX(Dossiers!$G$4:$G$63,11)))</f>
        <v/>
      </c>
      <c r="V545">
        <f>IF(OR($O545="",NOT(ISNUMBER($Q545))),"",$Q545*1000000+545)</f>
        <v/>
      </c>
      <c r="W545" s="29">
        <f>IF($B545="","",IFERROR(INDEX($U$4:$U$3183,MATCH(SMALL($V$4:$V$3183,542),$V$4:$V$3183,0)),""))</f>
        <v/>
      </c>
    </row>
    <row r="546">
      <c r="A546">
        <f>IFERROR(INDEX($N$4:$N$3183,MATCH(SMALL($V$4:$V$3183,543),$V$4:$V$3183,0)),"")</f>
        <v/>
      </c>
      <c r="B546">
        <f>IFERROR(INDEX($O$4:$O$3183,MATCH(SMALL($V$4:$V$3183,543),$V$4:$V$3183,0)),"")</f>
        <v/>
      </c>
      <c r="C546">
        <f>IFERROR(INDEX($P$4:$P$3183,MATCH(SMALL($V$4:$V$3183,543),$V$4:$V$3183,0)),"")</f>
        <v/>
      </c>
      <c r="D546" s="29">
        <f>IFERROR(INDEX($Q$4:$Q$3183,MATCH(SMALL($V$4:$V$3183,543),$V$4:$V$3183,0)),"")</f>
        <v/>
      </c>
      <c r="E546" s="29">
        <f>IFERROR(INDEX($R$4:$R$3183,MATCH(SMALL($V$4:$V$3183,543),$V$4:$V$3183,0)),"")</f>
        <v/>
      </c>
      <c r="F546">
        <f>IFERROR(INDEX($S$4:$S$3183,MATCH(SMALL($V$4:$V$3183,543),$V$4:$V$3183,0)),"")</f>
        <v/>
      </c>
      <c r="I546" s="29">
        <f>IF($B546="","",IFERROR(INDEX($U$4:$U$3183,MATCH(SMALL($V$4:$V$3183,543),$V$4:$V$3183,0)),""))</f>
        <v/>
      </c>
      <c r="J546">
        <f>IF($B546="","",IF($D546&gt;$F$2,"À venir",IF($E546&lt;$D$2,"Passé","Dans la période")))</f>
        <v/>
      </c>
      <c r="K546">
        <f>IF(OR($B546="",NOT(ISNUMBER($D546))),"",IF(AND($E546&lt;$D$2,$G546&lt;&gt;"X",$F546&lt;&gt;"Réalisé",$F546&lt;&gt;"Clôturé"),"RETARD",""))</f>
        <v/>
      </c>
      <c r="L546">
        <f>IF(OR($B546="",NOT(ISNUMBER($D546))),"",IF(AND($D546&gt;=$D$2,$D546&lt;=$H$2,$G546&lt;&gt;"X",$F546&lt;&gt;"Réalisé",$F546&lt;&gt;"Clôturé"),"≤ 7 j",""))</f>
        <v/>
      </c>
      <c r="M546" s="29">
        <f>IF($B546="","",IFERROR(INDEX($T$4:$T$3183,MATCH(SMALL($V$4:$V$3183,543),$V$4:$V$3183,0)),""))</f>
        <v/>
      </c>
      <c r="O546">
        <f>IF(INDEX(Suivi!$B:$B,557)="","",INDEX(Suivi!$B:$B,557))</f>
        <v/>
      </c>
      <c r="P546">
        <f>IF($O546="","",IF(INDEX(Suivi!$D:$D,557)="",INDEX(Suivi!$C:$C,557),INDEX(Suivi!$D:$D,557)))</f>
        <v/>
      </c>
      <c r="Q546">
        <f>IF($O546="","",INDEX(Suivi!$E:$E,557))</f>
        <v/>
      </c>
      <c r="R546">
        <f>IF($O546="","",INDEX(Suivi!$F:$F,557))</f>
        <v/>
      </c>
      <c r="S546">
        <f>IF($O546="","",INDEX(Suivi!$G:$G,557))</f>
        <v/>
      </c>
      <c r="T546">
        <f>IF($O546="","",IF(INDEX(Dossiers!$F$4:$F$63,11)="","",INDEX(Dossiers!$F$4:$F$63,11)))</f>
        <v/>
      </c>
      <c r="U546">
        <f>IF($O546="","",IF(INDEX(Dossiers!$G$4:$G$63,11)="","",INDEX(Dossiers!$G$4:$G$63,11)))</f>
        <v/>
      </c>
      <c r="V546">
        <f>IF(OR($O546="",NOT(ISNUMBER($Q546))),"",$Q546*1000000+546)</f>
        <v/>
      </c>
      <c r="W546" s="29">
        <f>IF($B546="","",IFERROR(INDEX($U$4:$U$3183,MATCH(SMALL($V$4:$V$3183,543),$V$4:$V$3183,0)),""))</f>
        <v/>
      </c>
    </row>
    <row r="547">
      <c r="A547">
        <f>IFERROR(INDEX($N$4:$N$3183,MATCH(SMALL($V$4:$V$3183,544),$V$4:$V$3183,0)),"")</f>
        <v/>
      </c>
      <c r="B547">
        <f>IFERROR(INDEX($O$4:$O$3183,MATCH(SMALL($V$4:$V$3183,544),$V$4:$V$3183,0)),"")</f>
        <v/>
      </c>
      <c r="C547">
        <f>IFERROR(INDEX($P$4:$P$3183,MATCH(SMALL($V$4:$V$3183,544),$V$4:$V$3183,0)),"")</f>
        <v/>
      </c>
      <c r="D547" s="29">
        <f>IFERROR(INDEX($Q$4:$Q$3183,MATCH(SMALL($V$4:$V$3183,544),$V$4:$V$3183,0)),"")</f>
        <v/>
      </c>
      <c r="E547" s="29">
        <f>IFERROR(INDEX($R$4:$R$3183,MATCH(SMALL($V$4:$V$3183,544),$V$4:$V$3183,0)),"")</f>
        <v/>
      </c>
      <c r="F547">
        <f>IFERROR(INDEX($S$4:$S$3183,MATCH(SMALL($V$4:$V$3183,544),$V$4:$V$3183,0)),"")</f>
        <v/>
      </c>
      <c r="I547" s="29">
        <f>IF($B547="","",IFERROR(INDEX($U$4:$U$3183,MATCH(SMALL($V$4:$V$3183,544),$V$4:$V$3183,0)),""))</f>
        <v/>
      </c>
      <c r="J547">
        <f>IF($B547="","",IF($D547&gt;$F$2,"À venir",IF($E547&lt;$D$2,"Passé","Dans la période")))</f>
        <v/>
      </c>
      <c r="K547">
        <f>IF(OR($B547="",NOT(ISNUMBER($D547))),"",IF(AND($E547&lt;$D$2,$G547&lt;&gt;"X",$F547&lt;&gt;"Réalisé",$F547&lt;&gt;"Clôturé"),"RETARD",""))</f>
        <v/>
      </c>
      <c r="L547">
        <f>IF(OR($B547="",NOT(ISNUMBER($D547))),"",IF(AND($D547&gt;=$D$2,$D547&lt;=$H$2,$G547&lt;&gt;"X",$F547&lt;&gt;"Réalisé",$F547&lt;&gt;"Clôturé"),"≤ 7 j",""))</f>
        <v/>
      </c>
      <c r="M547" s="29">
        <f>IF($B547="","",IFERROR(INDEX($T$4:$T$3183,MATCH(SMALL($V$4:$V$3183,544),$V$4:$V$3183,0)),""))</f>
        <v/>
      </c>
      <c r="O547">
        <f>IF(INDEX(Suivi!$B:$B,558)="","",INDEX(Suivi!$B:$B,558))</f>
        <v/>
      </c>
      <c r="P547">
        <f>IF($O547="","",IF(INDEX(Suivi!$D:$D,558)="",INDEX(Suivi!$C:$C,558),INDEX(Suivi!$D:$D,558)))</f>
        <v/>
      </c>
      <c r="Q547">
        <f>IF($O547="","",INDEX(Suivi!$E:$E,558))</f>
        <v/>
      </c>
      <c r="R547">
        <f>IF($O547="","",INDEX(Suivi!$F:$F,558))</f>
        <v/>
      </c>
      <c r="S547">
        <f>IF($O547="","",INDEX(Suivi!$G:$G,558))</f>
        <v/>
      </c>
      <c r="T547">
        <f>IF($O547="","",IF(INDEX(Dossiers!$F$4:$F$63,11)="","",INDEX(Dossiers!$F$4:$F$63,11)))</f>
        <v/>
      </c>
      <c r="U547">
        <f>IF($O547="","",IF(INDEX(Dossiers!$G$4:$G$63,11)="","",INDEX(Dossiers!$G$4:$G$63,11)))</f>
        <v/>
      </c>
      <c r="V547">
        <f>IF(OR($O547="",NOT(ISNUMBER($Q547))),"",$Q547*1000000+547)</f>
        <v/>
      </c>
      <c r="W547" s="29">
        <f>IF($B547="","",IFERROR(INDEX($U$4:$U$3183,MATCH(SMALL($V$4:$V$3183,544),$V$4:$V$3183,0)),""))</f>
        <v/>
      </c>
    </row>
    <row r="548">
      <c r="A548">
        <f>IFERROR(INDEX($N$4:$N$3183,MATCH(SMALL($V$4:$V$3183,545),$V$4:$V$3183,0)),"")</f>
        <v/>
      </c>
      <c r="B548">
        <f>IFERROR(INDEX($O$4:$O$3183,MATCH(SMALL($V$4:$V$3183,545),$V$4:$V$3183,0)),"")</f>
        <v/>
      </c>
      <c r="C548">
        <f>IFERROR(INDEX($P$4:$P$3183,MATCH(SMALL($V$4:$V$3183,545),$V$4:$V$3183,0)),"")</f>
        <v/>
      </c>
      <c r="D548" s="29">
        <f>IFERROR(INDEX($Q$4:$Q$3183,MATCH(SMALL($V$4:$V$3183,545),$V$4:$V$3183,0)),"")</f>
        <v/>
      </c>
      <c r="E548" s="29">
        <f>IFERROR(INDEX($R$4:$R$3183,MATCH(SMALL($V$4:$V$3183,545),$V$4:$V$3183,0)),"")</f>
        <v/>
      </c>
      <c r="F548">
        <f>IFERROR(INDEX($S$4:$S$3183,MATCH(SMALL($V$4:$V$3183,545),$V$4:$V$3183,0)),"")</f>
        <v/>
      </c>
      <c r="I548" s="29">
        <f>IF($B548="","",IFERROR(INDEX($U$4:$U$3183,MATCH(SMALL($V$4:$V$3183,545),$V$4:$V$3183,0)),""))</f>
        <v/>
      </c>
      <c r="J548">
        <f>IF($B548="","",IF($D548&gt;$F$2,"À venir",IF($E548&lt;$D$2,"Passé","Dans la période")))</f>
        <v/>
      </c>
      <c r="K548">
        <f>IF(OR($B548="",NOT(ISNUMBER($D548))),"",IF(AND($E548&lt;$D$2,$G548&lt;&gt;"X",$F548&lt;&gt;"Réalisé",$F548&lt;&gt;"Clôturé"),"RETARD",""))</f>
        <v/>
      </c>
      <c r="L548">
        <f>IF(OR($B548="",NOT(ISNUMBER($D548))),"",IF(AND($D548&gt;=$D$2,$D548&lt;=$H$2,$G548&lt;&gt;"X",$F548&lt;&gt;"Réalisé",$F548&lt;&gt;"Clôturé"),"≤ 7 j",""))</f>
        <v/>
      </c>
      <c r="M548" s="29">
        <f>IF($B548="","",IFERROR(INDEX($T$4:$T$3183,MATCH(SMALL($V$4:$V$3183,545),$V$4:$V$3183,0)),""))</f>
        <v/>
      </c>
      <c r="O548">
        <f>IF(INDEX(Suivi!$B:$B,559)="","",INDEX(Suivi!$B:$B,559))</f>
        <v/>
      </c>
      <c r="P548">
        <f>IF($O548="","",IF(INDEX(Suivi!$D:$D,559)="",INDEX(Suivi!$C:$C,559),INDEX(Suivi!$D:$D,559)))</f>
        <v/>
      </c>
      <c r="Q548">
        <f>IF($O548="","",INDEX(Suivi!$E:$E,559))</f>
        <v/>
      </c>
      <c r="R548">
        <f>IF($O548="","",INDEX(Suivi!$F:$F,559))</f>
        <v/>
      </c>
      <c r="S548">
        <f>IF($O548="","",INDEX(Suivi!$G:$G,559))</f>
        <v/>
      </c>
      <c r="T548">
        <f>IF($O548="","",IF(INDEX(Dossiers!$F$4:$F$63,11)="","",INDEX(Dossiers!$F$4:$F$63,11)))</f>
        <v/>
      </c>
      <c r="U548">
        <f>IF($O548="","",IF(INDEX(Dossiers!$G$4:$G$63,11)="","",INDEX(Dossiers!$G$4:$G$63,11)))</f>
        <v/>
      </c>
      <c r="V548">
        <f>IF(OR($O548="",NOT(ISNUMBER($Q548))),"",$Q548*1000000+548)</f>
        <v/>
      </c>
      <c r="W548" s="29">
        <f>IF($B548="","",IFERROR(INDEX($U$4:$U$3183,MATCH(SMALL($V$4:$V$3183,545),$V$4:$V$3183,0)),""))</f>
        <v/>
      </c>
    </row>
    <row r="549">
      <c r="A549">
        <f>IFERROR(INDEX($N$4:$N$3183,MATCH(SMALL($V$4:$V$3183,546),$V$4:$V$3183,0)),"")</f>
        <v/>
      </c>
      <c r="B549">
        <f>IFERROR(INDEX($O$4:$O$3183,MATCH(SMALL($V$4:$V$3183,546),$V$4:$V$3183,0)),"")</f>
        <v/>
      </c>
      <c r="C549">
        <f>IFERROR(INDEX($P$4:$P$3183,MATCH(SMALL($V$4:$V$3183,546),$V$4:$V$3183,0)),"")</f>
        <v/>
      </c>
      <c r="D549" s="29">
        <f>IFERROR(INDEX($Q$4:$Q$3183,MATCH(SMALL($V$4:$V$3183,546),$V$4:$V$3183,0)),"")</f>
        <v/>
      </c>
      <c r="E549" s="29">
        <f>IFERROR(INDEX($R$4:$R$3183,MATCH(SMALL($V$4:$V$3183,546),$V$4:$V$3183,0)),"")</f>
        <v/>
      </c>
      <c r="F549">
        <f>IFERROR(INDEX($S$4:$S$3183,MATCH(SMALL($V$4:$V$3183,546),$V$4:$V$3183,0)),"")</f>
        <v/>
      </c>
      <c r="I549" s="29">
        <f>IF($B549="","",IFERROR(INDEX($U$4:$U$3183,MATCH(SMALL($V$4:$V$3183,546),$V$4:$V$3183,0)),""))</f>
        <v/>
      </c>
      <c r="J549">
        <f>IF($B549="","",IF($D549&gt;$F$2,"À venir",IF($E549&lt;$D$2,"Passé","Dans la période")))</f>
        <v/>
      </c>
      <c r="K549">
        <f>IF(OR($B549="",NOT(ISNUMBER($D549))),"",IF(AND($E549&lt;$D$2,$G549&lt;&gt;"X",$F549&lt;&gt;"Réalisé",$F549&lt;&gt;"Clôturé"),"RETARD",""))</f>
        <v/>
      </c>
      <c r="L549">
        <f>IF(OR($B549="",NOT(ISNUMBER($D549))),"",IF(AND($D549&gt;=$D$2,$D549&lt;=$H$2,$G549&lt;&gt;"X",$F549&lt;&gt;"Réalisé",$F549&lt;&gt;"Clôturé"),"≤ 7 j",""))</f>
        <v/>
      </c>
      <c r="M549" s="29">
        <f>IF($B549="","",IFERROR(INDEX($T$4:$T$3183,MATCH(SMALL($V$4:$V$3183,546),$V$4:$V$3183,0)),""))</f>
        <v/>
      </c>
      <c r="O549">
        <f>IF(INDEX(Suivi!$B:$B,560)="","",INDEX(Suivi!$B:$B,560))</f>
        <v/>
      </c>
      <c r="P549">
        <f>IF($O549="","",IF(INDEX(Suivi!$D:$D,560)="",INDEX(Suivi!$C:$C,560),INDEX(Suivi!$D:$D,560)))</f>
        <v/>
      </c>
      <c r="Q549">
        <f>IF($O549="","",INDEX(Suivi!$E:$E,560))</f>
        <v/>
      </c>
      <c r="R549">
        <f>IF($O549="","",INDEX(Suivi!$F:$F,560))</f>
        <v/>
      </c>
      <c r="S549">
        <f>IF($O549="","",INDEX(Suivi!$G:$G,560))</f>
        <v/>
      </c>
      <c r="T549">
        <f>IF($O549="","",IF(INDEX(Dossiers!$F$4:$F$63,11)="","",INDEX(Dossiers!$F$4:$F$63,11)))</f>
        <v/>
      </c>
      <c r="U549">
        <f>IF($O549="","",IF(INDEX(Dossiers!$G$4:$G$63,11)="","",INDEX(Dossiers!$G$4:$G$63,11)))</f>
        <v/>
      </c>
      <c r="V549">
        <f>IF(OR($O549="",NOT(ISNUMBER($Q549))),"",$Q549*1000000+549)</f>
        <v/>
      </c>
      <c r="W549" s="29">
        <f>IF($B549="","",IFERROR(INDEX($U$4:$U$3183,MATCH(SMALL($V$4:$V$3183,546),$V$4:$V$3183,0)),""))</f>
        <v/>
      </c>
    </row>
    <row r="550">
      <c r="A550">
        <f>IFERROR(INDEX($N$4:$N$3183,MATCH(SMALL($V$4:$V$3183,547),$V$4:$V$3183,0)),"")</f>
        <v/>
      </c>
      <c r="B550">
        <f>IFERROR(INDEX($O$4:$O$3183,MATCH(SMALL($V$4:$V$3183,547),$V$4:$V$3183,0)),"")</f>
        <v/>
      </c>
      <c r="C550">
        <f>IFERROR(INDEX($P$4:$P$3183,MATCH(SMALL($V$4:$V$3183,547),$V$4:$V$3183,0)),"")</f>
        <v/>
      </c>
      <c r="D550" s="29">
        <f>IFERROR(INDEX($Q$4:$Q$3183,MATCH(SMALL($V$4:$V$3183,547),$V$4:$V$3183,0)),"")</f>
        <v/>
      </c>
      <c r="E550" s="29">
        <f>IFERROR(INDEX($R$4:$R$3183,MATCH(SMALL($V$4:$V$3183,547),$V$4:$V$3183,0)),"")</f>
        <v/>
      </c>
      <c r="F550">
        <f>IFERROR(INDEX($S$4:$S$3183,MATCH(SMALL($V$4:$V$3183,547),$V$4:$V$3183,0)),"")</f>
        <v/>
      </c>
      <c r="I550" s="29">
        <f>IF($B550="","",IFERROR(INDEX($U$4:$U$3183,MATCH(SMALL($V$4:$V$3183,547),$V$4:$V$3183,0)),""))</f>
        <v/>
      </c>
      <c r="J550">
        <f>IF($B550="","",IF($D550&gt;$F$2,"À venir",IF($E550&lt;$D$2,"Passé","Dans la période")))</f>
        <v/>
      </c>
      <c r="K550">
        <f>IF(OR($B550="",NOT(ISNUMBER($D550))),"",IF(AND($E550&lt;$D$2,$G550&lt;&gt;"X",$F550&lt;&gt;"Réalisé",$F550&lt;&gt;"Clôturé"),"RETARD",""))</f>
        <v/>
      </c>
      <c r="L550">
        <f>IF(OR($B550="",NOT(ISNUMBER($D550))),"",IF(AND($D550&gt;=$D$2,$D550&lt;=$H$2,$G550&lt;&gt;"X",$F550&lt;&gt;"Réalisé",$F550&lt;&gt;"Clôturé"),"≤ 7 j",""))</f>
        <v/>
      </c>
      <c r="M550" s="29">
        <f>IF($B550="","",IFERROR(INDEX($T$4:$T$3183,MATCH(SMALL($V$4:$V$3183,547),$V$4:$V$3183,0)),""))</f>
        <v/>
      </c>
      <c r="O550">
        <f>IF(INDEX(Suivi!$B:$B,561)="","",INDEX(Suivi!$B:$B,561))</f>
        <v/>
      </c>
      <c r="P550">
        <f>IF($O550="","",IF(INDEX(Suivi!$D:$D,561)="",INDEX(Suivi!$C:$C,561),INDEX(Suivi!$D:$D,561)))</f>
        <v/>
      </c>
      <c r="Q550">
        <f>IF($O550="","",INDEX(Suivi!$E:$E,561))</f>
        <v/>
      </c>
      <c r="R550">
        <f>IF($O550="","",INDEX(Suivi!$F:$F,561))</f>
        <v/>
      </c>
      <c r="S550">
        <f>IF($O550="","",INDEX(Suivi!$G:$G,561))</f>
        <v/>
      </c>
      <c r="T550">
        <f>IF($O550="","",IF(INDEX(Dossiers!$F$4:$F$63,11)="","",INDEX(Dossiers!$F$4:$F$63,11)))</f>
        <v/>
      </c>
      <c r="U550">
        <f>IF($O550="","",IF(INDEX(Dossiers!$G$4:$G$63,11)="","",INDEX(Dossiers!$G$4:$G$63,11)))</f>
        <v/>
      </c>
      <c r="V550">
        <f>IF(OR($O550="",NOT(ISNUMBER($Q550))),"",$Q550*1000000+550)</f>
        <v/>
      </c>
      <c r="W550" s="29">
        <f>IF($B550="","",IFERROR(INDEX($U$4:$U$3183,MATCH(SMALL($V$4:$V$3183,547),$V$4:$V$3183,0)),""))</f>
        <v/>
      </c>
    </row>
    <row r="551">
      <c r="A551">
        <f>IFERROR(INDEX($N$4:$N$3183,MATCH(SMALL($V$4:$V$3183,548),$V$4:$V$3183,0)),"")</f>
        <v/>
      </c>
      <c r="B551">
        <f>IFERROR(INDEX($O$4:$O$3183,MATCH(SMALL($V$4:$V$3183,548),$V$4:$V$3183,0)),"")</f>
        <v/>
      </c>
      <c r="C551">
        <f>IFERROR(INDEX($P$4:$P$3183,MATCH(SMALL($V$4:$V$3183,548),$V$4:$V$3183,0)),"")</f>
        <v/>
      </c>
      <c r="D551" s="29">
        <f>IFERROR(INDEX($Q$4:$Q$3183,MATCH(SMALL($V$4:$V$3183,548),$V$4:$V$3183,0)),"")</f>
        <v/>
      </c>
      <c r="E551" s="29">
        <f>IFERROR(INDEX($R$4:$R$3183,MATCH(SMALL($V$4:$V$3183,548),$V$4:$V$3183,0)),"")</f>
        <v/>
      </c>
      <c r="F551">
        <f>IFERROR(INDEX($S$4:$S$3183,MATCH(SMALL($V$4:$V$3183,548),$V$4:$V$3183,0)),"")</f>
        <v/>
      </c>
      <c r="I551" s="29">
        <f>IF($B551="","",IFERROR(INDEX($U$4:$U$3183,MATCH(SMALL($V$4:$V$3183,548),$V$4:$V$3183,0)),""))</f>
        <v/>
      </c>
      <c r="J551">
        <f>IF($B551="","",IF($D551&gt;$F$2,"À venir",IF($E551&lt;$D$2,"Passé","Dans la période")))</f>
        <v/>
      </c>
      <c r="K551">
        <f>IF(OR($B551="",NOT(ISNUMBER($D551))),"",IF(AND($E551&lt;$D$2,$G551&lt;&gt;"X",$F551&lt;&gt;"Réalisé",$F551&lt;&gt;"Clôturé"),"RETARD",""))</f>
        <v/>
      </c>
      <c r="L551">
        <f>IF(OR($B551="",NOT(ISNUMBER($D551))),"",IF(AND($D551&gt;=$D$2,$D551&lt;=$H$2,$G551&lt;&gt;"X",$F551&lt;&gt;"Réalisé",$F551&lt;&gt;"Clôturé"),"≤ 7 j",""))</f>
        <v/>
      </c>
      <c r="M551" s="29">
        <f>IF($B551="","",IFERROR(INDEX($T$4:$T$3183,MATCH(SMALL($V$4:$V$3183,548),$V$4:$V$3183,0)),""))</f>
        <v/>
      </c>
      <c r="O551">
        <f>IF(INDEX(Suivi!$B:$B,562)="","",INDEX(Suivi!$B:$B,562))</f>
        <v/>
      </c>
      <c r="P551">
        <f>IF($O551="","",IF(INDEX(Suivi!$D:$D,562)="",INDEX(Suivi!$C:$C,562),INDEX(Suivi!$D:$D,562)))</f>
        <v/>
      </c>
      <c r="Q551">
        <f>IF($O551="","",INDEX(Suivi!$E:$E,562))</f>
        <v/>
      </c>
      <c r="R551">
        <f>IF($O551="","",INDEX(Suivi!$F:$F,562))</f>
        <v/>
      </c>
      <c r="S551">
        <f>IF($O551="","",INDEX(Suivi!$G:$G,562))</f>
        <v/>
      </c>
      <c r="T551">
        <f>IF($O551="","",IF(INDEX(Dossiers!$F$4:$F$63,11)="","",INDEX(Dossiers!$F$4:$F$63,11)))</f>
        <v/>
      </c>
      <c r="U551">
        <f>IF($O551="","",IF(INDEX(Dossiers!$G$4:$G$63,11)="","",INDEX(Dossiers!$G$4:$G$63,11)))</f>
        <v/>
      </c>
      <c r="V551">
        <f>IF(OR($O551="",NOT(ISNUMBER($Q551))),"",$Q551*1000000+551)</f>
        <v/>
      </c>
      <c r="W551" s="29">
        <f>IF($B551="","",IFERROR(INDEX($U$4:$U$3183,MATCH(SMALL($V$4:$V$3183,548),$V$4:$V$3183,0)),""))</f>
        <v/>
      </c>
    </row>
    <row r="552">
      <c r="A552">
        <f>IFERROR(INDEX($N$4:$N$3183,MATCH(SMALL($V$4:$V$3183,549),$V$4:$V$3183,0)),"")</f>
        <v/>
      </c>
      <c r="B552">
        <f>IFERROR(INDEX($O$4:$O$3183,MATCH(SMALL($V$4:$V$3183,549),$V$4:$V$3183,0)),"")</f>
        <v/>
      </c>
      <c r="C552">
        <f>IFERROR(INDEX($P$4:$P$3183,MATCH(SMALL($V$4:$V$3183,549),$V$4:$V$3183,0)),"")</f>
        <v/>
      </c>
      <c r="D552" s="29">
        <f>IFERROR(INDEX($Q$4:$Q$3183,MATCH(SMALL($V$4:$V$3183,549),$V$4:$V$3183,0)),"")</f>
        <v/>
      </c>
      <c r="E552" s="29">
        <f>IFERROR(INDEX($R$4:$R$3183,MATCH(SMALL($V$4:$V$3183,549),$V$4:$V$3183,0)),"")</f>
        <v/>
      </c>
      <c r="F552">
        <f>IFERROR(INDEX($S$4:$S$3183,MATCH(SMALL($V$4:$V$3183,549),$V$4:$V$3183,0)),"")</f>
        <v/>
      </c>
      <c r="I552" s="29">
        <f>IF($B552="","",IFERROR(INDEX($U$4:$U$3183,MATCH(SMALL($V$4:$V$3183,549),$V$4:$V$3183,0)),""))</f>
        <v/>
      </c>
      <c r="J552">
        <f>IF($B552="","",IF($D552&gt;$F$2,"À venir",IF($E552&lt;$D$2,"Passé","Dans la période")))</f>
        <v/>
      </c>
      <c r="K552">
        <f>IF(OR($B552="",NOT(ISNUMBER($D552))),"",IF(AND($E552&lt;$D$2,$G552&lt;&gt;"X",$F552&lt;&gt;"Réalisé",$F552&lt;&gt;"Clôturé"),"RETARD",""))</f>
        <v/>
      </c>
      <c r="L552">
        <f>IF(OR($B552="",NOT(ISNUMBER($D552))),"",IF(AND($D552&gt;=$D$2,$D552&lt;=$H$2,$G552&lt;&gt;"X",$F552&lt;&gt;"Réalisé",$F552&lt;&gt;"Clôturé"),"≤ 7 j",""))</f>
        <v/>
      </c>
      <c r="M552" s="29">
        <f>IF($B552="","",IFERROR(INDEX($T$4:$T$3183,MATCH(SMALL($V$4:$V$3183,549),$V$4:$V$3183,0)),""))</f>
        <v/>
      </c>
      <c r="O552">
        <f>IF(INDEX(Suivi!$B:$B,563)="","",INDEX(Suivi!$B:$B,563))</f>
        <v/>
      </c>
      <c r="P552">
        <f>IF($O552="","",IF(INDEX(Suivi!$D:$D,563)="",INDEX(Suivi!$C:$C,563),INDEX(Suivi!$D:$D,563)))</f>
        <v/>
      </c>
      <c r="Q552">
        <f>IF($O552="","",INDEX(Suivi!$E:$E,563))</f>
        <v/>
      </c>
      <c r="R552">
        <f>IF($O552="","",INDEX(Suivi!$F:$F,563))</f>
        <v/>
      </c>
      <c r="S552">
        <f>IF($O552="","",INDEX(Suivi!$G:$G,563))</f>
        <v/>
      </c>
      <c r="T552">
        <f>IF($O552="","",IF(INDEX(Dossiers!$F$4:$F$63,11)="","",INDEX(Dossiers!$F$4:$F$63,11)))</f>
        <v/>
      </c>
      <c r="U552">
        <f>IF($O552="","",IF(INDEX(Dossiers!$G$4:$G$63,11)="","",INDEX(Dossiers!$G$4:$G$63,11)))</f>
        <v/>
      </c>
      <c r="V552">
        <f>IF(OR($O552="",NOT(ISNUMBER($Q552))),"",$Q552*1000000+552)</f>
        <v/>
      </c>
      <c r="W552" s="29">
        <f>IF($B552="","",IFERROR(INDEX($U$4:$U$3183,MATCH(SMALL($V$4:$V$3183,549),$V$4:$V$3183,0)),""))</f>
        <v/>
      </c>
    </row>
    <row r="553">
      <c r="A553">
        <f>IFERROR(INDEX($N$4:$N$3183,MATCH(SMALL($V$4:$V$3183,550),$V$4:$V$3183,0)),"")</f>
        <v/>
      </c>
      <c r="B553">
        <f>IFERROR(INDEX($O$4:$O$3183,MATCH(SMALL($V$4:$V$3183,550),$V$4:$V$3183,0)),"")</f>
        <v/>
      </c>
      <c r="C553">
        <f>IFERROR(INDEX($P$4:$P$3183,MATCH(SMALL($V$4:$V$3183,550),$V$4:$V$3183,0)),"")</f>
        <v/>
      </c>
      <c r="D553" s="29">
        <f>IFERROR(INDEX($Q$4:$Q$3183,MATCH(SMALL($V$4:$V$3183,550),$V$4:$V$3183,0)),"")</f>
        <v/>
      </c>
      <c r="E553" s="29">
        <f>IFERROR(INDEX($R$4:$R$3183,MATCH(SMALL($V$4:$V$3183,550),$V$4:$V$3183,0)),"")</f>
        <v/>
      </c>
      <c r="F553">
        <f>IFERROR(INDEX($S$4:$S$3183,MATCH(SMALL($V$4:$V$3183,550),$V$4:$V$3183,0)),"")</f>
        <v/>
      </c>
      <c r="I553" s="29">
        <f>IF($B553="","",IFERROR(INDEX($U$4:$U$3183,MATCH(SMALL($V$4:$V$3183,550),$V$4:$V$3183,0)),""))</f>
        <v/>
      </c>
      <c r="J553">
        <f>IF($B553="","",IF($D553&gt;$F$2,"À venir",IF($E553&lt;$D$2,"Passé","Dans la période")))</f>
        <v/>
      </c>
      <c r="K553">
        <f>IF(OR($B553="",NOT(ISNUMBER($D553))),"",IF(AND($E553&lt;$D$2,$G553&lt;&gt;"X",$F553&lt;&gt;"Réalisé",$F553&lt;&gt;"Clôturé"),"RETARD",""))</f>
        <v/>
      </c>
      <c r="L553">
        <f>IF(OR($B553="",NOT(ISNUMBER($D553))),"",IF(AND($D553&gt;=$D$2,$D553&lt;=$H$2,$G553&lt;&gt;"X",$F553&lt;&gt;"Réalisé",$F553&lt;&gt;"Clôturé"),"≤ 7 j",""))</f>
        <v/>
      </c>
      <c r="M553" s="29">
        <f>IF($B553="","",IFERROR(INDEX($T$4:$T$3183,MATCH(SMALL($V$4:$V$3183,550),$V$4:$V$3183,0)),""))</f>
        <v/>
      </c>
      <c r="O553">
        <f>IF(INDEX(Suivi!$B:$B,564)="","",INDEX(Suivi!$B:$B,564))</f>
        <v/>
      </c>
      <c r="P553">
        <f>IF($O553="","",IF(INDEX(Suivi!$D:$D,564)="",INDEX(Suivi!$C:$C,564),INDEX(Suivi!$D:$D,564)))</f>
        <v/>
      </c>
      <c r="Q553">
        <f>IF($O553="","",INDEX(Suivi!$E:$E,564))</f>
        <v/>
      </c>
      <c r="R553">
        <f>IF($O553="","",INDEX(Suivi!$F:$F,564))</f>
        <v/>
      </c>
      <c r="S553">
        <f>IF($O553="","",INDEX(Suivi!$G:$G,564))</f>
        <v/>
      </c>
      <c r="T553">
        <f>IF($O553="","",IF(INDEX(Dossiers!$F$4:$F$63,11)="","",INDEX(Dossiers!$F$4:$F$63,11)))</f>
        <v/>
      </c>
      <c r="U553">
        <f>IF($O553="","",IF(INDEX(Dossiers!$G$4:$G$63,11)="","",INDEX(Dossiers!$G$4:$G$63,11)))</f>
        <v/>
      </c>
      <c r="V553">
        <f>IF(OR($O553="",NOT(ISNUMBER($Q553))),"",$Q553*1000000+553)</f>
        <v/>
      </c>
      <c r="W553" s="29">
        <f>IF($B553="","",IFERROR(INDEX($U$4:$U$3183,MATCH(SMALL($V$4:$V$3183,550),$V$4:$V$3183,0)),""))</f>
        <v/>
      </c>
    </row>
    <row r="554">
      <c r="A554">
        <f>IFERROR(INDEX($N$4:$N$3183,MATCH(SMALL($V$4:$V$3183,551),$V$4:$V$3183,0)),"")</f>
        <v/>
      </c>
      <c r="B554">
        <f>IFERROR(INDEX($O$4:$O$3183,MATCH(SMALL($V$4:$V$3183,551),$V$4:$V$3183,0)),"")</f>
        <v/>
      </c>
      <c r="C554">
        <f>IFERROR(INDEX($P$4:$P$3183,MATCH(SMALL($V$4:$V$3183,551),$V$4:$V$3183,0)),"")</f>
        <v/>
      </c>
      <c r="D554" s="29">
        <f>IFERROR(INDEX($Q$4:$Q$3183,MATCH(SMALL($V$4:$V$3183,551),$V$4:$V$3183,0)),"")</f>
        <v/>
      </c>
      <c r="E554" s="29">
        <f>IFERROR(INDEX($R$4:$R$3183,MATCH(SMALL($V$4:$V$3183,551),$V$4:$V$3183,0)),"")</f>
        <v/>
      </c>
      <c r="F554">
        <f>IFERROR(INDEX($S$4:$S$3183,MATCH(SMALL($V$4:$V$3183,551),$V$4:$V$3183,0)),"")</f>
        <v/>
      </c>
      <c r="I554" s="29">
        <f>IF($B554="","",IFERROR(INDEX($U$4:$U$3183,MATCH(SMALL($V$4:$V$3183,551),$V$4:$V$3183,0)),""))</f>
        <v/>
      </c>
      <c r="J554">
        <f>IF($B554="","",IF($D554&gt;$F$2,"À venir",IF($E554&lt;$D$2,"Passé","Dans la période")))</f>
        <v/>
      </c>
      <c r="K554">
        <f>IF(OR($B554="",NOT(ISNUMBER($D554))),"",IF(AND($E554&lt;$D$2,$G554&lt;&gt;"X",$F554&lt;&gt;"Réalisé",$F554&lt;&gt;"Clôturé"),"RETARD",""))</f>
        <v/>
      </c>
      <c r="L554">
        <f>IF(OR($B554="",NOT(ISNUMBER($D554))),"",IF(AND($D554&gt;=$D$2,$D554&lt;=$H$2,$G554&lt;&gt;"X",$F554&lt;&gt;"Réalisé",$F554&lt;&gt;"Clôturé"),"≤ 7 j",""))</f>
        <v/>
      </c>
      <c r="M554" s="29">
        <f>IF($B554="","",IFERROR(INDEX($T$4:$T$3183,MATCH(SMALL($V$4:$V$3183,551),$V$4:$V$3183,0)),""))</f>
        <v/>
      </c>
      <c r="O554">
        <f>IF(INDEX(Suivi!$B:$B,565)="","",INDEX(Suivi!$B:$B,565))</f>
        <v/>
      </c>
      <c r="P554">
        <f>IF($O554="","",IF(INDEX(Suivi!$D:$D,565)="",INDEX(Suivi!$C:$C,565),INDEX(Suivi!$D:$D,565)))</f>
        <v/>
      </c>
      <c r="Q554">
        <f>IF($O554="","",INDEX(Suivi!$E:$E,565))</f>
        <v/>
      </c>
      <c r="R554">
        <f>IF($O554="","",INDEX(Suivi!$F:$F,565))</f>
        <v/>
      </c>
      <c r="S554">
        <f>IF($O554="","",INDEX(Suivi!$G:$G,565))</f>
        <v/>
      </c>
      <c r="T554">
        <f>IF($O554="","",IF(INDEX(Dossiers!$F$4:$F$63,11)="","",INDEX(Dossiers!$F$4:$F$63,11)))</f>
        <v/>
      </c>
      <c r="U554">
        <f>IF($O554="","",IF(INDEX(Dossiers!$G$4:$G$63,11)="","",INDEX(Dossiers!$G$4:$G$63,11)))</f>
        <v/>
      </c>
      <c r="V554">
        <f>IF(OR($O554="",NOT(ISNUMBER($Q554))),"",$Q554*1000000+554)</f>
        <v/>
      </c>
      <c r="W554" s="29">
        <f>IF($B554="","",IFERROR(INDEX($U$4:$U$3183,MATCH(SMALL($V$4:$V$3183,551),$V$4:$V$3183,0)),""))</f>
        <v/>
      </c>
    </row>
    <row r="555">
      <c r="A555">
        <f>IFERROR(INDEX($N$4:$N$3183,MATCH(SMALL($V$4:$V$3183,552),$V$4:$V$3183,0)),"")</f>
        <v/>
      </c>
      <c r="B555">
        <f>IFERROR(INDEX($O$4:$O$3183,MATCH(SMALL($V$4:$V$3183,552),$V$4:$V$3183,0)),"")</f>
        <v/>
      </c>
      <c r="C555">
        <f>IFERROR(INDEX($P$4:$P$3183,MATCH(SMALL($V$4:$V$3183,552),$V$4:$V$3183,0)),"")</f>
        <v/>
      </c>
      <c r="D555" s="29">
        <f>IFERROR(INDEX($Q$4:$Q$3183,MATCH(SMALL($V$4:$V$3183,552),$V$4:$V$3183,0)),"")</f>
        <v/>
      </c>
      <c r="E555" s="29">
        <f>IFERROR(INDEX($R$4:$R$3183,MATCH(SMALL($V$4:$V$3183,552),$V$4:$V$3183,0)),"")</f>
        <v/>
      </c>
      <c r="F555">
        <f>IFERROR(INDEX($S$4:$S$3183,MATCH(SMALL($V$4:$V$3183,552),$V$4:$V$3183,0)),"")</f>
        <v/>
      </c>
      <c r="I555" s="29">
        <f>IF($B555="","",IFERROR(INDEX($U$4:$U$3183,MATCH(SMALL($V$4:$V$3183,552),$V$4:$V$3183,0)),""))</f>
        <v/>
      </c>
      <c r="J555">
        <f>IF($B555="","",IF($D555&gt;$F$2,"À venir",IF($E555&lt;$D$2,"Passé","Dans la période")))</f>
        <v/>
      </c>
      <c r="K555">
        <f>IF(OR($B555="",NOT(ISNUMBER($D555))),"",IF(AND($E555&lt;$D$2,$G555&lt;&gt;"X",$F555&lt;&gt;"Réalisé",$F555&lt;&gt;"Clôturé"),"RETARD",""))</f>
        <v/>
      </c>
      <c r="L555">
        <f>IF(OR($B555="",NOT(ISNUMBER($D555))),"",IF(AND($D555&gt;=$D$2,$D555&lt;=$H$2,$G555&lt;&gt;"X",$F555&lt;&gt;"Réalisé",$F555&lt;&gt;"Clôturé"),"≤ 7 j",""))</f>
        <v/>
      </c>
      <c r="M555" s="29">
        <f>IF($B555="","",IFERROR(INDEX($T$4:$T$3183,MATCH(SMALL($V$4:$V$3183,552),$V$4:$V$3183,0)),""))</f>
        <v/>
      </c>
      <c r="O555">
        <f>IF(INDEX(Suivi!$B:$B,566)="","",INDEX(Suivi!$B:$B,566))</f>
        <v/>
      </c>
      <c r="P555">
        <f>IF($O555="","",IF(INDEX(Suivi!$D:$D,566)="",INDEX(Suivi!$C:$C,566),INDEX(Suivi!$D:$D,566)))</f>
        <v/>
      </c>
      <c r="Q555">
        <f>IF($O555="","",INDEX(Suivi!$E:$E,566))</f>
        <v/>
      </c>
      <c r="R555">
        <f>IF($O555="","",INDEX(Suivi!$F:$F,566))</f>
        <v/>
      </c>
      <c r="S555">
        <f>IF($O555="","",INDEX(Suivi!$G:$G,566))</f>
        <v/>
      </c>
      <c r="T555">
        <f>IF($O555="","",IF(INDEX(Dossiers!$F$4:$F$63,11)="","",INDEX(Dossiers!$F$4:$F$63,11)))</f>
        <v/>
      </c>
      <c r="U555">
        <f>IF($O555="","",IF(INDEX(Dossiers!$G$4:$G$63,11)="","",INDEX(Dossiers!$G$4:$G$63,11)))</f>
        <v/>
      </c>
      <c r="V555">
        <f>IF(OR($O555="",NOT(ISNUMBER($Q555))),"",$Q555*1000000+555)</f>
        <v/>
      </c>
      <c r="W555" s="29">
        <f>IF($B555="","",IFERROR(INDEX($U$4:$U$3183,MATCH(SMALL($V$4:$V$3183,552),$V$4:$V$3183,0)),""))</f>
        <v/>
      </c>
    </row>
    <row r="556">
      <c r="A556">
        <f>IFERROR(INDEX($N$4:$N$3183,MATCH(SMALL($V$4:$V$3183,553),$V$4:$V$3183,0)),"")</f>
        <v/>
      </c>
      <c r="B556">
        <f>IFERROR(INDEX($O$4:$O$3183,MATCH(SMALL($V$4:$V$3183,553),$V$4:$V$3183,0)),"")</f>
        <v/>
      </c>
      <c r="C556">
        <f>IFERROR(INDEX($P$4:$P$3183,MATCH(SMALL($V$4:$V$3183,553),$V$4:$V$3183,0)),"")</f>
        <v/>
      </c>
      <c r="D556" s="29">
        <f>IFERROR(INDEX($Q$4:$Q$3183,MATCH(SMALL($V$4:$V$3183,553),$V$4:$V$3183,0)),"")</f>
        <v/>
      </c>
      <c r="E556" s="29">
        <f>IFERROR(INDEX($R$4:$R$3183,MATCH(SMALL($V$4:$V$3183,553),$V$4:$V$3183,0)),"")</f>
        <v/>
      </c>
      <c r="F556">
        <f>IFERROR(INDEX($S$4:$S$3183,MATCH(SMALL($V$4:$V$3183,553),$V$4:$V$3183,0)),"")</f>
        <v/>
      </c>
      <c r="I556" s="29">
        <f>IF($B556="","",IFERROR(INDEX($U$4:$U$3183,MATCH(SMALL($V$4:$V$3183,553),$V$4:$V$3183,0)),""))</f>
        <v/>
      </c>
      <c r="J556">
        <f>IF($B556="","",IF($D556&gt;$F$2,"À venir",IF($E556&lt;$D$2,"Passé","Dans la période")))</f>
        <v/>
      </c>
      <c r="K556">
        <f>IF(OR($B556="",NOT(ISNUMBER($D556))),"",IF(AND($E556&lt;$D$2,$G556&lt;&gt;"X",$F556&lt;&gt;"Réalisé",$F556&lt;&gt;"Clôturé"),"RETARD",""))</f>
        <v/>
      </c>
      <c r="L556">
        <f>IF(OR($B556="",NOT(ISNUMBER($D556))),"",IF(AND($D556&gt;=$D$2,$D556&lt;=$H$2,$G556&lt;&gt;"X",$F556&lt;&gt;"Réalisé",$F556&lt;&gt;"Clôturé"),"≤ 7 j",""))</f>
        <v/>
      </c>
      <c r="M556" s="29">
        <f>IF($B556="","",IFERROR(INDEX($T$4:$T$3183,MATCH(SMALL($V$4:$V$3183,553),$V$4:$V$3183,0)),""))</f>
        <v/>
      </c>
      <c r="O556">
        <f>IF(INDEX(Suivi!$B:$B,567)="","",INDEX(Suivi!$B:$B,567))</f>
        <v/>
      </c>
      <c r="P556">
        <f>IF($O556="","",IF(INDEX(Suivi!$D:$D,567)="",INDEX(Suivi!$C:$C,567),INDEX(Suivi!$D:$D,567)))</f>
        <v/>
      </c>
      <c r="Q556">
        <f>IF($O556="","",INDEX(Suivi!$E:$E,567))</f>
        <v/>
      </c>
      <c r="R556">
        <f>IF($O556="","",INDEX(Suivi!$F:$F,567))</f>
        <v/>
      </c>
      <c r="S556">
        <f>IF($O556="","",INDEX(Suivi!$G:$G,567))</f>
        <v/>
      </c>
      <c r="T556">
        <f>IF($O556="","",IF(INDEX(Dossiers!$F$4:$F$63,11)="","",INDEX(Dossiers!$F$4:$F$63,11)))</f>
        <v/>
      </c>
      <c r="U556">
        <f>IF($O556="","",IF(INDEX(Dossiers!$G$4:$G$63,11)="","",INDEX(Dossiers!$G$4:$G$63,11)))</f>
        <v/>
      </c>
      <c r="V556">
        <f>IF(OR($O556="",NOT(ISNUMBER($Q556))),"",$Q556*1000000+556)</f>
        <v/>
      </c>
      <c r="W556" s="29">
        <f>IF($B556="","",IFERROR(INDEX($U$4:$U$3183,MATCH(SMALL($V$4:$V$3183,553),$V$4:$V$3183,0)),""))</f>
        <v/>
      </c>
    </row>
    <row r="557">
      <c r="A557">
        <f>IFERROR(INDEX($N$4:$N$3183,MATCH(SMALL($V$4:$V$3183,554),$V$4:$V$3183,0)),"")</f>
        <v/>
      </c>
      <c r="B557">
        <f>IFERROR(INDEX($O$4:$O$3183,MATCH(SMALL($V$4:$V$3183,554),$V$4:$V$3183,0)),"")</f>
        <v/>
      </c>
      <c r="C557">
        <f>IFERROR(INDEX($P$4:$P$3183,MATCH(SMALL($V$4:$V$3183,554),$V$4:$V$3183,0)),"")</f>
        <v/>
      </c>
      <c r="D557" s="29">
        <f>IFERROR(INDEX($Q$4:$Q$3183,MATCH(SMALL($V$4:$V$3183,554),$V$4:$V$3183,0)),"")</f>
        <v/>
      </c>
      <c r="E557" s="29">
        <f>IFERROR(INDEX($R$4:$R$3183,MATCH(SMALL($V$4:$V$3183,554),$V$4:$V$3183,0)),"")</f>
        <v/>
      </c>
      <c r="F557">
        <f>IFERROR(INDEX($S$4:$S$3183,MATCH(SMALL($V$4:$V$3183,554),$V$4:$V$3183,0)),"")</f>
        <v/>
      </c>
      <c r="I557" s="29">
        <f>IF($B557="","",IFERROR(INDEX($U$4:$U$3183,MATCH(SMALL($V$4:$V$3183,554),$V$4:$V$3183,0)),""))</f>
        <v/>
      </c>
      <c r="J557">
        <f>IF($B557="","",IF($D557&gt;$F$2,"À venir",IF($E557&lt;$D$2,"Passé","Dans la période")))</f>
        <v/>
      </c>
      <c r="K557">
        <f>IF(OR($B557="",NOT(ISNUMBER($D557))),"",IF(AND($E557&lt;$D$2,$G557&lt;&gt;"X",$F557&lt;&gt;"Réalisé",$F557&lt;&gt;"Clôturé"),"RETARD",""))</f>
        <v/>
      </c>
      <c r="L557">
        <f>IF(OR($B557="",NOT(ISNUMBER($D557))),"",IF(AND($D557&gt;=$D$2,$D557&lt;=$H$2,$G557&lt;&gt;"X",$F557&lt;&gt;"Réalisé",$F557&lt;&gt;"Clôturé"),"≤ 7 j",""))</f>
        <v/>
      </c>
      <c r="M557" s="29">
        <f>IF($B557="","",IFERROR(INDEX($T$4:$T$3183,MATCH(SMALL($V$4:$V$3183,554),$V$4:$V$3183,0)),""))</f>
        <v/>
      </c>
      <c r="O557">
        <f>IF(INDEX(Suivi!$B:$B,568)="","",INDEX(Suivi!$B:$B,568))</f>
        <v/>
      </c>
      <c r="P557">
        <f>IF($O557="","",IF(INDEX(Suivi!$D:$D,568)="",INDEX(Suivi!$C:$C,568),INDEX(Suivi!$D:$D,568)))</f>
        <v/>
      </c>
      <c r="Q557">
        <f>IF($O557="","",INDEX(Suivi!$E:$E,568))</f>
        <v/>
      </c>
      <c r="R557">
        <f>IF($O557="","",INDEX(Suivi!$F:$F,568))</f>
        <v/>
      </c>
      <c r="S557">
        <f>IF($O557="","",INDEX(Suivi!$G:$G,568))</f>
        <v/>
      </c>
      <c r="T557">
        <f>IF($O557="","",IF(INDEX(Dossiers!$F$4:$F$63,11)="","",INDEX(Dossiers!$F$4:$F$63,11)))</f>
        <v/>
      </c>
      <c r="U557">
        <f>IF($O557="","",IF(INDEX(Dossiers!$G$4:$G$63,11)="","",INDEX(Dossiers!$G$4:$G$63,11)))</f>
        <v/>
      </c>
      <c r="V557">
        <f>IF(OR($O557="",NOT(ISNUMBER($Q557))),"",$Q557*1000000+557)</f>
        <v/>
      </c>
      <c r="W557" s="29">
        <f>IF($B557="","",IFERROR(INDEX($U$4:$U$3183,MATCH(SMALL($V$4:$V$3183,554),$V$4:$V$3183,0)),""))</f>
        <v/>
      </c>
    </row>
    <row r="558">
      <c r="A558">
        <f>IFERROR(INDEX($N$4:$N$3183,MATCH(SMALL($V$4:$V$3183,555),$V$4:$V$3183,0)),"")</f>
        <v/>
      </c>
      <c r="B558">
        <f>IFERROR(INDEX($O$4:$O$3183,MATCH(SMALL($V$4:$V$3183,555),$V$4:$V$3183,0)),"")</f>
        <v/>
      </c>
      <c r="C558">
        <f>IFERROR(INDEX($P$4:$P$3183,MATCH(SMALL($V$4:$V$3183,555),$V$4:$V$3183,0)),"")</f>
        <v/>
      </c>
      <c r="D558" s="29">
        <f>IFERROR(INDEX($Q$4:$Q$3183,MATCH(SMALL($V$4:$V$3183,555),$V$4:$V$3183,0)),"")</f>
        <v/>
      </c>
      <c r="E558" s="29">
        <f>IFERROR(INDEX($R$4:$R$3183,MATCH(SMALL($V$4:$V$3183,555),$V$4:$V$3183,0)),"")</f>
        <v/>
      </c>
      <c r="F558">
        <f>IFERROR(INDEX($S$4:$S$3183,MATCH(SMALL($V$4:$V$3183,555),$V$4:$V$3183,0)),"")</f>
        <v/>
      </c>
      <c r="I558" s="29">
        <f>IF($B558="","",IFERROR(INDEX($U$4:$U$3183,MATCH(SMALL($V$4:$V$3183,555),$V$4:$V$3183,0)),""))</f>
        <v/>
      </c>
      <c r="J558">
        <f>IF($B558="","",IF($D558&gt;$F$2,"À venir",IF($E558&lt;$D$2,"Passé","Dans la période")))</f>
        <v/>
      </c>
      <c r="K558">
        <f>IF(OR($B558="",NOT(ISNUMBER($D558))),"",IF(AND($E558&lt;$D$2,$G558&lt;&gt;"X",$F558&lt;&gt;"Réalisé",$F558&lt;&gt;"Clôturé"),"RETARD",""))</f>
        <v/>
      </c>
      <c r="L558">
        <f>IF(OR($B558="",NOT(ISNUMBER($D558))),"",IF(AND($D558&gt;=$D$2,$D558&lt;=$H$2,$G558&lt;&gt;"X",$F558&lt;&gt;"Réalisé",$F558&lt;&gt;"Clôturé"),"≤ 7 j",""))</f>
        <v/>
      </c>
      <c r="M558" s="29">
        <f>IF($B558="","",IFERROR(INDEX($T$4:$T$3183,MATCH(SMALL($V$4:$V$3183,555),$V$4:$V$3183,0)),""))</f>
        <v/>
      </c>
      <c r="O558">
        <f>IF(INDEX(Suivi!$B:$B,569)="","",INDEX(Suivi!$B:$B,569))</f>
        <v/>
      </c>
      <c r="P558">
        <f>IF($O558="","",IF(INDEX(Suivi!$D:$D,569)="",INDEX(Suivi!$C:$C,569),INDEX(Suivi!$D:$D,569)))</f>
        <v/>
      </c>
      <c r="Q558">
        <f>IF($O558="","",INDEX(Suivi!$E:$E,569))</f>
        <v/>
      </c>
      <c r="R558">
        <f>IF($O558="","",INDEX(Suivi!$F:$F,569))</f>
        <v/>
      </c>
      <c r="S558">
        <f>IF($O558="","",INDEX(Suivi!$G:$G,569))</f>
        <v/>
      </c>
      <c r="T558">
        <f>IF($O558="","",IF(INDEX(Dossiers!$F$4:$F$63,11)="","",INDEX(Dossiers!$F$4:$F$63,11)))</f>
        <v/>
      </c>
      <c r="U558">
        <f>IF($O558="","",IF(INDEX(Dossiers!$G$4:$G$63,11)="","",INDEX(Dossiers!$G$4:$G$63,11)))</f>
        <v/>
      </c>
      <c r="V558">
        <f>IF(OR($O558="",NOT(ISNUMBER($Q558))),"",$Q558*1000000+558)</f>
        <v/>
      </c>
      <c r="W558" s="29">
        <f>IF($B558="","",IFERROR(INDEX($U$4:$U$3183,MATCH(SMALL($V$4:$V$3183,555),$V$4:$V$3183,0)),""))</f>
        <v/>
      </c>
    </row>
    <row r="559">
      <c r="A559">
        <f>IFERROR(INDEX($N$4:$N$3183,MATCH(SMALL($V$4:$V$3183,556),$V$4:$V$3183,0)),"")</f>
        <v/>
      </c>
      <c r="B559">
        <f>IFERROR(INDEX($O$4:$O$3183,MATCH(SMALL($V$4:$V$3183,556),$V$4:$V$3183,0)),"")</f>
        <v/>
      </c>
      <c r="C559">
        <f>IFERROR(INDEX($P$4:$P$3183,MATCH(SMALL($V$4:$V$3183,556),$V$4:$V$3183,0)),"")</f>
        <v/>
      </c>
      <c r="D559" s="29">
        <f>IFERROR(INDEX($Q$4:$Q$3183,MATCH(SMALL($V$4:$V$3183,556),$V$4:$V$3183,0)),"")</f>
        <v/>
      </c>
      <c r="E559" s="29">
        <f>IFERROR(INDEX($R$4:$R$3183,MATCH(SMALL($V$4:$V$3183,556),$V$4:$V$3183,0)),"")</f>
        <v/>
      </c>
      <c r="F559">
        <f>IFERROR(INDEX($S$4:$S$3183,MATCH(SMALL($V$4:$V$3183,556),$V$4:$V$3183,0)),"")</f>
        <v/>
      </c>
      <c r="I559" s="29">
        <f>IF($B559="","",IFERROR(INDEX($U$4:$U$3183,MATCH(SMALL($V$4:$V$3183,556),$V$4:$V$3183,0)),""))</f>
        <v/>
      </c>
      <c r="J559">
        <f>IF($B559="","",IF($D559&gt;$F$2,"À venir",IF($E559&lt;$D$2,"Passé","Dans la période")))</f>
        <v/>
      </c>
      <c r="K559">
        <f>IF(OR($B559="",NOT(ISNUMBER($D559))),"",IF(AND($E559&lt;$D$2,$G559&lt;&gt;"X",$F559&lt;&gt;"Réalisé",$F559&lt;&gt;"Clôturé"),"RETARD",""))</f>
        <v/>
      </c>
      <c r="L559">
        <f>IF(OR($B559="",NOT(ISNUMBER($D559))),"",IF(AND($D559&gt;=$D$2,$D559&lt;=$H$2,$G559&lt;&gt;"X",$F559&lt;&gt;"Réalisé",$F559&lt;&gt;"Clôturé"),"≤ 7 j",""))</f>
        <v/>
      </c>
      <c r="M559" s="29">
        <f>IF($B559="","",IFERROR(INDEX($T$4:$T$3183,MATCH(SMALL($V$4:$V$3183,556),$V$4:$V$3183,0)),""))</f>
        <v/>
      </c>
      <c r="O559">
        <f>IF(INDEX(Suivi!$B:$B,570)="","",INDEX(Suivi!$B:$B,570))</f>
        <v/>
      </c>
      <c r="P559">
        <f>IF($O559="","",IF(INDEX(Suivi!$D:$D,570)="",INDEX(Suivi!$C:$C,570),INDEX(Suivi!$D:$D,570)))</f>
        <v/>
      </c>
      <c r="Q559">
        <f>IF($O559="","",INDEX(Suivi!$E:$E,570))</f>
        <v/>
      </c>
      <c r="R559">
        <f>IF($O559="","",INDEX(Suivi!$F:$F,570))</f>
        <v/>
      </c>
      <c r="S559">
        <f>IF($O559="","",INDEX(Suivi!$G:$G,570))</f>
        <v/>
      </c>
      <c r="T559">
        <f>IF($O559="","",IF(INDEX(Dossiers!$F$4:$F$63,11)="","",INDEX(Dossiers!$F$4:$F$63,11)))</f>
        <v/>
      </c>
      <c r="U559">
        <f>IF($O559="","",IF(INDEX(Dossiers!$G$4:$G$63,11)="","",INDEX(Dossiers!$G$4:$G$63,11)))</f>
        <v/>
      </c>
      <c r="V559">
        <f>IF(OR($O559="",NOT(ISNUMBER($Q559))),"",$Q559*1000000+559)</f>
        <v/>
      </c>
      <c r="W559" s="29">
        <f>IF($B559="","",IFERROR(INDEX($U$4:$U$3183,MATCH(SMALL($V$4:$V$3183,556),$V$4:$V$3183,0)),""))</f>
        <v/>
      </c>
    </row>
    <row r="560">
      <c r="A560">
        <f>IFERROR(INDEX($N$4:$N$3183,MATCH(SMALL($V$4:$V$3183,557),$V$4:$V$3183,0)),"")</f>
        <v/>
      </c>
      <c r="B560">
        <f>IFERROR(INDEX($O$4:$O$3183,MATCH(SMALL($V$4:$V$3183,557),$V$4:$V$3183,0)),"")</f>
        <v/>
      </c>
      <c r="C560">
        <f>IFERROR(INDEX($P$4:$P$3183,MATCH(SMALL($V$4:$V$3183,557),$V$4:$V$3183,0)),"")</f>
        <v/>
      </c>
      <c r="D560" s="29">
        <f>IFERROR(INDEX($Q$4:$Q$3183,MATCH(SMALL($V$4:$V$3183,557),$V$4:$V$3183,0)),"")</f>
        <v/>
      </c>
      <c r="E560" s="29">
        <f>IFERROR(INDEX($R$4:$R$3183,MATCH(SMALL($V$4:$V$3183,557),$V$4:$V$3183,0)),"")</f>
        <v/>
      </c>
      <c r="F560">
        <f>IFERROR(INDEX($S$4:$S$3183,MATCH(SMALL($V$4:$V$3183,557),$V$4:$V$3183,0)),"")</f>
        <v/>
      </c>
      <c r="I560" s="29">
        <f>IF($B560="","",IFERROR(INDEX($U$4:$U$3183,MATCH(SMALL($V$4:$V$3183,557),$V$4:$V$3183,0)),""))</f>
        <v/>
      </c>
      <c r="J560">
        <f>IF($B560="","",IF($D560&gt;$F$2,"À venir",IF($E560&lt;$D$2,"Passé","Dans la période")))</f>
        <v/>
      </c>
      <c r="K560">
        <f>IF(OR($B560="",NOT(ISNUMBER($D560))),"",IF(AND($E560&lt;$D$2,$G560&lt;&gt;"X",$F560&lt;&gt;"Réalisé",$F560&lt;&gt;"Clôturé"),"RETARD",""))</f>
        <v/>
      </c>
      <c r="L560">
        <f>IF(OR($B560="",NOT(ISNUMBER($D560))),"",IF(AND($D560&gt;=$D$2,$D560&lt;=$H$2,$G560&lt;&gt;"X",$F560&lt;&gt;"Réalisé",$F560&lt;&gt;"Clôturé"),"≤ 7 j",""))</f>
        <v/>
      </c>
      <c r="M560" s="29">
        <f>IF($B560="","",IFERROR(INDEX($T$4:$T$3183,MATCH(SMALL($V$4:$V$3183,557),$V$4:$V$3183,0)),""))</f>
        <v/>
      </c>
      <c r="O560">
        <f>IF(INDEX(Suivi!$B:$B,571)="","",INDEX(Suivi!$B:$B,571))</f>
        <v/>
      </c>
      <c r="P560">
        <f>IF($O560="","",IF(INDEX(Suivi!$D:$D,571)="",INDEX(Suivi!$C:$C,571),INDEX(Suivi!$D:$D,571)))</f>
        <v/>
      </c>
      <c r="Q560">
        <f>IF($O560="","",INDEX(Suivi!$E:$E,571))</f>
        <v/>
      </c>
      <c r="R560">
        <f>IF($O560="","",INDEX(Suivi!$F:$F,571))</f>
        <v/>
      </c>
      <c r="S560">
        <f>IF($O560="","",INDEX(Suivi!$G:$G,571))</f>
        <v/>
      </c>
      <c r="T560">
        <f>IF($O560="","",IF(INDEX(Dossiers!$F$4:$F$63,11)="","",INDEX(Dossiers!$F$4:$F$63,11)))</f>
        <v/>
      </c>
      <c r="U560">
        <f>IF($O560="","",IF(INDEX(Dossiers!$G$4:$G$63,11)="","",INDEX(Dossiers!$G$4:$G$63,11)))</f>
        <v/>
      </c>
      <c r="V560">
        <f>IF(OR($O560="",NOT(ISNUMBER($Q560))),"",$Q560*1000000+560)</f>
        <v/>
      </c>
      <c r="W560" s="29">
        <f>IF($B560="","",IFERROR(INDEX($U$4:$U$3183,MATCH(SMALL($V$4:$V$3183,557),$V$4:$V$3183,0)),""))</f>
        <v/>
      </c>
    </row>
    <row r="561">
      <c r="A561">
        <f>IFERROR(INDEX($N$4:$N$3183,MATCH(SMALL($V$4:$V$3183,558),$V$4:$V$3183,0)),"")</f>
        <v/>
      </c>
      <c r="B561">
        <f>IFERROR(INDEX($O$4:$O$3183,MATCH(SMALL($V$4:$V$3183,558),$V$4:$V$3183,0)),"")</f>
        <v/>
      </c>
      <c r="C561">
        <f>IFERROR(INDEX($P$4:$P$3183,MATCH(SMALL($V$4:$V$3183,558),$V$4:$V$3183,0)),"")</f>
        <v/>
      </c>
      <c r="D561" s="29">
        <f>IFERROR(INDEX($Q$4:$Q$3183,MATCH(SMALL($V$4:$V$3183,558),$V$4:$V$3183,0)),"")</f>
        <v/>
      </c>
      <c r="E561" s="29">
        <f>IFERROR(INDEX($R$4:$R$3183,MATCH(SMALL($V$4:$V$3183,558),$V$4:$V$3183,0)),"")</f>
        <v/>
      </c>
      <c r="F561">
        <f>IFERROR(INDEX($S$4:$S$3183,MATCH(SMALL($V$4:$V$3183,558),$V$4:$V$3183,0)),"")</f>
        <v/>
      </c>
      <c r="I561" s="29">
        <f>IF($B561="","",IFERROR(INDEX($U$4:$U$3183,MATCH(SMALL($V$4:$V$3183,558),$V$4:$V$3183,0)),""))</f>
        <v/>
      </c>
      <c r="J561">
        <f>IF($B561="","",IF($D561&gt;$F$2,"À venir",IF($E561&lt;$D$2,"Passé","Dans la période")))</f>
        <v/>
      </c>
      <c r="K561">
        <f>IF(OR($B561="",NOT(ISNUMBER($D561))),"",IF(AND($E561&lt;$D$2,$G561&lt;&gt;"X",$F561&lt;&gt;"Réalisé",$F561&lt;&gt;"Clôturé"),"RETARD",""))</f>
        <v/>
      </c>
      <c r="L561">
        <f>IF(OR($B561="",NOT(ISNUMBER($D561))),"",IF(AND($D561&gt;=$D$2,$D561&lt;=$H$2,$G561&lt;&gt;"X",$F561&lt;&gt;"Réalisé",$F561&lt;&gt;"Clôturé"),"≤ 7 j",""))</f>
        <v/>
      </c>
      <c r="M561" s="29">
        <f>IF($B561="","",IFERROR(INDEX($T$4:$T$3183,MATCH(SMALL($V$4:$V$3183,558),$V$4:$V$3183,0)),""))</f>
        <v/>
      </c>
      <c r="O561">
        <f>IF(INDEX(Suivi!$B:$B,572)="","",INDEX(Suivi!$B:$B,572))</f>
        <v/>
      </c>
      <c r="P561">
        <f>IF($O561="","",IF(INDEX(Suivi!$D:$D,572)="",INDEX(Suivi!$C:$C,572),INDEX(Suivi!$D:$D,572)))</f>
        <v/>
      </c>
      <c r="Q561">
        <f>IF($O561="","",INDEX(Suivi!$E:$E,572))</f>
        <v/>
      </c>
      <c r="R561">
        <f>IF($O561="","",INDEX(Suivi!$F:$F,572))</f>
        <v/>
      </c>
      <c r="S561">
        <f>IF($O561="","",INDEX(Suivi!$G:$G,572))</f>
        <v/>
      </c>
      <c r="T561">
        <f>IF($O561="","",IF(INDEX(Dossiers!$F$4:$F$63,11)="","",INDEX(Dossiers!$F$4:$F$63,11)))</f>
        <v/>
      </c>
      <c r="U561">
        <f>IF($O561="","",IF(INDEX(Dossiers!$G$4:$G$63,11)="","",INDEX(Dossiers!$G$4:$G$63,11)))</f>
        <v/>
      </c>
      <c r="V561">
        <f>IF(OR($O561="",NOT(ISNUMBER($Q561))),"",$Q561*1000000+561)</f>
        <v/>
      </c>
      <c r="W561" s="29">
        <f>IF($B561="","",IFERROR(INDEX($U$4:$U$3183,MATCH(SMALL($V$4:$V$3183,558),$V$4:$V$3183,0)),""))</f>
        <v/>
      </c>
    </row>
    <row r="562">
      <c r="A562">
        <f>IFERROR(INDEX($N$4:$N$3183,MATCH(SMALL($V$4:$V$3183,559),$V$4:$V$3183,0)),"")</f>
        <v/>
      </c>
      <c r="B562">
        <f>IFERROR(INDEX($O$4:$O$3183,MATCH(SMALL($V$4:$V$3183,559),$V$4:$V$3183,0)),"")</f>
        <v/>
      </c>
      <c r="C562">
        <f>IFERROR(INDEX($P$4:$P$3183,MATCH(SMALL($V$4:$V$3183,559),$V$4:$V$3183,0)),"")</f>
        <v/>
      </c>
      <c r="D562" s="29">
        <f>IFERROR(INDEX($Q$4:$Q$3183,MATCH(SMALL($V$4:$V$3183,559),$V$4:$V$3183,0)),"")</f>
        <v/>
      </c>
      <c r="E562" s="29">
        <f>IFERROR(INDEX($R$4:$R$3183,MATCH(SMALL($V$4:$V$3183,559),$V$4:$V$3183,0)),"")</f>
        <v/>
      </c>
      <c r="F562">
        <f>IFERROR(INDEX($S$4:$S$3183,MATCH(SMALL($V$4:$V$3183,559),$V$4:$V$3183,0)),"")</f>
        <v/>
      </c>
      <c r="I562" s="29">
        <f>IF($B562="","",IFERROR(INDEX($U$4:$U$3183,MATCH(SMALL($V$4:$V$3183,559),$V$4:$V$3183,0)),""))</f>
        <v/>
      </c>
      <c r="J562">
        <f>IF($B562="","",IF($D562&gt;$F$2,"À venir",IF($E562&lt;$D$2,"Passé","Dans la période")))</f>
        <v/>
      </c>
      <c r="K562">
        <f>IF(OR($B562="",NOT(ISNUMBER($D562))),"",IF(AND($E562&lt;$D$2,$G562&lt;&gt;"X",$F562&lt;&gt;"Réalisé",$F562&lt;&gt;"Clôturé"),"RETARD",""))</f>
        <v/>
      </c>
      <c r="L562">
        <f>IF(OR($B562="",NOT(ISNUMBER($D562))),"",IF(AND($D562&gt;=$D$2,$D562&lt;=$H$2,$G562&lt;&gt;"X",$F562&lt;&gt;"Réalisé",$F562&lt;&gt;"Clôturé"),"≤ 7 j",""))</f>
        <v/>
      </c>
      <c r="M562" s="29">
        <f>IF($B562="","",IFERROR(INDEX($T$4:$T$3183,MATCH(SMALL($V$4:$V$3183,559),$V$4:$V$3183,0)),""))</f>
        <v/>
      </c>
      <c r="O562">
        <f>IF(INDEX(Suivi!$B:$B,573)="","",INDEX(Suivi!$B:$B,573))</f>
        <v/>
      </c>
      <c r="P562">
        <f>IF($O562="","",IF(INDEX(Suivi!$D:$D,573)="",INDEX(Suivi!$C:$C,573),INDEX(Suivi!$D:$D,573)))</f>
        <v/>
      </c>
      <c r="Q562">
        <f>IF($O562="","",INDEX(Suivi!$E:$E,573))</f>
        <v/>
      </c>
      <c r="R562">
        <f>IF($O562="","",INDEX(Suivi!$F:$F,573))</f>
        <v/>
      </c>
      <c r="S562">
        <f>IF($O562="","",INDEX(Suivi!$G:$G,573))</f>
        <v/>
      </c>
      <c r="T562">
        <f>IF($O562="","",IF(INDEX(Dossiers!$F$4:$F$63,11)="","",INDEX(Dossiers!$F$4:$F$63,11)))</f>
        <v/>
      </c>
      <c r="U562">
        <f>IF($O562="","",IF(INDEX(Dossiers!$G$4:$G$63,11)="","",INDEX(Dossiers!$G$4:$G$63,11)))</f>
        <v/>
      </c>
      <c r="V562">
        <f>IF(OR($O562="",NOT(ISNUMBER($Q562))),"",$Q562*1000000+562)</f>
        <v/>
      </c>
      <c r="W562" s="29">
        <f>IF($B562="","",IFERROR(INDEX($U$4:$U$3183,MATCH(SMALL($V$4:$V$3183,559),$V$4:$V$3183,0)),""))</f>
        <v/>
      </c>
    </row>
    <row r="563">
      <c r="A563">
        <f>IFERROR(INDEX($N$4:$N$3183,MATCH(SMALL($V$4:$V$3183,560),$V$4:$V$3183,0)),"")</f>
        <v/>
      </c>
      <c r="B563">
        <f>IFERROR(INDEX($O$4:$O$3183,MATCH(SMALL($V$4:$V$3183,560),$V$4:$V$3183,0)),"")</f>
        <v/>
      </c>
      <c r="C563">
        <f>IFERROR(INDEX($P$4:$P$3183,MATCH(SMALL($V$4:$V$3183,560),$V$4:$V$3183,0)),"")</f>
        <v/>
      </c>
      <c r="D563" s="29">
        <f>IFERROR(INDEX($Q$4:$Q$3183,MATCH(SMALL($V$4:$V$3183,560),$V$4:$V$3183,0)),"")</f>
        <v/>
      </c>
      <c r="E563" s="29">
        <f>IFERROR(INDEX($R$4:$R$3183,MATCH(SMALL($V$4:$V$3183,560),$V$4:$V$3183,0)),"")</f>
        <v/>
      </c>
      <c r="F563">
        <f>IFERROR(INDEX($S$4:$S$3183,MATCH(SMALL($V$4:$V$3183,560),$V$4:$V$3183,0)),"")</f>
        <v/>
      </c>
      <c r="I563" s="29">
        <f>IF($B563="","",IFERROR(INDEX($U$4:$U$3183,MATCH(SMALL($V$4:$V$3183,560),$V$4:$V$3183,0)),""))</f>
        <v/>
      </c>
      <c r="J563">
        <f>IF($B563="","",IF($D563&gt;$F$2,"À venir",IF($E563&lt;$D$2,"Passé","Dans la période")))</f>
        <v/>
      </c>
      <c r="K563">
        <f>IF(OR($B563="",NOT(ISNUMBER($D563))),"",IF(AND($E563&lt;$D$2,$G563&lt;&gt;"X",$F563&lt;&gt;"Réalisé",$F563&lt;&gt;"Clôturé"),"RETARD",""))</f>
        <v/>
      </c>
      <c r="L563">
        <f>IF(OR($B563="",NOT(ISNUMBER($D563))),"",IF(AND($D563&gt;=$D$2,$D563&lt;=$H$2,$G563&lt;&gt;"X",$F563&lt;&gt;"Réalisé",$F563&lt;&gt;"Clôturé"),"≤ 7 j",""))</f>
        <v/>
      </c>
      <c r="M563" s="29">
        <f>IF($B563="","",IFERROR(INDEX($T$4:$T$3183,MATCH(SMALL($V$4:$V$3183,560),$V$4:$V$3183,0)),""))</f>
        <v/>
      </c>
      <c r="O563">
        <f>IF(INDEX(Suivi!$B:$B,574)="","",INDEX(Suivi!$B:$B,574))</f>
        <v/>
      </c>
      <c r="P563">
        <f>IF($O563="","",IF(INDEX(Suivi!$D:$D,574)="",INDEX(Suivi!$C:$C,574),INDEX(Suivi!$D:$D,574)))</f>
        <v/>
      </c>
      <c r="Q563">
        <f>IF($O563="","",INDEX(Suivi!$E:$E,574))</f>
        <v/>
      </c>
      <c r="R563">
        <f>IF($O563="","",INDEX(Suivi!$F:$F,574))</f>
        <v/>
      </c>
      <c r="S563">
        <f>IF($O563="","",INDEX(Suivi!$G:$G,574))</f>
        <v/>
      </c>
      <c r="T563">
        <f>IF($O563="","",IF(INDEX(Dossiers!$F$4:$F$63,11)="","",INDEX(Dossiers!$F$4:$F$63,11)))</f>
        <v/>
      </c>
      <c r="U563">
        <f>IF($O563="","",IF(INDEX(Dossiers!$G$4:$G$63,11)="","",INDEX(Dossiers!$G$4:$G$63,11)))</f>
        <v/>
      </c>
      <c r="V563">
        <f>IF(OR($O563="",NOT(ISNUMBER($Q563))),"",$Q563*1000000+563)</f>
        <v/>
      </c>
      <c r="W563" s="29">
        <f>IF($B563="","",IFERROR(INDEX($U$4:$U$3183,MATCH(SMALL($V$4:$V$3183,560),$V$4:$V$3183,0)),""))</f>
        <v/>
      </c>
    </row>
    <row r="564">
      <c r="A564">
        <f>IFERROR(INDEX($N$4:$N$3183,MATCH(SMALL($V$4:$V$3183,561),$V$4:$V$3183,0)),"")</f>
        <v/>
      </c>
      <c r="B564">
        <f>IFERROR(INDEX($O$4:$O$3183,MATCH(SMALL($V$4:$V$3183,561),$V$4:$V$3183,0)),"")</f>
        <v/>
      </c>
      <c r="C564">
        <f>IFERROR(INDEX($P$4:$P$3183,MATCH(SMALL($V$4:$V$3183,561),$V$4:$V$3183,0)),"")</f>
        <v/>
      </c>
      <c r="D564" s="29">
        <f>IFERROR(INDEX($Q$4:$Q$3183,MATCH(SMALL($V$4:$V$3183,561),$V$4:$V$3183,0)),"")</f>
        <v/>
      </c>
      <c r="E564" s="29">
        <f>IFERROR(INDEX($R$4:$R$3183,MATCH(SMALL($V$4:$V$3183,561),$V$4:$V$3183,0)),"")</f>
        <v/>
      </c>
      <c r="F564">
        <f>IFERROR(INDEX($S$4:$S$3183,MATCH(SMALL($V$4:$V$3183,561),$V$4:$V$3183,0)),"")</f>
        <v/>
      </c>
      <c r="I564" s="29">
        <f>IF($B564="","",IFERROR(INDEX($U$4:$U$3183,MATCH(SMALL($V$4:$V$3183,561),$V$4:$V$3183,0)),""))</f>
        <v/>
      </c>
      <c r="J564">
        <f>IF($B564="","",IF($D564&gt;$F$2,"À venir",IF($E564&lt;$D$2,"Passé","Dans la période")))</f>
        <v/>
      </c>
      <c r="K564">
        <f>IF(OR($B564="",NOT(ISNUMBER($D564))),"",IF(AND($E564&lt;$D$2,$G564&lt;&gt;"X",$F564&lt;&gt;"Réalisé",$F564&lt;&gt;"Clôturé"),"RETARD",""))</f>
        <v/>
      </c>
      <c r="L564">
        <f>IF(OR($B564="",NOT(ISNUMBER($D564))),"",IF(AND($D564&gt;=$D$2,$D564&lt;=$H$2,$G564&lt;&gt;"X",$F564&lt;&gt;"Réalisé",$F564&lt;&gt;"Clôturé"),"≤ 7 j",""))</f>
        <v/>
      </c>
      <c r="M564" s="29">
        <f>IF($B564="","",IFERROR(INDEX($T$4:$T$3183,MATCH(SMALL($V$4:$V$3183,561),$V$4:$V$3183,0)),""))</f>
        <v/>
      </c>
      <c r="O564">
        <f>IF(INDEX(Suivi!$B:$B,575)="","",INDEX(Suivi!$B:$B,575))</f>
        <v/>
      </c>
      <c r="P564">
        <f>IF($O564="","",IF(INDEX(Suivi!$D:$D,575)="",INDEX(Suivi!$C:$C,575),INDEX(Suivi!$D:$D,575)))</f>
        <v/>
      </c>
      <c r="Q564">
        <f>IF($O564="","",INDEX(Suivi!$E:$E,575))</f>
        <v/>
      </c>
      <c r="R564">
        <f>IF($O564="","",INDEX(Suivi!$F:$F,575))</f>
        <v/>
      </c>
      <c r="S564">
        <f>IF($O564="","",INDEX(Suivi!$G:$G,575))</f>
        <v/>
      </c>
      <c r="T564">
        <f>IF($O564="","",IF(INDEX(Dossiers!$F$4:$F$63,11)="","",INDEX(Dossiers!$F$4:$F$63,11)))</f>
        <v/>
      </c>
      <c r="U564">
        <f>IF($O564="","",IF(INDEX(Dossiers!$G$4:$G$63,11)="","",INDEX(Dossiers!$G$4:$G$63,11)))</f>
        <v/>
      </c>
      <c r="V564">
        <f>IF(OR($O564="",NOT(ISNUMBER($Q564))),"",$Q564*1000000+564)</f>
        <v/>
      </c>
      <c r="W564" s="29">
        <f>IF($B564="","",IFERROR(INDEX($U$4:$U$3183,MATCH(SMALL($V$4:$V$3183,561),$V$4:$V$3183,0)),""))</f>
        <v/>
      </c>
    </row>
    <row r="565">
      <c r="A565">
        <f>IFERROR(INDEX($N$4:$N$3183,MATCH(SMALL($V$4:$V$3183,562),$V$4:$V$3183,0)),"")</f>
        <v/>
      </c>
      <c r="B565">
        <f>IFERROR(INDEX($O$4:$O$3183,MATCH(SMALL($V$4:$V$3183,562),$V$4:$V$3183,0)),"")</f>
        <v/>
      </c>
      <c r="C565">
        <f>IFERROR(INDEX($P$4:$P$3183,MATCH(SMALL($V$4:$V$3183,562),$V$4:$V$3183,0)),"")</f>
        <v/>
      </c>
      <c r="D565" s="29">
        <f>IFERROR(INDEX($Q$4:$Q$3183,MATCH(SMALL($V$4:$V$3183,562),$V$4:$V$3183,0)),"")</f>
        <v/>
      </c>
      <c r="E565" s="29">
        <f>IFERROR(INDEX($R$4:$R$3183,MATCH(SMALL($V$4:$V$3183,562),$V$4:$V$3183,0)),"")</f>
        <v/>
      </c>
      <c r="F565">
        <f>IFERROR(INDEX($S$4:$S$3183,MATCH(SMALL($V$4:$V$3183,562),$V$4:$V$3183,0)),"")</f>
        <v/>
      </c>
      <c r="I565" s="29">
        <f>IF($B565="","",IFERROR(INDEX($U$4:$U$3183,MATCH(SMALL($V$4:$V$3183,562),$V$4:$V$3183,0)),""))</f>
        <v/>
      </c>
      <c r="J565">
        <f>IF($B565="","",IF($D565&gt;$F$2,"À venir",IF($E565&lt;$D$2,"Passé","Dans la période")))</f>
        <v/>
      </c>
      <c r="K565">
        <f>IF(OR($B565="",NOT(ISNUMBER($D565))),"",IF(AND($E565&lt;$D$2,$G565&lt;&gt;"X",$F565&lt;&gt;"Réalisé",$F565&lt;&gt;"Clôturé"),"RETARD",""))</f>
        <v/>
      </c>
      <c r="L565">
        <f>IF(OR($B565="",NOT(ISNUMBER($D565))),"",IF(AND($D565&gt;=$D$2,$D565&lt;=$H$2,$G565&lt;&gt;"X",$F565&lt;&gt;"Réalisé",$F565&lt;&gt;"Clôturé"),"≤ 7 j",""))</f>
        <v/>
      </c>
      <c r="M565" s="29">
        <f>IF($B565="","",IFERROR(INDEX($T$4:$T$3183,MATCH(SMALL($V$4:$V$3183,562),$V$4:$V$3183,0)),""))</f>
        <v/>
      </c>
      <c r="O565">
        <f>IF(INDEX(Suivi!$B:$B,576)="","",INDEX(Suivi!$B:$B,576))</f>
        <v/>
      </c>
      <c r="P565">
        <f>IF($O565="","",IF(INDEX(Suivi!$D:$D,576)="",INDEX(Suivi!$C:$C,576),INDEX(Suivi!$D:$D,576)))</f>
        <v/>
      </c>
      <c r="Q565">
        <f>IF($O565="","",INDEX(Suivi!$E:$E,576))</f>
        <v/>
      </c>
      <c r="R565">
        <f>IF($O565="","",INDEX(Suivi!$F:$F,576))</f>
        <v/>
      </c>
      <c r="S565">
        <f>IF($O565="","",INDEX(Suivi!$G:$G,576))</f>
        <v/>
      </c>
      <c r="T565">
        <f>IF($O565="","",IF(INDEX(Dossiers!$F$4:$F$63,11)="","",INDEX(Dossiers!$F$4:$F$63,11)))</f>
        <v/>
      </c>
      <c r="U565">
        <f>IF($O565="","",IF(INDEX(Dossiers!$G$4:$G$63,11)="","",INDEX(Dossiers!$G$4:$G$63,11)))</f>
        <v/>
      </c>
      <c r="V565">
        <f>IF(OR($O565="",NOT(ISNUMBER($Q565))),"",$Q565*1000000+565)</f>
        <v/>
      </c>
      <c r="W565" s="29">
        <f>IF($B565="","",IFERROR(INDEX($U$4:$U$3183,MATCH(SMALL($V$4:$V$3183,562),$V$4:$V$3183,0)),""))</f>
        <v/>
      </c>
    </row>
    <row r="566">
      <c r="A566">
        <f>IFERROR(INDEX($N$4:$N$3183,MATCH(SMALL($V$4:$V$3183,563),$V$4:$V$3183,0)),"")</f>
        <v/>
      </c>
      <c r="B566">
        <f>IFERROR(INDEX($O$4:$O$3183,MATCH(SMALL($V$4:$V$3183,563),$V$4:$V$3183,0)),"")</f>
        <v/>
      </c>
      <c r="C566">
        <f>IFERROR(INDEX($P$4:$P$3183,MATCH(SMALL($V$4:$V$3183,563),$V$4:$V$3183,0)),"")</f>
        <v/>
      </c>
      <c r="D566" s="29">
        <f>IFERROR(INDEX($Q$4:$Q$3183,MATCH(SMALL($V$4:$V$3183,563),$V$4:$V$3183,0)),"")</f>
        <v/>
      </c>
      <c r="E566" s="29">
        <f>IFERROR(INDEX($R$4:$R$3183,MATCH(SMALL($V$4:$V$3183,563),$V$4:$V$3183,0)),"")</f>
        <v/>
      </c>
      <c r="F566">
        <f>IFERROR(INDEX($S$4:$S$3183,MATCH(SMALL($V$4:$V$3183,563),$V$4:$V$3183,0)),"")</f>
        <v/>
      </c>
      <c r="I566" s="29">
        <f>IF($B566="","",IFERROR(INDEX($U$4:$U$3183,MATCH(SMALL($V$4:$V$3183,563),$V$4:$V$3183,0)),""))</f>
        <v/>
      </c>
      <c r="J566">
        <f>IF($B566="","",IF($D566&gt;$F$2,"À venir",IF($E566&lt;$D$2,"Passé","Dans la période")))</f>
        <v/>
      </c>
      <c r="K566">
        <f>IF(OR($B566="",NOT(ISNUMBER($D566))),"",IF(AND($E566&lt;$D$2,$G566&lt;&gt;"X",$F566&lt;&gt;"Réalisé",$F566&lt;&gt;"Clôturé"),"RETARD",""))</f>
        <v/>
      </c>
      <c r="L566">
        <f>IF(OR($B566="",NOT(ISNUMBER($D566))),"",IF(AND($D566&gt;=$D$2,$D566&lt;=$H$2,$G566&lt;&gt;"X",$F566&lt;&gt;"Réalisé",$F566&lt;&gt;"Clôturé"),"≤ 7 j",""))</f>
        <v/>
      </c>
      <c r="M566" s="29">
        <f>IF($B566="","",IFERROR(INDEX($T$4:$T$3183,MATCH(SMALL($V$4:$V$3183,563),$V$4:$V$3183,0)),""))</f>
        <v/>
      </c>
      <c r="O566">
        <f>IF(INDEX(Suivi!$B:$B,577)="","",INDEX(Suivi!$B:$B,577))</f>
        <v/>
      </c>
      <c r="P566">
        <f>IF($O566="","",IF(INDEX(Suivi!$D:$D,577)="",INDEX(Suivi!$C:$C,577),INDEX(Suivi!$D:$D,577)))</f>
        <v/>
      </c>
      <c r="Q566">
        <f>IF($O566="","",INDEX(Suivi!$E:$E,577))</f>
        <v/>
      </c>
      <c r="R566">
        <f>IF($O566="","",INDEX(Suivi!$F:$F,577))</f>
        <v/>
      </c>
      <c r="S566">
        <f>IF($O566="","",INDEX(Suivi!$G:$G,577))</f>
        <v/>
      </c>
      <c r="T566">
        <f>IF($O566="","",IF(INDEX(Dossiers!$F$4:$F$63,11)="","",INDEX(Dossiers!$F$4:$F$63,11)))</f>
        <v/>
      </c>
      <c r="U566">
        <f>IF($O566="","",IF(INDEX(Dossiers!$G$4:$G$63,11)="","",INDEX(Dossiers!$G$4:$G$63,11)))</f>
        <v/>
      </c>
      <c r="V566">
        <f>IF(OR($O566="",NOT(ISNUMBER($Q566))),"",$Q566*1000000+566)</f>
        <v/>
      </c>
      <c r="W566" s="29">
        <f>IF($B566="","",IFERROR(INDEX($U$4:$U$3183,MATCH(SMALL($V$4:$V$3183,563),$V$4:$V$3183,0)),""))</f>
        <v/>
      </c>
    </row>
    <row r="567">
      <c r="A567">
        <f>IFERROR(INDEX($N$4:$N$3183,MATCH(SMALL($V$4:$V$3183,564),$V$4:$V$3183,0)),"")</f>
        <v/>
      </c>
      <c r="B567">
        <f>IFERROR(INDEX($O$4:$O$3183,MATCH(SMALL($V$4:$V$3183,564),$V$4:$V$3183,0)),"")</f>
        <v/>
      </c>
      <c r="C567">
        <f>IFERROR(INDEX($P$4:$P$3183,MATCH(SMALL($V$4:$V$3183,564),$V$4:$V$3183,0)),"")</f>
        <v/>
      </c>
      <c r="D567" s="29">
        <f>IFERROR(INDEX($Q$4:$Q$3183,MATCH(SMALL($V$4:$V$3183,564),$V$4:$V$3183,0)),"")</f>
        <v/>
      </c>
      <c r="E567" s="29">
        <f>IFERROR(INDEX($R$4:$R$3183,MATCH(SMALL($V$4:$V$3183,564),$V$4:$V$3183,0)),"")</f>
        <v/>
      </c>
      <c r="F567">
        <f>IFERROR(INDEX($S$4:$S$3183,MATCH(SMALL($V$4:$V$3183,564),$V$4:$V$3183,0)),"")</f>
        <v/>
      </c>
      <c r="I567" s="29">
        <f>IF($B567="","",IFERROR(INDEX($U$4:$U$3183,MATCH(SMALL($V$4:$V$3183,564),$V$4:$V$3183,0)),""))</f>
        <v/>
      </c>
      <c r="J567">
        <f>IF($B567="","",IF($D567&gt;$F$2,"À venir",IF($E567&lt;$D$2,"Passé","Dans la période")))</f>
        <v/>
      </c>
      <c r="K567">
        <f>IF(OR($B567="",NOT(ISNUMBER($D567))),"",IF(AND($E567&lt;$D$2,$G567&lt;&gt;"X",$F567&lt;&gt;"Réalisé",$F567&lt;&gt;"Clôturé"),"RETARD",""))</f>
        <v/>
      </c>
      <c r="L567">
        <f>IF(OR($B567="",NOT(ISNUMBER($D567))),"",IF(AND($D567&gt;=$D$2,$D567&lt;=$H$2,$G567&lt;&gt;"X",$F567&lt;&gt;"Réalisé",$F567&lt;&gt;"Clôturé"),"≤ 7 j",""))</f>
        <v/>
      </c>
      <c r="M567" s="29">
        <f>IF($B567="","",IFERROR(INDEX($T$4:$T$3183,MATCH(SMALL($V$4:$V$3183,564),$V$4:$V$3183,0)),""))</f>
        <v/>
      </c>
      <c r="O567">
        <f>IF(INDEX(Suivi!$B:$B,578)="","",INDEX(Suivi!$B:$B,578))</f>
        <v/>
      </c>
      <c r="P567">
        <f>IF($O567="","",IF(INDEX(Suivi!$D:$D,578)="",INDEX(Suivi!$C:$C,578),INDEX(Suivi!$D:$D,578)))</f>
        <v/>
      </c>
      <c r="Q567">
        <f>IF($O567="","",INDEX(Suivi!$E:$E,578))</f>
        <v/>
      </c>
      <c r="R567">
        <f>IF($O567="","",INDEX(Suivi!$F:$F,578))</f>
        <v/>
      </c>
      <c r="S567">
        <f>IF($O567="","",INDEX(Suivi!$G:$G,578))</f>
        <v/>
      </c>
      <c r="T567">
        <f>IF($O567="","",IF(INDEX(Dossiers!$F$4:$F$63,11)="","",INDEX(Dossiers!$F$4:$F$63,11)))</f>
        <v/>
      </c>
      <c r="U567">
        <f>IF($O567="","",IF(INDEX(Dossiers!$G$4:$G$63,11)="","",INDEX(Dossiers!$G$4:$G$63,11)))</f>
        <v/>
      </c>
      <c r="V567">
        <f>IF(OR($O567="",NOT(ISNUMBER($Q567))),"",$Q567*1000000+567)</f>
        <v/>
      </c>
      <c r="W567" s="29">
        <f>IF($B567="","",IFERROR(INDEX($U$4:$U$3183,MATCH(SMALL($V$4:$V$3183,564),$V$4:$V$3183,0)),""))</f>
        <v/>
      </c>
    </row>
    <row r="568">
      <c r="A568">
        <f>IFERROR(INDEX($N$4:$N$3183,MATCH(SMALL($V$4:$V$3183,565),$V$4:$V$3183,0)),"")</f>
        <v/>
      </c>
      <c r="B568">
        <f>IFERROR(INDEX($O$4:$O$3183,MATCH(SMALL($V$4:$V$3183,565),$V$4:$V$3183,0)),"")</f>
        <v/>
      </c>
      <c r="C568">
        <f>IFERROR(INDEX($P$4:$P$3183,MATCH(SMALL($V$4:$V$3183,565),$V$4:$V$3183,0)),"")</f>
        <v/>
      </c>
      <c r="D568" s="29">
        <f>IFERROR(INDEX($Q$4:$Q$3183,MATCH(SMALL($V$4:$V$3183,565),$V$4:$V$3183,0)),"")</f>
        <v/>
      </c>
      <c r="E568" s="29">
        <f>IFERROR(INDEX($R$4:$R$3183,MATCH(SMALL($V$4:$V$3183,565),$V$4:$V$3183,0)),"")</f>
        <v/>
      </c>
      <c r="F568">
        <f>IFERROR(INDEX($S$4:$S$3183,MATCH(SMALL($V$4:$V$3183,565),$V$4:$V$3183,0)),"")</f>
        <v/>
      </c>
      <c r="I568" s="29">
        <f>IF($B568="","",IFERROR(INDEX($U$4:$U$3183,MATCH(SMALL($V$4:$V$3183,565),$V$4:$V$3183,0)),""))</f>
        <v/>
      </c>
      <c r="J568">
        <f>IF($B568="","",IF($D568&gt;$F$2,"À venir",IF($E568&lt;$D$2,"Passé","Dans la période")))</f>
        <v/>
      </c>
      <c r="K568">
        <f>IF(OR($B568="",NOT(ISNUMBER($D568))),"",IF(AND($E568&lt;$D$2,$G568&lt;&gt;"X",$F568&lt;&gt;"Réalisé",$F568&lt;&gt;"Clôturé"),"RETARD",""))</f>
        <v/>
      </c>
      <c r="L568">
        <f>IF(OR($B568="",NOT(ISNUMBER($D568))),"",IF(AND($D568&gt;=$D$2,$D568&lt;=$H$2,$G568&lt;&gt;"X",$F568&lt;&gt;"Réalisé",$F568&lt;&gt;"Clôturé"),"≤ 7 j",""))</f>
        <v/>
      </c>
      <c r="M568" s="29">
        <f>IF($B568="","",IFERROR(INDEX($T$4:$T$3183,MATCH(SMALL($V$4:$V$3183,565),$V$4:$V$3183,0)),""))</f>
        <v/>
      </c>
      <c r="O568">
        <f>IF(INDEX(Suivi!$B:$B,579)="","",INDEX(Suivi!$B:$B,579))</f>
        <v/>
      </c>
      <c r="P568">
        <f>IF($O568="","",IF(INDEX(Suivi!$D:$D,579)="",INDEX(Suivi!$C:$C,579),INDEX(Suivi!$D:$D,579)))</f>
        <v/>
      </c>
      <c r="Q568">
        <f>IF($O568="","",INDEX(Suivi!$E:$E,579))</f>
        <v/>
      </c>
      <c r="R568">
        <f>IF($O568="","",INDEX(Suivi!$F:$F,579))</f>
        <v/>
      </c>
      <c r="S568">
        <f>IF($O568="","",INDEX(Suivi!$G:$G,579))</f>
        <v/>
      </c>
      <c r="T568">
        <f>IF($O568="","",IF(INDEX(Dossiers!$F$4:$F$63,11)="","",INDEX(Dossiers!$F$4:$F$63,11)))</f>
        <v/>
      </c>
      <c r="U568">
        <f>IF($O568="","",IF(INDEX(Dossiers!$G$4:$G$63,11)="","",INDEX(Dossiers!$G$4:$G$63,11)))</f>
        <v/>
      </c>
      <c r="V568">
        <f>IF(OR($O568="",NOT(ISNUMBER($Q568))),"",$Q568*1000000+568)</f>
        <v/>
      </c>
      <c r="W568" s="29">
        <f>IF($B568="","",IFERROR(INDEX($U$4:$U$3183,MATCH(SMALL($V$4:$V$3183,565),$V$4:$V$3183,0)),""))</f>
        <v/>
      </c>
    </row>
    <row r="569">
      <c r="A569">
        <f>IFERROR(INDEX($N$4:$N$3183,MATCH(SMALL($V$4:$V$3183,566),$V$4:$V$3183,0)),"")</f>
        <v/>
      </c>
      <c r="B569">
        <f>IFERROR(INDEX($O$4:$O$3183,MATCH(SMALL($V$4:$V$3183,566),$V$4:$V$3183,0)),"")</f>
        <v/>
      </c>
      <c r="C569">
        <f>IFERROR(INDEX($P$4:$P$3183,MATCH(SMALL($V$4:$V$3183,566),$V$4:$V$3183,0)),"")</f>
        <v/>
      </c>
      <c r="D569" s="29">
        <f>IFERROR(INDEX($Q$4:$Q$3183,MATCH(SMALL($V$4:$V$3183,566),$V$4:$V$3183,0)),"")</f>
        <v/>
      </c>
      <c r="E569" s="29">
        <f>IFERROR(INDEX($R$4:$R$3183,MATCH(SMALL($V$4:$V$3183,566),$V$4:$V$3183,0)),"")</f>
        <v/>
      </c>
      <c r="F569">
        <f>IFERROR(INDEX($S$4:$S$3183,MATCH(SMALL($V$4:$V$3183,566),$V$4:$V$3183,0)),"")</f>
        <v/>
      </c>
      <c r="I569" s="29">
        <f>IF($B569="","",IFERROR(INDEX($U$4:$U$3183,MATCH(SMALL($V$4:$V$3183,566),$V$4:$V$3183,0)),""))</f>
        <v/>
      </c>
      <c r="J569">
        <f>IF($B569="","",IF($D569&gt;$F$2,"À venir",IF($E569&lt;$D$2,"Passé","Dans la période")))</f>
        <v/>
      </c>
      <c r="K569">
        <f>IF(OR($B569="",NOT(ISNUMBER($D569))),"",IF(AND($E569&lt;$D$2,$G569&lt;&gt;"X",$F569&lt;&gt;"Réalisé",$F569&lt;&gt;"Clôturé"),"RETARD",""))</f>
        <v/>
      </c>
      <c r="L569">
        <f>IF(OR($B569="",NOT(ISNUMBER($D569))),"",IF(AND($D569&gt;=$D$2,$D569&lt;=$H$2,$G569&lt;&gt;"X",$F569&lt;&gt;"Réalisé",$F569&lt;&gt;"Clôturé"),"≤ 7 j",""))</f>
        <v/>
      </c>
      <c r="M569" s="29">
        <f>IF($B569="","",IFERROR(INDEX($T$4:$T$3183,MATCH(SMALL($V$4:$V$3183,566),$V$4:$V$3183,0)),""))</f>
        <v/>
      </c>
      <c r="O569">
        <f>IF(INDEX(Suivi!$B:$B,580)="","",INDEX(Suivi!$B:$B,580))</f>
        <v/>
      </c>
      <c r="P569">
        <f>IF($O569="","",IF(INDEX(Suivi!$D:$D,580)="",INDEX(Suivi!$C:$C,580),INDEX(Suivi!$D:$D,580)))</f>
        <v/>
      </c>
      <c r="Q569">
        <f>IF($O569="","",INDEX(Suivi!$E:$E,580))</f>
        <v/>
      </c>
      <c r="R569">
        <f>IF($O569="","",INDEX(Suivi!$F:$F,580))</f>
        <v/>
      </c>
      <c r="S569">
        <f>IF($O569="","",INDEX(Suivi!$G:$G,580))</f>
        <v/>
      </c>
      <c r="T569">
        <f>IF($O569="","",IF(INDEX(Dossiers!$F$4:$F$63,11)="","",INDEX(Dossiers!$F$4:$F$63,11)))</f>
        <v/>
      </c>
      <c r="U569">
        <f>IF($O569="","",IF(INDEX(Dossiers!$G$4:$G$63,11)="","",INDEX(Dossiers!$G$4:$G$63,11)))</f>
        <v/>
      </c>
      <c r="V569">
        <f>IF(OR($O569="",NOT(ISNUMBER($Q569))),"",$Q569*1000000+569)</f>
        <v/>
      </c>
      <c r="W569" s="29">
        <f>IF($B569="","",IFERROR(INDEX($U$4:$U$3183,MATCH(SMALL($V$4:$V$3183,566),$V$4:$V$3183,0)),""))</f>
        <v/>
      </c>
    </row>
    <row r="570">
      <c r="A570">
        <f>IFERROR(INDEX($N$4:$N$3183,MATCH(SMALL($V$4:$V$3183,567),$V$4:$V$3183,0)),"")</f>
        <v/>
      </c>
      <c r="B570">
        <f>IFERROR(INDEX($O$4:$O$3183,MATCH(SMALL($V$4:$V$3183,567),$V$4:$V$3183,0)),"")</f>
        <v/>
      </c>
      <c r="C570">
        <f>IFERROR(INDEX($P$4:$P$3183,MATCH(SMALL($V$4:$V$3183,567),$V$4:$V$3183,0)),"")</f>
        <v/>
      </c>
      <c r="D570" s="29">
        <f>IFERROR(INDEX($Q$4:$Q$3183,MATCH(SMALL($V$4:$V$3183,567),$V$4:$V$3183,0)),"")</f>
        <v/>
      </c>
      <c r="E570" s="29">
        <f>IFERROR(INDEX($R$4:$R$3183,MATCH(SMALL($V$4:$V$3183,567),$V$4:$V$3183,0)),"")</f>
        <v/>
      </c>
      <c r="F570">
        <f>IFERROR(INDEX($S$4:$S$3183,MATCH(SMALL($V$4:$V$3183,567),$V$4:$V$3183,0)),"")</f>
        <v/>
      </c>
      <c r="I570" s="29">
        <f>IF($B570="","",IFERROR(INDEX($U$4:$U$3183,MATCH(SMALL($V$4:$V$3183,567),$V$4:$V$3183,0)),""))</f>
        <v/>
      </c>
      <c r="J570">
        <f>IF($B570="","",IF($D570&gt;$F$2,"À venir",IF($E570&lt;$D$2,"Passé","Dans la période")))</f>
        <v/>
      </c>
      <c r="K570">
        <f>IF(OR($B570="",NOT(ISNUMBER($D570))),"",IF(AND($E570&lt;$D$2,$G570&lt;&gt;"X",$F570&lt;&gt;"Réalisé",$F570&lt;&gt;"Clôturé"),"RETARD",""))</f>
        <v/>
      </c>
      <c r="L570">
        <f>IF(OR($B570="",NOT(ISNUMBER($D570))),"",IF(AND($D570&gt;=$D$2,$D570&lt;=$H$2,$G570&lt;&gt;"X",$F570&lt;&gt;"Réalisé",$F570&lt;&gt;"Clôturé"),"≤ 7 j",""))</f>
        <v/>
      </c>
      <c r="M570" s="29">
        <f>IF($B570="","",IFERROR(INDEX($T$4:$T$3183,MATCH(SMALL($V$4:$V$3183,567),$V$4:$V$3183,0)),""))</f>
        <v/>
      </c>
      <c r="O570">
        <f>IF(INDEX(Suivi!$B:$B,581)="","",INDEX(Suivi!$B:$B,581))</f>
        <v/>
      </c>
      <c r="P570">
        <f>IF($O570="","",IF(INDEX(Suivi!$D:$D,581)="",INDEX(Suivi!$C:$C,581),INDEX(Suivi!$D:$D,581)))</f>
        <v/>
      </c>
      <c r="Q570">
        <f>IF($O570="","",INDEX(Suivi!$E:$E,581))</f>
        <v/>
      </c>
      <c r="R570">
        <f>IF($O570="","",INDEX(Suivi!$F:$F,581))</f>
        <v/>
      </c>
      <c r="S570">
        <f>IF($O570="","",INDEX(Suivi!$G:$G,581))</f>
        <v/>
      </c>
      <c r="T570">
        <f>IF($O570="","",IF(INDEX(Dossiers!$F$4:$F$63,11)="","",INDEX(Dossiers!$F$4:$F$63,11)))</f>
        <v/>
      </c>
      <c r="U570">
        <f>IF($O570="","",IF(INDEX(Dossiers!$G$4:$G$63,11)="","",INDEX(Dossiers!$G$4:$G$63,11)))</f>
        <v/>
      </c>
      <c r="V570">
        <f>IF(OR($O570="",NOT(ISNUMBER($Q570))),"",$Q570*1000000+570)</f>
        <v/>
      </c>
      <c r="W570" s="29">
        <f>IF($B570="","",IFERROR(INDEX($U$4:$U$3183,MATCH(SMALL($V$4:$V$3183,567),$V$4:$V$3183,0)),""))</f>
        <v/>
      </c>
    </row>
    <row r="571">
      <c r="A571">
        <f>IFERROR(INDEX($N$4:$N$3183,MATCH(SMALL($V$4:$V$3183,568),$V$4:$V$3183,0)),"")</f>
        <v/>
      </c>
      <c r="B571">
        <f>IFERROR(INDEX($O$4:$O$3183,MATCH(SMALL($V$4:$V$3183,568),$V$4:$V$3183,0)),"")</f>
        <v/>
      </c>
      <c r="C571">
        <f>IFERROR(INDEX($P$4:$P$3183,MATCH(SMALL($V$4:$V$3183,568),$V$4:$V$3183,0)),"")</f>
        <v/>
      </c>
      <c r="D571" s="29">
        <f>IFERROR(INDEX($Q$4:$Q$3183,MATCH(SMALL($V$4:$V$3183,568),$V$4:$V$3183,0)),"")</f>
        <v/>
      </c>
      <c r="E571" s="29">
        <f>IFERROR(INDEX($R$4:$R$3183,MATCH(SMALL($V$4:$V$3183,568),$V$4:$V$3183,0)),"")</f>
        <v/>
      </c>
      <c r="F571">
        <f>IFERROR(INDEX($S$4:$S$3183,MATCH(SMALL($V$4:$V$3183,568),$V$4:$V$3183,0)),"")</f>
        <v/>
      </c>
      <c r="I571" s="29">
        <f>IF($B571="","",IFERROR(INDEX($U$4:$U$3183,MATCH(SMALL($V$4:$V$3183,568),$V$4:$V$3183,0)),""))</f>
        <v/>
      </c>
      <c r="J571">
        <f>IF($B571="","",IF($D571&gt;$F$2,"À venir",IF($E571&lt;$D$2,"Passé","Dans la période")))</f>
        <v/>
      </c>
      <c r="K571">
        <f>IF(OR($B571="",NOT(ISNUMBER($D571))),"",IF(AND($E571&lt;$D$2,$G571&lt;&gt;"X",$F571&lt;&gt;"Réalisé",$F571&lt;&gt;"Clôturé"),"RETARD",""))</f>
        <v/>
      </c>
      <c r="L571">
        <f>IF(OR($B571="",NOT(ISNUMBER($D571))),"",IF(AND($D571&gt;=$D$2,$D571&lt;=$H$2,$G571&lt;&gt;"X",$F571&lt;&gt;"Réalisé",$F571&lt;&gt;"Clôturé"),"≤ 7 j",""))</f>
        <v/>
      </c>
      <c r="M571" s="29">
        <f>IF($B571="","",IFERROR(INDEX($T$4:$T$3183,MATCH(SMALL($V$4:$V$3183,568),$V$4:$V$3183,0)),""))</f>
        <v/>
      </c>
      <c r="O571">
        <f>IF(INDEX(Suivi!$B:$B,582)="","",INDEX(Suivi!$B:$B,582))</f>
        <v/>
      </c>
      <c r="P571">
        <f>IF($O571="","",IF(INDEX(Suivi!$D:$D,582)="",INDEX(Suivi!$C:$C,582),INDEX(Suivi!$D:$D,582)))</f>
        <v/>
      </c>
      <c r="Q571">
        <f>IF($O571="","",INDEX(Suivi!$E:$E,582))</f>
        <v/>
      </c>
      <c r="R571">
        <f>IF($O571="","",INDEX(Suivi!$F:$F,582))</f>
        <v/>
      </c>
      <c r="S571">
        <f>IF($O571="","",INDEX(Suivi!$G:$G,582))</f>
        <v/>
      </c>
      <c r="T571">
        <f>IF($O571="","",IF(INDEX(Dossiers!$F$4:$F$63,11)="","",INDEX(Dossiers!$F$4:$F$63,11)))</f>
        <v/>
      </c>
      <c r="U571">
        <f>IF($O571="","",IF(INDEX(Dossiers!$G$4:$G$63,11)="","",INDEX(Dossiers!$G$4:$G$63,11)))</f>
        <v/>
      </c>
      <c r="V571">
        <f>IF(OR($O571="",NOT(ISNUMBER($Q571))),"",$Q571*1000000+571)</f>
        <v/>
      </c>
      <c r="W571" s="29">
        <f>IF($B571="","",IFERROR(INDEX($U$4:$U$3183,MATCH(SMALL($V$4:$V$3183,568),$V$4:$V$3183,0)),""))</f>
        <v/>
      </c>
    </row>
    <row r="572">
      <c r="A572">
        <f>IFERROR(INDEX($N$4:$N$3183,MATCH(SMALL($V$4:$V$3183,569),$V$4:$V$3183,0)),"")</f>
        <v/>
      </c>
      <c r="B572">
        <f>IFERROR(INDEX($O$4:$O$3183,MATCH(SMALL($V$4:$V$3183,569),$V$4:$V$3183,0)),"")</f>
        <v/>
      </c>
      <c r="C572">
        <f>IFERROR(INDEX($P$4:$P$3183,MATCH(SMALL($V$4:$V$3183,569),$V$4:$V$3183,0)),"")</f>
        <v/>
      </c>
      <c r="D572" s="29">
        <f>IFERROR(INDEX($Q$4:$Q$3183,MATCH(SMALL($V$4:$V$3183,569),$V$4:$V$3183,0)),"")</f>
        <v/>
      </c>
      <c r="E572" s="29">
        <f>IFERROR(INDEX($R$4:$R$3183,MATCH(SMALL($V$4:$V$3183,569),$V$4:$V$3183,0)),"")</f>
        <v/>
      </c>
      <c r="F572">
        <f>IFERROR(INDEX($S$4:$S$3183,MATCH(SMALL($V$4:$V$3183,569),$V$4:$V$3183,0)),"")</f>
        <v/>
      </c>
      <c r="I572" s="29">
        <f>IF($B572="","",IFERROR(INDEX($U$4:$U$3183,MATCH(SMALL($V$4:$V$3183,569),$V$4:$V$3183,0)),""))</f>
        <v/>
      </c>
      <c r="J572">
        <f>IF($B572="","",IF($D572&gt;$F$2,"À venir",IF($E572&lt;$D$2,"Passé","Dans la période")))</f>
        <v/>
      </c>
      <c r="K572">
        <f>IF(OR($B572="",NOT(ISNUMBER($D572))),"",IF(AND($E572&lt;$D$2,$G572&lt;&gt;"X",$F572&lt;&gt;"Réalisé",$F572&lt;&gt;"Clôturé"),"RETARD",""))</f>
        <v/>
      </c>
      <c r="L572">
        <f>IF(OR($B572="",NOT(ISNUMBER($D572))),"",IF(AND($D572&gt;=$D$2,$D572&lt;=$H$2,$G572&lt;&gt;"X",$F572&lt;&gt;"Réalisé",$F572&lt;&gt;"Clôturé"),"≤ 7 j",""))</f>
        <v/>
      </c>
      <c r="M572" s="29">
        <f>IF($B572="","",IFERROR(INDEX($T$4:$T$3183,MATCH(SMALL($V$4:$V$3183,569),$V$4:$V$3183,0)),""))</f>
        <v/>
      </c>
      <c r="O572">
        <f>IF(INDEX(Suivi!$B:$B,583)="","",INDEX(Suivi!$B:$B,583))</f>
        <v/>
      </c>
      <c r="P572">
        <f>IF($O572="","",IF(INDEX(Suivi!$D:$D,583)="",INDEX(Suivi!$C:$C,583),INDEX(Suivi!$D:$D,583)))</f>
        <v/>
      </c>
      <c r="Q572">
        <f>IF($O572="","",INDEX(Suivi!$E:$E,583))</f>
        <v/>
      </c>
      <c r="R572">
        <f>IF($O572="","",INDEX(Suivi!$F:$F,583))</f>
        <v/>
      </c>
      <c r="S572">
        <f>IF($O572="","",INDEX(Suivi!$G:$G,583))</f>
        <v/>
      </c>
      <c r="T572">
        <f>IF($O572="","",IF(INDEX(Dossiers!$F$4:$F$63,11)="","",INDEX(Dossiers!$F$4:$F$63,11)))</f>
        <v/>
      </c>
      <c r="U572">
        <f>IF($O572="","",IF(INDEX(Dossiers!$G$4:$G$63,11)="","",INDEX(Dossiers!$G$4:$G$63,11)))</f>
        <v/>
      </c>
      <c r="V572">
        <f>IF(OR($O572="",NOT(ISNUMBER($Q572))),"",$Q572*1000000+572)</f>
        <v/>
      </c>
      <c r="W572" s="29">
        <f>IF($B572="","",IFERROR(INDEX($U$4:$U$3183,MATCH(SMALL($V$4:$V$3183,569),$V$4:$V$3183,0)),""))</f>
        <v/>
      </c>
    </row>
    <row r="573">
      <c r="A573">
        <f>IFERROR(INDEX($N$4:$N$3183,MATCH(SMALL($V$4:$V$3183,570),$V$4:$V$3183,0)),"")</f>
        <v/>
      </c>
      <c r="B573">
        <f>IFERROR(INDEX($O$4:$O$3183,MATCH(SMALL($V$4:$V$3183,570),$V$4:$V$3183,0)),"")</f>
        <v/>
      </c>
      <c r="C573">
        <f>IFERROR(INDEX($P$4:$P$3183,MATCH(SMALL($V$4:$V$3183,570),$V$4:$V$3183,0)),"")</f>
        <v/>
      </c>
      <c r="D573" s="29">
        <f>IFERROR(INDEX($Q$4:$Q$3183,MATCH(SMALL($V$4:$V$3183,570),$V$4:$V$3183,0)),"")</f>
        <v/>
      </c>
      <c r="E573" s="29">
        <f>IFERROR(INDEX($R$4:$R$3183,MATCH(SMALL($V$4:$V$3183,570),$V$4:$V$3183,0)),"")</f>
        <v/>
      </c>
      <c r="F573">
        <f>IFERROR(INDEX($S$4:$S$3183,MATCH(SMALL($V$4:$V$3183,570),$V$4:$V$3183,0)),"")</f>
        <v/>
      </c>
      <c r="I573" s="29">
        <f>IF($B573="","",IFERROR(INDEX($U$4:$U$3183,MATCH(SMALL($V$4:$V$3183,570),$V$4:$V$3183,0)),""))</f>
        <v/>
      </c>
      <c r="J573">
        <f>IF($B573="","",IF($D573&gt;$F$2,"À venir",IF($E573&lt;$D$2,"Passé","Dans la période")))</f>
        <v/>
      </c>
      <c r="K573">
        <f>IF(OR($B573="",NOT(ISNUMBER($D573))),"",IF(AND($E573&lt;$D$2,$G573&lt;&gt;"X",$F573&lt;&gt;"Réalisé",$F573&lt;&gt;"Clôturé"),"RETARD",""))</f>
        <v/>
      </c>
      <c r="L573">
        <f>IF(OR($B573="",NOT(ISNUMBER($D573))),"",IF(AND($D573&gt;=$D$2,$D573&lt;=$H$2,$G573&lt;&gt;"X",$F573&lt;&gt;"Réalisé",$F573&lt;&gt;"Clôturé"),"≤ 7 j",""))</f>
        <v/>
      </c>
      <c r="M573" s="29">
        <f>IF($B573="","",IFERROR(INDEX($T$4:$T$3183,MATCH(SMALL($V$4:$V$3183,570),$V$4:$V$3183,0)),""))</f>
        <v/>
      </c>
      <c r="O573">
        <f>IF(INDEX(Suivi!$B:$B,584)="","",INDEX(Suivi!$B:$B,584))</f>
        <v/>
      </c>
      <c r="P573">
        <f>IF($O573="","",IF(INDEX(Suivi!$D:$D,584)="",INDEX(Suivi!$C:$C,584),INDEX(Suivi!$D:$D,584)))</f>
        <v/>
      </c>
      <c r="Q573">
        <f>IF($O573="","",INDEX(Suivi!$E:$E,584))</f>
        <v/>
      </c>
      <c r="R573">
        <f>IF($O573="","",INDEX(Suivi!$F:$F,584))</f>
        <v/>
      </c>
      <c r="S573">
        <f>IF($O573="","",INDEX(Suivi!$G:$G,584))</f>
        <v/>
      </c>
      <c r="T573">
        <f>IF($O573="","",IF(INDEX(Dossiers!$F$4:$F$63,11)="","",INDEX(Dossiers!$F$4:$F$63,11)))</f>
        <v/>
      </c>
      <c r="U573">
        <f>IF($O573="","",IF(INDEX(Dossiers!$G$4:$G$63,11)="","",INDEX(Dossiers!$G$4:$G$63,11)))</f>
        <v/>
      </c>
      <c r="V573">
        <f>IF(OR($O573="",NOT(ISNUMBER($Q573))),"",$Q573*1000000+573)</f>
        <v/>
      </c>
      <c r="W573" s="29">
        <f>IF($B573="","",IFERROR(INDEX($U$4:$U$3183,MATCH(SMALL($V$4:$V$3183,570),$V$4:$V$3183,0)),""))</f>
        <v/>
      </c>
    </row>
    <row r="574">
      <c r="A574">
        <f>IFERROR(INDEX($N$4:$N$3183,MATCH(SMALL($V$4:$V$3183,571),$V$4:$V$3183,0)),"")</f>
        <v/>
      </c>
      <c r="B574">
        <f>IFERROR(INDEX($O$4:$O$3183,MATCH(SMALL($V$4:$V$3183,571),$V$4:$V$3183,0)),"")</f>
        <v/>
      </c>
      <c r="C574">
        <f>IFERROR(INDEX($P$4:$P$3183,MATCH(SMALL($V$4:$V$3183,571),$V$4:$V$3183,0)),"")</f>
        <v/>
      </c>
      <c r="D574" s="29">
        <f>IFERROR(INDEX($Q$4:$Q$3183,MATCH(SMALL($V$4:$V$3183,571),$V$4:$V$3183,0)),"")</f>
        <v/>
      </c>
      <c r="E574" s="29">
        <f>IFERROR(INDEX($R$4:$R$3183,MATCH(SMALL($V$4:$V$3183,571),$V$4:$V$3183,0)),"")</f>
        <v/>
      </c>
      <c r="F574">
        <f>IFERROR(INDEX($S$4:$S$3183,MATCH(SMALL($V$4:$V$3183,571),$V$4:$V$3183,0)),"")</f>
        <v/>
      </c>
      <c r="I574" s="29">
        <f>IF($B574="","",IFERROR(INDEX($U$4:$U$3183,MATCH(SMALL($V$4:$V$3183,571),$V$4:$V$3183,0)),""))</f>
        <v/>
      </c>
      <c r="J574">
        <f>IF($B574="","",IF($D574&gt;$F$2,"À venir",IF($E574&lt;$D$2,"Passé","Dans la période")))</f>
        <v/>
      </c>
      <c r="K574">
        <f>IF(OR($B574="",NOT(ISNUMBER($D574))),"",IF(AND($E574&lt;$D$2,$G574&lt;&gt;"X",$F574&lt;&gt;"Réalisé",$F574&lt;&gt;"Clôturé"),"RETARD",""))</f>
        <v/>
      </c>
      <c r="L574">
        <f>IF(OR($B574="",NOT(ISNUMBER($D574))),"",IF(AND($D574&gt;=$D$2,$D574&lt;=$H$2,$G574&lt;&gt;"X",$F574&lt;&gt;"Réalisé",$F574&lt;&gt;"Clôturé"),"≤ 7 j",""))</f>
        <v/>
      </c>
      <c r="M574" s="29">
        <f>IF($B574="","",IFERROR(INDEX($T$4:$T$3183,MATCH(SMALL($V$4:$V$3183,571),$V$4:$V$3183,0)),""))</f>
        <v/>
      </c>
      <c r="O574">
        <f>IF(INDEX(Suivi!$B:$B,585)="","",INDEX(Suivi!$B:$B,585))</f>
        <v/>
      </c>
      <c r="P574">
        <f>IF($O574="","",IF(INDEX(Suivi!$D:$D,585)="",INDEX(Suivi!$C:$C,585),INDEX(Suivi!$D:$D,585)))</f>
        <v/>
      </c>
      <c r="Q574">
        <f>IF($O574="","",INDEX(Suivi!$E:$E,585))</f>
        <v/>
      </c>
      <c r="R574">
        <f>IF($O574="","",INDEX(Suivi!$F:$F,585))</f>
        <v/>
      </c>
      <c r="S574">
        <f>IF($O574="","",INDEX(Suivi!$G:$G,585))</f>
        <v/>
      </c>
      <c r="T574">
        <f>IF($O574="","",IF(INDEX(Dossiers!$F$4:$F$63,11)="","",INDEX(Dossiers!$F$4:$F$63,11)))</f>
        <v/>
      </c>
      <c r="U574">
        <f>IF($O574="","",IF(INDEX(Dossiers!$G$4:$G$63,11)="","",INDEX(Dossiers!$G$4:$G$63,11)))</f>
        <v/>
      </c>
      <c r="V574">
        <f>IF(OR($O574="",NOT(ISNUMBER($Q574))),"",$Q574*1000000+574)</f>
        <v/>
      </c>
      <c r="W574" s="29">
        <f>IF($B574="","",IFERROR(INDEX($U$4:$U$3183,MATCH(SMALL($V$4:$V$3183,571),$V$4:$V$3183,0)),""))</f>
        <v/>
      </c>
    </row>
    <row r="575">
      <c r="A575">
        <f>IFERROR(INDEX($N$4:$N$3183,MATCH(SMALL($V$4:$V$3183,572),$V$4:$V$3183,0)),"")</f>
        <v/>
      </c>
      <c r="B575">
        <f>IFERROR(INDEX($O$4:$O$3183,MATCH(SMALL($V$4:$V$3183,572),$V$4:$V$3183,0)),"")</f>
        <v/>
      </c>
      <c r="C575">
        <f>IFERROR(INDEX($P$4:$P$3183,MATCH(SMALL($V$4:$V$3183,572),$V$4:$V$3183,0)),"")</f>
        <v/>
      </c>
      <c r="D575" s="29">
        <f>IFERROR(INDEX($Q$4:$Q$3183,MATCH(SMALL($V$4:$V$3183,572),$V$4:$V$3183,0)),"")</f>
        <v/>
      </c>
      <c r="E575" s="29">
        <f>IFERROR(INDEX($R$4:$R$3183,MATCH(SMALL($V$4:$V$3183,572),$V$4:$V$3183,0)),"")</f>
        <v/>
      </c>
      <c r="F575">
        <f>IFERROR(INDEX($S$4:$S$3183,MATCH(SMALL($V$4:$V$3183,572),$V$4:$V$3183,0)),"")</f>
        <v/>
      </c>
      <c r="I575" s="29">
        <f>IF($B575="","",IFERROR(INDEX($U$4:$U$3183,MATCH(SMALL($V$4:$V$3183,572),$V$4:$V$3183,0)),""))</f>
        <v/>
      </c>
      <c r="J575">
        <f>IF($B575="","",IF($D575&gt;$F$2,"À venir",IF($E575&lt;$D$2,"Passé","Dans la période")))</f>
        <v/>
      </c>
      <c r="K575">
        <f>IF(OR($B575="",NOT(ISNUMBER($D575))),"",IF(AND($E575&lt;$D$2,$G575&lt;&gt;"X",$F575&lt;&gt;"Réalisé",$F575&lt;&gt;"Clôturé"),"RETARD",""))</f>
        <v/>
      </c>
      <c r="L575">
        <f>IF(OR($B575="",NOT(ISNUMBER($D575))),"",IF(AND($D575&gt;=$D$2,$D575&lt;=$H$2,$G575&lt;&gt;"X",$F575&lt;&gt;"Réalisé",$F575&lt;&gt;"Clôturé"),"≤ 7 j",""))</f>
        <v/>
      </c>
      <c r="M575" s="29">
        <f>IF($B575="","",IFERROR(INDEX($T$4:$T$3183,MATCH(SMALL($V$4:$V$3183,572),$V$4:$V$3183,0)),""))</f>
        <v/>
      </c>
      <c r="O575">
        <f>IF(INDEX(Suivi!$B:$B,586)="","",INDEX(Suivi!$B:$B,586))</f>
        <v/>
      </c>
      <c r="P575">
        <f>IF($O575="","",IF(INDEX(Suivi!$D:$D,586)="",INDEX(Suivi!$C:$C,586),INDEX(Suivi!$D:$D,586)))</f>
        <v/>
      </c>
      <c r="Q575">
        <f>IF($O575="","",INDEX(Suivi!$E:$E,586))</f>
        <v/>
      </c>
      <c r="R575">
        <f>IF($O575="","",INDEX(Suivi!$F:$F,586))</f>
        <v/>
      </c>
      <c r="S575">
        <f>IF($O575="","",INDEX(Suivi!$G:$G,586))</f>
        <v/>
      </c>
      <c r="T575">
        <f>IF($O575="","",IF(INDEX(Dossiers!$F$4:$F$63,11)="","",INDEX(Dossiers!$F$4:$F$63,11)))</f>
        <v/>
      </c>
      <c r="U575">
        <f>IF($O575="","",IF(INDEX(Dossiers!$G$4:$G$63,11)="","",INDEX(Dossiers!$G$4:$G$63,11)))</f>
        <v/>
      </c>
      <c r="V575">
        <f>IF(OR($O575="",NOT(ISNUMBER($Q575))),"",$Q575*1000000+575)</f>
        <v/>
      </c>
      <c r="W575" s="29">
        <f>IF($B575="","",IFERROR(INDEX($U$4:$U$3183,MATCH(SMALL($V$4:$V$3183,572),$V$4:$V$3183,0)),""))</f>
        <v/>
      </c>
    </row>
    <row r="576">
      <c r="A576">
        <f>IFERROR(INDEX($N$4:$N$3183,MATCH(SMALL($V$4:$V$3183,573),$V$4:$V$3183,0)),"")</f>
        <v/>
      </c>
      <c r="B576">
        <f>IFERROR(INDEX($O$4:$O$3183,MATCH(SMALL($V$4:$V$3183,573),$V$4:$V$3183,0)),"")</f>
        <v/>
      </c>
      <c r="C576">
        <f>IFERROR(INDEX($P$4:$P$3183,MATCH(SMALL($V$4:$V$3183,573),$V$4:$V$3183,0)),"")</f>
        <v/>
      </c>
      <c r="D576" s="29">
        <f>IFERROR(INDEX($Q$4:$Q$3183,MATCH(SMALL($V$4:$V$3183,573),$V$4:$V$3183,0)),"")</f>
        <v/>
      </c>
      <c r="E576" s="29">
        <f>IFERROR(INDEX($R$4:$R$3183,MATCH(SMALL($V$4:$V$3183,573),$V$4:$V$3183,0)),"")</f>
        <v/>
      </c>
      <c r="F576">
        <f>IFERROR(INDEX($S$4:$S$3183,MATCH(SMALL($V$4:$V$3183,573),$V$4:$V$3183,0)),"")</f>
        <v/>
      </c>
      <c r="I576" s="29">
        <f>IF($B576="","",IFERROR(INDEX($U$4:$U$3183,MATCH(SMALL($V$4:$V$3183,573),$V$4:$V$3183,0)),""))</f>
        <v/>
      </c>
      <c r="J576">
        <f>IF($B576="","",IF($D576&gt;$F$2,"À venir",IF($E576&lt;$D$2,"Passé","Dans la période")))</f>
        <v/>
      </c>
      <c r="K576">
        <f>IF(OR($B576="",NOT(ISNUMBER($D576))),"",IF(AND($E576&lt;$D$2,$G576&lt;&gt;"X",$F576&lt;&gt;"Réalisé",$F576&lt;&gt;"Clôturé"),"RETARD",""))</f>
        <v/>
      </c>
      <c r="L576">
        <f>IF(OR($B576="",NOT(ISNUMBER($D576))),"",IF(AND($D576&gt;=$D$2,$D576&lt;=$H$2,$G576&lt;&gt;"X",$F576&lt;&gt;"Réalisé",$F576&lt;&gt;"Clôturé"),"≤ 7 j",""))</f>
        <v/>
      </c>
      <c r="M576" s="29">
        <f>IF($B576="","",IFERROR(INDEX($T$4:$T$3183,MATCH(SMALL($V$4:$V$3183,573),$V$4:$V$3183,0)),""))</f>
        <v/>
      </c>
      <c r="O576">
        <f>IF(INDEX(Suivi!$B:$B,587)="","",INDEX(Suivi!$B:$B,587))</f>
        <v/>
      </c>
      <c r="P576">
        <f>IF($O576="","",IF(INDEX(Suivi!$D:$D,587)="",INDEX(Suivi!$C:$C,587),INDEX(Suivi!$D:$D,587)))</f>
        <v/>
      </c>
      <c r="Q576">
        <f>IF($O576="","",INDEX(Suivi!$E:$E,587))</f>
        <v/>
      </c>
      <c r="R576">
        <f>IF($O576="","",INDEX(Suivi!$F:$F,587))</f>
        <v/>
      </c>
      <c r="S576">
        <f>IF($O576="","",INDEX(Suivi!$G:$G,587))</f>
        <v/>
      </c>
      <c r="T576">
        <f>IF($O576="","",IF(INDEX(Dossiers!$F$4:$F$63,11)="","",INDEX(Dossiers!$F$4:$F$63,11)))</f>
        <v/>
      </c>
      <c r="U576">
        <f>IF($O576="","",IF(INDEX(Dossiers!$G$4:$G$63,11)="","",INDEX(Dossiers!$G$4:$G$63,11)))</f>
        <v/>
      </c>
      <c r="V576">
        <f>IF(OR($O576="",NOT(ISNUMBER($Q576))),"",$Q576*1000000+576)</f>
        <v/>
      </c>
      <c r="W576" s="29">
        <f>IF($B576="","",IFERROR(INDEX($U$4:$U$3183,MATCH(SMALL($V$4:$V$3183,573),$V$4:$V$3183,0)),""))</f>
        <v/>
      </c>
    </row>
    <row r="577">
      <c r="A577">
        <f>IFERROR(INDEX($N$4:$N$3183,MATCH(SMALL($V$4:$V$3183,574),$V$4:$V$3183,0)),"")</f>
        <v/>
      </c>
      <c r="B577">
        <f>IFERROR(INDEX($O$4:$O$3183,MATCH(SMALL($V$4:$V$3183,574),$V$4:$V$3183,0)),"")</f>
        <v/>
      </c>
      <c r="C577">
        <f>IFERROR(INDEX($P$4:$P$3183,MATCH(SMALL($V$4:$V$3183,574),$V$4:$V$3183,0)),"")</f>
        <v/>
      </c>
      <c r="D577" s="29">
        <f>IFERROR(INDEX($Q$4:$Q$3183,MATCH(SMALL($V$4:$V$3183,574),$V$4:$V$3183,0)),"")</f>
        <v/>
      </c>
      <c r="E577" s="29">
        <f>IFERROR(INDEX($R$4:$R$3183,MATCH(SMALL($V$4:$V$3183,574),$V$4:$V$3183,0)),"")</f>
        <v/>
      </c>
      <c r="F577">
        <f>IFERROR(INDEX($S$4:$S$3183,MATCH(SMALL($V$4:$V$3183,574),$V$4:$V$3183,0)),"")</f>
        <v/>
      </c>
      <c r="I577" s="29">
        <f>IF($B577="","",IFERROR(INDEX($U$4:$U$3183,MATCH(SMALL($V$4:$V$3183,574),$V$4:$V$3183,0)),""))</f>
        <v/>
      </c>
      <c r="J577">
        <f>IF($B577="","",IF($D577&gt;$F$2,"À venir",IF($E577&lt;$D$2,"Passé","Dans la période")))</f>
        <v/>
      </c>
      <c r="K577">
        <f>IF(OR($B577="",NOT(ISNUMBER($D577))),"",IF(AND($E577&lt;$D$2,$G577&lt;&gt;"X",$F577&lt;&gt;"Réalisé",$F577&lt;&gt;"Clôturé"),"RETARD",""))</f>
        <v/>
      </c>
      <c r="L577">
        <f>IF(OR($B577="",NOT(ISNUMBER($D577))),"",IF(AND($D577&gt;=$D$2,$D577&lt;=$H$2,$G577&lt;&gt;"X",$F577&lt;&gt;"Réalisé",$F577&lt;&gt;"Clôturé"),"≤ 7 j",""))</f>
        <v/>
      </c>
      <c r="M577" s="29">
        <f>IF($B577="","",IFERROR(INDEX($T$4:$T$3183,MATCH(SMALL($V$4:$V$3183,574),$V$4:$V$3183,0)),""))</f>
        <v/>
      </c>
      <c r="O577">
        <f>IF(INDEX(Suivi!$B:$B,588)="","",INDEX(Suivi!$B:$B,588))</f>
        <v/>
      </c>
      <c r="P577">
        <f>IF($O577="","",IF(INDEX(Suivi!$D:$D,588)="",INDEX(Suivi!$C:$C,588),INDEX(Suivi!$D:$D,588)))</f>
        <v/>
      </c>
      <c r="Q577">
        <f>IF($O577="","",INDEX(Suivi!$E:$E,588))</f>
        <v/>
      </c>
      <c r="R577">
        <f>IF($O577="","",INDEX(Suivi!$F:$F,588))</f>
        <v/>
      </c>
      <c r="S577">
        <f>IF($O577="","",INDEX(Suivi!$G:$G,588))</f>
        <v/>
      </c>
      <c r="T577">
        <f>IF($O577="","",IF(INDEX(Dossiers!$F$4:$F$63,11)="","",INDEX(Dossiers!$F$4:$F$63,11)))</f>
        <v/>
      </c>
      <c r="U577">
        <f>IF($O577="","",IF(INDEX(Dossiers!$G$4:$G$63,11)="","",INDEX(Dossiers!$G$4:$G$63,11)))</f>
        <v/>
      </c>
      <c r="V577">
        <f>IF(OR($O577="",NOT(ISNUMBER($Q577))),"",$Q577*1000000+577)</f>
        <v/>
      </c>
      <c r="W577" s="29">
        <f>IF($B577="","",IFERROR(INDEX($U$4:$U$3183,MATCH(SMALL($V$4:$V$3183,574),$V$4:$V$3183,0)),""))</f>
        <v/>
      </c>
    </row>
    <row r="578">
      <c r="A578">
        <f>IFERROR(INDEX($N$4:$N$3183,MATCH(SMALL($V$4:$V$3183,575),$V$4:$V$3183,0)),"")</f>
        <v/>
      </c>
      <c r="B578">
        <f>IFERROR(INDEX($O$4:$O$3183,MATCH(SMALL($V$4:$V$3183,575),$V$4:$V$3183,0)),"")</f>
        <v/>
      </c>
      <c r="C578">
        <f>IFERROR(INDEX($P$4:$P$3183,MATCH(SMALL($V$4:$V$3183,575),$V$4:$V$3183,0)),"")</f>
        <v/>
      </c>
      <c r="D578" s="29">
        <f>IFERROR(INDEX($Q$4:$Q$3183,MATCH(SMALL($V$4:$V$3183,575),$V$4:$V$3183,0)),"")</f>
        <v/>
      </c>
      <c r="E578" s="29">
        <f>IFERROR(INDEX($R$4:$R$3183,MATCH(SMALL($V$4:$V$3183,575),$V$4:$V$3183,0)),"")</f>
        <v/>
      </c>
      <c r="F578">
        <f>IFERROR(INDEX($S$4:$S$3183,MATCH(SMALL($V$4:$V$3183,575),$V$4:$V$3183,0)),"")</f>
        <v/>
      </c>
      <c r="I578" s="29">
        <f>IF($B578="","",IFERROR(INDEX($U$4:$U$3183,MATCH(SMALL($V$4:$V$3183,575),$V$4:$V$3183,0)),""))</f>
        <v/>
      </c>
      <c r="J578">
        <f>IF($B578="","",IF($D578&gt;$F$2,"À venir",IF($E578&lt;$D$2,"Passé","Dans la période")))</f>
        <v/>
      </c>
      <c r="K578">
        <f>IF(OR($B578="",NOT(ISNUMBER($D578))),"",IF(AND($E578&lt;$D$2,$G578&lt;&gt;"X",$F578&lt;&gt;"Réalisé",$F578&lt;&gt;"Clôturé"),"RETARD",""))</f>
        <v/>
      </c>
      <c r="L578">
        <f>IF(OR($B578="",NOT(ISNUMBER($D578))),"",IF(AND($D578&gt;=$D$2,$D578&lt;=$H$2,$G578&lt;&gt;"X",$F578&lt;&gt;"Réalisé",$F578&lt;&gt;"Clôturé"),"≤ 7 j",""))</f>
        <v/>
      </c>
      <c r="M578" s="29">
        <f>IF($B578="","",IFERROR(INDEX($T$4:$T$3183,MATCH(SMALL($V$4:$V$3183,575),$V$4:$V$3183,0)),""))</f>
        <v/>
      </c>
      <c r="O578">
        <f>IF(INDEX(Suivi!$B:$B,589)="","",INDEX(Suivi!$B:$B,589))</f>
        <v/>
      </c>
      <c r="P578">
        <f>IF($O578="","",IF(INDEX(Suivi!$D:$D,589)="",INDEX(Suivi!$C:$C,589),INDEX(Suivi!$D:$D,589)))</f>
        <v/>
      </c>
      <c r="Q578">
        <f>IF($O578="","",INDEX(Suivi!$E:$E,589))</f>
        <v/>
      </c>
      <c r="R578">
        <f>IF($O578="","",INDEX(Suivi!$F:$F,589))</f>
        <v/>
      </c>
      <c r="S578">
        <f>IF($O578="","",INDEX(Suivi!$G:$G,589))</f>
        <v/>
      </c>
      <c r="T578">
        <f>IF($O578="","",IF(INDEX(Dossiers!$F$4:$F$63,11)="","",INDEX(Dossiers!$F$4:$F$63,11)))</f>
        <v/>
      </c>
      <c r="U578">
        <f>IF($O578="","",IF(INDEX(Dossiers!$G$4:$G$63,11)="","",INDEX(Dossiers!$G$4:$G$63,11)))</f>
        <v/>
      </c>
      <c r="V578">
        <f>IF(OR($O578="",NOT(ISNUMBER($Q578))),"",$Q578*1000000+578)</f>
        <v/>
      </c>
      <c r="W578" s="29">
        <f>IF($B578="","",IFERROR(INDEX($U$4:$U$3183,MATCH(SMALL($V$4:$V$3183,575),$V$4:$V$3183,0)),""))</f>
        <v/>
      </c>
    </row>
    <row r="579">
      <c r="A579">
        <f>IFERROR(INDEX($N$4:$N$3183,MATCH(SMALL($V$4:$V$3183,576),$V$4:$V$3183,0)),"")</f>
        <v/>
      </c>
      <c r="B579">
        <f>IFERROR(INDEX($O$4:$O$3183,MATCH(SMALL($V$4:$V$3183,576),$V$4:$V$3183,0)),"")</f>
        <v/>
      </c>
      <c r="C579">
        <f>IFERROR(INDEX($P$4:$P$3183,MATCH(SMALL($V$4:$V$3183,576),$V$4:$V$3183,0)),"")</f>
        <v/>
      </c>
      <c r="D579" s="29">
        <f>IFERROR(INDEX($Q$4:$Q$3183,MATCH(SMALL($V$4:$V$3183,576),$V$4:$V$3183,0)),"")</f>
        <v/>
      </c>
      <c r="E579" s="29">
        <f>IFERROR(INDEX($R$4:$R$3183,MATCH(SMALL($V$4:$V$3183,576),$V$4:$V$3183,0)),"")</f>
        <v/>
      </c>
      <c r="F579">
        <f>IFERROR(INDEX($S$4:$S$3183,MATCH(SMALL($V$4:$V$3183,576),$V$4:$V$3183,0)),"")</f>
        <v/>
      </c>
      <c r="I579" s="29">
        <f>IF($B579="","",IFERROR(INDEX($U$4:$U$3183,MATCH(SMALL($V$4:$V$3183,576),$V$4:$V$3183,0)),""))</f>
        <v/>
      </c>
      <c r="J579">
        <f>IF($B579="","",IF($D579&gt;$F$2,"À venir",IF($E579&lt;$D$2,"Passé","Dans la période")))</f>
        <v/>
      </c>
      <c r="K579">
        <f>IF(OR($B579="",NOT(ISNUMBER($D579))),"",IF(AND($E579&lt;$D$2,$G579&lt;&gt;"X",$F579&lt;&gt;"Réalisé",$F579&lt;&gt;"Clôturé"),"RETARD",""))</f>
        <v/>
      </c>
      <c r="L579">
        <f>IF(OR($B579="",NOT(ISNUMBER($D579))),"",IF(AND($D579&gt;=$D$2,$D579&lt;=$H$2,$G579&lt;&gt;"X",$F579&lt;&gt;"Réalisé",$F579&lt;&gt;"Clôturé"),"≤ 7 j",""))</f>
        <v/>
      </c>
      <c r="M579" s="29">
        <f>IF($B579="","",IFERROR(INDEX($T$4:$T$3183,MATCH(SMALL($V$4:$V$3183,576),$V$4:$V$3183,0)),""))</f>
        <v/>
      </c>
      <c r="O579">
        <f>IF(INDEX(Suivi!$B:$B,590)="","",INDEX(Suivi!$B:$B,590))</f>
        <v/>
      </c>
      <c r="P579">
        <f>IF($O579="","",IF(INDEX(Suivi!$D:$D,590)="",INDEX(Suivi!$C:$C,590),INDEX(Suivi!$D:$D,590)))</f>
        <v/>
      </c>
      <c r="Q579">
        <f>IF($O579="","",INDEX(Suivi!$E:$E,590))</f>
        <v/>
      </c>
      <c r="R579">
        <f>IF($O579="","",INDEX(Suivi!$F:$F,590))</f>
        <v/>
      </c>
      <c r="S579">
        <f>IF($O579="","",INDEX(Suivi!$G:$G,590))</f>
        <v/>
      </c>
      <c r="T579">
        <f>IF($O579="","",IF(INDEX(Dossiers!$F$4:$F$63,11)="","",INDEX(Dossiers!$F$4:$F$63,11)))</f>
        <v/>
      </c>
      <c r="U579">
        <f>IF($O579="","",IF(INDEX(Dossiers!$G$4:$G$63,11)="","",INDEX(Dossiers!$G$4:$G$63,11)))</f>
        <v/>
      </c>
      <c r="V579">
        <f>IF(OR($O579="",NOT(ISNUMBER($Q579))),"",$Q579*1000000+579)</f>
        <v/>
      </c>
      <c r="W579" s="29">
        <f>IF($B579="","",IFERROR(INDEX($U$4:$U$3183,MATCH(SMALL($V$4:$V$3183,576),$V$4:$V$3183,0)),""))</f>
        <v/>
      </c>
    </row>
    <row r="580">
      <c r="A580">
        <f>IFERROR(INDEX($N$4:$N$3183,MATCH(SMALL($V$4:$V$3183,577),$V$4:$V$3183,0)),"")</f>
        <v/>
      </c>
      <c r="B580">
        <f>IFERROR(INDEX($O$4:$O$3183,MATCH(SMALL($V$4:$V$3183,577),$V$4:$V$3183,0)),"")</f>
        <v/>
      </c>
      <c r="C580">
        <f>IFERROR(INDEX($P$4:$P$3183,MATCH(SMALL($V$4:$V$3183,577),$V$4:$V$3183,0)),"")</f>
        <v/>
      </c>
      <c r="D580" s="29">
        <f>IFERROR(INDEX($Q$4:$Q$3183,MATCH(SMALL($V$4:$V$3183,577),$V$4:$V$3183,0)),"")</f>
        <v/>
      </c>
      <c r="E580" s="29">
        <f>IFERROR(INDEX($R$4:$R$3183,MATCH(SMALL($V$4:$V$3183,577),$V$4:$V$3183,0)),"")</f>
        <v/>
      </c>
      <c r="F580">
        <f>IFERROR(INDEX($S$4:$S$3183,MATCH(SMALL($V$4:$V$3183,577),$V$4:$V$3183,0)),"")</f>
        <v/>
      </c>
      <c r="I580" s="29">
        <f>IF($B580="","",IFERROR(INDEX($U$4:$U$3183,MATCH(SMALL($V$4:$V$3183,577),$V$4:$V$3183,0)),""))</f>
        <v/>
      </c>
      <c r="J580">
        <f>IF($B580="","",IF($D580&gt;$F$2,"À venir",IF($E580&lt;$D$2,"Passé","Dans la période")))</f>
        <v/>
      </c>
      <c r="K580">
        <f>IF(OR($B580="",NOT(ISNUMBER($D580))),"",IF(AND($E580&lt;$D$2,$G580&lt;&gt;"X",$F580&lt;&gt;"Réalisé",$F580&lt;&gt;"Clôturé"),"RETARD",""))</f>
        <v/>
      </c>
      <c r="L580">
        <f>IF(OR($B580="",NOT(ISNUMBER($D580))),"",IF(AND($D580&gt;=$D$2,$D580&lt;=$H$2,$G580&lt;&gt;"X",$F580&lt;&gt;"Réalisé",$F580&lt;&gt;"Clôturé"),"≤ 7 j",""))</f>
        <v/>
      </c>
      <c r="M580" s="29">
        <f>IF($B580="","",IFERROR(INDEX($T$4:$T$3183,MATCH(SMALL($V$4:$V$3183,577),$V$4:$V$3183,0)),""))</f>
        <v/>
      </c>
      <c r="O580">
        <f>IF(INDEX(Suivi!$B:$B,591)="","",INDEX(Suivi!$B:$B,591))</f>
        <v/>
      </c>
      <c r="P580">
        <f>IF($O580="","",IF(INDEX(Suivi!$D:$D,591)="",INDEX(Suivi!$C:$C,591),INDEX(Suivi!$D:$D,591)))</f>
        <v/>
      </c>
      <c r="Q580">
        <f>IF($O580="","",INDEX(Suivi!$E:$E,591))</f>
        <v/>
      </c>
      <c r="R580">
        <f>IF($O580="","",INDEX(Suivi!$F:$F,591))</f>
        <v/>
      </c>
      <c r="S580">
        <f>IF($O580="","",INDEX(Suivi!$G:$G,591))</f>
        <v/>
      </c>
      <c r="T580">
        <f>IF($O580="","",IF(INDEX(Dossiers!$F$4:$F$63,11)="","",INDEX(Dossiers!$F$4:$F$63,11)))</f>
        <v/>
      </c>
      <c r="U580">
        <f>IF($O580="","",IF(INDEX(Dossiers!$G$4:$G$63,11)="","",INDEX(Dossiers!$G$4:$G$63,11)))</f>
        <v/>
      </c>
      <c r="V580">
        <f>IF(OR($O580="",NOT(ISNUMBER($Q580))),"",$Q580*1000000+580)</f>
        <v/>
      </c>
      <c r="W580" s="29">
        <f>IF($B580="","",IFERROR(INDEX($U$4:$U$3183,MATCH(SMALL($V$4:$V$3183,577),$V$4:$V$3183,0)),""))</f>
        <v/>
      </c>
    </row>
    <row r="581">
      <c r="A581">
        <f>IFERROR(INDEX($N$4:$N$3183,MATCH(SMALL($V$4:$V$3183,578),$V$4:$V$3183,0)),"")</f>
        <v/>
      </c>
      <c r="B581">
        <f>IFERROR(INDEX($O$4:$O$3183,MATCH(SMALL($V$4:$V$3183,578),$V$4:$V$3183,0)),"")</f>
        <v/>
      </c>
      <c r="C581">
        <f>IFERROR(INDEX($P$4:$P$3183,MATCH(SMALL($V$4:$V$3183,578),$V$4:$V$3183,0)),"")</f>
        <v/>
      </c>
      <c r="D581" s="29">
        <f>IFERROR(INDEX($Q$4:$Q$3183,MATCH(SMALL($V$4:$V$3183,578),$V$4:$V$3183,0)),"")</f>
        <v/>
      </c>
      <c r="E581" s="29">
        <f>IFERROR(INDEX($R$4:$R$3183,MATCH(SMALL($V$4:$V$3183,578),$V$4:$V$3183,0)),"")</f>
        <v/>
      </c>
      <c r="F581">
        <f>IFERROR(INDEX($S$4:$S$3183,MATCH(SMALL($V$4:$V$3183,578),$V$4:$V$3183,0)),"")</f>
        <v/>
      </c>
      <c r="I581" s="29">
        <f>IF($B581="","",IFERROR(INDEX($U$4:$U$3183,MATCH(SMALL($V$4:$V$3183,578),$V$4:$V$3183,0)),""))</f>
        <v/>
      </c>
      <c r="J581">
        <f>IF($B581="","",IF($D581&gt;$F$2,"À venir",IF($E581&lt;$D$2,"Passé","Dans la période")))</f>
        <v/>
      </c>
      <c r="K581">
        <f>IF(OR($B581="",NOT(ISNUMBER($D581))),"",IF(AND($E581&lt;$D$2,$G581&lt;&gt;"X",$F581&lt;&gt;"Réalisé",$F581&lt;&gt;"Clôturé"),"RETARD",""))</f>
        <v/>
      </c>
      <c r="L581">
        <f>IF(OR($B581="",NOT(ISNUMBER($D581))),"",IF(AND($D581&gt;=$D$2,$D581&lt;=$H$2,$G581&lt;&gt;"X",$F581&lt;&gt;"Réalisé",$F581&lt;&gt;"Clôturé"),"≤ 7 j",""))</f>
        <v/>
      </c>
      <c r="M581" s="29">
        <f>IF($B581="","",IFERROR(INDEX($T$4:$T$3183,MATCH(SMALL($V$4:$V$3183,578),$V$4:$V$3183,0)),""))</f>
        <v/>
      </c>
      <c r="O581">
        <f>IF(INDEX(Suivi!$B:$B,592)="","",INDEX(Suivi!$B:$B,592))</f>
        <v/>
      </c>
      <c r="P581">
        <f>IF($O581="","",IF(INDEX(Suivi!$D:$D,592)="",INDEX(Suivi!$C:$C,592),INDEX(Suivi!$D:$D,592)))</f>
        <v/>
      </c>
      <c r="Q581">
        <f>IF($O581="","",INDEX(Suivi!$E:$E,592))</f>
        <v/>
      </c>
      <c r="R581">
        <f>IF($O581="","",INDEX(Suivi!$F:$F,592))</f>
        <v/>
      </c>
      <c r="S581">
        <f>IF($O581="","",INDEX(Suivi!$G:$G,592))</f>
        <v/>
      </c>
      <c r="T581">
        <f>IF($O581="","",IF(INDEX(Dossiers!$F$4:$F$63,11)="","",INDEX(Dossiers!$F$4:$F$63,11)))</f>
        <v/>
      </c>
      <c r="U581">
        <f>IF($O581="","",IF(INDEX(Dossiers!$G$4:$G$63,11)="","",INDEX(Dossiers!$G$4:$G$63,11)))</f>
        <v/>
      </c>
      <c r="V581">
        <f>IF(OR($O581="",NOT(ISNUMBER($Q581))),"",$Q581*1000000+581)</f>
        <v/>
      </c>
      <c r="W581" s="29">
        <f>IF($B581="","",IFERROR(INDEX($U$4:$U$3183,MATCH(SMALL($V$4:$V$3183,578),$V$4:$V$3183,0)),""))</f>
        <v/>
      </c>
    </row>
    <row r="582">
      <c r="A582">
        <f>IFERROR(INDEX($N$4:$N$3183,MATCH(SMALL($V$4:$V$3183,579),$V$4:$V$3183,0)),"")</f>
        <v/>
      </c>
      <c r="B582">
        <f>IFERROR(INDEX($O$4:$O$3183,MATCH(SMALL($V$4:$V$3183,579),$V$4:$V$3183,0)),"")</f>
        <v/>
      </c>
      <c r="C582">
        <f>IFERROR(INDEX($P$4:$P$3183,MATCH(SMALL($V$4:$V$3183,579),$V$4:$V$3183,0)),"")</f>
        <v/>
      </c>
      <c r="D582" s="29">
        <f>IFERROR(INDEX($Q$4:$Q$3183,MATCH(SMALL($V$4:$V$3183,579),$V$4:$V$3183,0)),"")</f>
        <v/>
      </c>
      <c r="E582" s="29">
        <f>IFERROR(INDEX($R$4:$R$3183,MATCH(SMALL($V$4:$V$3183,579),$V$4:$V$3183,0)),"")</f>
        <v/>
      </c>
      <c r="F582">
        <f>IFERROR(INDEX($S$4:$S$3183,MATCH(SMALL($V$4:$V$3183,579),$V$4:$V$3183,0)),"")</f>
        <v/>
      </c>
      <c r="I582" s="29">
        <f>IF($B582="","",IFERROR(INDEX($U$4:$U$3183,MATCH(SMALL($V$4:$V$3183,579),$V$4:$V$3183,0)),""))</f>
        <v/>
      </c>
      <c r="J582">
        <f>IF($B582="","",IF($D582&gt;$F$2,"À venir",IF($E582&lt;$D$2,"Passé","Dans la période")))</f>
        <v/>
      </c>
      <c r="K582">
        <f>IF(OR($B582="",NOT(ISNUMBER($D582))),"",IF(AND($E582&lt;$D$2,$G582&lt;&gt;"X",$F582&lt;&gt;"Réalisé",$F582&lt;&gt;"Clôturé"),"RETARD",""))</f>
        <v/>
      </c>
      <c r="L582">
        <f>IF(OR($B582="",NOT(ISNUMBER($D582))),"",IF(AND($D582&gt;=$D$2,$D582&lt;=$H$2,$G582&lt;&gt;"X",$F582&lt;&gt;"Réalisé",$F582&lt;&gt;"Clôturé"),"≤ 7 j",""))</f>
        <v/>
      </c>
      <c r="M582" s="29">
        <f>IF($B582="","",IFERROR(INDEX($T$4:$T$3183,MATCH(SMALL($V$4:$V$3183,579),$V$4:$V$3183,0)),""))</f>
        <v/>
      </c>
      <c r="O582">
        <f>IF(INDEX(Suivi!$B:$B,593)="","",INDEX(Suivi!$B:$B,593))</f>
        <v/>
      </c>
      <c r="P582">
        <f>IF($O582="","",IF(INDEX(Suivi!$D:$D,593)="",INDEX(Suivi!$C:$C,593),INDEX(Suivi!$D:$D,593)))</f>
        <v/>
      </c>
      <c r="Q582">
        <f>IF($O582="","",INDEX(Suivi!$E:$E,593))</f>
        <v/>
      </c>
      <c r="R582">
        <f>IF($O582="","",INDEX(Suivi!$F:$F,593))</f>
        <v/>
      </c>
      <c r="S582">
        <f>IF($O582="","",INDEX(Suivi!$G:$G,593))</f>
        <v/>
      </c>
      <c r="T582">
        <f>IF($O582="","",IF(INDEX(Dossiers!$F$4:$F$63,11)="","",INDEX(Dossiers!$F$4:$F$63,11)))</f>
        <v/>
      </c>
      <c r="U582">
        <f>IF($O582="","",IF(INDEX(Dossiers!$G$4:$G$63,11)="","",INDEX(Dossiers!$G$4:$G$63,11)))</f>
        <v/>
      </c>
      <c r="V582">
        <f>IF(OR($O582="",NOT(ISNUMBER($Q582))),"",$Q582*1000000+582)</f>
        <v/>
      </c>
      <c r="W582" s="29">
        <f>IF($B582="","",IFERROR(INDEX($U$4:$U$3183,MATCH(SMALL($V$4:$V$3183,579),$V$4:$V$3183,0)),""))</f>
        <v/>
      </c>
    </row>
    <row r="583">
      <c r="A583">
        <f>IFERROR(INDEX($N$4:$N$3183,MATCH(SMALL($V$4:$V$3183,580),$V$4:$V$3183,0)),"")</f>
        <v/>
      </c>
      <c r="B583">
        <f>IFERROR(INDEX($O$4:$O$3183,MATCH(SMALL($V$4:$V$3183,580),$V$4:$V$3183,0)),"")</f>
        <v/>
      </c>
      <c r="C583">
        <f>IFERROR(INDEX($P$4:$P$3183,MATCH(SMALL($V$4:$V$3183,580),$V$4:$V$3183,0)),"")</f>
        <v/>
      </c>
      <c r="D583" s="29">
        <f>IFERROR(INDEX($Q$4:$Q$3183,MATCH(SMALL($V$4:$V$3183,580),$V$4:$V$3183,0)),"")</f>
        <v/>
      </c>
      <c r="E583" s="29">
        <f>IFERROR(INDEX($R$4:$R$3183,MATCH(SMALL($V$4:$V$3183,580),$V$4:$V$3183,0)),"")</f>
        <v/>
      </c>
      <c r="F583">
        <f>IFERROR(INDEX($S$4:$S$3183,MATCH(SMALL($V$4:$V$3183,580),$V$4:$V$3183,0)),"")</f>
        <v/>
      </c>
      <c r="I583" s="29">
        <f>IF($B583="","",IFERROR(INDEX($U$4:$U$3183,MATCH(SMALL($V$4:$V$3183,580),$V$4:$V$3183,0)),""))</f>
        <v/>
      </c>
      <c r="J583">
        <f>IF($B583="","",IF($D583&gt;$F$2,"À venir",IF($E583&lt;$D$2,"Passé","Dans la période")))</f>
        <v/>
      </c>
      <c r="K583">
        <f>IF(OR($B583="",NOT(ISNUMBER($D583))),"",IF(AND($E583&lt;$D$2,$G583&lt;&gt;"X",$F583&lt;&gt;"Réalisé",$F583&lt;&gt;"Clôturé"),"RETARD",""))</f>
        <v/>
      </c>
      <c r="L583">
        <f>IF(OR($B583="",NOT(ISNUMBER($D583))),"",IF(AND($D583&gt;=$D$2,$D583&lt;=$H$2,$G583&lt;&gt;"X",$F583&lt;&gt;"Réalisé",$F583&lt;&gt;"Clôturé"),"≤ 7 j",""))</f>
        <v/>
      </c>
      <c r="M583" s="29">
        <f>IF($B583="","",IFERROR(INDEX($T$4:$T$3183,MATCH(SMALL($V$4:$V$3183,580),$V$4:$V$3183,0)),""))</f>
        <v/>
      </c>
      <c r="O583">
        <f>IF(INDEX(Suivi!$B:$B,594)="","",INDEX(Suivi!$B:$B,594))</f>
        <v/>
      </c>
      <c r="P583">
        <f>IF($O583="","",IF(INDEX(Suivi!$D:$D,594)="",INDEX(Suivi!$C:$C,594),INDEX(Suivi!$D:$D,594)))</f>
        <v/>
      </c>
      <c r="Q583">
        <f>IF($O583="","",INDEX(Suivi!$E:$E,594))</f>
        <v/>
      </c>
      <c r="R583">
        <f>IF($O583="","",INDEX(Suivi!$F:$F,594))</f>
        <v/>
      </c>
      <c r="S583">
        <f>IF($O583="","",INDEX(Suivi!$G:$G,594))</f>
        <v/>
      </c>
      <c r="T583">
        <f>IF($O583="","",IF(INDEX(Dossiers!$F$4:$F$63,11)="","",INDEX(Dossiers!$F$4:$F$63,11)))</f>
        <v/>
      </c>
      <c r="U583">
        <f>IF($O583="","",IF(INDEX(Dossiers!$G$4:$G$63,11)="","",INDEX(Dossiers!$G$4:$G$63,11)))</f>
        <v/>
      </c>
      <c r="V583">
        <f>IF(OR($O583="",NOT(ISNUMBER($Q583))),"",$Q583*1000000+583)</f>
        <v/>
      </c>
      <c r="W583" s="29">
        <f>IF($B583="","",IFERROR(INDEX($U$4:$U$3183,MATCH(SMALL($V$4:$V$3183,580),$V$4:$V$3183,0)),""))</f>
        <v/>
      </c>
    </row>
    <row r="584">
      <c r="A584">
        <f>IFERROR(INDEX($N$4:$N$3183,MATCH(SMALL($V$4:$V$3183,581),$V$4:$V$3183,0)),"")</f>
        <v/>
      </c>
      <c r="B584">
        <f>IFERROR(INDEX($O$4:$O$3183,MATCH(SMALL($V$4:$V$3183,581),$V$4:$V$3183,0)),"")</f>
        <v/>
      </c>
      <c r="C584">
        <f>IFERROR(INDEX($P$4:$P$3183,MATCH(SMALL($V$4:$V$3183,581),$V$4:$V$3183,0)),"")</f>
        <v/>
      </c>
      <c r="D584" s="29">
        <f>IFERROR(INDEX($Q$4:$Q$3183,MATCH(SMALL($V$4:$V$3183,581),$V$4:$V$3183,0)),"")</f>
        <v/>
      </c>
      <c r="E584" s="29">
        <f>IFERROR(INDEX($R$4:$R$3183,MATCH(SMALL($V$4:$V$3183,581),$V$4:$V$3183,0)),"")</f>
        <v/>
      </c>
      <c r="F584">
        <f>IFERROR(INDEX($S$4:$S$3183,MATCH(SMALL($V$4:$V$3183,581),$V$4:$V$3183,0)),"")</f>
        <v/>
      </c>
      <c r="I584" s="29">
        <f>IF($B584="","",IFERROR(INDEX($U$4:$U$3183,MATCH(SMALL($V$4:$V$3183,581),$V$4:$V$3183,0)),""))</f>
        <v/>
      </c>
      <c r="J584">
        <f>IF($B584="","",IF($D584&gt;$F$2,"À venir",IF($E584&lt;$D$2,"Passé","Dans la période")))</f>
        <v/>
      </c>
      <c r="K584">
        <f>IF(OR($B584="",NOT(ISNUMBER($D584))),"",IF(AND($E584&lt;$D$2,$G584&lt;&gt;"X",$F584&lt;&gt;"Réalisé",$F584&lt;&gt;"Clôturé"),"RETARD",""))</f>
        <v/>
      </c>
      <c r="L584">
        <f>IF(OR($B584="",NOT(ISNUMBER($D584))),"",IF(AND($D584&gt;=$D$2,$D584&lt;=$H$2,$G584&lt;&gt;"X",$F584&lt;&gt;"Réalisé",$F584&lt;&gt;"Clôturé"),"≤ 7 j",""))</f>
        <v/>
      </c>
      <c r="M584" s="29">
        <f>IF($B584="","",IFERROR(INDEX($T$4:$T$3183,MATCH(SMALL($V$4:$V$3183,581),$V$4:$V$3183,0)),""))</f>
        <v/>
      </c>
      <c r="O584">
        <f>IF(INDEX(Suivi!$B:$B,595)="","",INDEX(Suivi!$B:$B,595))</f>
        <v/>
      </c>
      <c r="P584">
        <f>IF($O584="","",IF(INDEX(Suivi!$D:$D,595)="",INDEX(Suivi!$C:$C,595),INDEX(Suivi!$D:$D,595)))</f>
        <v/>
      </c>
      <c r="Q584">
        <f>IF($O584="","",INDEX(Suivi!$E:$E,595))</f>
        <v/>
      </c>
      <c r="R584">
        <f>IF($O584="","",INDEX(Suivi!$F:$F,595))</f>
        <v/>
      </c>
      <c r="S584">
        <f>IF($O584="","",INDEX(Suivi!$G:$G,595))</f>
        <v/>
      </c>
      <c r="T584">
        <f>IF($O584="","",IF(INDEX(Dossiers!$F$4:$F$63,11)="","",INDEX(Dossiers!$F$4:$F$63,11)))</f>
        <v/>
      </c>
      <c r="U584">
        <f>IF($O584="","",IF(INDEX(Dossiers!$G$4:$G$63,11)="","",INDEX(Dossiers!$G$4:$G$63,11)))</f>
        <v/>
      </c>
      <c r="V584">
        <f>IF(OR($O584="",NOT(ISNUMBER($Q584))),"",$Q584*1000000+584)</f>
        <v/>
      </c>
      <c r="W584" s="29">
        <f>IF($B584="","",IFERROR(INDEX($U$4:$U$3183,MATCH(SMALL($V$4:$V$3183,581),$V$4:$V$3183,0)),""))</f>
        <v/>
      </c>
    </row>
    <row r="585">
      <c r="A585">
        <f>IFERROR(INDEX($N$4:$N$3183,MATCH(SMALL($V$4:$V$3183,582),$V$4:$V$3183,0)),"")</f>
        <v/>
      </c>
      <c r="B585">
        <f>IFERROR(INDEX($O$4:$O$3183,MATCH(SMALL($V$4:$V$3183,582),$V$4:$V$3183,0)),"")</f>
        <v/>
      </c>
      <c r="C585">
        <f>IFERROR(INDEX($P$4:$P$3183,MATCH(SMALL($V$4:$V$3183,582),$V$4:$V$3183,0)),"")</f>
        <v/>
      </c>
      <c r="D585" s="29">
        <f>IFERROR(INDEX($Q$4:$Q$3183,MATCH(SMALL($V$4:$V$3183,582),$V$4:$V$3183,0)),"")</f>
        <v/>
      </c>
      <c r="E585" s="29">
        <f>IFERROR(INDEX($R$4:$R$3183,MATCH(SMALL($V$4:$V$3183,582),$V$4:$V$3183,0)),"")</f>
        <v/>
      </c>
      <c r="F585">
        <f>IFERROR(INDEX($S$4:$S$3183,MATCH(SMALL($V$4:$V$3183,582),$V$4:$V$3183,0)),"")</f>
        <v/>
      </c>
      <c r="I585" s="29">
        <f>IF($B585="","",IFERROR(INDEX($U$4:$U$3183,MATCH(SMALL($V$4:$V$3183,582),$V$4:$V$3183,0)),""))</f>
        <v/>
      </c>
      <c r="J585">
        <f>IF($B585="","",IF($D585&gt;$F$2,"À venir",IF($E585&lt;$D$2,"Passé","Dans la période")))</f>
        <v/>
      </c>
      <c r="K585">
        <f>IF(OR($B585="",NOT(ISNUMBER($D585))),"",IF(AND($E585&lt;$D$2,$G585&lt;&gt;"X",$F585&lt;&gt;"Réalisé",$F585&lt;&gt;"Clôturé"),"RETARD",""))</f>
        <v/>
      </c>
      <c r="L585">
        <f>IF(OR($B585="",NOT(ISNUMBER($D585))),"",IF(AND($D585&gt;=$D$2,$D585&lt;=$H$2,$G585&lt;&gt;"X",$F585&lt;&gt;"Réalisé",$F585&lt;&gt;"Clôturé"),"≤ 7 j",""))</f>
        <v/>
      </c>
      <c r="M585" s="29">
        <f>IF($B585="","",IFERROR(INDEX($T$4:$T$3183,MATCH(SMALL($V$4:$V$3183,582),$V$4:$V$3183,0)),""))</f>
        <v/>
      </c>
      <c r="O585">
        <f>IF(INDEX(Suivi!$B:$B,596)="","",INDEX(Suivi!$B:$B,596))</f>
        <v/>
      </c>
      <c r="P585">
        <f>IF($O585="","",IF(INDEX(Suivi!$D:$D,596)="",INDEX(Suivi!$C:$C,596),INDEX(Suivi!$D:$D,596)))</f>
        <v/>
      </c>
      <c r="Q585">
        <f>IF($O585="","",INDEX(Suivi!$E:$E,596))</f>
        <v/>
      </c>
      <c r="R585">
        <f>IF($O585="","",INDEX(Suivi!$F:$F,596))</f>
        <v/>
      </c>
      <c r="S585">
        <f>IF($O585="","",INDEX(Suivi!$G:$G,596))</f>
        <v/>
      </c>
      <c r="T585">
        <f>IF($O585="","",IF(INDEX(Dossiers!$F$4:$F$63,11)="","",INDEX(Dossiers!$F$4:$F$63,11)))</f>
        <v/>
      </c>
      <c r="U585">
        <f>IF($O585="","",IF(INDEX(Dossiers!$G$4:$G$63,11)="","",INDEX(Dossiers!$G$4:$G$63,11)))</f>
        <v/>
      </c>
      <c r="V585">
        <f>IF(OR($O585="",NOT(ISNUMBER($Q585))),"",$Q585*1000000+585)</f>
        <v/>
      </c>
      <c r="W585" s="29">
        <f>IF($B585="","",IFERROR(INDEX($U$4:$U$3183,MATCH(SMALL($V$4:$V$3183,582),$V$4:$V$3183,0)),""))</f>
        <v/>
      </c>
    </row>
    <row r="586">
      <c r="A586">
        <f>IFERROR(INDEX($N$4:$N$3183,MATCH(SMALL($V$4:$V$3183,583),$V$4:$V$3183,0)),"")</f>
        <v/>
      </c>
      <c r="B586">
        <f>IFERROR(INDEX($O$4:$O$3183,MATCH(SMALL($V$4:$V$3183,583),$V$4:$V$3183,0)),"")</f>
        <v/>
      </c>
      <c r="C586">
        <f>IFERROR(INDEX($P$4:$P$3183,MATCH(SMALL($V$4:$V$3183,583),$V$4:$V$3183,0)),"")</f>
        <v/>
      </c>
      <c r="D586" s="29">
        <f>IFERROR(INDEX($Q$4:$Q$3183,MATCH(SMALL($V$4:$V$3183,583),$V$4:$V$3183,0)),"")</f>
        <v/>
      </c>
      <c r="E586" s="29">
        <f>IFERROR(INDEX($R$4:$R$3183,MATCH(SMALL($V$4:$V$3183,583),$V$4:$V$3183,0)),"")</f>
        <v/>
      </c>
      <c r="F586">
        <f>IFERROR(INDEX($S$4:$S$3183,MATCH(SMALL($V$4:$V$3183,583),$V$4:$V$3183,0)),"")</f>
        <v/>
      </c>
      <c r="I586" s="29">
        <f>IF($B586="","",IFERROR(INDEX($U$4:$U$3183,MATCH(SMALL($V$4:$V$3183,583),$V$4:$V$3183,0)),""))</f>
        <v/>
      </c>
      <c r="J586">
        <f>IF($B586="","",IF($D586&gt;$F$2,"À venir",IF($E586&lt;$D$2,"Passé","Dans la période")))</f>
        <v/>
      </c>
      <c r="K586">
        <f>IF(OR($B586="",NOT(ISNUMBER($D586))),"",IF(AND($E586&lt;$D$2,$G586&lt;&gt;"X",$F586&lt;&gt;"Réalisé",$F586&lt;&gt;"Clôturé"),"RETARD",""))</f>
        <v/>
      </c>
      <c r="L586">
        <f>IF(OR($B586="",NOT(ISNUMBER($D586))),"",IF(AND($D586&gt;=$D$2,$D586&lt;=$H$2,$G586&lt;&gt;"X",$F586&lt;&gt;"Réalisé",$F586&lt;&gt;"Clôturé"),"≤ 7 j",""))</f>
        <v/>
      </c>
      <c r="M586" s="29">
        <f>IF($B586="","",IFERROR(INDEX($T$4:$T$3183,MATCH(SMALL($V$4:$V$3183,583),$V$4:$V$3183,0)),""))</f>
        <v/>
      </c>
      <c r="O586">
        <f>IF(INDEX(Suivi!$B:$B,597)="","",INDEX(Suivi!$B:$B,597))</f>
        <v/>
      </c>
      <c r="P586">
        <f>IF($O586="","",IF(INDEX(Suivi!$D:$D,597)="",INDEX(Suivi!$C:$C,597),INDEX(Suivi!$D:$D,597)))</f>
        <v/>
      </c>
      <c r="Q586">
        <f>IF($O586="","",INDEX(Suivi!$E:$E,597))</f>
        <v/>
      </c>
      <c r="R586">
        <f>IF($O586="","",INDEX(Suivi!$F:$F,597))</f>
        <v/>
      </c>
      <c r="S586">
        <f>IF($O586="","",INDEX(Suivi!$G:$G,597))</f>
        <v/>
      </c>
      <c r="T586">
        <f>IF($O586="","",IF(INDEX(Dossiers!$F$4:$F$63,11)="","",INDEX(Dossiers!$F$4:$F$63,11)))</f>
        <v/>
      </c>
      <c r="U586">
        <f>IF($O586="","",IF(INDEX(Dossiers!$G$4:$G$63,11)="","",INDEX(Dossiers!$G$4:$G$63,11)))</f>
        <v/>
      </c>
      <c r="V586">
        <f>IF(OR($O586="",NOT(ISNUMBER($Q586))),"",$Q586*1000000+586)</f>
        <v/>
      </c>
      <c r="W586" s="29">
        <f>IF($B586="","",IFERROR(INDEX($U$4:$U$3183,MATCH(SMALL($V$4:$V$3183,583),$V$4:$V$3183,0)),""))</f>
        <v/>
      </c>
    </row>
    <row r="587">
      <c r="A587">
        <f>IFERROR(INDEX($N$4:$N$3183,MATCH(SMALL($V$4:$V$3183,584),$V$4:$V$3183,0)),"")</f>
        <v/>
      </c>
      <c r="B587">
        <f>IFERROR(INDEX($O$4:$O$3183,MATCH(SMALL($V$4:$V$3183,584),$V$4:$V$3183,0)),"")</f>
        <v/>
      </c>
      <c r="C587">
        <f>IFERROR(INDEX($P$4:$P$3183,MATCH(SMALL($V$4:$V$3183,584),$V$4:$V$3183,0)),"")</f>
        <v/>
      </c>
      <c r="D587" s="29">
        <f>IFERROR(INDEX($Q$4:$Q$3183,MATCH(SMALL($V$4:$V$3183,584),$V$4:$V$3183,0)),"")</f>
        <v/>
      </c>
      <c r="E587" s="29">
        <f>IFERROR(INDEX($R$4:$R$3183,MATCH(SMALL($V$4:$V$3183,584),$V$4:$V$3183,0)),"")</f>
        <v/>
      </c>
      <c r="F587">
        <f>IFERROR(INDEX($S$4:$S$3183,MATCH(SMALL($V$4:$V$3183,584),$V$4:$V$3183,0)),"")</f>
        <v/>
      </c>
      <c r="I587" s="29">
        <f>IF($B587="","",IFERROR(INDEX($U$4:$U$3183,MATCH(SMALL($V$4:$V$3183,584),$V$4:$V$3183,0)),""))</f>
        <v/>
      </c>
      <c r="J587">
        <f>IF($B587="","",IF($D587&gt;$F$2,"À venir",IF($E587&lt;$D$2,"Passé","Dans la période")))</f>
        <v/>
      </c>
      <c r="K587">
        <f>IF(OR($B587="",NOT(ISNUMBER($D587))),"",IF(AND($E587&lt;$D$2,$G587&lt;&gt;"X",$F587&lt;&gt;"Réalisé",$F587&lt;&gt;"Clôturé"),"RETARD",""))</f>
        <v/>
      </c>
      <c r="L587">
        <f>IF(OR($B587="",NOT(ISNUMBER($D587))),"",IF(AND($D587&gt;=$D$2,$D587&lt;=$H$2,$G587&lt;&gt;"X",$F587&lt;&gt;"Réalisé",$F587&lt;&gt;"Clôturé"),"≤ 7 j",""))</f>
        <v/>
      </c>
      <c r="M587" s="29">
        <f>IF($B587="","",IFERROR(INDEX($T$4:$T$3183,MATCH(SMALL($V$4:$V$3183,584),$V$4:$V$3183,0)),""))</f>
        <v/>
      </c>
      <c r="O587">
        <f>IF(INDEX(Suivi!$B:$B,599)="","",INDEX(Suivi!$B:$B,599))</f>
        <v/>
      </c>
      <c r="P587">
        <f>IF($O587="","",IF(INDEX(Suivi!$D:$D,599)="",INDEX(Suivi!$C:$C,599),INDEX(Suivi!$D:$D,599)))</f>
        <v/>
      </c>
      <c r="Q587">
        <f>IF($O587="","",INDEX(Suivi!$E:$E,599))</f>
        <v/>
      </c>
      <c r="R587">
        <f>IF($O587="","",INDEX(Suivi!$F:$F,599))</f>
        <v/>
      </c>
      <c r="S587">
        <f>IF($O587="","",INDEX(Suivi!$G:$G,599))</f>
        <v/>
      </c>
      <c r="T587">
        <f>IF($O587="","",IF(INDEX(Dossiers!$F$4:$F$63,12)="","",INDEX(Dossiers!$F$4:$F$63,12)))</f>
        <v/>
      </c>
      <c r="U587">
        <f>IF($O587="","",IF(INDEX(Dossiers!$G$4:$G$63,12)="","",INDEX(Dossiers!$G$4:$G$63,12)))</f>
        <v/>
      </c>
      <c r="V587">
        <f>IF(OR($O587="",NOT(ISNUMBER($Q587))),"",$Q587*1000000+587)</f>
        <v/>
      </c>
      <c r="W587" s="29">
        <f>IF($B587="","",IFERROR(INDEX($U$4:$U$3183,MATCH(SMALL($V$4:$V$3183,584),$V$4:$V$3183,0)),""))</f>
        <v/>
      </c>
    </row>
    <row r="588">
      <c r="A588">
        <f>IFERROR(INDEX($N$4:$N$3183,MATCH(SMALL($V$4:$V$3183,585),$V$4:$V$3183,0)),"")</f>
        <v/>
      </c>
      <c r="B588">
        <f>IFERROR(INDEX($O$4:$O$3183,MATCH(SMALL($V$4:$V$3183,585),$V$4:$V$3183,0)),"")</f>
        <v/>
      </c>
      <c r="C588">
        <f>IFERROR(INDEX($P$4:$P$3183,MATCH(SMALL($V$4:$V$3183,585),$V$4:$V$3183,0)),"")</f>
        <v/>
      </c>
      <c r="D588" s="29">
        <f>IFERROR(INDEX($Q$4:$Q$3183,MATCH(SMALL($V$4:$V$3183,585),$V$4:$V$3183,0)),"")</f>
        <v/>
      </c>
      <c r="E588" s="29">
        <f>IFERROR(INDEX($R$4:$R$3183,MATCH(SMALL($V$4:$V$3183,585),$V$4:$V$3183,0)),"")</f>
        <v/>
      </c>
      <c r="F588">
        <f>IFERROR(INDEX($S$4:$S$3183,MATCH(SMALL($V$4:$V$3183,585),$V$4:$V$3183,0)),"")</f>
        <v/>
      </c>
      <c r="I588" s="29">
        <f>IF($B588="","",IFERROR(INDEX($U$4:$U$3183,MATCH(SMALL($V$4:$V$3183,585),$V$4:$V$3183,0)),""))</f>
        <v/>
      </c>
      <c r="J588">
        <f>IF($B588="","",IF($D588&gt;$F$2,"À venir",IF($E588&lt;$D$2,"Passé","Dans la période")))</f>
        <v/>
      </c>
      <c r="K588">
        <f>IF(OR($B588="",NOT(ISNUMBER($D588))),"",IF(AND($E588&lt;$D$2,$G588&lt;&gt;"X",$F588&lt;&gt;"Réalisé",$F588&lt;&gt;"Clôturé"),"RETARD",""))</f>
        <v/>
      </c>
      <c r="L588">
        <f>IF(OR($B588="",NOT(ISNUMBER($D588))),"",IF(AND($D588&gt;=$D$2,$D588&lt;=$H$2,$G588&lt;&gt;"X",$F588&lt;&gt;"Réalisé",$F588&lt;&gt;"Clôturé"),"≤ 7 j",""))</f>
        <v/>
      </c>
      <c r="M588" s="29">
        <f>IF($B588="","",IFERROR(INDEX($T$4:$T$3183,MATCH(SMALL($V$4:$V$3183,585),$V$4:$V$3183,0)),""))</f>
        <v/>
      </c>
      <c r="O588">
        <f>IF(INDEX(Suivi!$B:$B,600)="","",INDEX(Suivi!$B:$B,600))</f>
        <v/>
      </c>
      <c r="P588">
        <f>IF($O588="","",IF(INDEX(Suivi!$D:$D,600)="",INDEX(Suivi!$C:$C,600),INDEX(Suivi!$D:$D,600)))</f>
        <v/>
      </c>
      <c r="Q588">
        <f>IF($O588="","",INDEX(Suivi!$E:$E,600))</f>
        <v/>
      </c>
      <c r="R588">
        <f>IF($O588="","",INDEX(Suivi!$F:$F,600))</f>
        <v/>
      </c>
      <c r="S588">
        <f>IF($O588="","",INDEX(Suivi!$G:$G,600))</f>
        <v/>
      </c>
      <c r="T588">
        <f>IF($O588="","",IF(INDEX(Dossiers!$F$4:$F$63,12)="","",INDEX(Dossiers!$F$4:$F$63,12)))</f>
        <v/>
      </c>
      <c r="U588">
        <f>IF($O588="","",IF(INDEX(Dossiers!$G$4:$G$63,12)="","",INDEX(Dossiers!$G$4:$G$63,12)))</f>
        <v/>
      </c>
      <c r="V588">
        <f>IF(OR($O588="",NOT(ISNUMBER($Q588))),"",$Q588*1000000+588)</f>
        <v/>
      </c>
      <c r="W588" s="29">
        <f>IF($B588="","",IFERROR(INDEX($U$4:$U$3183,MATCH(SMALL($V$4:$V$3183,585),$V$4:$V$3183,0)),""))</f>
        <v/>
      </c>
    </row>
    <row r="589">
      <c r="A589">
        <f>IFERROR(INDEX($N$4:$N$3183,MATCH(SMALL($V$4:$V$3183,586),$V$4:$V$3183,0)),"")</f>
        <v/>
      </c>
      <c r="B589">
        <f>IFERROR(INDEX($O$4:$O$3183,MATCH(SMALL($V$4:$V$3183,586),$V$4:$V$3183,0)),"")</f>
        <v/>
      </c>
      <c r="C589">
        <f>IFERROR(INDEX($P$4:$P$3183,MATCH(SMALL($V$4:$V$3183,586),$V$4:$V$3183,0)),"")</f>
        <v/>
      </c>
      <c r="D589" s="29">
        <f>IFERROR(INDEX($Q$4:$Q$3183,MATCH(SMALL($V$4:$V$3183,586),$V$4:$V$3183,0)),"")</f>
        <v/>
      </c>
      <c r="E589" s="29">
        <f>IFERROR(INDEX($R$4:$R$3183,MATCH(SMALL($V$4:$V$3183,586),$V$4:$V$3183,0)),"")</f>
        <v/>
      </c>
      <c r="F589">
        <f>IFERROR(INDEX($S$4:$S$3183,MATCH(SMALL($V$4:$V$3183,586),$V$4:$V$3183,0)),"")</f>
        <v/>
      </c>
      <c r="I589" s="29">
        <f>IF($B589="","",IFERROR(INDEX($U$4:$U$3183,MATCH(SMALL($V$4:$V$3183,586),$V$4:$V$3183,0)),""))</f>
        <v/>
      </c>
      <c r="J589">
        <f>IF($B589="","",IF($D589&gt;$F$2,"À venir",IF($E589&lt;$D$2,"Passé","Dans la période")))</f>
        <v/>
      </c>
      <c r="K589">
        <f>IF(OR($B589="",NOT(ISNUMBER($D589))),"",IF(AND($E589&lt;$D$2,$G589&lt;&gt;"X",$F589&lt;&gt;"Réalisé",$F589&lt;&gt;"Clôturé"),"RETARD",""))</f>
        <v/>
      </c>
      <c r="L589">
        <f>IF(OR($B589="",NOT(ISNUMBER($D589))),"",IF(AND($D589&gt;=$D$2,$D589&lt;=$H$2,$G589&lt;&gt;"X",$F589&lt;&gt;"Réalisé",$F589&lt;&gt;"Clôturé"),"≤ 7 j",""))</f>
        <v/>
      </c>
      <c r="M589" s="29">
        <f>IF($B589="","",IFERROR(INDEX($T$4:$T$3183,MATCH(SMALL($V$4:$V$3183,586),$V$4:$V$3183,0)),""))</f>
        <v/>
      </c>
      <c r="O589">
        <f>IF(INDEX(Suivi!$B:$B,601)="","",INDEX(Suivi!$B:$B,601))</f>
        <v/>
      </c>
      <c r="P589">
        <f>IF($O589="","",IF(INDEX(Suivi!$D:$D,601)="",INDEX(Suivi!$C:$C,601),INDEX(Suivi!$D:$D,601)))</f>
        <v/>
      </c>
      <c r="Q589">
        <f>IF($O589="","",INDEX(Suivi!$E:$E,601))</f>
        <v/>
      </c>
      <c r="R589">
        <f>IF($O589="","",INDEX(Suivi!$F:$F,601))</f>
        <v/>
      </c>
      <c r="S589">
        <f>IF($O589="","",INDEX(Suivi!$G:$G,601))</f>
        <v/>
      </c>
      <c r="T589">
        <f>IF($O589="","",IF(INDEX(Dossiers!$F$4:$F$63,12)="","",INDEX(Dossiers!$F$4:$F$63,12)))</f>
        <v/>
      </c>
      <c r="U589">
        <f>IF($O589="","",IF(INDEX(Dossiers!$G$4:$G$63,12)="","",INDEX(Dossiers!$G$4:$G$63,12)))</f>
        <v/>
      </c>
      <c r="V589">
        <f>IF(OR($O589="",NOT(ISNUMBER($Q589))),"",$Q589*1000000+589)</f>
        <v/>
      </c>
      <c r="W589" s="29">
        <f>IF($B589="","",IFERROR(INDEX($U$4:$U$3183,MATCH(SMALL($V$4:$V$3183,586),$V$4:$V$3183,0)),""))</f>
        <v/>
      </c>
    </row>
    <row r="590">
      <c r="A590">
        <f>IFERROR(INDEX($N$4:$N$3183,MATCH(SMALL($V$4:$V$3183,587),$V$4:$V$3183,0)),"")</f>
        <v/>
      </c>
      <c r="B590">
        <f>IFERROR(INDEX($O$4:$O$3183,MATCH(SMALL($V$4:$V$3183,587),$V$4:$V$3183,0)),"")</f>
        <v/>
      </c>
      <c r="C590">
        <f>IFERROR(INDEX($P$4:$P$3183,MATCH(SMALL($V$4:$V$3183,587),$V$4:$V$3183,0)),"")</f>
        <v/>
      </c>
      <c r="D590" s="29">
        <f>IFERROR(INDEX($Q$4:$Q$3183,MATCH(SMALL($V$4:$V$3183,587),$V$4:$V$3183,0)),"")</f>
        <v/>
      </c>
      <c r="E590" s="29">
        <f>IFERROR(INDEX($R$4:$R$3183,MATCH(SMALL($V$4:$V$3183,587),$V$4:$V$3183,0)),"")</f>
        <v/>
      </c>
      <c r="F590">
        <f>IFERROR(INDEX($S$4:$S$3183,MATCH(SMALL($V$4:$V$3183,587),$V$4:$V$3183,0)),"")</f>
        <v/>
      </c>
      <c r="I590" s="29">
        <f>IF($B590="","",IFERROR(INDEX($U$4:$U$3183,MATCH(SMALL($V$4:$V$3183,587),$V$4:$V$3183,0)),""))</f>
        <v/>
      </c>
      <c r="J590">
        <f>IF($B590="","",IF($D590&gt;$F$2,"À venir",IF($E590&lt;$D$2,"Passé","Dans la période")))</f>
        <v/>
      </c>
      <c r="K590">
        <f>IF(OR($B590="",NOT(ISNUMBER($D590))),"",IF(AND($E590&lt;$D$2,$G590&lt;&gt;"X",$F590&lt;&gt;"Réalisé",$F590&lt;&gt;"Clôturé"),"RETARD",""))</f>
        <v/>
      </c>
      <c r="L590">
        <f>IF(OR($B590="",NOT(ISNUMBER($D590))),"",IF(AND($D590&gt;=$D$2,$D590&lt;=$H$2,$G590&lt;&gt;"X",$F590&lt;&gt;"Réalisé",$F590&lt;&gt;"Clôturé"),"≤ 7 j",""))</f>
        <v/>
      </c>
      <c r="M590" s="29">
        <f>IF($B590="","",IFERROR(INDEX($T$4:$T$3183,MATCH(SMALL($V$4:$V$3183,587),$V$4:$V$3183,0)),""))</f>
        <v/>
      </c>
      <c r="O590">
        <f>IF(INDEX(Suivi!$B:$B,602)="","",INDEX(Suivi!$B:$B,602))</f>
        <v/>
      </c>
      <c r="P590">
        <f>IF($O590="","",IF(INDEX(Suivi!$D:$D,602)="",INDEX(Suivi!$C:$C,602),INDEX(Suivi!$D:$D,602)))</f>
        <v/>
      </c>
      <c r="Q590">
        <f>IF($O590="","",INDEX(Suivi!$E:$E,602))</f>
        <v/>
      </c>
      <c r="R590">
        <f>IF($O590="","",INDEX(Suivi!$F:$F,602))</f>
        <v/>
      </c>
      <c r="S590">
        <f>IF($O590="","",INDEX(Suivi!$G:$G,602))</f>
        <v/>
      </c>
      <c r="T590">
        <f>IF($O590="","",IF(INDEX(Dossiers!$F$4:$F$63,12)="","",INDEX(Dossiers!$F$4:$F$63,12)))</f>
        <v/>
      </c>
      <c r="U590">
        <f>IF($O590="","",IF(INDEX(Dossiers!$G$4:$G$63,12)="","",INDEX(Dossiers!$G$4:$G$63,12)))</f>
        <v/>
      </c>
      <c r="V590">
        <f>IF(OR($O590="",NOT(ISNUMBER($Q590))),"",$Q590*1000000+590)</f>
        <v/>
      </c>
      <c r="W590" s="29">
        <f>IF($B590="","",IFERROR(INDEX($U$4:$U$3183,MATCH(SMALL($V$4:$V$3183,587),$V$4:$V$3183,0)),""))</f>
        <v/>
      </c>
    </row>
    <row r="591">
      <c r="A591">
        <f>IFERROR(INDEX($N$4:$N$3183,MATCH(SMALL($V$4:$V$3183,588),$V$4:$V$3183,0)),"")</f>
        <v/>
      </c>
      <c r="B591">
        <f>IFERROR(INDEX($O$4:$O$3183,MATCH(SMALL($V$4:$V$3183,588),$V$4:$V$3183,0)),"")</f>
        <v/>
      </c>
      <c r="C591">
        <f>IFERROR(INDEX($P$4:$P$3183,MATCH(SMALL($V$4:$V$3183,588),$V$4:$V$3183,0)),"")</f>
        <v/>
      </c>
      <c r="D591" s="29">
        <f>IFERROR(INDEX($Q$4:$Q$3183,MATCH(SMALL($V$4:$V$3183,588),$V$4:$V$3183,0)),"")</f>
        <v/>
      </c>
      <c r="E591" s="29">
        <f>IFERROR(INDEX($R$4:$R$3183,MATCH(SMALL($V$4:$V$3183,588),$V$4:$V$3183,0)),"")</f>
        <v/>
      </c>
      <c r="F591">
        <f>IFERROR(INDEX($S$4:$S$3183,MATCH(SMALL($V$4:$V$3183,588),$V$4:$V$3183,0)),"")</f>
        <v/>
      </c>
      <c r="I591" s="29">
        <f>IF($B591="","",IFERROR(INDEX($U$4:$U$3183,MATCH(SMALL($V$4:$V$3183,588),$V$4:$V$3183,0)),""))</f>
        <v/>
      </c>
      <c r="J591">
        <f>IF($B591="","",IF($D591&gt;$F$2,"À venir",IF($E591&lt;$D$2,"Passé","Dans la période")))</f>
        <v/>
      </c>
      <c r="K591">
        <f>IF(OR($B591="",NOT(ISNUMBER($D591))),"",IF(AND($E591&lt;$D$2,$G591&lt;&gt;"X",$F591&lt;&gt;"Réalisé",$F591&lt;&gt;"Clôturé"),"RETARD",""))</f>
        <v/>
      </c>
      <c r="L591">
        <f>IF(OR($B591="",NOT(ISNUMBER($D591))),"",IF(AND($D591&gt;=$D$2,$D591&lt;=$H$2,$G591&lt;&gt;"X",$F591&lt;&gt;"Réalisé",$F591&lt;&gt;"Clôturé"),"≤ 7 j",""))</f>
        <v/>
      </c>
      <c r="M591" s="29">
        <f>IF($B591="","",IFERROR(INDEX($T$4:$T$3183,MATCH(SMALL($V$4:$V$3183,588),$V$4:$V$3183,0)),""))</f>
        <v/>
      </c>
      <c r="O591">
        <f>IF(INDEX(Suivi!$B:$B,603)="","",INDEX(Suivi!$B:$B,603))</f>
        <v/>
      </c>
      <c r="P591">
        <f>IF($O591="","",IF(INDEX(Suivi!$D:$D,603)="",INDEX(Suivi!$C:$C,603),INDEX(Suivi!$D:$D,603)))</f>
        <v/>
      </c>
      <c r="Q591">
        <f>IF($O591="","",INDEX(Suivi!$E:$E,603))</f>
        <v/>
      </c>
      <c r="R591">
        <f>IF($O591="","",INDEX(Suivi!$F:$F,603))</f>
        <v/>
      </c>
      <c r="S591">
        <f>IF($O591="","",INDEX(Suivi!$G:$G,603))</f>
        <v/>
      </c>
      <c r="T591">
        <f>IF($O591="","",IF(INDEX(Dossiers!$F$4:$F$63,12)="","",INDEX(Dossiers!$F$4:$F$63,12)))</f>
        <v/>
      </c>
      <c r="U591">
        <f>IF($O591="","",IF(INDEX(Dossiers!$G$4:$G$63,12)="","",INDEX(Dossiers!$G$4:$G$63,12)))</f>
        <v/>
      </c>
      <c r="V591">
        <f>IF(OR($O591="",NOT(ISNUMBER($Q591))),"",$Q591*1000000+591)</f>
        <v/>
      </c>
      <c r="W591" s="29">
        <f>IF($B591="","",IFERROR(INDEX($U$4:$U$3183,MATCH(SMALL($V$4:$V$3183,588),$V$4:$V$3183,0)),""))</f>
        <v/>
      </c>
    </row>
    <row r="592">
      <c r="A592">
        <f>IFERROR(INDEX($N$4:$N$3183,MATCH(SMALL($V$4:$V$3183,589),$V$4:$V$3183,0)),"")</f>
        <v/>
      </c>
      <c r="B592">
        <f>IFERROR(INDEX($O$4:$O$3183,MATCH(SMALL($V$4:$V$3183,589),$V$4:$V$3183,0)),"")</f>
        <v/>
      </c>
      <c r="C592">
        <f>IFERROR(INDEX($P$4:$P$3183,MATCH(SMALL($V$4:$V$3183,589),$V$4:$V$3183,0)),"")</f>
        <v/>
      </c>
      <c r="D592" s="29">
        <f>IFERROR(INDEX($Q$4:$Q$3183,MATCH(SMALL($V$4:$V$3183,589),$V$4:$V$3183,0)),"")</f>
        <v/>
      </c>
      <c r="E592" s="29">
        <f>IFERROR(INDEX($R$4:$R$3183,MATCH(SMALL($V$4:$V$3183,589),$V$4:$V$3183,0)),"")</f>
        <v/>
      </c>
      <c r="F592">
        <f>IFERROR(INDEX($S$4:$S$3183,MATCH(SMALL($V$4:$V$3183,589),$V$4:$V$3183,0)),"")</f>
        <v/>
      </c>
      <c r="I592" s="29">
        <f>IF($B592="","",IFERROR(INDEX($U$4:$U$3183,MATCH(SMALL($V$4:$V$3183,589),$V$4:$V$3183,0)),""))</f>
        <v/>
      </c>
      <c r="J592">
        <f>IF($B592="","",IF($D592&gt;$F$2,"À venir",IF($E592&lt;$D$2,"Passé","Dans la période")))</f>
        <v/>
      </c>
      <c r="K592">
        <f>IF(OR($B592="",NOT(ISNUMBER($D592))),"",IF(AND($E592&lt;$D$2,$G592&lt;&gt;"X",$F592&lt;&gt;"Réalisé",$F592&lt;&gt;"Clôturé"),"RETARD",""))</f>
        <v/>
      </c>
      <c r="L592">
        <f>IF(OR($B592="",NOT(ISNUMBER($D592))),"",IF(AND($D592&gt;=$D$2,$D592&lt;=$H$2,$G592&lt;&gt;"X",$F592&lt;&gt;"Réalisé",$F592&lt;&gt;"Clôturé"),"≤ 7 j",""))</f>
        <v/>
      </c>
      <c r="M592" s="29">
        <f>IF($B592="","",IFERROR(INDEX($T$4:$T$3183,MATCH(SMALL($V$4:$V$3183,589),$V$4:$V$3183,0)),""))</f>
        <v/>
      </c>
      <c r="O592">
        <f>IF(INDEX(Suivi!$B:$B,604)="","",INDEX(Suivi!$B:$B,604))</f>
        <v/>
      </c>
      <c r="P592">
        <f>IF($O592="","",IF(INDEX(Suivi!$D:$D,604)="",INDEX(Suivi!$C:$C,604),INDEX(Suivi!$D:$D,604)))</f>
        <v/>
      </c>
      <c r="Q592">
        <f>IF($O592="","",INDEX(Suivi!$E:$E,604))</f>
        <v/>
      </c>
      <c r="R592">
        <f>IF($O592="","",INDEX(Suivi!$F:$F,604))</f>
        <v/>
      </c>
      <c r="S592">
        <f>IF($O592="","",INDEX(Suivi!$G:$G,604))</f>
        <v/>
      </c>
      <c r="T592">
        <f>IF($O592="","",IF(INDEX(Dossiers!$F$4:$F$63,12)="","",INDEX(Dossiers!$F$4:$F$63,12)))</f>
        <v/>
      </c>
      <c r="U592">
        <f>IF($O592="","",IF(INDEX(Dossiers!$G$4:$G$63,12)="","",INDEX(Dossiers!$G$4:$G$63,12)))</f>
        <v/>
      </c>
      <c r="V592">
        <f>IF(OR($O592="",NOT(ISNUMBER($Q592))),"",$Q592*1000000+592)</f>
        <v/>
      </c>
      <c r="W592" s="29">
        <f>IF($B592="","",IFERROR(INDEX($U$4:$U$3183,MATCH(SMALL($V$4:$V$3183,589),$V$4:$V$3183,0)),""))</f>
        <v/>
      </c>
    </row>
    <row r="593">
      <c r="A593">
        <f>IFERROR(INDEX($N$4:$N$3183,MATCH(SMALL($V$4:$V$3183,590),$V$4:$V$3183,0)),"")</f>
        <v/>
      </c>
      <c r="B593">
        <f>IFERROR(INDEX($O$4:$O$3183,MATCH(SMALL($V$4:$V$3183,590),$V$4:$V$3183,0)),"")</f>
        <v/>
      </c>
      <c r="C593">
        <f>IFERROR(INDEX($P$4:$P$3183,MATCH(SMALL($V$4:$V$3183,590),$V$4:$V$3183,0)),"")</f>
        <v/>
      </c>
      <c r="D593" s="29">
        <f>IFERROR(INDEX($Q$4:$Q$3183,MATCH(SMALL($V$4:$V$3183,590),$V$4:$V$3183,0)),"")</f>
        <v/>
      </c>
      <c r="E593" s="29">
        <f>IFERROR(INDEX($R$4:$R$3183,MATCH(SMALL($V$4:$V$3183,590),$V$4:$V$3183,0)),"")</f>
        <v/>
      </c>
      <c r="F593">
        <f>IFERROR(INDEX($S$4:$S$3183,MATCH(SMALL($V$4:$V$3183,590),$V$4:$V$3183,0)),"")</f>
        <v/>
      </c>
      <c r="I593" s="29">
        <f>IF($B593="","",IFERROR(INDEX($U$4:$U$3183,MATCH(SMALL($V$4:$V$3183,590),$V$4:$V$3183,0)),""))</f>
        <v/>
      </c>
      <c r="J593">
        <f>IF($B593="","",IF($D593&gt;$F$2,"À venir",IF($E593&lt;$D$2,"Passé","Dans la période")))</f>
        <v/>
      </c>
      <c r="K593">
        <f>IF(OR($B593="",NOT(ISNUMBER($D593))),"",IF(AND($E593&lt;$D$2,$G593&lt;&gt;"X",$F593&lt;&gt;"Réalisé",$F593&lt;&gt;"Clôturé"),"RETARD",""))</f>
        <v/>
      </c>
      <c r="L593">
        <f>IF(OR($B593="",NOT(ISNUMBER($D593))),"",IF(AND($D593&gt;=$D$2,$D593&lt;=$H$2,$G593&lt;&gt;"X",$F593&lt;&gt;"Réalisé",$F593&lt;&gt;"Clôturé"),"≤ 7 j",""))</f>
        <v/>
      </c>
      <c r="M593" s="29">
        <f>IF($B593="","",IFERROR(INDEX($T$4:$T$3183,MATCH(SMALL($V$4:$V$3183,590),$V$4:$V$3183,0)),""))</f>
        <v/>
      </c>
      <c r="O593">
        <f>IF(INDEX(Suivi!$B:$B,605)="","",INDEX(Suivi!$B:$B,605))</f>
        <v/>
      </c>
      <c r="P593">
        <f>IF($O593="","",IF(INDEX(Suivi!$D:$D,605)="",INDEX(Suivi!$C:$C,605),INDEX(Suivi!$D:$D,605)))</f>
        <v/>
      </c>
      <c r="Q593">
        <f>IF($O593="","",INDEX(Suivi!$E:$E,605))</f>
        <v/>
      </c>
      <c r="R593">
        <f>IF($O593="","",INDEX(Suivi!$F:$F,605))</f>
        <v/>
      </c>
      <c r="S593">
        <f>IF($O593="","",INDEX(Suivi!$G:$G,605))</f>
        <v/>
      </c>
      <c r="T593">
        <f>IF($O593="","",IF(INDEX(Dossiers!$F$4:$F$63,12)="","",INDEX(Dossiers!$F$4:$F$63,12)))</f>
        <v/>
      </c>
      <c r="U593">
        <f>IF($O593="","",IF(INDEX(Dossiers!$G$4:$G$63,12)="","",INDEX(Dossiers!$G$4:$G$63,12)))</f>
        <v/>
      </c>
      <c r="V593">
        <f>IF(OR($O593="",NOT(ISNUMBER($Q593))),"",$Q593*1000000+593)</f>
        <v/>
      </c>
      <c r="W593" s="29">
        <f>IF($B593="","",IFERROR(INDEX($U$4:$U$3183,MATCH(SMALL($V$4:$V$3183,590),$V$4:$V$3183,0)),""))</f>
        <v/>
      </c>
    </row>
    <row r="594">
      <c r="A594">
        <f>IFERROR(INDEX($N$4:$N$3183,MATCH(SMALL($V$4:$V$3183,591),$V$4:$V$3183,0)),"")</f>
        <v/>
      </c>
      <c r="B594">
        <f>IFERROR(INDEX($O$4:$O$3183,MATCH(SMALL($V$4:$V$3183,591),$V$4:$V$3183,0)),"")</f>
        <v/>
      </c>
      <c r="C594">
        <f>IFERROR(INDEX($P$4:$P$3183,MATCH(SMALL($V$4:$V$3183,591),$V$4:$V$3183,0)),"")</f>
        <v/>
      </c>
      <c r="D594" s="29">
        <f>IFERROR(INDEX($Q$4:$Q$3183,MATCH(SMALL($V$4:$V$3183,591),$V$4:$V$3183,0)),"")</f>
        <v/>
      </c>
      <c r="E594" s="29">
        <f>IFERROR(INDEX($R$4:$R$3183,MATCH(SMALL($V$4:$V$3183,591),$V$4:$V$3183,0)),"")</f>
        <v/>
      </c>
      <c r="F594">
        <f>IFERROR(INDEX($S$4:$S$3183,MATCH(SMALL($V$4:$V$3183,591),$V$4:$V$3183,0)),"")</f>
        <v/>
      </c>
      <c r="I594" s="29">
        <f>IF($B594="","",IFERROR(INDEX($U$4:$U$3183,MATCH(SMALL($V$4:$V$3183,591),$V$4:$V$3183,0)),""))</f>
        <v/>
      </c>
      <c r="J594">
        <f>IF($B594="","",IF($D594&gt;$F$2,"À venir",IF($E594&lt;$D$2,"Passé","Dans la période")))</f>
        <v/>
      </c>
      <c r="K594">
        <f>IF(OR($B594="",NOT(ISNUMBER($D594))),"",IF(AND($E594&lt;$D$2,$G594&lt;&gt;"X",$F594&lt;&gt;"Réalisé",$F594&lt;&gt;"Clôturé"),"RETARD",""))</f>
        <v/>
      </c>
      <c r="L594">
        <f>IF(OR($B594="",NOT(ISNUMBER($D594))),"",IF(AND($D594&gt;=$D$2,$D594&lt;=$H$2,$G594&lt;&gt;"X",$F594&lt;&gt;"Réalisé",$F594&lt;&gt;"Clôturé"),"≤ 7 j",""))</f>
        <v/>
      </c>
      <c r="M594" s="29">
        <f>IF($B594="","",IFERROR(INDEX($T$4:$T$3183,MATCH(SMALL($V$4:$V$3183,591),$V$4:$V$3183,0)),""))</f>
        <v/>
      </c>
      <c r="O594">
        <f>IF(INDEX(Suivi!$B:$B,606)="","",INDEX(Suivi!$B:$B,606))</f>
        <v/>
      </c>
      <c r="P594">
        <f>IF($O594="","",IF(INDEX(Suivi!$D:$D,606)="",INDEX(Suivi!$C:$C,606),INDEX(Suivi!$D:$D,606)))</f>
        <v/>
      </c>
      <c r="Q594">
        <f>IF($O594="","",INDEX(Suivi!$E:$E,606))</f>
        <v/>
      </c>
      <c r="R594">
        <f>IF($O594="","",INDEX(Suivi!$F:$F,606))</f>
        <v/>
      </c>
      <c r="S594">
        <f>IF($O594="","",INDEX(Suivi!$G:$G,606))</f>
        <v/>
      </c>
      <c r="T594">
        <f>IF($O594="","",IF(INDEX(Dossiers!$F$4:$F$63,12)="","",INDEX(Dossiers!$F$4:$F$63,12)))</f>
        <v/>
      </c>
      <c r="U594">
        <f>IF($O594="","",IF(INDEX(Dossiers!$G$4:$G$63,12)="","",INDEX(Dossiers!$G$4:$G$63,12)))</f>
        <v/>
      </c>
      <c r="V594">
        <f>IF(OR($O594="",NOT(ISNUMBER($Q594))),"",$Q594*1000000+594)</f>
        <v/>
      </c>
      <c r="W594" s="29">
        <f>IF($B594="","",IFERROR(INDEX($U$4:$U$3183,MATCH(SMALL($V$4:$V$3183,591),$V$4:$V$3183,0)),""))</f>
        <v/>
      </c>
    </row>
    <row r="595">
      <c r="A595">
        <f>IFERROR(INDEX($N$4:$N$3183,MATCH(SMALL($V$4:$V$3183,592),$V$4:$V$3183,0)),"")</f>
        <v/>
      </c>
      <c r="B595">
        <f>IFERROR(INDEX($O$4:$O$3183,MATCH(SMALL($V$4:$V$3183,592),$V$4:$V$3183,0)),"")</f>
        <v/>
      </c>
      <c r="C595">
        <f>IFERROR(INDEX($P$4:$P$3183,MATCH(SMALL($V$4:$V$3183,592),$V$4:$V$3183,0)),"")</f>
        <v/>
      </c>
      <c r="D595" s="29">
        <f>IFERROR(INDEX($Q$4:$Q$3183,MATCH(SMALL($V$4:$V$3183,592),$V$4:$V$3183,0)),"")</f>
        <v/>
      </c>
      <c r="E595" s="29">
        <f>IFERROR(INDEX($R$4:$R$3183,MATCH(SMALL($V$4:$V$3183,592),$V$4:$V$3183,0)),"")</f>
        <v/>
      </c>
      <c r="F595">
        <f>IFERROR(INDEX($S$4:$S$3183,MATCH(SMALL($V$4:$V$3183,592),$V$4:$V$3183,0)),"")</f>
        <v/>
      </c>
      <c r="I595" s="29">
        <f>IF($B595="","",IFERROR(INDEX($U$4:$U$3183,MATCH(SMALL($V$4:$V$3183,592),$V$4:$V$3183,0)),""))</f>
        <v/>
      </c>
      <c r="J595">
        <f>IF($B595="","",IF($D595&gt;$F$2,"À venir",IF($E595&lt;$D$2,"Passé","Dans la période")))</f>
        <v/>
      </c>
      <c r="K595">
        <f>IF(OR($B595="",NOT(ISNUMBER($D595))),"",IF(AND($E595&lt;$D$2,$G595&lt;&gt;"X",$F595&lt;&gt;"Réalisé",$F595&lt;&gt;"Clôturé"),"RETARD",""))</f>
        <v/>
      </c>
      <c r="L595">
        <f>IF(OR($B595="",NOT(ISNUMBER($D595))),"",IF(AND($D595&gt;=$D$2,$D595&lt;=$H$2,$G595&lt;&gt;"X",$F595&lt;&gt;"Réalisé",$F595&lt;&gt;"Clôturé"),"≤ 7 j",""))</f>
        <v/>
      </c>
      <c r="M595" s="29">
        <f>IF($B595="","",IFERROR(INDEX($T$4:$T$3183,MATCH(SMALL($V$4:$V$3183,592),$V$4:$V$3183,0)),""))</f>
        <v/>
      </c>
      <c r="O595">
        <f>IF(INDEX(Suivi!$B:$B,607)="","",INDEX(Suivi!$B:$B,607))</f>
        <v/>
      </c>
      <c r="P595">
        <f>IF($O595="","",IF(INDEX(Suivi!$D:$D,607)="",INDEX(Suivi!$C:$C,607),INDEX(Suivi!$D:$D,607)))</f>
        <v/>
      </c>
      <c r="Q595">
        <f>IF($O595="","",INDEX(Suivi!$E:$E,607))</f>
        <v/>
      </c>
      <c r="R595">
        <f>IF($O595="","",INDEX(Suivi!$F:$F,607))</f>
        <v/>
      </c>
      <c r="S595">
        <f>IF($O595="","",INDEX(Suivi!$G:$G,607))</f>
        <v/>
      </c>
      <c r="T595">
        <f>IF($O595="","",IF(INDEX(Dossiers!$F$4:$F$63,12)="","",INDEX(Dossiers!$F$4:$F$63,12)))</f>
        <v/>
      </c>
      <c r="U595">
        <f>IF($O595="","",IF(INDEX(Dossiers!$G$4:$G$63,12)="","",INDEX(Dossiers!$G$4:$G$63,12)))</f>
        <v/>
      </c>
      <c r="V595">
        <f>IF(OR($O595="",NOT(ISNUMBER($Q595))),"",$Q595*1000000+595)</f>
        <v/>
      </c>
      <c r="W595" s="29">
        <f>IF($B595="","",IFERROR(INDEX($U$4:$U$3183,MATCH(SMALL($V$4:$V$3183,592),$V$4:$V$3183,0)),""))</f>
        <v/>
      </c>
    </row>
    <row r="596">
      <c r="A596">
        <f>IFERROR(INDEX($N$4:$N$3183,MATCH(SMALL($V$4:$V$3183,593),$V$4:$V$3183,0)),"")</f>
        <v/>
      </c>
      <c r="B596">
        <f>IFERROR(INDEX($O$4:$O$3183,MATCH(SMALL($V$4:$V$3183,593),$V$4:$V$3183,0)),"")</f>
        <v/>
      </c>
      <c r="C596">
        <f>IFERROR(INDEX($P$4:$P$3183,MATCH(SMALL($V$4:$V$3183,593),$V$4:$V$3183,0)),"")</f>
        <v/>
      </c>
      <c r="D596" s="29">
        <f>IFERROR(INDEX($Q$4:$Q$3183,MATCH(SMALL($V$4:$V$3183,593),$V$4:$V$3183,0)),"")</f>
        <v/>
      </c>
      <c r="E596" s="29">
        <f>IFERROR(INDEX($R$4:$R$3183,MATCH(SMALL($V$4:$V$3183,593),$V$4:$V$3183,0)),"")</f>
        <v/>
      </c>
      <c r="F596">
        <f>IFERROR(INDEX($S$4:$S$3183,MATCH(SMALL($V$4:$V$3183,593),$V$4:$V$3183,0)),"")</f>
        <v/>
      </c>
      <c r="I596" s="29">
        <f>IF($B596="","",IFERROR(INDEX($U$4:$U$3183,MATCH(SMALL($V$4:$V$3183,593),$V$4:$V$3183,0)),""))</f>
        <v/>
      </c>
      <c r="J596">
        <f>IF($B596="","",IF($D596&gt;$F$2,"À venir",IF($E596&lt;$D$2,"Passé","Dans la période")))</f>
        <v/>
      </c>
      <c r="K596">
        <f>IF(OR($B596="",NOT(ISNUMBER($D596))),"",IF(AND($E596&lt;$D$2,$G596&lt;&gt;"X",$F596&lt;&gt;"Réalisé",$F596&lt;&gt;"Clôturé"),"RETARD",""))</f>
        <v/>
      </c>
      <c r="L596">
        <f>IF(OR($B596="",NOT(ISNUMBER($D596))),"",IF(AND($D596&gt;=$D$2,$D596&lt;=$H$2,$G596&lt;&gt;"X",$F596&lt;&gt;"Réalisé",$F596&lt;&gt;"Clôturé"),"≤ 7 j",""))</f>
        <v/>
      </c>
      <c r="M596" s="29">
        <f>IF($B596="","",IFERROR(INDEX($T$4:$T$3183,MATCH(SMALL($V$4:$V$3183,593),$V$4:$V$3183,0)),""))</f>
        <v/>
      </c>
      <c r="O596">
        <f>IF(INDEX(Suivi!$B:$B,608)="","",INDEX(Suivi!$B:$B,608))</f>
        <v/>
      </c>
      <c r="P596">
        <f>IF($O596="","",IF(INDEX(Suivi!$D:$D,608)="",INDEX(Suivi!$C:$C,608),INDEX(Suivi!$D:$D,608)))</f>
        <v/>
      </c>
      <c r="Q596">
        <f>IF($O596="","",INDEX(Suivi!$E:$E,608))</f>
        <v/>
      </c>
      <c r="R596">
        <f>IF($O596="","",INDEX(Suivi!$F:$F,608))</f>
        <v/>
      </c>
      <c r="S596">
        <f>IF($O596="","",INDEX(Suivi!$G:$G,608))</f>
        <v/>
      </c>
      <c r="T596">
        <f>IF($O596="","",IF(INDEX(Dossiers!$F$4:$F$63,12)="","",INDEX(Dossiers!$F$4:$F$63,12)))</f>
        <v/>
      </c>
      <c r="U596">
        <f>IF($O596="","",IF(INDEX(Dossiers!$G$4:$G$63,12)="","",INDEX(Dossiers!$G$4:$G$63,12)))</f>
        <v/>
      </c>
      <c r="V596">
        <f>IF(OR($O596="",NOT(ISNUMBER($Q596))),"",$Q596*1000000+596)</f>
        <v/>
      </c>
      <c r="W596" s="29">
        <f>IF($B596="","",IFERROR(INDEX($U$4:$U$3183,MATCH(SMALL($V$4:$V$3183,593),$V$4:$V$3183,0)),""))</f>
        <v/>
      </c>
    </row>
    <row r="597">
      <c r="A597">
        <f>IFERROR(INDEX($N$4:$N$3183,MATCH(SMALL($V$4:$V$3183,594),$V$4:$V$3183,0)),"")</f>
        <v/>
      </c>
      <c r="B597">
        <f>IFERROR(INDEX($O$4:$O$3183,MATCH(SMALL($V$4:$V$3183,594),$V$4:$V$3183,0)),"")</f>
        <v/>
      </c>
      <c r="C597">
        <f>IFERROR(INDEX($P$4:$P$3183,MATCH(SMALL($V$4:$V$3183,594),$V$4:$V$3183,0)),"")</f>
        <v/>
      </c>
      <c r="D597" s="29">
        <f>IFERROR(INDEX($Q$4:$Q$3183,MATCH(SMALL($V$4:$V$3183,594),$V$4:$V$3183,0)),"")</f>
        <v/>
      </c>
      <c r="E597" s="29">
        <f>IFERROR(INDEX($R$4:$R$3183,MATCH(SMALL($V$4:$V$3183,594),$V$4:$V$3183,0)),"")</f>
        <v/>
      </c>
      <c r="F597">
        <f>IFERROR(INDEX($S$4:$S$3183,MATCH(SMALL($V$4:$V$3183,594),$V$4:$V$3183,0)),"")</f>
        <v/>
      </c>
      <c r="I597" s="29">
        <f>IF($B597="","",IFERROR(INDEX($U$4:$U$3183,MATCH(SMALL($V$4:$V$3183,594),$V$4:$V$3183,0)),""))</f>
        <v/>
      </c>
      <c r="J597">
        <f>IF($B597="","",IF($D597&gt;$F$2,"À venir",IF($E597&lt;$D$2,"Passé","Dans la période")))</f>
        <v/>
      </c>
      <c r="K597">
        <f>IF(OR($B597="",NOT(ISNUMBER($D597))),"",IF(AND($E597&lt;$D$2,$G597&lt;&gt;"X",$F597&lt;&gt;"Réalisé",$F597&lt;&gt;"Clôturé"),"RETARD",""))</f>
        <v/>
      </c>
      <c r="L597">
        <f>IF(OR($B597="",NOT(ISNUMBER($D597))),"",IF(AND($D597&gt;=$D$2,$D597&lt;=$H$2,$G597&lt;&gt;"X",$F597&lt;&gt;"Réalisé",$F597&lt;&gt;"Clôturé"),"≤ 7 j",""))</f>
        <v/>
      </c>
      <c r="M597" s="29">
        <f>IF($B597="","",IFERROR(INDEX($T$4:$T$3183,MATCH(SMALL($V$4:$V$3183,594),$V$4:$V$3183,0)),""))</f>
        <v/>
      </c>
      <c r="O597">
        <f>IF(INDEX(Suivi!$B:$B,609)="","",INDEX(Suivi!$B:$B,609))</f>
        <v/>
      </c>
      <c r="P597">
        <f>IF($O597="","",IF(INDEX(Suivi!$D:$D,609)="",INDEX(Suivi!$C:$C,609),INDEX(Suivi!$D:$D,609)))</f>
        <v/>
      </c>
      <c r="Q597">
        <f>IF($O597="","",INDEX(Suivi!$E:$E,609))</f>
        <v/>
      </c>
      <c r="R597">
        <f>IF($O597="","",INDEX(Suivi!$F:$F,609))</f>
        <v/>
      </c>
      <c r="S597">
        <f>IF($O597="","",INDEX(Suivi!$G:$G,609))</f>
        <v/>
      </c>
      <c r="T597">
        <f>IF($O597="","",IF(INDEX(Dossiers!$F$4:$F$63,12)="","",INDEX(Dossiers!$F$4:$F$63,12)))</f>
        <v/>
      </c>
      <c r="U597">
        <f>IF($O597="","",IF(INDEX(Dossiers!$G$4:$G$63,12)="","",INDEX(Dossiers!$G$4:$G$63,12)))</f>
        <v/>
      </c>
      <c r="V597">
        <f>IF(OR($O597="",NOT(ISNUMBER($Q597))),"",$Q597*1000000+597)</f>
        <v/>
      </c>
      <c r="W597" s="29">
        <f>IF($B597="","",IFERROR(INDEX($U$4:$U$3183,MATCH(SMALL($V$4:$V$3183,594),$V$4:$V$3183,0)),""))</f>
        <v/>
      </c>
    </row>
    <row r="598">
      <c r="A598">
        <f>IFERROR(INDEX($N$4:$N$3183,MATCH(SMALL($V$4:$V$3183,595),$V$4:$V$3183,0)),"")</f>
        <v/>
      </c>
      <c r="B598">
        <f>IFERROR(INDEX($O$4:$O$3183,MATCH(SMALL($V$4:$V$3183,595),$V$4:$V$3183,0)),"")</f>
        <v/>
      </c>
      <c r="C598">
        <f>IFERROR(INDEX($P$4:$P$3183,MATCH(SMALL($V$4:$V$3183,595),$V$4:$V$3183,0)),"")</f>
        <v/>
      </c>
      <c r="D598" s="29">
        <f>IFERROR(INDEX($Q$4:$Q$3183,MATCH(SMALL($V$4:$V$3183,595),$V$4:$V$3183,0)),"")</f>
        <v/>
      </c>
      <c r="E598" s="29">
        <f>IFERROR(INDEX($R$4:$R$3183,MATCH(SMALL($V$4:$V$3183,595),$V$4:$V$3183,0)),"")</f>
        <v/>
      </c>
      <c r="F598">
        <f>IFERROR(INDEX($S$4:$S$3183,MATCH(SMALL($V$4:$V$3183,595),$V$4:$V$3183,0)),"")</f>
        <v/>
      </c>
      <c r="I598" s="29">
        <f>IF($B598="","",IFERROR(INDEX($U$4:$U$3183,MATCH(SMALL($V$4:$V$3183,595),$V$4:$V$3183,0)),""))</f>
        <v/>
      </c>
      <c r="J598">
        <f>IF($B598="","",IF($D598&gt;$F$2,"À venir",IF($E598&lt;$D$2,"Passé","Dans la période")))</f>
        <v/>
      </c>
      <c r="K598">
        <f>IF(OR($B598="",NOT(ISNUMBER($D598))),"",IF(AND($E598&lt;$D$2,$G598&lt;&gt;"X",$F598&lt;&gt;"Réalisé",$F598&lt;&gt;"Clôturé"),"RETARD",""))</f>
        <v/>
      </c>
      <c r="L598">
        <f>IF(OR($B598="",NOT(ISNUMBER($D598))),"",IF(AND($D598&gt;=$D$2,$D598&lt;=$H$2,$G598&lt;&gt;"X",$F598&lt;&gt;"Réalisé",$F598&lt;&gt;"Clôturé"),"≤ 7 j",""))</f>
        <v/>
      </c>
      <c r="M598" s="29">
        <f>IF($B598="","",IFERROR(INDEX($T$4:$T$3183,MATCH(SMALL($V$4:$V$3183,595),$V$4:$V$3183,0)),""))</f>
        <v/>
      </c>
      <c r="O598">
        <f>IF(INDEX(Suivi!$B:$B,610)="","",INDEX(Suivi!$B:$B,610))</f>
        <v/>
      </c>
      <c r="P598">
        <f>IF($O598="","",IF(INDEX(Suivi!$D:$D,610)="",INDEX(Suivi!$C:$C,610),INDEX(Suivi!$D:$D,610)))</f>
        <v/>
      </c>
      <c r="Q598">
        <f>IF($O598="","",INDEX(Suivi!$E:$E,610))</f>
        <v/>
      </c>
      <c r="R598">
        <f>IF($O598="","",INDEX(Suivi!$F:$F,610))</f>
        <v/>
      </c>
      <c r="S598">
        <f>IF($O598="","",INDEX(Suivi!$G:$G,610))</f>
        <v/>
      </c>
      <c r="T598">
        <f>IF($O598="","",IF(INDEX(Dossiers!$F$4:$F$63,12)="","",INDEX(Dossiers!$F$4:$F$63,12)))</f>
        <v/>
      </c>
      <c r="U598">
        <f>IF($O598="","",IF(INDEX(Dossiers!$G$4:$G$63,12)="","",INDEX(Dossiers!$G$4:$G$63,12)))</f>
        <v/>
      </c>
      <c r="V598">
        <f>IF(OR($O598="",NOT(ISNUMBER($Q598))),"",$Q598*1000000+598)</f>
        <v/>
      </c>
      <c r="W598" s="29">
        <f>IF($B598="","",IFERROR(INDEX($U$4:$U$3183,MATCH(SMALL($V$4:$V$3183,595),$V$4:$V$3183,0)),""))</f>
        <v/>
      </c>
    </row>
    <row r="599">
      <c r="A599">
        <f>IFERROR(INDEX($N$4:$N$3183,MATCH(SMALL($V$4:$V$3183,596),$V$4:$V$3183,0)),"")</f>
        <v/>
      </c>
      <c r="B599">
        <f>IFERROR(INDEX($O$4:$O$3183,MATCH(SMALL($V$4:$V$3183,596),$V$4:$V$3183,0)),"")</f>
        <v/>
      </c>
      <c r="C599">
        <f>IFERROR(INDEX($P$4:$P$3183,MATCH(SMALL($V$4:$V$3183,596),$V$4:$V$3183,0)),"")</f>
        <v/>
      </c>
      <c r="D599" s="29">
        <f>IFERROR(INDEX($Q$4:$Q$3183,MATCH(SMALL($V$4:$V$3183,596),$V$4:$V$3183,0)),"")</f>
        <v/>
      </c>
      <c r="E599" s="29">
        <f>IFERROR(INDEX($R$4:$R$3183,MATCH(SMALL($V$4:$V$3183,596),$V$4:$V$3183,0)),"")</f>
        <v/>
      </c>
      <c r="F599">
        <f>IFERROR(INDEX($S$4:$S$3183,MATCH(SMALL($V$4:$V$3183,596),$V$4:$V$3183,0)),"")</f>
        <v/>
      </c>
      <c r="I599" s="29">
        <f>IF($B599="","",IFERROR(INDEX($U$4:$U$3183,MATCH(SMALL($V$4:$V$3183,596),$V$4:$V$3183,0)),""))</f>
        <v/>
      </c>
      <c r="J599">
        <f>IF($B599="","",IF($D599&gt;$F$2,"À venir",IF($E599&lt;$D$2,"Passé","Dans la période")))</f>
        <v/>
      </c>
      <c r="K599">
        <f>IF(OR($B599="",NOT(ISNUMBER($D599))),"",IF(AND($E599&lt;$D$2,$G599&lt;&gt;"X",$F599&lt;&gt;"Réalisé",$F599&lt;&gt;"Clôturé"),"RETARD",""))</f>
        <v/>
      </c>
      <c r="L599">
        <f>IF(OR($B599="",NOT(ISNUMBER($D599))),"",IF(AND($D599&gt;=$D$2,$D599&lt;=$H$2,$G599&lt;&gt;"X",$F599&lt;&gt;"Réalisé",$F599&lt;&gt;"Clôturé"),"≤ 7 j",""))</f>
        <v/>
      </c>
      <c r="M599" s="29">
        <f>IF($B599="","",IFERROR(INDEX($T$4:$T$3183,MATCH(SMALL($V$4:$V$3183,596),$V$4:$V$3183,0)),""))</f>
        <v/>
      </c>
      <c r="O599">
        <f>IF(INDEX(Suivi!$B:$B,611)="","",INDEX(Suivi!$B:$B,611))</f>
        <v/>
      </c>
      <c r="P599">
        <f>IF($O599="","",IF(INDEX(Suivi!$D:$D,611)="",INDEX(Suivi!$C:$C,611),INDEX(Suivi!$D:$D,611)))</f>
        <v/>
      </c>
      <c r="Q599">
        <f>IF($O599="","",INDEX(Suivi!$E:$E,611))</f>
        <v/>
      </c>
      <c r="R599">
        <f>IF($O599="","",INDEX(Suivi!$F:$F,611))</f>
        <v/>
      </c>
      <c r="S599">
        <f>IF($O599="","",INDEX(Suivi!$G:$G,611))</f>
        <v/>
      </c>
      <c r="T599">
        <f>IF($O599="","",IF(INDEX(Dossiers!$F$4:$F$63,12)="","",INDEX(Dossiers!$F$4:$F$63,12)))</f>
        <v/>
      </c>
      <c r="U599">
        <f>IF($O599="","",IF(INDEX(Dossiers!$G$4:$G$63,12)="","",INDEX(Dossiers!$G$4:$G$63,12)))</f>
        <v/>
      </c>
      <c r="V599">
        <f>IF(OR($O599="",NOT(ISNUMBER($Q599))),"",$Q599*1000000+599)</f>
        <v/>
      </c>
      <c r="W599" s="29">
        <f>IF($B599="","",IFERROR(INDEX($U$4:$U$3183,MATCH(SMALL($V$4:$V$3183,596),$V$4:$V$3183,0)),""))</f>
        <v/>
      </c>
    </row>
    <row r="600">
      <c r="A600">
        <f>IFERROR(INDEX($N$4:$N$3183,MATCH(SMALL($V$4:$V$3183,597),$V$4:$V$3183,0)),"")</f>
        <v/>
      </c>
      <c r="B600">
        <f>IFERROR(INDEX($O$4:$O$3183,MATCH(SMALL($V$4:$V$3183,597),$V$4:$V$3183,0)),"")</f>
        <v/>
      </c>
      <c r="C600">
        <f>IFERROR(INDEX($P$4:$P$3183,MATCH(SMALL($V$4:$V$3183,597),$V$4:$V$3183,0)),"")</f>
        <v/>
      </c>
      <c r="D600" s="29">
        <f>IFERROR(INDEX($Q$4:$Q$3183,MATCH(SMALL($V$4:$V$3183,597),$V$4:$V$3183,0)),"")</f>
        <v/>
      </c>
      <c r="E600" s="29">
        <f>IFERROR(INDEX($R$4:$R$3183,MATCH(SMALL($V$4:$V$3183,597),$V$4:$V$3183,0)),"")</f>
        <v/>
      </c>
      <c r="F600">
        <f>IFERROR(INDEX($S$4:$S$3183,MATCH(SMALL($V$4:$V$3183,597),$V$4:$V$3183,0)),"")</f>
        <v/>
      </c>
      <c r="I600" s="29">
        <f>IF($B600="","",IFERROR(INDEX($U$4:$U$3183,MATCH(SMALL($V$4:$V$3183,597),$V$4:$V$3183,0)),""))</f>
        <v/>
      </c>
      <c r="J600">
        <f>IF($B600="","",IF($D600&gt;$F$2,"À venir",IF($E600&lt;$D$2,"Passé","Dans la période")))</f>
        <v/>
      </c>
      <c r="K600">
        <f>IF(OR($B600="",NOT(ISNUMBER($D600))),"",IF(AND($E600&lt;$D$2,$G600&lt;&gt;"X",$F600&lt;&gt;"Réalisé",$F600&lt;&gt;"Clôturé"),"RETARD",""))</f>
        <v/>
      </c>
      <c r="L600">
        <f>IF(OR($B600="",NOT(ISNUMBER($D600))),"",IF(AND($D600&gt;=$D$2,$D600&lt;=$H$2,$G600&lt;&gt;"X",$F600&lt;&gt;"Réalisé",$F600&lt;&gt;"Clôturé"),"≤ 7 j",""))</f>
        <v/>
      </c>
      <c r="M600" s="29">
        <f>IF($B600="","",IFERROR(INDEX($T$4:$T$3183,MATCH(SMALL($V$4:$V$3183,597),$V$4:$V$3183,0)),""))</f>
        <v/>
      </c>
      <c r="O600">
        <f>IF(INDEX(Suivi!$B:$B,612)="","",INDEX(Suivi!$B:$B,612))</f>
        <v/>
      </c>
      <c r="P600">
        <f>IF($O600="","",IF(INDEX(Suivi!$D:$D,612)="",INDEX(Suivi!$C:$C,612),INDEX(Suivi!$D:$D,612)))</f>
        <v/>
      </c>
      <c r="Q600">
        <f>IF($O600="","",INDEX(Suivi!$E:$E,612))</f>
        <v/>
      </c>
      <c r="R600">
        <f>IF($O600="","",INDEX(Suivi!$F:$F,612))</f>
        <v/>
      </c>
      <c r="S600">
        <f>IF($O600="","",INDEX(Suivi!$G:$G,612))</f>
        <v/>
      </c>
      <c r="T600">
        <f>IF($O600="","",IF(INDEX(Dossiers!$F$4:$F$63,12)="","",INDEX(Dossiers!$F$4:$F$63,12)))</f>
        <v/>
      </c>
      <c r="U600">
        <f>IF($O600="","",IF(INDEX(Dossiers!$G$4:$G$63,12)="","",INDEX(Dossiers!$G$4:$G$63,12)))</f>
        <v/>
      </c>
      <c r="V600">
        <f>IF(OR($O600="",NOT(ISNUMBER($Q600))),"",$Q600*1000000+600)</f>
        <v/>
      </c>
      <c r="W600" s="29">
        <f>IF($B600="","",IFERROR(INDEX($U$4:$U$3183,MATCH(SMALL($V$4:$V$3183,597),$V$4:$V$3183,0)),""))</f>
        <v/>
      </c>
    </row>
    <row r="601">
      <c r="A601">
        <f>IFERROR(INDEX($N$4:$N$3183,MATCH(SMALL($V$4:$V$3183,598),$V$4:$V$3183,0)),"")</f>
        <v/>
      </c>
      <c r="B601">
        <f>IFERROR(INDEX($O$4:$O$3183,MATCH(SMALL($V$4:$V$3183,598),$V$4:$V$3183,0)),"")</f>
        <v/>
      </c>
      <c r="C601">
        <f>IFERROR(INDEX($P$4:$P$3183,MATCH(SMALL($V$4:$V$3183,598),$V$4:$V$3183,0)),"")</f>
        <v/>
      </c>
      <c r="D601" s="29">
        <f>IFERROR(INDEX($Q$4:$Q$3183,MATCH(SMALL($V$4:$V$3183,598),$V$4:$V$3183,0)),"")</f>
        <v/>
      </c>
      <c r="E601" s="29">
        <f>IFERROR(INDEX($R$4:$R$3183,MATCH(SMALL($V$4:$V$3183,598),$V$4:$V$3183,0)),"")</f>
        <v/>
      </c>
      <c r="F601">
        <f>IFERROR(INDEX($S$4:$S$3183,MATCH(SMALL($V$4:$V$3183,598),$V$4:$V$3183,0)),"")</f>
        <v/>
      </c>
      <c r="I601" s="29">
        <f>IF($B601="","",IFERROR(INDEX($U$4:$U$3183,MATCH(SMALL($V$4:$V$3183,598),$V$4:$V$3183,0)),""))</f>
        <v/>
      </c>
      <c r="J601">
        <f>IF($B601="","",IF($D601&gt;$F$2,"À venir",IF($E601&lt;$D$2,"Passé","Dans la période")))</f>
        <v/>
      </c>
      <c r="K601">
        <f>IF(OR($B601="",NOT(ISNUMBER($D601))),"",IF(AND($E601&lt;$D$2,$G601&lt;&gt;"X",$F601&lt;&gt;"Réalisé",$F601&lt;&gt;"Clôturé"),"RETARD",""))</f>
        <v/>
      </c>
      <c r="L601">
        <f>IF(OR($B601="",NOT(ISNUMBER($D601))),"",IF(AND($D601&gt;=$D$2,$D601&lt;=$H$2,$G601&lt;&gt;"X",$F601&lt;&gt;"Réalisé",$F601&lt;&gt;"Clôturé"),"≤ 7 j",""))</f>
        <v/>
      </c>
      <c r="M601" s="29">
        <f>IF($B601="","",IFERROR(INDEX($T$4:$T$3183,MATCH(SMALL($V$4:$V$3183,598),$V$4:$V$3183,0)),""))</f>
        <v/>
      </c>
      <c r="O601">
        <f>IF(INDEX(Suivi!$B:$B,613)="","",INDEX(Suivi!$B:$B,613))</f>
        <v/>
      </c>
      <c r="P601">
        <f>IF($O601="","",IF(INDEX(Suivi!$D:$D,613)="",INDEX(Suivi!$C:$C,613),INDEX(Suivi!$D:$D,613)))</f>
        <v/>
      </c>
      <c r="Q601">
        <f>IF($O601="","",INDEX(Suivi!$E:$E,613))</f>
        <v/>
      </c>
      <c r="R601">
        <f>IF($O601="","",INDEX(Suivi!$F:$F,613))</f>
        <v/>
      </c>
      <c r="S601">
        <f>IF($O601="","",INDEX(Suivi!$G:$G,613))</f>
        <v/>
      </c>
      <c r="T601">
        <f>IF($O601="","",IF(INDEX(Dossiers!$F$4:$F$63,12)="","",INDEX(Dossiers!$F$4:$F$63,12)))</f>
        <v/>
      </c>
      <c r="U601">
        <f>IF($O601="","",IF(INDEX(Dossiers!$G$4:$G$63,12)="","",INDEX(Dossiers!$G$4:$G$63,12)))</f>
        <v/>
      </c>
      <c r="V601">
        <f>IF(OR($O601="",NOT(ISNUMBER($Q601))),"",$Q601*1000000+601)</f>
        <v/>
      </c>
      <c r="W601" s="29">
        <f>IF($B601="","",IFERROR(INDEX($U$4:$U$3183,MATCH(SMALL($V$4:$V$3183,598),$V$4:$V$3183,0)),""))</f>
        <v/>
      </c>
    </row>
    <row r="602">
      <c r="A602">
        <f>IFERROR(INDEX($N$4:$N$3183,MATCH(SMALL($V$4:$V$3183,599),$V$4:$V$3183,0)),"")</f>
        <v/>
      </c>
      <c r="B602">
        <f>IFERROR(INDEX($O$4:$O$3183,MATCH(SMALL($V$4:$V$3183,599),$V$4:$V$3183,0)),"")</f>
        <v/>
      </c>
      <c r="C602">
        <f>IFERROR(INDEX($P$4:$P$3183,MATCH(SMALL($V$4:$V$3183,599),$V$4:$V$3183,0)),"")</f>
        <v/>
      </c>
      <c r="D602" s="29">
        <f>IFERROR(INDEX($Q$4:$Q$3183,MATCH(SMALL($V$4:$V$3183,599),$V$4:$V$3183,0)),"")</f>
        <v/>
      </c>
      <c r="E602" s="29">
        <f>IFERROR(INDEX($R$4:$R$3183,MATCH(SMALL($V$4:$V$3183,599),$V$4:$V$3183,0)),"")</f>
        <v/>
      </c>
      <c r="F602">
        <f>IFERROR(INDEX($S$4:$S$3183,MATCH(SMALL($V$4:$V$3183,599),$V$4:$V$3183,0)),"")</f>
        <v/>
      </c>
      <c r="I602" s="29">
        <f>IF($B602="","",IFERROR(INDEX($U$4:$U$3183,MATCH(SMALL($V$4:$V$3183,599),$V$4:$V$3183,0)),""))</f>
        <v/>
      </c>
      <c r="J602">
        <f>IF($B602="","",IF($D602&gt;$F$2,"À venir",IF($E602&lt;$D$2,"Passé","Dans la période")))</f>
        <v/>
      </c>
      <c r="K602">
        <f>IF(OR($B602="",NOT(ISNUMBER($D602))),"",IF(AND($E602&lt;$D$2,$G602&lt;&gt;"X",$F602&lt;&gt;"Réalisé",$F602&lt;&gt;"Clôturé"),"RETARD",""))</f>
        <v/>
      </c>
      <c r="L602">
        <f>IF(OR($B602="",NOT(ISNUMBER($D602))),"",IF(AND($D602&gt;=$D$2,$D602&lt;=$H$2,$G602&lt;&gt;"X",$F602&lt;&gt;"Réalisé",$F602&lt;&gt;"Clôturé"),"≤ 7 j",""))</f>
        <v/>
      </c>
      <c r="M602" s="29">
        <f>IF($B602="","",IFERROR(INDEX($T$4:$T$3183,MATCH(SMALL($V$4:$V$3183,599),$V$4:$V$3183,0)),""))</f>
        <v/>
      </c>
      <c r="O602">
        <f>IF(INDEX(Suivi!$B:$B,614)="","",INDEX(Suivi!$B:$B,614))</f>
        <v/>
      </c>
      <c r="P602">
        <f>IF($O602="","",IF(INDEX(Suivi!$D:$D,614)="",INDEX(Suivi!$C:$C,614),INDEX(Suivi!$D:$D,614)))</f>
        <v/>
      </c>
      <c r="Q602">
        <f>IF($O602="","",INDEX(Suivi!$E:$E,614))</f>
        <v/>
      </c>
      <c r="R602">
        <f>IF($O602="","",INDEX(Suivi!$F:$F,614))</f>
        <v/>
      </c>
      <c r="S602">
        <f>IF($O602="","",INDEX(Suivi!$G:$G,614))</f>
        <v/>
      </c>
      <c r="T602">
        <f>IF($O602="","",IF(INDEX(Dossiers!$F$4:$F$63,12)="","",INDEX(Dossiers!$F$4:$F$63,12)))</f>
        <v/>
      </c>
      <c r="U602">
        <f>IF($O602="","",IF(INDEX(Dossiers!$G$4:$G$63,12)="","",INDEX(Dossiers!$G$4:$G$63,12)))</f>
        <v/>
      </c>
      <c r="V602">
        <f>IF(OR($O602="",NOT(ISNUMBER($Q602))),"",$Q602*1000000+602)</f>
        <v/>
      </c>
      <c r="W602" s="29">
        <f>IF($B602="","",IFERROR(INDEX($U$4:$U$3183,MATCH(SMALL($V$4:$V$3183,599),$V$4:$V$3183,0)),""))</f>
        <v/>
      </c>
    </row>
    <row r="603">
      <c r="A603">
        <f>IFERROR(INDEX($N$4:$N$3183,MATCH(SMALL($V$4:$V$3183,600),$V$4:$V$3183,0)),"")</f>
        <v/>
      </c>
      <c r="B603">
        <f>IFERROR(INDEX($O$4:$O$3183,MATCH(SMALL($V$4:$V$3183,600),$V$4:$V$3183,0)),"")</f>
        <v/>
      </c>
      <c r="C603">
        <f>IFERROR(INDEX($P$4:$P$3183,MATCH(SMALL($V$4:$V$3183,600),$V$4:$V$3183,0)),"")</f>
        <v/>
      </c>
      <c r="D603" s="29">
        <f>IFERROR(INDEX($Q$4:$Q$3183,MATCH(SMALL($V$4:$V$3183,600),$V$4:$V$3183,0)),"")</f>
        <v/>
      </c>
      <c r="E603" s="29">
        <f>IFERROR(INDEX($R$4:$R$3183,MATCH(SMALL($V$4:$V$3183,600),$V$4:$V$3183,0)),"")</f>
        <v/>
      </c>
      <c r="F603">
        <f>IFERROR(INDEX($S$4:$S$3183,MATCH(SMALL($V$4:$V$3183,600),$V$4:$V$3183,0)),"")</f>
        <v/>
      </c>
      <c r="I603" s="29">
        <f>IF($B603="","",IFERROR(INDEX($U$4:$U$3183,MATCH(SMALL($V$4:$V$3183,600),$V$4:$V$3183,0)),""))</f>
        <v/>
      </c>
      <c r="J603">
        <f>IF($B603="","",IF($D603&gt;$F$2,"À venir",IF($E603&lt;$D$2,"Passé","Dans la période")))</f>
        <v/>
      </c>
      <c r="K603">
        <f>IF(OR($B603="",NOT(ISNUMBER($D603))),"",IF(AND($E603&lt;$D$2,$G603&lt;&gt;"X",$F603&lt;&gt;"Réalisé",$F603&lt;&gt;"Clôturé"),"RETARD",""))</f>
        <v/>
      </c>
      <c r="L603">
        <f>IF(OR($B603="",NOT(ISNUMBER($D603))),"",IF(AND($D603&gt;=$D$2,$D603&lt;=$H$2,$G603&lt;&gt;"X",$F603&lt;&gt;"Réalisé",$F603&lt;&gt;"Clôturé"),"≤ 7 j",""))</f>
        <v/>
      </c>
      <c r="M603" s="29">
        <f>IF($B603="","",IFERROR(INDEX($T$4:$T$3183,MATCH(SMALL($V$4:$V$3183,600),$V$4:$V$3183,0)),""))</f>
        <v/>
      </c>
      <c r="O603">
        <f>IF(INDEX(Suivi!$B:$B,615)="","",INDEX(Suivi!$B:$B,615))</f>
        <v/>
      </c>
      <c r="P603">
        <f>IF($O603="","",IF(INDEX(Suivi!$D:$D,615)="",INDEX(Suivi!$C:$C,615),INDEX(Suivi!$D:$D,615)))</f>
        <v/>
      </c>
      <c r="Q603">
        <f>IF($O603="","",INDEX(Suivi!$E:$E,615))</f>
        <v/>
      </c>
      <c r="R603">
        <f>IF($O603="","",INDEX(Suivi!$F:$F,615))</f>
        <v/>
      </c>
      <c r="S603">
        <f>IF($O603="","",INDEX(Suivi!$G:$G,615))</f>
        <v/>
      </c>
      <c r="T603">
        <f>IF($O603="","",IF(INDEX(Dossiers!$F$4:$F$63,12)="","",INDEX(Dossiers!$F$4:$F$63,12)))</f>
        <v/>
      </c>
      <c r="U603">
        <f>IF($O603="","",IF(INDEX(Dossiers!$G$4:$G$63,12)="","",INDEX(Dossiers!$G$4:$G$63,12)))</f>
        <v/>
      </c>
      <c r="V603">
        <f>IF(OR($O603="",NOT(ISNUMBER($Q603))),"",$Q603*1000000+603)</f>
        <v/>
      </c>
      <c r="W603" s="29">
        <f>IF($B603="","",IFERROR(INDEX($U$4:$U$3183,MATCH(SMALL($V$4:$V$3183,600),$V$4:$V$3183,0)),""))</f>
        <v/>
      </c>
    </row>
    <row r="604">
      <c r="A604">
        <f>IFERROR(INDEX($N$4:$N$3183,MATCH(SMALL($V$4:$V$3183,601),$V$4:$V$3183,0)),"")</f>
        <v/>
      </c>
      <c r="B604">
        <f>IFERROR(INDEX($O$4:$O$3183,MATCH(SMALL($V$4:$V$3183,601),$V$4:$V$3183,0)),"")</f>
        <v/>
      </c>
      <c r="C604">
        <f>IFERROR(INDEX($P$4:$P$3183,MATCH(SMALL($V$4:$V$3183,601),$V$4:$V$3183,0)),"")</f>
        <v/>
      </c>
      <c r="D604" s="29">
        <f>IFERROR(INDEX($Q$4:$Q$3183,MATCH(SMALL($V$4:$V$3183,601),$V$4:$V$3183,0)),"")</f>
        <v/>
      </c>
      <c r="E604" s="29">
        <f>IFERROR(INDEX($R$4:$R$3183,MATCH(SMALL($V$4:$V$3183,601),$V$4:$V$3183,0)),"")</f>
        <v/>
      </c>
      <c r="F604">
        <f>IFERROR(INDEX($S$4:$S$3183,MATCH(SMALL($V$4:$V$3183,601),$V$4:$V$3183,0)),"")</f>
        <v/>
      </c>
      <c r="I604" s="29">
        <f>IF($B604="","",IFERROR(INDEX($U$4:$U$3183,MATCH(SMALL($V$4:$V$3183,601),$V$4:$V$3183,0)),""))</f>
        <v/>
      </c>
      <c r="J604">
        <f>IF($B604="","",IF($D604&gt;$F$2,"À venir",IF($E604&lt;$D$2,"Passé","Dans la période")))</f>
        <v/>
      </c>
      <c r="K604">
        <f>IF(OR($B604="",NOT(ISNUMBER($D604))),"",IF(AND($E604&lt;$D$2,$G604&lt;&gt;"X",$F604&lt;&gt;"Réalisé",$F604&lt;&gt;"Clôturé"),"RETARD",""))</f>
        <v/>
      </c>
      <c r="L604">
        <f>IF(OR($B604="",NOT(ISNUMBER($D604))),"",IF(AND($D604&gt;=$D$2,$D604&lt;=$H$2,$G604&lt;&gt;"X",$F604&lt;&gt;"Réalisé",$F604&lt;&gt;"Clôturé"),"≤ 7 j",""))</f>
        <v/>
      </c>
      <c r="M604" s="29">
        <f>IF($B604="","",IFERROR(INDEX($T$4:$T$3183,MATCH(SMALL($V$4:$V$3183,601),$V$4:$V$3183,0)),""))</f>
        <v/>
      </c>
      <c r="O604">
        <f>IF(INDEX(Suivi!$B:$B,616)="","",INDEX(Suivi!$B:$B,616))</f>
        <v/>
      </c>
      <c r="P604">
        <f>IF($O604="","",IF(INDEX(Suivi!$D:$D,616)="",INDEX(Suivi!$C:$C,616),INDEX(Suivi!$D:$D,616)))</f>
        <v/>
      </c>
      <c r="Q604">
        <f>IF($O604="","",INDEX(Suivi!$E:$E,616))</f>
        <v/>
      </c>
      <c r="R604">
        <f>IF($O604="","",INDEX(Suivi!$F:$F,616))</f>
        <v/>
      </c>
      <c r="S604">
        <f>IF($O604="","",INDEX(Suivi!$G:$G,616))</f>
        <v/>
      </c>
      <c r="T604">
        <f>IF($O604="","",IF(INDEX(Dossiers!$F$4:$F$63,12)="","",INDEX(Dossiers!$F$4:$F$63,12)))</f>
        <v/>
      </c>
      <c r="U604">
        <f>IF($O604="","",IF(INDEX(Dossiers!$G$4:$G$63,12)="","",INDEX(Dossiers!$G$4:$G$63,12)))</f>
        <v/>
      </c>
      <c r="V604">
        <f>IF(OR($O604="",NOT(ISNUMBER($Q604))),"",$Q604*1000000+604)</f>
        <v/>
      </c>
      <c r="W604" s="29">
        <f>IF($B604="","",IFERROR(INDEX($U$4:$U$3183,MATCH(SMALL($V$4:$V$3183,601),$V$4:$V$3183,0)),""))</f>
        <v/>
      </c>
    </row>
    <row r="605">
      <c r="A605">
        <f>IFERROR(INDEX($N$4:$N$3183,MATCH(SMALL($V$4:$V$3183,602),$V$4:$V$3183,0)),"")</f>
        <v/>
      </c>
      <c r="B605">
        <f>IFERROR(INDEX($O$4:$O$3183,MATCH(SMALL($V$4:$V$3183,602),$V$4:$V$3183,0)),"")</f>
        <v/>
      </c>
      <c r="C605">
        <f>IFERROR(INDEX($P$4:$P$3183,MATCH(SMALL($V$4:$V$3183,602),$V$4:$V$3183,0)),"")</f>
        <v/>
      </c>
      <c r="D605" s="29">
        <f>IFERROR(INDEX($Q$4:$Q$3183,MATCH(SMALL($V$4:$V$3183,602),$V$4:$V$3183,0)),"")</f>
        <v/>
      </c>
      <c r="E605" s="29">
        <f>IFERROR(INDEX($R$4:$R$3183,MATCH(SMALL($V$4:$V$3183,602),$V$4:$V$3183,0)),"")</f>
        <v/>
      </c>
      <c r="F605">
        <f>IFERROR(INDEX($S$4:$S$3183,MATCH(SMALL($V$4:$V$3183,602),$V$4:$V$3183,0)),"")</f>
        <v/>
      </c>
      <c r="I605" s="29">
        <f>IF($B605="","",IFERROR(INDEX($U$4:$U$3183,MATCH(SMALL($V$4:$V$3183,602),$V$4:$V$3183,0)),""))</f>
        <v/>
      </c>
      <c r="J605">
        <f>IF($B605="","",IF($D605&gt;$F$2,"À venir",IF($E605&lt;$D$2,"Passé","Dans la période")))</f>
        <v/>
      </c>
      <c r="K605">
        <f>IF(OR($B605="",NOT(ISNUMBER($D605))),"",IF(AND($E605&lt;$D$2,$G605&lt;&gt;"X",$F605&lt;&gt;"Réalisé",$F605&lt;&gt;"Clôturé"),"RETARD",""))</f>
        <v/>
      </c>
      <c r="L605">
        <f>IF(OR($B605="",NOT(ISNUMBER($D605))),"",IF(AND($D605&gt;=$D$2,$D605&lt;=$H$2,$G605&lt;&gt;"X",$F605&lt;&gt;"Réalisé",$F605&lt;&gt;"Clôturé"),"≤ 7 j",""))</f>
        <v/>
      </c>
      <c r="M605" s="29">
        <f>IF($B605="","",IFERROR(INDEX($T$4:$T$3183,MATCH(SMALL($V$4:$V$3183,602),$V$4:$V$3183,0)),""))</f>
        <v/>
      </c>
      <c r="O605">
        <f>IF(INDEX(Suivi!$B:$B,617)="","",INDEX(Suivi!$B:$B,617))</f>
        <v/>
      </c>
      <c r="P605">
        <f>IF($O605="","",IF(INDEX(Suivi!$D:$D,617)="",INDEX(Suivi!$C:$C,617),INDEX(Suivi!$D:$D,617)))</f>
        <v/>
      </c>
      <c r="Q605">
        <f>IF($O605="","",INDEX(Suivi!$E:$E,617))</f>
        <v/>
      </c>
      <c r="R605">
        <f>IF($O605="","",INDEX(Suivi!$F:$F,617))</f>
        <v/>
      </c>
      <c r="S605">
        <f>IF($O605="","",INDEX(Suivi!$G:$G,617))</f>
        <v/>
      </c>
      <c r="T605">
        <f>IF($O605="","",IF(INDEX(Dossiers!$F$4:$F$63,12)="","",INDEX(Dossiers!$F$4:$F$63,12)))</f>
        <v/>
      </c>
      <c r="U605">
        <f>IF($O605="","",IF(INDEX(Dossiers!$G$4:$G$63,12)="","",INDEX(Dossiers!$G$4:$G$63,12)))</f>
        <v/>
      </c>
      <c r="V605">
        <f>IF(OR($O605="",NOT(ISNUMBER($Q605))),"",$Q605*1000000+605)</f>
        <v/>
      </c>
      <c r="W605" s="29">
        <f>IF($B605="","",IFERROR(INDEX($U$4:$U$3183,MATCH(SMALL($V$4:$V$3183,602),$V$4:$V$3183,0)),""))</f>
        <v/>
      </c>
    </row>
    <row r="606">
      <c r="A606">
        <f>IFERROR(INDEX($N$4:$N$3183,MATCH(SMALL($V$4:$V$3183,603),$V$4:$V$3183,0)),"")</f>
        <v/>
      </c>
      <c r="B606">
        <f>IFERROR(INDEX($O$4:$O$3183,MATCH(SMALL($V$4:$V$3183,603),$V$4:$V$3183,0)),"")</f>
        <v/>
      </c>
      <c r="C606">
        <f>IFERROR(INDEX($P$4:$P$3183,MATCH(SMALL($V$4:$V$3183,603),$V$4:$V$3183,0)),"")</f>
        <v/>
      </c>
      <c r="D606" s="29">
        <f>IFERROR(INDEX($Q$4:$Q$3183,MATCH(SMALL($V$4:$V$3183,603),$V$4:$V$3183,0)),"")</f>
        <v/>
      </c>
      <c r="E606" s="29">
        <f>IFERROR(INDEX($R$4:$R$3183,MATCH(SMALL($V$4:$V$3183,603),$V$4:$V$3183,0)),"")</f>
        <v/>
      </c>
      <c r="F606">
        <f>IFERROR(INDEX($S$4:$S$3183,MATCH(SMALL($V$4:$V$3183,603),$V$4:$V$3183,0)),"")</f>
        <v/>
      </c>
      <c r="I606" s="29">
        <f>IF($B606="","",IFERROR(INDEX($U$4:$U$3183,MATCH(SMALL($V$4:$V$3183,603),$V$4:$V$3183,0)),""))</f>
        <v/>
      </c>
      <c r="J606">
        <f>IF($B606="","",IF($D606&gt;$F$2,"À venir",IF($E606&lt;$D$2,"Passé","Dans la période")))</f>
        <v/>
      </c>
      <c r="K606">
        <f>IF(OR($B606="",NOT(ISNUMBER($D606))),"",IF(AND($E606&lt;$D$2,$G606&lt;&gt;"X",$F606&lt;&gt;"Réalisé",$F606&lt;&gt;"Clôturé"),"RETARD",""))</f>
        <v/>
      </c>
      <c r="L606">
        <f>IF(OR($B606="",NOT(ISNUMBER($D606))),"",IF(AND($D606&gt;=$D$2,$D606&lt;=$H$2,$G606&lt;&gt;"X",$F606&lt;&gt;"Réalisé",$F606&lt;&gt;"Clôturé"),"≤ 7 j",""))</f>
        <v/>
      </c>
      <c r="M606" s="29">
        <f>IF($B606="","",IFERROR(INDEX($T$4:$T$3183,MATCH(SMALL($V$4:$V$3183,603),$V$4:$V$3183,0)),""))</f>
        <v/>
      </c>
      <c r="O606">
        <f>IF(INDEX(Suivi!$B:$B,618)="","",INDEX(Suivi!$B:$B,618))</f>
        <v/>
      </c>
      <c r="P606">
        <f>IF($O606="","",IF(INDEX(Suivi!$D:$D,618)="",INDEX(Suivi!$C:$C,618),INDEX(Suivi!$D:$D,618)))</f>
        <v/>
      </c>
      <c r="Q606">
        <f>IF($O606="","",INDEX(Suivi!$E:$E,618))</f>
        <v/>
      </c>
      <c r="R606">
        <f>IF($O606="","",INDEX(Suivi!$F:$F,618))</f>
        <v/>
      </c>
      <c r="S606">
        <f>IF($O606="","",INDEX(Suivi!$G:$G,618))</f>
        <v/>
      </c>
      <c r="T606">
        <f>IF($O606="","",IF(INDEX(Dossiers!$F$4:$F$63,12)="","",INDEX(Dossiers!$F$4:$F$63,12)))</f>
        <v/>
      </c>
      <c r="U606">
        <f>IF($O606="","",IF(INDEX(Dossiers!$G$4:$G$63,12)="","",INDEX(Dossiers!$G$4:$G$63,12)))</f>
        <v/>
      </c>
      <c r="V606">
        <f>IF(OR($O606="",NOT(ISNUMBER($Q606))),"",$Q606*1000000+606)</f>
        <v/>
      </c>
      <c r="W606" s="29">
        <f>IF($B606="","",IFERROR(INDEX($U$4:$U$3183,MATCH(SMALL($V$4:$V$3183,603),$V$4:$V$3183,0)),""))</f>
        <v/>
      </c>
    </row>
    <row r="607">
      <c r="A607">
        <f>IFERROR(INDEX($N$4:$N$3183,MATCH(SMALL($V$4:$V$3183,604),$V$4:$V$3183,0)),"")</f>
        <v/>
      </c>
      <c r="B607">
        <f>IFERROR(INDEX($O$4:$O$3183,MATCH(SMALL($V$4:$V$3183,604),$V$4:$V$3183,0)),"")</f>
        <v/>
      </c>
      <c r="C607">
        <f>IFERROR(INDEX($P$4:$P$3183,MATCH(SMALL($V$4:$V$3183,604),$V$4:$V$3183,0)),"")</f>
        <v/>
      </c>
      <c r="D607" s="29">
        <f>IFERROR(INDEX($Q$4:$Q$3183,MATCH(SMALL($V$4:$V$3183,604),$V$4:$V$3183,0)),"")</f>
        <v/>
      </c>
      <c r="E607" s="29">
        <f>IFERROR(INDEX($R$4:$R$3183,MATCH(SMALL($V$4:$V$3183,604),$V$4:$V$3183,0)),"")</f>
        <v/>
      </c>
      <c r="F607">
        <f>IFERROR(INDEX($S$4:$S$3183,MATCH(SMALL($V$4:$V$3183,604),$V$4:$V$3183,0)),"")</f>
        <v/>
      </c>
      <c r="I607" s="29">
        <f>IF($B607="","",IFERROR(INDEX($U$4:$U$3183,MATCH(SMALL($V$4:$V$3183,604),$V$4:$V$3183,0)),""))</f>
        <v/>
      </c>
      <c r="J607">
        <f>IF($B607="","",IF($D607&gt;$F$2,"À venir",IF($E607&lt;$D$2,"Passé","Dans la période")))</f>
        <v/>
      </c>
      <c r="K607">
        <f>IF(OR($B607="",NOT(ISNUMBER($D607))),"",IF(AND($E607&lt;$D$2,$G607&lt;&gt;"X",$F607&lt;&gt;"Réalisé",$F607&lt;&gt;"Clôturé"),"RETARD",""))</f>
        <v/>
      </c>
      <c r="L607">
        <f>IF(OR($B607="",NOT(ISNUMBER($D607))),"",IF(AND($D607&gt;=$D$2,$D607&lt;=$H$2,$G607&lt;&gt;"X",$F607&lt;&gt;"Réalisé",$F607&lt;&gt;"Clôturé"),"≤ 7 j",""))</f>
        <v/>
      </c>
      <c r="M607" s="29">
        <f>IF($B607="","",IFERROR(INDEX($T$4:$T$3183,MATCH(SMALL($V$4:$V$3183,604),$V$4:$V$3183,0)),""))</f>
        <v/>
      </c>
      <c r="O607">
        <f>IF(INDEX(Suivi!$B:$B,619)="","",INDEX(Suivi!$B:$B,619))</f>
        <v/>
      </c>
      <c r="P607">
        <f>IF($O607="","",IF(INDEX(Suivi!$D:$D,619)="",INDEX(Suivi!$C:$C,619),INDEX(Suivi!$D:$D,619)))</f>
        <v/>
      </c>
      <c r="Q607">
        <f>IF($O607="","",INDEX(Suivi!$E:$E,619))</f>
        <v/>
      </c>
      <c r="R607">
        <f>IF($O607="","",INDEX(Suivi!$F:$F,619))</f>
        <v/>
      </c>
      <c r="S607">
        <f>IF($O607="","",INDEX(Suivi!$G:$G,619))</f>
        <v/>
      </c>
      <c r="T607">
        <f>IF($O607="","",IF(INDEX(Dossiers!$F$4:$F$63,12)="","",INDEX(Dossiers!$F$4:$F$63,12)))</f>
        <v/>
      </c>
      <c r="U607">
        <f>IF($O607="","",IF(INDEX(Dossiers!$G$4:$G$63,12)="","",INDEX(Dossiers!$G$4:$G$63,12)))</f>
        <v/>
      </c>
      <c r="V607">
        <f>IF(OR($O607="",NOT(ISNUMBER($Q607))),"",$Q607*1000000+607)</f>
        <v/>
      </c>
      <c r="W607" s="29">
        <f>IF($B607="","",IFERROR(INDEX($U$4:$U$3183,MATCH(SMALL($V$4:$V$3183,604),$V$4:$V$3183,0)),""))</f>
        <v/>
      </c>
    </row>
    <row r="608">
      <c r="A608">
        <f>IFERROR(INDEX($N$4:$N$3183,MATCH(SMALL($V$4:$V$3183,605),$V$4:$V$3183,0)),"")</f>
        <v/>
      </c>
      <c r="B608">
        <f>IFERROR(INDEX($O$4:$O$3183,MATCH(SMALL($V$4:$V$3183,605),$V$4:$V$3183,0)),"")</f>
        <v/>
      </c>
      <c r="C608">
        <f>IFERROR(INDEX($P$4:$P$3183,MATCH(SMALL($V$4:$V$3183,605),$V$4:$V$3183,0)),"")</f>
        <v/>
      </c>
      <c r="D608" s="29">
        <f>IFERROR(INDEX($Q$4:$Q$3183,MATCH(SMALL($V$4:$V$3183,605),$V$4:$V$3183,0)),"")</f>
        <v/>
      </c>
      <c r="E608" s="29">
        <f>IFERROR(INDEX($R$4:$R$3183,MATCH(SMALL($V$4:$V$3183,605),$V$4:$V$3183,0)),"")</f>
        <v/>
      </c>
      <c r="F608">
        <f>IFERROR(INDEX($S$4:$S$3183,MATCH(SMALL($V$4:$V$3183,605),$V$4:$V$3183,0)),"")</f>
        <v/>
      </c>
      <c r="I608" s="29">
        <f>IF($B608="","",IFERROR(INDEX($U$4:$U$3183,MATCH(SMALL($V$4:$V$3183,605),$V$4:$V$3183,0)),""))</f>
        <v/>
      </c>
      <c r="J608">
        <f>IF($B608="","",IF($D608&gt;$F$2,"À venir",IF($E608&lt;$D$2,"Passé","Dans la période")))</f>
        <v/>
      </c>
      <c r="K608">
        <f>IF(OR($B608="",NOT(ISNUMBER($D608))),"",IF(AND($E608&lt;$D$2,$G608&lt;&gt;"X",$F608&lt;&gt;"Réalisé",$F608&lt;&gt;"Clôturé"),"RETARD",""))</f>
        <v/>
      </c>
      <c r="L608">
        <f>IF(OR($B608="",NOT(ISNUMBER($D608))),"",IF(AND($D608&gt;=$D$2,$D608&lt;=$H$2,$G608&lt;&gt;"X",$F608&lt;&gt;"Réalisé",$F608&lt;&gt;"Clôturé"),"≤ 7 j",""))</f>
        <v/>
      </c>
      <c r="M608" s="29">
        <f>IF($B608="","",IFERROR(INDEX($T$4:$T$3183,MATCH(SMALL($V$4:$V$3183,605),$V$4:$V$3183,0)),""))</f>
        <v/>
      </c>
      <c r="O608">
        <f>IF(INDEX(Suivi!$B:$B,620)="","",INDEX(Suivi!$B:$B,620))</f>
        <v/>
      </c>
      <c r="P608">
        <f>IF($O608="","",IF(INDEX(Suivi!$D:$D,620)="",INDEX(Suivi!$C:$C,620),INDEX(Suivi!$D:$D,620)))</f>
        <v/>
      </c>
      <c r="Q608">
        <f>IF($O608="","",INDEX(Suivi!$E:$E,620))</f>
        <v/>
      </c>
      <c r="R608">
        <f>IF($O608="","",INDEX(Suivi!$F:$F,620))</f>
        <v/>
      </c>
      <c r="S608">
        <f>IF($O608="","",INDEX(Suivi!$G:$G,620))</f>
        <v/>
      </c>
      <c r="T608">
        <f>IF($O608="","",IF(INDEX(Dossiers!$F$4:$F$63,12)="","",INDEX(Dossiers!$F$4:$F$63,12)))</f>
        <v/>
      </c>
      <c r="U608">
        <f>IF($O608="","",IF(INDEX(Dossiers!$G$4:$G$63,12)="","",INDEX(Dossiers!$G$4:$G$63,12)))</f>
        <v/>
      </c>
      <c r="V608">
        <f>IF(OR($O608="",NOT(ISNUMBER($Q608))),"",$Q608*1000000+608)</f>
        <v/>
      </c>
      <c r="W608" s="29">
        <f>IF($B608="","",IFERROR(INDEX($U$4:$U$3183,MATCH(SMALL($V$4:$V$3183,605),$V$4:$V$3183,0)),""))</f>
        <v/>
      </c>
    </row>
    <row r="609">
      <c r="A609">
        <f>IFERROR(INDEX($N$4:$N$3183,MATCH(SMALL($V$4:$V$3183,606),$V$4:$V$3183,0)),"")</f>
        <v/>
      </c>
      <c r="B609">
        <f>IFERROR(INDEX($O$4:$O$3183,MATCH(SMALL($V$4:$V$3183,606),$V$4:$V$3183,0)),"")</f>
        <v/>
      </c>
      <c r="C609">
        <f>IFERROR(INDEX($P$4:$P$3183,MATCH(SMALL($V$4:$V$3183,606),$V$4:$V$3183,0)),"")</f>
        <v/>
      </c>
      <c r="D609" s="29">
        <f>IFERROR(INDEX($Q$4:$Q$3183,MATCH(SMALL($V$4:$V$3183,606),$V$4:$V$3183,0)),"")</f>
        <v/>
      </c>
      <c r="E609" s="29">
        <f>IFERROR(INDEX($R$4:$R$3183,MATCH(SMALL($V$4:$V$3183,606),$V$4:$V$3183,0)),"")</f>
        <v/>
      </c>
      <c r="F609">
        <f>IFERROR(INDEX($S$4:$S$3183,MATCH(SMALL($V$4:$V$3183,606),$V$4:$V$3183,0)),"")</f>
        <v/>
      </c>
      <c r="I609" s="29">
        <f>IF($B609="","",IFERROR(INDEX($U$4:$U$3183,MATCH(SMALL($V$4:$V$3183,606),$V$4:$V$3183,0)),""))</f>
        <v/>
      </c>
      <c r="J609">
        <f>IF($B609="","",IF($D609&gt;$F$2,"À venir",IF($E609&lt;$D$2,"Passé","Dans la période")))</f>
        <v/>
      </c>
      <c r="K609">
        <f>IF(OR($B609="",NOT(ISNUMBER($D609))),"",IF(AND($E609&lt;$D$2,$G609&lt;&gt;"X",$F609&lt;&gt;"Réalisé",$F609&lt;&gt;"Clôturé"),"RETARD",""))</f>
        <v/>
      </c>
      <c r="L609">
        <f>IF(OR($B609="",NOT(ISNUMBER($D609))),"",IF(AND($D609&gt;=$D$2,$D609&lt;=$H$2,$G609&lt;&gt;"X",$F609&lt;&gt;"Réalisé",$F609&lt;&gt;"Clôturé"),"≤ 7 j",""))</f>
        <v/>
      </c>
      <c r="M609" s="29">
        <f>IF($B609="","",IFERROR(INDEX($T$4:$T$3183,MATCH(SMALL($V$4:$V$3183,606),$V$4:$V$3183,0)),""))</f>
        <v/>
      </c>
      <c r="O609">
        <f>IF(INDEX(Suivi!$B:$B,621)="","",INDEX(Suivi!$B:$B,621))</f>
        <v/>
      </c>
      <c r="P609">
        <f>IF($O609="","",IF(INDEX(Suivi!$D:$D,621)="",INDEX(Suivi!$C:$C,621),INDEX(Suivi!$D:$D,621)))</f>
        <v/>
      </c>
      <c r="Q609">
        <f>IF($O609="","",INDEX(Suivi!$E:$E,621))</f>
        <v/>
      </c>
      <c r="R609">
        <f>IF($O609="","",INDEX(Suivi!$F:$F,621))</f>
        <v/>
      </c>
      <c r="S609">
        <f>IF($O609="","",INDEX(Suivi!$G:$G,621))</f>
        <v/>
      </c>
      <c r="T609">
        <f>IF($O609="","",IF(INDEX(Dossiers!$F$4:$F$63,12)="","",INDEX(Dossiers!$F$4:$F$63,12)))</f>
        <v/>
      </c>
      <c r="U609">
        <f>IF($O609="","",IF(INDEX(Dossiers!$G$4:$G$63,12)="","",INDEX(Dossiers!$G$4:$G$63,12)))</f>
        <v/>
      </c>
      <c r="V609">
        <f>IF(OR($O609="",NOT(ISNUMBER($Q609))),"",$Q609*1000000+609)</f>
        <v/>
      </c>
      <c r="W609" s="29">
        <f>IF($B609="","",IFERROR(INDEX($U$4:$U$3183,MATCH(SMALL($V$4:$V$3183,606),$V$4:$V$3183,0)),""))</f>
        <v/>
      </c>
    </row>
    <row r="610">
      <c r="A610">
        <f>IFERROR(INDEX($N$4:$N$3183,MATCH(SMALL($V$4:$V$3183,607),$V$4:$V$3183,0)),"")</f>
        <v/>
      </c>
      <c r="B610">
        <f>IFERROR(INDEX($O$4:$O$3183,MATCH(SMALL($V$4:$V$3183,607),$V$4:$V$3183,0)),"")</f>
        <v/>
      </c>
      <c r="C610">
        <f>IFERROR(INDEX($P$4:$P$3183,MATCH(SMALL($V$4:$V$3183,607),$V$4:$V$3183,0)),"")</f>
        <v/>
      </c>
      <c r="D610" s="29">
        <f>IFERROR(INDEX($Q$4:$Q$3183,MATCH(SMALL($V$4:$V$3183,607),$V$4:$V$3183,0)),"")</f>
        <v/>
      </c>
      <c r="E610" s="29">
        <f>IFERROR(INDEX($R$4:$R$3183,MATCH(SMALL($V$4:$V$3183,607),$V$4:$V$3183,0)),"")</f>
        <v/>
      </c>
      <c r="F610">
        <f>IFERROR(INDEX($S$4:$S$3183,MATCH(SMALL($V$4:$V$3183,607),$V$4:$V$3183,0)),"")</f>
        <v/>
      </c>
      <c r="I610" s="29">
        <f>IF($B610="","",IFERROR(INDEX($U$4:$U$3183,MATCH(SMALL($V$4:$V$3183,607),$V$4:$V$3183,0)),""))</f>
        <v/>
      </c>
      <c r="J610">
        <f>IF($B610="","",IF($D610&gt;$F$2,"À venir",IF($E610&lt;$D$2,"Passé","Dans la période")))</f>
        <v/>
      </c>
      <c r="K610">
        <f>IF(OR($B610="",NOT(ISNUMBER($D610))),"",IF(AND($E610&lt;$D$2,$G610&lt;&gt;"X",$F610&lt;&gt;"Réalisé",$F610&lt;&gt;"Clôturé"),"RETARD",""))</f>
        <v/>
      </c>
      <c r="L610">
        <f>IF(OR($B610="",NOT(ISNUMBER($D610))),"",IF(AND($D610&gt;=$D$2,$D610&lt;=$H$2,$G610&lt;&gt;"X",$F610&lt;&gt;"Réalisé",$F610&lt;&gt;"Clôturé"),"≤ 7 j",""))</f>
        <v/>
      </c>
      <c r="M610" s="29">
        <f>IF($B610="","",IFERROR(INDEX($T$4:$T$3183,MATCH(SMALL($V$4:$V$3183,607),$V$4:$V$3183,0)),""))</f>
        <v/>
      </c>
      <c r="O610">
        <f>IF(INDEX(Suivi!$B:$B,622)="","",INDEX(Suivi!$B:$B,622))</f>
        <v/>
      </c>
      <c r="P610">
        <f>IF($O610="","",IF(INDEX(Suivi!$D:$D,622)="",INDEX(Suivi!$C:$C,622),INDEX(Suivi!$D:$D,622)))</f>
        <v/>
      </c>
      <c r="Q610">
        <f>IF($O610="","",INDEX(Suivi!$E:$E,622))</f>
        <v/>
      </c>
      <c r="R610">
        <f>IF($O610="","",INDEX(Suivi!$F:$F,622))</f>
        <v/>
      </c>
      <c r="S610">
        <f>IF($O610="","",INDEX(Suivi!$G:$G,622))</f>
        <v/>
      </c>
      <c r="T610">
        <f>IF($O610="","",IF(INDEX(Dossiers!$F$4:$F$63,12)="","",INDEX(Dossiers!$F$4:$F$63,12)))</f>
        <v/>
      </c>
      <c r="U610">
        <f>IF($O610="","",IF(INDEX(Dossiers!$G$4:$G$63,12)="","",INDEX(Dossiers!$G$4:$G$63,12)))</f>
        <v/>
      </c>
      <c r="V610">
        <f>IF(OR($O610="",NOT(ISNUMBER($Q610))),"",$Q610*1000000+610)</f>
        <v/>
      </c>
      <c r="W610" s="29">
        <f>IF($B610="","",IFERROR(INDEX($U$4:$U$3183,MATCH(SMALL($V$4:$V$3183,607),$V$4:$V$3183,0)),""))</f>
        <v/>
      </c>
    </row>
    <row r="611">
      <c r="A611">
        <f>IFERROR(INDEX($N$4:$N$3183,MATCH(SMALL($V$4:$V$3183,608),$V$4:$V$3183,0)),"")</f>
        <v/>
      </c>
      <c r="B611">
        <f>IFERROR(INDEX($O$4:$O$3183,MATCH(SMALL($V$4:$V$3183,608),$V$4:$V$3183,0)),"")</f>
        <v/>
      </c>
      <c r="C611">
        <f>IFERROR(INDEX($P$4:$P$3183,MATCH(SMALL($V$4:$V$3183,608),$V$4:$V$3183,0)),"")</f>
        <v/>
      </c>
      <c r="D611" s="29">
        <f>IFERROR(INDEX($Q$4:$Q$3183,MATCH(SMALL($V$4:$V$3183,608),$V$4:$V$3183,0)),"")</f>
        <v/>
      </c>
      <c r="E611" s="29">
        <f>IFERROR(INDEX($R$4:$R$3183,MATCH(SMALL($V$4:$V$3183,608),$V$4:$V$3183,0)),"")</f>
        <v/>
      </c>
      <c r="F611">
        <f>IFERROR(INDEX($S$4:$S$3183,MATCH(SMALL($V$4:$V$3183,608),$V$4:$V$3183,0)),"")</f>
        <v/>
      </c>
      <c r="I611" s="29">
        <f>IF($B611="","",IFERROR(INDEX($U$4:$U$3183,MATCH(SMALL($V$4:$V$3183,608),$V$4:$V$3183,0)),""))</f>
        <v/>
      </c>
      <c r="J611">
        <f>IF($B611="","",IF($D611&gt;$F$2,"À venir",IF($E611&lt;$D$2,"Passé","Dans la période")))</f>
        <v/>
      </c>
      <c r="K611">
        <f>IF(OR($B611="",NOT(ISNUMBER($D611))),"",IF(AND($E611&lt;$D$2,$G611&lt;&gt;"X",$F611&lt;&gt;"Réalisé",$F611&lt;&gt;"Clôturé"),"RETARD",""))</f>
        <v/>
      </c>
      <c r="L611">
        <f>IF(OR($B611="",NOT(ISNUMBER($D611))),"",IF(AND($D611&gt;=$D$2,$D611&lt;=$H$2,$G611&lt;&gt;"X",$F611&lt;&gt;"Réalisé",$F611&lt;&gt;"Clôturé"),"≤ 7 j",""))</f>
        <v/>
      </c>
      <c r="M611" s="29">
        <f>IF($B611="","",IFERROR(INDEX($T$4:$T$3183,MATCH(SMALL($V$4:$V$3183,608),$V$4:$V$3183,0)),""))</f>
        <v/>
      </c>
      <c r="O611">
        <f>IF(INDEX(Suivi!$B:$B,623)="","",INDEX(Suivi!$B:$B,623))</f>
        <v/>
      </c>
      <c r="P611">
        <f>IF($O611="","",IF(INDEX(Suivi!$D:$D,623)="",INDEX(Suivi!$C:$C,623),INDEX(Suivi!$D:$D,623)))</f>
        <v/>
      </c>
      <c r="Q611">
        <f>IF($O611="","",INDEX(Suivi!$E:$E,623))</f>
        <v/>
      </c>
      <c r="R611">
        <f>IF($O611="","",INDEX(Suivi!$F:$F,623))</f>
        <v/>
      </c>
      <c r="S611">
        <f>IF($O611="","",INDEX(Suivi!$G:$G,623))</f>
        <v/>
      </c>
      <c r="T611">
        <f>IF($O611="","",IF(INDEX(Dossiers!$F$4:$F$63,12)="","",INDEX(Dossiers!$F$4:$F$63,12)))</f>
        <v/>
      </c>
      <c r="U611">
        <f>IF($O611="","",IF(INDEX(Dossiers!$G$4:$G$63,12)="","",INDEX(Dossiers!$G$4:$G$63,12)))</f>
        <v/>
      </c>
      <c r="V611">
        <f>IF(OR($O611="",NOT(ISNUMBER($Q611))),"",$Q611*1000000+611)</f>
        <v/>
      </c>
      <c r="W611" s="29">
        <f>IF($B611="","",IFERROR(INDEX($U$4:$U$3183,MATCH(SMALL($V$4:$V$3183,608),$V$4:$V$3183,0)),""))</f>
        <v/>
      </c>
    </row>
    <row r="612">
      <c r="A612">
        <f>IFERROR(INDEX($N$4:$N$3183,MATCH(SMALL($V$4:$V$3183,609),$V$4:$V$3183,0)),"")</f>
        <v/>
      </c>
      <c r="B612">
        <f>IFERROR(INDEX($O$4:$O$3183,MATCH(SMALL($V$4:$V$3183,609),$V$4:$V$3183,0)),"")</f>
        <v/>
      </c>
      <c r="C612">
        <f>IFERROR(INDEX($P$4:$P$3183,MATCH(SMALL($V$4:$V$3183,609),$V$4:$V$3183,0)),"")</f>
        <v/>
      </c>
      <c r="D612" s="29">
        <f>IFERROR(INDEX($Q$4:$Q$3183,MATCH(SMALL($V$4:$V$3183,609),$V$4:$V$3183,0)),"")</f>
        <v/>
      </c>
      <c r="E612" s="29">
        <f>IFERROR(INDEX($R$4:$R$3183,MATCH(SMALL($V$4:$V$3183,609),$V$4:$V$3183,0)),"")</f>
        <v/>
      </c>
      <c r="F612">
        <f>IFERROR(INDEX($S$4:$S$3183,MATCH(SMALL($V$4:$V$3183,609),$V$4:$V$3183,0)),"")</f>
        <v/>
      </c>
      <c r="I612" s="29">
        <f>IF($B612="","",IFERROR(INDEX($U$4:$U$3183,MATCH(SMALL($V$4:$V$3183,609),$V$4:$V$3183,0)),""))</f>
        <v/>
      </c>
      <c r="J612">
        <f>IF($B612="","",IF($D612&gt;$F$2,"À venir",IF($E612&lt;$D$2,"Passé","Dans la période")))</f>
        <v/>
      </c>
      <c r="K612">
        <f>IF(OR($B612="",NOT(ISNUMBER($D612))),"",IF(AND($E612&lt;$D$2,$G612&lt;&gt;"X",$F612&lt;&gt;"Réalisé",$F612&lt;&gt;"Clôturé"),"RETARD",""))</f>
        <v/>
      </c>
      <c r="L612">
        <f>IF(OR($B612="",NOT(ISNUMBER($D612))),"",IF(AND($D612&gt;=$D$2,$D612&lt;=$H$2,$G612&lt;&gt;"X",$F612&lt;&gt;"Réalisé",$F612&lt;&gt;"Clôturé"),"≤ 7 j",""))</f>
        <v/>
      </c>
      <c r="M612" s="29">
        <f>IF($B612="","",IFERROR(INDEX($T$4:$T$3183,MATCH(SMALL($V$4:$V$3183,609),$V$4:$V$3183,0)),""))</f>
        <v/>
      </c>
      <c r="O612">
        <f>IF(INDEX(Suivi!$B:$B,624)="","",INDEX(Suivi!$B:$B,624))</f>
        <v/>
      </c>
      <c r="P612">
        <f>IF($O612="","",IF(INDEX(Suivi!$D:$D,624)="",INDEX(Suivi!$C:$C,624),INDEX(Suivi!$D:$D,624)))</f>
        <v/>
      </c>
      <c r="Q612">
        <f>IF($O612="","",INDEX(Suivi!$E:$E,624))</f>
        <v/>
      </c>
      <c r="R612">
        <f>IF($O612="","",INDEX(Suivi!$F:$F,624))</f>
        <v/>
      </c>
      <c r="S612">
        <f>IF($O612="","",INDEX(Suivi!$G:$G,624))</f>
        <v/>
      </c>
      <c r="T612">
        <f>IF($O612="","",IF(INDEX(Dossiers!$F$4:$F$63,12)="","",INDEX(Dossiers!$F$4:$F$63,12)))</f>
        <v/>
      </c>
      <c r="U612">
        <f>IF($O612="","",IF(INDEX(Dossiers!$G$4:$G$63,12)="","",INDEX(Dossiers!$G$4:$G$63,12)))</f>
        <v/>
      </c>
      <c r="V612">
        <f>IF(OR($O612="",NOT(ISNUMBER($Q612))),"",$Q612*1000000+612)</f>
        <v/>
      </c>
      <c r="W612" s="29">
        <f>IF($B612="","",IFERROR(INDEX($U$4:$U$3183,MATCH(SMALL($V$4:$V$3183,609),$V$4:$V$3183,0)),""))</f>
        <v/>
      </c>
    </row>
    <row r="613">
      <c r="A613">
        <f>IFERROR(INDEX($N$4:$N$3183,MATCH(SMALL($V$4:$V$3183,610),$V$4:$V$3183,0)),"")</f>
        <v/>
      </c>
      <c r="B613">
        <f>IFERROR(INDEX($O$4:$O$3183,MATCH(SMALL($V$4:$V$3183,610),$V$4:$V$3183,0)),"")</f>
        <v/>
      </c>
      <c r="C613">
        <f>IFERROR(INDEX($P$4:$P$3183,MATCH(SMALL($V$4:$V$3183,610),$V$4:$V$3183,0)),"")</f>
        <v/>
      </c>
      <c r="D613" s="29">
        <f>IFERROR(INDEX($Q$4:$Q$3183,MATCH(SMALL($V$4:$V$3183,610),$V$4:$V$3183,0)),"")</f>
        <v/>
      </c>
      <c r="E613" s="29">
        <f>IFERROR(INDEX($R$4:$R$3183,MATCH(SMALL($V$4:$V$3183,610),$V$4:$V$3183,0)),"")</f>
        <v/>
      </c>
      <c r="F613">
        <f>IFERROR(INDEX($S$4:$S$3183,MATCH(SMALL($V$4:$V$3183,610),$V$4:$V$3183,0)),"")</f>
        <v/>
      </c>
      <c r="I613" s="29">
        <f>IF($B613="","",IFERROR(INDEX($U$4:$U$3183,MATCH(SMALL($V$4:$V$3183,610),$V$4:$V$3183,0)),""))</f>
        <v/>
      </c>
      <c r="J613">
        <f>IF($B613="","",IF($D613&gt;$F$2,"À venir",IF($E613&lt;$D$2,"Passé","Dans la période")))</f>
        <v/>
      </c>
      <c r="K613">
        <f>IF(OR($B613="",NOT(ISNUMBER($D613))),"",IF(AND($E613&lt;$D$2,$G613&lt;&gt;"X",$F613&lt;&gt;"Réalisé",$F613&lt;&gt;"Clôturé"),"RETARD",""))</f>
        <v/>
      </c>
      <c r="L613">
        <f>IF(OR($B613="",NOT(ISNUMBER($D613))),"",IF(AND($D613&gt;=$D$2,$D613&lt;=$H$2,$G613&lt;&gt;"X",$F613&lt;&gt;"Réalisé",$F613&lt;&gt;"Clôturé"),"≤ 7 j",""))</f>
        <v/>
      </c>
      <c r="M613" s="29">
        <f>IF($B613="","",IFERROR(INDEX($T$4:$T$3183,MATCH(SMALL($V$4:$V$3183,610),$V$4:$V$3183,0)),""))</f>
        <v/>
      </c>
      <c r="O613">
        <f>IF(INDEX(Suivi!$B:$B,625)="","",INDEX(Suivi!$B:$B,625))</f>
        <v/>
      </c>
      <c r="P613">
        <f>IF($O613="","",IF(INDEX(Suivi!$D:$D,625)="",INDEX(Suivi!$C:$C,625),INDEX(Suivi!$D:$D,625)))</f>
        <v/>
      </c>
      <c r="Q613">
        <f>IF($O613="","",INDEX(Suivi!$E:$E,625))</f>
        <v/>
      </c>
      <c r="R613">
        <f>IF($O613="","",INDEX(Suivi!$F:$F,625))</f>
        <v/>
      </c>
      <c r="S613">
        <f>IF($O613="","",INDEX(Suivi!$G:$G,625))</f>
        <v/>
      </c>
      <c r="T613">
        <f>IF($O613="","",IF(INDEX(Dossiers!$F$4:$F$63,12)="","",INDEX(Dossiers!$F$4:$F$63,12)))</f>
        <v/>
      </c>
      <c r="U613">
        <f>IF($O613="","",IF(INDEX(Dossiers!$G$4:$G$63,12)="","",INDEX(Dossiers!$G$4:$G$63,12)))</f>
        <v/>
      </c>
      <c r="V613">
        <f>IF(OR($O613="",NOT(ISNUMBER($Q613))),"",$Q613*1000000+613)</f>
        <v/>
      </c>
      <c r="W613" s="29">
        <f>IF($B613="","",IFERROR(INDEX($U$4:$U$3183,MATCH(SMALL($V$4:$V$3183,610),$V$4:$V$3183,0)),""))</f>
        <v/>
      </c>
    </row>
    <row r="614">
      <c r="A614">
        <f>IFERROR(INDEX($N$4:$N$3183,MATCH(SMALL($V$4:$V$3183,611),$V$4:$V$3183,0)),"")</f>
        <v/>
      </c>
      <c r="B614">
        <f>IFERROR(INDEX($O$4:$O$3183,MATCH(SMALL($V$4:$V$3183,611),$V$4:$V$3183,0)),"")</f>
        <v/>
      </c>
      <c r="C614">
        <f>IFERROR(INDEX($P$4:$P$3183,MATCH(SMALL($V$4:$V$3183,611),$V$4:$V$3183,0)),"")</f>
        <v/>
      </c>
      <c r="D614" s="29">
        <f>IFERROR(INDEX($Q$4:$Q$3183,MATCH(SMALL($V$4:$V$3183,611),$V$4:$V$3183,0)),"")</f>
        <v/>
      </c>
      <c r="E614" s="29">
        <f>IFERROR(INDEX($R$4:$R$3183,MATCH(SMALL($V$4:$V$3183,611),$V$4:$V$3183,0)),"")</f>
        <v/>
      </c>
      <c r="F614">
        <f>IFERROR(INDEX($S$4:$S$3183,MATCH(SMALL($V$4:$V$3183,611),$V$4:$V$3183,0)),"")</f>
        <v/>
      </c>
      <c r="I614" s="29">
        <f>IF($B614="","",IFERROR(INDEX($U$4:$U$3183,MATCH(SMALL($V$4:$V$3183,611),$V$4:$V$3183,0)),""))</f>
        <v/>
      </c>
      <c r="J614">
        <f>IF($B614="","",IF($D614&gt;$F$2,"À venir",IF($E614&lt;$D$2,"Passé","Dans la période")))</f>
        <v/>
      </c>
      <c r="K614">
        <f>IF(OR($B614="",NOT(ISNUMBER($D614))),"",IF(AND($E614&lt;$D$2,$G614&lt;&gt;"X",$F614&lt;&gt;"Réalisé",$F614&lt;&gt;"Clôturé"),"RETARD",""))</f>
        <v/>
      </c>
      <c r="L614">
        <f>IF(OR($B614="",NOT(ISNUMBER($D614))),"",IF(AND($D614&gt;=$D$2,$D614&lt;=$H$2,$G614&lt;&gt;"X",$F614&lt;&gt;"Réalisé",$F614&lt;&gt;"Clôturé"),"≤ 7 j",""))</f>
        <v/>
      </c>
      <c r="M614" s="29">
        <f>IF($B614="","",IFERROR(INDEX($T$4:$T$3183,MATCH(SMALL($V$4:$V$3183,611),$V$4:$V$3183,0)),""))</f>
        <v/>
      </c>
      <c r="O614">
        <f>IF(INDEX(Suivi!$B:$B,626)="","",INDEX(Suivi!$B:$B,626))</f>
        <v/>
      </c>
      <c r="P614">
        <f>IF($O614="","",IF(INDEX(Suivi!$D:$D,626)="",INDEX(Suivi!$C:$C,626),INDEX(Suivi!$D:$D,626)))</f>
        <v/>
      </c>
      <c r="Q614">
        <f>IF($O614="","",INDEX(Suivi!$E:$E,626))</f>
        <v/>
      </c>
      <c r="R614">
        <f>IF($O614="","",INDEX(Suivi!$F:$F,626))</f>
        <v/>
      </c>
      <c r="S614">
        <f>IF($O614="","",INDEX(Suivi!$G:$G,626))</f>
        <v/>
      </c>
      <c r="T614">
        <f>IF($O614="","",IF(INDEX(Dossiers!$F$4:$F$63,12)="","",INDEX(Dossiers!$F$4:$F$63,12)))</f>
        <v/>
      </c>
      <c r="U614">
        <f>IF($O614="","",IF(INDEX(Dossiers!$G$4:$G$63,12)="","",INDEX(Dossiers!$G$4:$G$63,12)))</f>
        <v/>
      </c>
      <c r="V614">
        <f>IF(OR($O614="",NOT(ISNUMBER($Q614))),"",$Q614*1000000+614)</f>
        <v/>
      </c>
      <c r="W614" s="29">
        <f>IF($B614="","",IFERROR(INDEX($U$4:$U$3183,MATCH(SMALL($V$4:$V$3183,611),$V$4:$V$3183,0)),""))</f>
        <v/>
      </c>
    </row>
    <row r="615">
      <c r="A615">
        <f>IFERROR(INDEX($N$4:$N$3183,MATCH(SMALL($V$4:$V$3183,612),$V$4:$V$3183,0)),"")</f>
        <v/>
      </c>
      <c r="B615">
        <f>IFERROR(INDEX($O$4:$O$3183,MATCH(SMALL($V$4:$V$3183,612),$V$4:$V$3183,0)),"")</f>
        <v/>
      </c>
      <c r="C615">
        <f>IFERROR(INDEX($P$4:$P$3183,MATCH(SMALL($V$4:$V$3183,612),$V$4:$V$3183,0)),"")</f>
        <v/>
      </c>
      <c r="D615" s="29">
        <f>IFERROR(INDEX($Q$4:$Q$3183,MATCH(SMALL($V$4:$V$3183,612),$V$4:$V$3183,0)),"")</f>
        <v/>
      </c>
      <c r="E615" s="29">
        <f>IFERROR(INDEX($R$4:$R$3183,MATCH(SMALL($V$4:$V$3183,612),$V$4:$V$3183,0)),"")</f>
        <v/>
      </c>
      <c r="F615">
        <f>IFERROR(INDEX($S$4:$S$3183,MATCH(SMALL($V$4:$V$3183,612),$V$4:$V$3183,0)),"")</f>
        <v/>
      </c>
      <c r="I615" s="29">
        <f>IF($B615="","",IFERROR(INDEX($U$4:$U$3183,MATCH(SMALL($V$4:$V$3183,612),$V$4:$V$3183,0)),""))</f>
        <v/>
      </c>
      <c r="J615">
        <f>IF($B615="","",IF($D615&gt;$F$2,"À venir",IF($E615&lt;$D$2,"Passé","Dans la période")))</f>
        <v/>
      </c>
      <c r="K615">
        <f>IF(OR($B615="",NOT(ISNUMBER($D615))),"",IF(AND($E615&lt;$D$2,$G615&lt;&gt;"X",$F615&lt;&gt;"Réalisé",$F615&lt;&gt;"Clôturé"),"RETARD",""))</f>
        <v/>
      </c>
      <c r="L615">
        <f>IF(OR($B615="",NOT(ISNUMBER($D615))),"",IF(AND($D615&gt;=$D$2,$D615&lt;=$H$2,$G615&lt;&gt;"X",$F615&lt;&gt;"Réalisé",$F615&lt;&gt;"Clôturé"),"≤ 7 j",""))</f>
        <v/>
      </c>
      <c r="M615" s="29">
        <f>IF($B615="","",IFERROR(INDEX($T$4:$T$3183,MATCH(SMALL($V$4:$V$3183,612),$V$4:$V$3183,0)),""))</f>
        <v/>
      </c>
      <c r="O615">
        <f>IF(INDEX(Suivi!$B:$B,627)="","",INDEX(Suivi!$B:$B,627))</f>
        <v/>
      </c>
      <c r="P615">
        <f>IF($O615="","",IF(INDEX(Suivi!$D:$D,627)="",INDEX(Suivi!$C:$C,627),INDEX(Suivi!$D:$D,627)))</f>
        <v/>
      </c>
      <c r="Q615">
        <f>IF($O615="","",INDEX(Suivi!$E:$E,627))</f>
        <v/>
      </c>
      <c r="R615">
        <f>IF($O615="","",INDEX(Suivi!$F:$F,627))</f>
        <v/>
      </c>
      <c r="S615">
        <f>IF($O615="","",INDEX(Suivi!$G:$G,627))</f>
        <v/>
      </c>
      <c r="T615">
        <f>IF($O615="","",IF(INDEX(Dossiers!$F$4:$F$63,12)="","",INDEX(Dossiers!$F$4:$F$63,12)))</f>
        <v/>
      </c>
      <c r="U615">
        <f>IF($O615="","",IF(INDEX(Dossiers!$G$4:$G$63,12)="","",INDEX(Dossiers!$G$4:$G$63,12)))</f>
        <v/>
      </c>
      <c r="V615">
        <f>IF(OR($O615="",NOT(ISNUMBER($Q615))),"",$Q615*1000000+615)</f>
        <v/>
      </c>
      <c r="W615" s="29">
        <f>IF($B615="","",IFERROR(INDEX($U$4:$U$3183,MATCH(SMALL($V$4:$V$3183,612),$V$4:$V$3183,0)),""))</f>
        <v/>
      </c>
    </row>
    <row r="616">
      <c r="A616">
        <f>IFERROR(INDEX($N$4:$N$3183,MATCH(SMALL($V$4:$V$3183,613),$V$4:$V$3183,0)),"")</f>
        <v/>
      </c>
      <c r="B616">
        <f>IFERROR(INDEX($O$4:$O$3183,MATCH(SMALL($V$4:$V$3183,613),$V$4:$V$3183,0)),"")</f>
        <v/>
      </c>
      <c r="C616">
        <f>IFERROR(INDEX($P$4:$P$3183,MATCH(SMALL($V$4:$V$3183,613),$V$4:$V$3183,0)),"")</f>
        <v/>
      </c>
      <c r="D616" s="29">
        <f>IFERROR(INDEX($Q$4:$Q$3183,MATCH(SMALL($V$4:$V$3183,613),$V$4:$V$3183,0)),"")</f>
        <v/>
      </c>
      <c r="E616" s="29">
        <f>IFERROR(INDEX($R$4:$R$3183,MATCH(SMALL($V$4:$V$3183,613),$V$4:$V$3183,0)),"")</f>
        <v/>
      </c>
      <c r="F616">
        <f>IFERROR(INDEX($S$4:$S$3183,MATCH(SMALL($V$4:$V$3183,613),$V$4:$V$3183,0)),"")</f>
        <v/>
      </c>
      <c r="I616" s="29">
        <f>IF($B616="","",IFERROR(INDEX($U$4:$U$3183,MATCH(SMALL($V$4:$V$3183,613),$V$4:$V$3183,0)),""))</f>
        <v/>
      </c>
      <c r="J616">
        <f>IF($B616="","",IF($D616&gt;$F$2,"À venir",IF($E616&lt;$D$2,"Passé","Dans la période")))</f>
        <v/>
      </c>
      <c r="K616">
        <f>IF(OR($B616="",NOT(ISNUMBER($D616))),"",IF(AND($E616&lt;$D$2,$G616&lt;&gt;"X",$F616&lt;&gt;"Réalisé",$F616&lt;&gt;"Clôturé"),"RETARD",""))</f>
        <v/>
      </c>
      <c r="L616">
        <f>IF(OR($B616="",NOT(ISNUMBER($D616))),"",IF(AND($D616&gt;=$D$2,$D616&lt;=$H$2,$G616&lt;&gt;"X",$F616&lt;&gt;"Réalisé",$F616&lt;&gt;"Clôturé"),"≤ 7 j",""))</f>
        <v/>
      </c>
      <c r="M616" s="29">
        <f>IF($B616="","",IFERROR(INDEX($T$4:$T$3183,MATCH(SMALL($V$4:$V$3183,613),$V$4:$V$3183,0)),""))</f>
        <v/>
      </c>
      <c r="O616">
        <f>IF(INDEX(Suivi!$B:$B,628)="","",INDEX(Suivi!$B:$B,628))</f>
        <v/>
      </c>
      <c r="P616">
        <f>IF($O616="","",IF(INDEX(Suivi!$D:$D,628)="",INDEX(Suivi!$C:$C,628),INDEX(Suivi!$D:$D,628)))</f>
        <v/>
      </c>
      <c r="Q616">
        <f>IF($O616="","",INDEX(Suivi!$E:$E,628))</f>
        <v/>
      </c>
      <c r="R616">
        <f>IF($O616="","",INDEX(Suivi!$F:$F,628))</f>
        <v/>
      </c>
      <c r="S616">
        <f>IF($O616="","",INDEX(Suivi!$G:$G,628))</f>
        <v/>
      </c>
      <c r="T616">
        <f>IF($O616="","",IF(INDEX(Dossiers!$F$4:$F$63,12)="","",INDEX(Dossiers!$F$4:$F$63,12)))</f>
        <v/>
      </c>
      <c r="U616">
        <f>IF($O616="","",IF(INDEX(Dossiers!$G$4:$G$63,12)="","",INDEX(Dossiers!$G$4:$G$63,12)))</f>
        <v/>
      </c>
      <c r="V616">
        <f>IF(OR($O616="",NOT(ISNUMBER($Q616))),"",$Q616*1000000+616)</f>
        <v/>
      </c>
      <c r="W616" s="29">
        <f>IF($B616="","",IFERROR(INDEX($U$4:$U$3183,MATCH(SMALL($V$4:$V$3183,613),$V$4:$V$3183,0)),""))</f>
        <v/>
      </c>
    </row>
    <row r="617">
      <c r="A617">
        <f>IFERROR(INDEX($N$4:$N$3183,MATCH(SMALL($V$4:$V$3183,614),$V$4:$V$3183,0)),"")</f>
        <v/>
      </c>
      <c r="B617">
        <f>IFERROR(INDEX($O$4:$O$3183,MATCH(SMALL($V$4:$V$3183,614),$V$4:$V$3183,0)),"")</f>
        <v/>
      </c>
      <c r="C617">
        <f>IFERROR(INDEX($P$4:$P$3183,MATCH(SMALL($V$4:$V$3183,614),$V$4:$V$3183,0)),"")</f>
        <v/>
      </c>
      <c r="D617" s="29">
        <f>IFERROR(INDEX($Q$4:$Q$3183,MATCH(SMALL($V$4:$V$3183,614),$V$4:$V$3183,0)),"")</f>
        <v/>
      </c>
      <c r="E617" s="29">
        <f>IFERROR(INDEX($R$4:$R$3183,MATCH(SMALL($V$4:$V$3183,614),$V$4:$V$3183,0)),"")</f>
        <v/>
      </c>
      <c r="F617">
        <f>IFERROR(INDEX($S$4:$S$3183,MATCH(SMALL($V$4:$V$3183,614),$V$4:$V$3183,0)),"")</f>
        <v/>
      </c>
      <c r="I617" s="29">
        <f>IF($B617="","",IFERROR(INDEX($U$4:$U$3183,MATCH(SMALL($V$4:$V$3183,614),$V$4:$V$3183,0)),""))</f>
        <v/>
      </c>
      <c r="J617">
        <f>IF($B617="","",IF($D617&gt;$F$2,"À venir",IF($E617&lt;$D$2,"Passé","Dans la période")))</f>
        <v/>
      </c>
      <c r="K617">
        <f>IF(OR($B617="",NOT(ISNUMBER($D617))),"",IF(AND($E617&lt;$D$2,$G617&lt;&gt;"X",$F617&lt;&gt;"Réalisé",$F617&lt;&gt;"Clôturé"),"RETARD",""))</f>
        <v/>
      </c>
      <c r="L617">
        <f>IF(OR($B617="",NOT(ISNUMBER($D617))),"",IF(AND($D617&gt;=$D$2,$D617&lt;=$H$2,$G617&lt;&gt;"X",$F617&lt;&gt;"Réalisé",$F617&lt;&gt;"Clôturé"),"≤ 7 j",""))</f>
        <v/>
      </c>
      <c r="M617" s="29">
        <f>IF($B617="","",IFERROR(INDEX($T$4:$T$3183,MATCH(SMALL($V$4:$V$3183,614),$V$4:$V$3183,0)),""))</f>
        <v/>
      </c>
      <c r="O617">
        <f>IF(INDEX(Suivi!$B:$B,629)="","",INDEX(Suivi!$B:$B,629))</f>
        <v/>
      </c>
      <c r="P617">
        <f>IF($O617="","",IF(INDEX(Suivi!$D:$D,629)="",INDEX(Suivi!$C:$C,629),INDEX(Suivi!$D:$D,629)))</f>
        <v/>
      </c>
      <c r="Q617">
        <f>IF($O617="","",INDEX(Suivi!$E:$E,629))</f>
        <v/>
      </c>
      <c r="R617">
        <f>IF($O617="","",INDEX(Suivi!$F:$F,629))</f>
        <v/>
      </c>
      <c r="S617">
        <f>IF($O617="","",INDEX(Suivi!$G:$G,629))</f>
        <v/>
      </c>
      <c r="T617">
        <f>IF($O617="","",IF(INDEX(Dossiers!$F$4:$F$63,12)="","",INDEX(Dossiers!$F$4:$F$63,12)))</f>
        <v/>
      </c>
      <c r="U617">
        <f>IF($O617="","",IF(INDEX(Dossiers!$G$4:$G$63,12)="","",INDEX(Dossiers!$G$4:$G$63,12)))</f>
        <v/>
      </c>
      <c r="V617">
        <f>IF(OR($O617="",NOT(ISNUMBER($Q617))),"",$Q617*1000000+617)</f>
        <v/>
      </c>
      <c r="W617" s="29">
        <f>IF($B617="","",IFERROR(INDEX($U$4:$U$3183,MATCH(SMALL($V$4:$V$3183,614),$V$4:$V$3183,0)),""))</f>
        <v/>
      </c>
    </row>
    <row r="618">
      <c r="A618">
        <f>IFERROR(INDEX($N$4:$N$3183,MATCH(SMALL($V$4:$V$3183,615),$V$4:$V$3183,0)),"")</f>
        <v/>
      </c>
      <c r="B618">
        <f>IFERROR(INDEX($O$4:$O$3183,MATCH(SMALL($V$4:$V$3183,615),$V$4:$V$3183,0)),"")</f>
        <v/>
      </c>
      <c r="C618">
        <f>IFERROR(INDEX($P$4:$P$3183,MATCH(SMALL($V$4:$V$3183,615),$V$4:$V$3183,0)),"")</f>
        <v/>
      </c>
      <c r="D618" s="29">
        <f>IFERROR(INDEX($Q$4:$Q$3183,MATCH(SMALL($V$4:$V$3183,615),$V$4:$V$3183,0)),"")</f>
        <v/>
      </c>
      <c r="E618" s="29">
        <f>IFERROR(INDEX($R$4:$R$3183,MATCH(SMALL($V$4:$V$3183,615),$V$4:$V$3183,0)),"")</f>
        <v/>
      </c>
      <c r="F618">
        <f>IFERROR(INDEX($S$4:$S$3183,MATCH(SMALL($V$4:$V$3183,615),$V$4:$V$3183,0)),"")</f>
        <v/>
      </c>
      <c r="I618" s="29">
        <f>IF($B618="","",IFERROR(INDEX($U$4:$U$3183,MATCH(SMALL($V$4:$V$3183,615),$V$4:$V$3183,0)),""))</f>
        <v/>
      </c>
      <c r="J618">
        <f>IF($B618="","",IF($D618&gt;$F$2,"À venir",IF($E618&lt;$D$2,"Passé","Dans la période")))</f>
        <v/>
      </c>
      <c r="K618">
        <f>IF(OR($B618="",NOT(ISNUMBER($D618))),"",IF(AND($E618&lt;$D$2,$G618&lt;&gt;"X",$F618&lt;&gt;"Réalisé",$F618&lt;&gt;"Clôturé"),"RETARD",""))</f>
        <v/>
      </c>
      <c r="L618">
        <f>IF(OR($B618="",NOT(ISNUMBER($D618))),"",IF(AND($D618&gt;=$D$2,$D618&lt;=$H$2,$G618&lt;&gt;"X",$F618&lt;&gt;"Réalisé",$F618&lt;&gt;"Clôturé"),"≤ 7 j",""))</f>
        <v/>
      </c>
      <c r="M618" s="29">
        <f>IF($B618="","",IFERROR(INDEX($T$4:$T$3183,MATCH(SMALL($V$4:$V$3183,615),$V$4:$V$3183,0)),""))</f>
        <v/>
      </c>
      <c r="O618">
        <f>IF(INDEX(Suivi!$B:$B,630)="","",INDEX(Suivi!$B:$B,630))</f>
        <v/>
      </c>
      <c r="P618">
        <f>IF($O618="","",IF(INDEX(Suivi!$D:$D,630)="",INDEX(Suivi!$C:$C,630),INDEX(Suivi!$D:$D,630)))</f>
        <v/>
      </c>
      <c r="Q618">
        <f>IF($O618="","",INDEX(Suivi!$E:$E,630))</f>
        <v/>
      </c>
      <c r="R618">
        <f>IF($O618="","",INDEX(Suivi!$F:$F,630))</f>
        <v/>
      </c>
      <c r="S618">
        <f>IF($O618="","",INDEX(Suivi!$G:$G,630))</f>
        <v/>
      </c>
      <c r="T618">
        <f>IF($O618="","",IF(INDEX(Dossiers!$F$4:$F$63,12)="","",INDEX(Dossiers!$F$4:$F$63,12)))</f>
        <v/>
      </c>
      <c r="U618">
        <f>IF($O618="","",IF(INDEX(Dossiers!$G$4:$G$63,12)="","",INDEX(Dossiers!$G$4:$G$63,12)))</f>
        <v/>
      </c>
      <c r="V618">
        <f>IF(OR($O618="",NOT(ISNUMBER($Q618))),"",$Q618*1000000+618)</f>
        <v/>
      </c>
      <c r="W618" s="29">
        <f>IF($B618="","",IFERROR(INDEX($U$4:$U$3183,MATCH(SMALL($V$4:$V$3183,615),$V$4:$V$3183,0)),""))</f>
        <v/>
      </c>
    </row>
    <row r="619">
      <c r="A619">
        <f>IFERROR(INDEX($N$4:$N$3183,MATCH(SMALL($V$4:$V$3183,616),$V$4:$V$3183,0)),"")</f>
        <v/>
      </c>
      <c r="B619">
        <f>IFERROR(INDEX($O$4:$O$3183,MATCH(SMALL($V$4:$V$3183,616),$V$4:$V$3183,0)),"")</f>
        <v/>
      </c>
      <c r="C619">
        <f>IFERROR(INDEX($P$4:$P$3183,MATCH(SMALL($V$4:$V$3183,616),$V$4:$V$3183,0)),"")</f>
        <v/>
      </c>
      <c r="D619" s="29">
        <f>IFERROR(INDEX($Q$4:$Q$3183,MATCH(SMALL($V$4:$V$3183,616),$V$4:$V$3183,0)),"")</f>
        <v/>
      </c>
      <c r="E619" s="29">
        <f>IFERROR(INDEX($R$4:$R$3183,MATCH(SMALL($V$4:$V$3183,616),$V$4:$V$3183,0)),"")</f>
        <v/>
      </c>
      <c r="F619">
        <f>IFERROR(INDEX($S$4:$S$3183,MATCH(SMALL($V$4:$V$3183,616),$V$4:$V$3183,0)),"")</f>
        <v/>
      </c>
      <c r="I619" s="29">
        <f>IF($B619="","",IFERROR(INDEX($U$4:$U$3183,MATCH(SMALL($V$4:$V$3183,616),$V$4:$V$3183,0)),""))</f>
        <v/>
      </c>
      <c r="J619">
        <f>IF($B619="","",IF($D619&gt;$F$2,"À venir",IF($E619&lt;$D$2,"Passé","Dans la période")))</f>
        <v/>
      </c>
      <c r="K619">
        <f>IF(OR($B619="",NOT(ISNUMBER($D619))),"",IF(AND($E619&lt;$D$2,$G619&lt;&gt;"X",$F619&lt;&gt;"Réalisé",$F619&lt;&gt;"Clôturé"),"RETARD",""))</f>
        <v/>
      </c>
      <c r="L619">
        <f>IF(OR($B619="",NOT(ISNUMBER($D619))),"",IF(AND($D619&gt;=$D$2,$D619&lt;=$H$2,$G619&lt;&gt;"X",$F619&lt;&gt;"Réalisé",$F619&lt;&gt;"Clôturé"),"≤ 7 j",""))</f>
        <v/>
      </c>
      <c r="M619" s="29">
        <f>IF($B619="","",IFERROR(INDEX($T$4:$T$3183,MATCH(SMALL($V$4:$V$3183,616),$V$4:$V$3183,0)),""))</f>
        <v/>
      </c>
      <c r="O619">
        <f>IF(INDEX(Suivi!$B:$B,631)="","",INDEX(Suivi!$B:$B,631))</f>
        <v/>
      </c>
      <c r="P619">
        <f>IF($O619="","",IF(INDEX(Suivi!$D:$D,631)="",INDEX(Suivi!$C:$C,631),INDEX(Suivi!$D:$D,631)))</f>
        <v/>
      </c>
      <c r="Q619">
        <f>IF($O619="","",INDEX(Suivi!$E:$E,631))</f>
        <v/>
      </c>
      <c r="R619">
        <f>IF($O619="","",INDEX(Suivi!$F:$F,631))</f>
        <v/>
      </c>
      <c r="S619">
        <f>IF($O619="","",INDEX(Suivi!$G:$G,631))</f>
        <v/>
      </c>
      <c r="T619">
        <f>IF($O619="","",IF(INDEX(Dossiers!$F$4:$F$63,12)="","",INDEX(Dossiers!$F$4:$F$63,12)))</f>
        <v/>
      </c>
      <c r="U619">
        <f>IF($O619="","",IF(INDEX(Dossiers!$G$4:$G$63,12)="","",INDEX(Dossiers!$G$4:$G$63,12)))</f>
        <v/>
      </c>
      <c r="V619">
        <f>IF(OR($O619="",NOT(ISNUMBER($Q619))),"",$Q619*1000000+619)</f>
        <v/>
      </c>
      <c r="W619" s="29">
        <f>IF($B619="","",IFERROR(INDEX($U$4:$U$3183,MATCH(SMALL($V$4:$V$3183,616),$V$4:$V$3183,0)),""))</f>
        <v/>
      </c>
    </row>
    <row r="620">
      <c r="A620">
        <f>IFERROR(INDEX($N$4:$N$3183,MATCH(SMALL($V$4:$V$3183,617),$V$4:$V$3183,0)),"")</f>
        <v/>
      </c>
      <c r="B620">
        <f>IFERROR(INDEX($O$4:$O$3183,MATCH(SMALL($V$4:$V$3183,617),$V$4:$V$3183,0)),"")</f>
        <v/>
      </c>
      <c r="C620">
        <f>IFERROR(INDEX($P$4:$P$3183,MATCH(SMALL($V$4:$V$3183,617),$V$4:$V$3183,0)),"")</f>
        <v/>
      </c>
      <c r="D620" s="29">
        <f>IFERROR(INDEX($Q$4:$Q$3183,MATCH(SMALL($V$4:$V$3183,617),$V$4:$V$3183,0)),"")</f>
        <v/>
      </c>
      <c r="E620" s="29">
        <f>IFERROR(INDEX($R$4:$R$3183,MATCH(SMALL($V$4:$V$3183,617),$V$4:$V$3183,0)),"")</f>
        <v/>
      </c>
      <c r="F620">
        <f>IFERROR(INDEX($S$4:$S$3183,MATCH(SMALL($V$4:$V$3183,617),$V$4:$V$3183,0)),"")</f>
        <v/>
      </c>
      <c r="I620" s="29">
        <f>IF($B620="","",IFERROR(INDEX($U$4:$U$3183,MATCH(SMALL($V$4:$V$3183,617),$V$4:$V$3183,0)),""))</f>
        <v/>
      </c>
      <c r="J620">
        <f>IF($B620="","",IF($D620&gt;$F$2,"À venir",IF($E620&lt;$D$2,"Passé","Dans la période")))</f>
        <v/>
      </c>
      <c r="K620">
        <f>IF(OR($B620="",NOT(ISNUMBER($D620))),"",IF(AND($E620&lt;$D$2,$G620&lt;&gt;"X",$F620&lt;&gt;"Réalisé",$F620&lt;&gt;"Clôturé"),"RETARD",""))</f>
        <v/>
      </c>
      <c r="L620">
        <f>IF(OR($B620="",NOT(ISNUMBER($D620))),"",IF(AND($D620&gt;=$D$2,$D620&lt;=$H$2,$G620&lt;&gt;"X",$F620&lt;&gt;"Réalisé",$F620&lt;&gt;"Clôturé"),"≤ 7 j",""))</f>
        <v/>
      </c>
      <c r="M620" s="29">
        <f>IF($B620="","",IFERROR(INDEX($T$4:$T$3183,MATCH(SMALL($V$4:$V$3183,617),$V$4:$V$3183,0)),""))</f>
        <v/>
      </c>
      <c r="O620">
        <f>IF(INDEX(Suivi!$B:$B,632)="","",INDEX(Suivi!$B:$B,632))</f>
        <v/>
      </c>
      <c r="P620">
        <f>IF($O620="","",IF(INDEX(Suivi!$D:$D,632)="",INDEX(Suivi!$C:$C,632),INDEX(Suivi!$D:$D,632)))</f>
        <v/>
      </c>
      <c r="Q620">
        <f>IF($O620="","",INDEX(Suivi!$E:$E,632))</f>
        <v/>
      </c>
      <c r="R620">
        <f>IF($O620="","",INDEX(Suivi!$F:$F,632))</f>
        <v/>
      </c>
      <c r="S620">
        <f>IF($O620="","",INDEX(Suivi!$G:$G,632))</f>
        <v/>
      </c>
      <c r="T620">
        <f>IF($O620="","",IF(INDEX(Dossiers!$F$4:$F$63,12)="","",INDEX(Dossiers!$F$4:$F$63,12)))</f>
        <v/>
      </c>
      <c r="U620">
        <f>IF($O620="","",IF(INDEX(Dossiers!$G$4:$G$63,12)="","",INDEX(Dossiers!$G$4:$G$63,12)))</f>
        <v/>
      </c>
      <c r="V620">
        <f>IF(OR($O620="",NOT(ISNUMBER($Q620))),"",$Q620*1000000+620)</f>
        <v/>
      </c>
      <c r="W620" s="29">
        <f>IF($B620="","",IFERROR(INDEX($U$4:$U$3183,MATCH(SMALL($V$4:$V$3183,617),$V$4:$V$3183,0)),""))</f>
        <v/>
      </c>
    </row>
    <row r="621">
      <c r="A621">
        <f>IFERROR(INDEX($N$4:$N$3183,MATCH(SMALL($V$4:$V$3183,618),$V$4:$V$3183,0)),"")</f>
        <v/>
      </c>
      <c r="B621">
        <f>IFERROR(INDEX($O$4:$O$3183,MATCH(SMALL($V$4:$V$3183,618),$V$4:$V$3183,0)),"")</f>
        <v/>
      </c>
      <c r="C621">
        <f>IFERROR(INDEX($P$4:$P$3183,MATCH(SMALL($V$4:$V$3183,618),$V$4:$V$3183,0)),"")</f>
        <v/>
      </c>
      <c r="D621" s="29">
        <f>IFERROR(INDEX($Q$4:$Q$3183,MATCH(SMALL($V$4:$V$3183,618),$V$4:$V$3183,0)),"")</f>
        <v/>
      </c>
      <c r="E621" s="29">
        <f>IFERROR(INDEX($R$4:$R$3183,MATCH(SMALL($V$4:$V$3183,618),$V$4:$V$3183,0)),"")</f>
        <v/>
      </c>
      <c r="F621">
        <f>IFERROR(INDEX($S$4:$S$3183,MATCH(SMALL($V$4:$V$3183,618),$V$4:$V$3183,0)),"")</f>
        <v/>
      </c>
      <c r="I621" s="29">
        <f>IF($B621="","",IFERROR(INDEX($U$4:$U$3183,MATCH(SMALL($V$4:$V$3183,618),$V$4:$V$3183,0)),""))</f>
        <v/>
      </c>
      <c r="J621">
        <f>IF($B621="","",IF($D621&gt;$F$2,"À venir",IF($E621&lt;$D$2,"Passé","Dans la période")))</f>
        <v/>
      </c>
      <c r="K621">
        <f>IF(OR($B621="",NOT(ISNUMBER($D621))),"",IF(AND($E621&lt;$D$2,$G621&lt;&gt;"X",$F621&lt;&gt;"Réalisé",$F621&lt;&gt;"Clôturé"),"RETARD",""))</f>
        <v/>
      </c>
      <c r="L621">
        <f>IF(OR($B621="",NOT(ISNUMBER($D621))),"",IF(AND($D621&gt;=$D$2,$D621&lt;=$H$2,$G621&lt;&gt;"X",$F621&lt;&gt;"Réalisé",$F621&lt;&gt;"Clôturé"),"≤ 7 j",""))</f>
        <v/>
      </c>
      <c r="M621" s="29">
        <f>IF($B621="","",IFERROR(INDEX($T$4:$T$3183,MATCH(SMALL($V$4:$V$3183,618),$V$4:$V$3183,0)),""))</f>
        <v/>
      </c>
      <c r="O621">
        <f>IF(INDEX(Suivi!$B:$B,633)="","",INDEX(Suivi!$B:$B,633))</f>
        <v/>
      </c>
      <c r="P621">
        <f>IF($O621="","",IF(INDEX(Suivi!$D:$D,633)="",INDEX(Suivi!$C:$C,633),INDEX(Suivi!$D:$D,633)))</f>
        <v/>
      </c>
      <c r="Q621">
        <f>IF($O621="","",INDEX(Suivi!$E:$E,633))</f>
        <v/>
      </c>
      <c r="R621">
        <f>IF($O621="","",INDEX(Suivi!$F:$F,633))</f>
        <v/>
      </c>
      <c r="S621">
        <f>IF($O621="","",INDEX(Suivi!$G:$G,633))</f>
        <v/>
      </c>
      <c r="T621">
        <f>IF($O621="","",IF(INDEX(Dossiers!$F$4:$F$63,12)="","",INDEX(Dossiers!$F$4:$F$63,12)))</f>
        <v/>
      </c>
      <c r="U621">
        <f>IF($O621="","",IF(INDEX(Dossiers!$G$4:$G$63,12)="","",INDEX(Dossiers!$G$4:$G$63,12)))</f>
        <v/>
      </c>
      <c r="V621">
        <f>IF(OR($O621="",NOT(ISNUMBER($Q621))),"",$Q621*1000000+621)</f>
        <v/>
      </c>
      <c r="W621" s="29">
        <f>IF($B621="","",IFERROR(INDEX($U$4:$U$3183,MATCH(SMALL($V$4:$V$3183,618),$V$4:$V$3183,0)),""))</f>
        <v/>
      </c>
    </row>
    <row r="622">
      <c r="A622">
        <f>IFERROR(INDEX($N$4:$N$3183,MATCH(SMALL($V$4:$V$3183,619),$V$4:$V$3183,0)),"")</f>
        <v/>
      </c>
      <c r="B622">
        <f>IFERROR(INDEX($O$4:$O$3183,MATCH(SMALL($V$4:$V$3183,619),$V$4:$V$3183,0)),"")</f>
        <v/>
      </c>
      <c r="C622">
        <f>IFERROR(INDEX($P$4:$P$3183,MATCH(SMALL($V$4:$V$3183,619),$V$4:$V$3183,0)),"")</f>
        <v/>
      </c>
      <c r="D622" s="29">
        <f>IFERROR(INDEX($Q$4:$Q$3183,MATCH(SMALL($V$4:$V$3183,619),$V$4:$V$3183,0)),"")</f>
        <v/>
      </c>
      <c r="E622" s="29">
        <f>IFERROR(INDEX($R$4:$R$3183,MATCH(SMALL($V$4:$V$3183,619),$V$4:$V$3183,0)),"")</f>
        <v/>
      </c>
      <c r="F622">
        <f>IFERROR(INDEX($S$4:$S$3183,MATCH(SMALL($V$4:$V$3183,619),$V$4:$V$3183,0)),"")</f>
        <v/>
      </c>
      <c r="I622" s="29">
        <f>IF($B622="","",IFERROR(INDEX($U$4:$U$3183,MATCH(SMALL($V$4:$V$3183,619),$V$4:$V$3183,0)),""))</f>
        <v/>
      </c>
      <c r="J622">
        <f>IF($B622="","",IF($D622&gt;$F$2,"À venir",IF($E622&lt;$D$2,"Passé","Dans la période")))</f>
        <v/>
      </c>
      <c r="K622">
        <f>IF(OR($B622="",NOT(ISNUMBER($D622))),"",IF(AND($E622&lt;$D$2,$G622&lt;&gt;"X",$F622&lt;&gt;"Réalisé",$F622&lt;&gt;"Clôturé"),"RETARD",""))</f>
        <v/>
      </c>
      <c r="L622">
        <f>IF(OR($B622="",NOT(ISNUMBER($D622))),"",IF(AND($D622&gt;=$D$2,$D622&lt;=$H$2,$G622&lt;&gt;"X",$F622&lt;&gt;"Réalisé",$F622&lt;&gt;"Clôturé"),"≤ 7 j",""))</f>
        <v/>
      </c>
      <c r="M622" s="29">
        <f>IF($B622="","",IFERROR(INDEX($T$4:$T$3183,MATCH(SMALL($V$4:$V$3183,619),$V$4:$V$3183,0)),""))</f>
        <v/>
      </c>
      <c r="O622">
        <f>IF(INDEX(Suivi!$B:$B,634)="","",INDEX(Suivi!$B:$B,634))</f>
        <v/>
      </c>
      <c r="P622">
        <f>IF($O622="","",IF(INDEX(Suivi!$D:$D,634)="",INDEX(Suivi!$C:$C,634),INDEX(Suivi!$D:$D,634)))</f>
        <v/>
      </c>
      <c r="Q622">
        <f>IF($O622="","",INDEX(Suivi!$E:$E,634))</f>
        <v/>
      </c>
      <c r="R622">
        <f>IF($O622="","",INDEX(Suivi!$F:$F,634))</f>
        <v/>
      </c>
      <c r="S622">
        <f>IF($O622="","",INDEX(Suivi!$G:$G,634))</f>
        <v/>
      </c>
      <c r="T622">
        <f>IF($O622="","",IF(INDEX(Dossiers!$F$4:$F$63,12)="","",INDEX(Dossiers!$F$4:$F$63,12)))</f>
        <v/>
      </c>
      <c r="U622">
        <f>IF($O622="","",IF(INDEX(Dossiers!$G$4:$G$63,12)="","",INDEX(Dossiers!$G$4:$G$63,12)))</f>
        <v/>
      </c>
      <c r="V622">
        <f>IF(OR($O622="",NOT(ISNUMBER($Q622))),"",$Q622*1000000+622)</f>
        <v/>
      </c>
      <c r="W622" s="29">
        <f>IF($B622="","",IFERROR(INDEX($U$4:$U$3183,MATCH(SMALL($V$4:$V$3183,619),$V$4:$V$3183,0)),""))</f>
        <v/>
      </c>
    </row>
    <row r="623">
      <c r="A623">
        <f>IFERROR(INDEX($N$4:$N$3183,MATCH(SMALL($V$4:$V$3183,620),$V$4:$V$3183,0)),"")</f>
        <v/>
      </c>
      <c r="B623">
        <f>IFERROR(INDEX($O$4:$O$3183,MATCH(SMALL($V$4:$V$3183,620),$V$4:$V$3183,0)),"")</f>
        <v/>
      </c>
      <c r="C623">
        <f>IFERROR(INDEX($P$4:$P$3183,MATCH(SMALL($V$4:$V$3183,620),$V$4:$V$3183,0)),"")</f>
        <v/>
      </c>
      <c r="D623" s="29">
        <f>IFERROR(INDEX($Q$4:$Q$3183,MATCH(SMALL($V$4:$V$3183,620),$V$4:$V$3183,0)),"")</f>
        <v/>
      </c>
      <c r="E623" s="29">
        <f>IFERROR(INDEX($R$4:$R$3183,MATCH(SMALL($V$4:$V$3183,620),$V$4:$V$3183,0)),"")</f>
        <v/>
      </c>
      <c r="F623">
        <f>IFERROR(INDEX($S$4:$S$3183,MATCH(SMALL($V$4:$V$3183,620),$V$4:$V$3183,0)),"")</f>
        <v/>
      </c>
      <c r="I623" s="29">
        <f>IF($B623="","",IFERROR(INDEX($U$4:$U$3183,MATCH(SMALL($V$4:$V$3183,620),$V$4:$V$3183,0)),""))</f>
        <v/>
      </c>
      <c r="J623">
        <f>IF($B623="","",IF($D623&gt;$F$2,"À venir",IF($E623&lt;$D$2,"Passé","Dans la période")))</f>
        <v/>
      </c>
      <c r="K623">
        <f>IF(OR($B623="",NOT(ISNUMBER($D623))),"",IF(AND($E623&lt;$D$2,$G623&lt;&gt;"X",$F623&lt;&gt;"Réalisé",$F623&lt;&gt;"Clôturé"),"RETARD",""))</f>
        <v/>
      </c>
      <c r="L623">
        <f>IF(OR($B623="",NOT(ISNUMBER($D623))),"",IF(AND($D623&gt;=$D$2,$D623&lt;=$H$2,$G623&lt;&gt;"X",$F623&lt;&gt;"Réalisé",$F623&lt;&gt;"Clôturé"),"≤ 7 j",""))</f>
        <v/>
      </c>
      <c r="M623" s="29">
        <f>IF($B623="","",IFERROR(INDEX($T$4:$T$3183,MATCH(SMALL($V$4:$V$3183,620),$V$4:$V$3183,0)),""))</f>
        <v/>
      </c>
      <c r="O623">
        <f>IF(INDEX(Suivi!$B:$B,635)="","",INDEX(Suivi!$B:$B,635))</f>
        <v/>
      </c>
      <c r="P623">
        <f>IF($O623="","",IF(INDEX(Suivi!$D:$D,635)="",INDEX(Suivi!$C:$C,635),INDEX(Suivi!$D:$D,635)))</f>
        <v/>
      </c>
      <c r="Q623">
        <f>IF($O623="","",INDEX(Suivi!$E:$E,635))</f>
        <v/>
      </c>
      <c r="R623">
        <f>IF($O623="","",INDEX(Suivi!$F:$F,635))</f>
        <v/>
      </c>
      <c r="S623">
        <f>IF($O623="","",INDEX(Suivi!$G:$G,635))</f>
        <v/>
      </c>
      <c r="T623">
        <f>IF($O623="","",IF(INDEX(Dossiers!$F$4:$F$63,12)="","",INDEX(Dossiers!$F$4:$F$63,12)))</f>
        <v/>
      </c>
      <c r="U623">
        <f>IF($O623="","",IF(INDEX(Dossiers!$G$4:$G$63,12)="","",INDEX(Dossiers!$G$4:$G$63,12)))</f>
        <v/>
      </c>
      <c r="V623">
        <f>IF(OR($O623="",NOT(ISNUMBER($Q623))),"",$Q623*1000000+623)</f>
        <v/>
      </c>
      <c r="W623" s="29">
        <f>IF($B623="","",IFERROR(INDEX($U$4:$U$3183,MATCH(SMALL($V$4:$V$3183,620),$V$4:$V$3183,0)),""))</f>
        <v/>
      </c>
    </row>
    <row r="624">
      <c r="A624">
        <f>IFERROR(INDEX($N$4:$N$3183,MATCH(SMALL($V$4:$V$3183,621),$V$4:$V$3183,0)),"")</f>
        <v/>
      </c>
      <c r="B624">
        <f>IFERROR(INDEX($O$4:$O$3183,MATCH(SMALL($V$4:$V$3183,621),$V$4:$V$3183,0)),"")</f>
        <v/>
      </c>
      <c r="C624">
        <f>IFERROR(INDEX($P$4:$P$3183,MATCH(SMALL($V$4:$V$3183,621),$V$4:$V$3183,0)),"")</f>
        <v/>
      </c>
      <c r="D624" s="29">
        <f>IFERROR(INDEX($Q$4:$Q$3183,MATCH(SMALL($V$4:$V$3183,621),$V$4:$V$3183,0)),"")</f>
        <v/>
      </c>
      <c r="E624" s="29">
        <f>IFERROR(INDEX($R$4:$R$3183,MATCH(SMALL($V$4:$V$3183,621),$V$4:$V$3183,0)),"")</f>
        <v/>
      </c>
      <c r="F624">
        <f>IFERROR(INDEX($S$4:$S$3183,MATCH(SMALL($V$4:$V$3183,621),$V$4:$V$3183,0)),"")</f>
        <v/>
      </c>
      <c r="I624" s="29">
        <f>IF($B624="","",IFERROR(INDEX($U$4:$U$3183,MATCH(SMALL($V$4:$V$3183,621),$V$4:$V$3183,0)),""))</f>
        <v/>
      </c>
      <c r="J624">
        <f>IF($B624="","",IF($D624&gt;$F$2,"À venir",IF($E624&lt;$D$2,"Passé","Dans la période")))</f>
        <v/>
      </c>
      <c r="K624">
        <f>IF(OR($B624="",NOT(ISNUMBER($D624))),"",IF(AND($E624&lt;$D$2,$G624&lt;&gt;"X",$F624&lt;&gt;"Réalisé",$F624&lt;&gt;"Clôturé"),"RETARD",""))</f>
        <v/>
      </c>
      <c r="L624">
        <f>IF(OR($B624="",NOT(ISNUMBER($D624))),"",IF(AND($D624&gt;=$D$2,$D624&lt;=$H$2,$G624&lt;&gt;"X",$F624&lt;&gt;"Réalisé",$F624&lt;&gt;"Clôturé"),"≤ 7 j",""))</f>
        <v/>
      </c>
      <c r="M624" s="29">
        <f>IF($B624="","",IFERROR(INDEX($T$4:$T$3183,MATCH(SMALL($V$4:$V$3183,621),$V$4:$V$3183,0)),""))</f>
        <v/>
      </c>
      <c r="O624">
        <f>IF(INDEX(Suivi!$B:$B,636)="","",INDEX(Suivi!$B:$B,636))</f>
        <v/>
      </c>
      <c r="P624">
        <f>IF($O624="","",IF(INDEX(Suivi!$D:$D,636)="",INDEX(Suivi!$C:$C,636),INDEX(Suivi!$D:$D,636)))</f>
        <v/>
      </c>
      <c r="Q624">
        <f>IF($O624="","",INDEX(Suivi!$E:$E,636))</f>
        <v/>
      </c>
      <c r="R624">
        <f>IF($O624="","",INDEX(Suivi!$F:$F,636))</f>
        <v/>
      </c>
      <c r="S624">
        <f>IF($O624="","",INDEX(Suivi!$G:$G,636))</f>
        <v/>
      </c>
      <c r="T624">
        <f>IF($O624="","",IF(INDEX(Dossiers!$F$4:$F$63,12)="","",INDEX(Dossiers!$F$4:$F$63,12)))</f>
        <v/>
      </c>
      <c r="U624">
        <f>IF($O624="","",IF(INDEX(Dossiers!$G$4:$G$63,12)="","",INDEX(Dossiers!$G$4:$G$63,12)))</f>
        <v/>
      </c>
      <c r="V624">
        <f>IF(OR($O624="",NOT(ISNUMBER($Q624))),"",$Q624*1000000+624)</f>
        <v/>
      </c>
      <c r="W624" s="29">
        <f>IF($B624="","",IFERROR(INDEX($U$4:$U$3183,MATCH(SMALL($V$4:$V$3183,621),$V$4:$V$3183,0)),""))</f>
        <v/>
      </c>
    </row>
    <row r="625">
      <c r="A625">
        <f>IFERROR(INDEX($N$4:$N$3183,MATCH(SMALL($V$4:$V$3183,622),$V$4:$V$3183,0)),"")</f>
        <v/>
      </c>
      <c r="B625">
        <f>IFERROR(INDEX($O$4:$O$3183,MATCH(SMALL($V$4:$V$3183,622),$V$4:$V$3183,0)),"")</f>
        <v/>
      </c>
      <c r="C625">
        <f>IFERROR(INDEX($P$4:$P$3183,MATCH(SMALL($V$4:$V$3183,622),$V$4:$V$3183,0)),"")</f>
        <v/>
      </c>
      <c r="D625" s="29">
        <f>IFERROR(INDEX($Q$4:$Q$3183,MATCH(SMALL($V$4:$V$3183,622),$V$4:$V$3183,0)),"")</f>
        <v/>
      </c>
      <c r="E625" s="29">
        <f>IFERROR(INDEX($R$4:$R$3183,MATCH(SMALL($V$4:$V$3183,622),$V$4:$V$3183,0)),"")</f>
        <v/>
      </c>
      <c r="F625">
        <f>IFERROR(INDEX($S$4:$S$3183,MATCH(SMALL($V$4:$V$3183,622),$V$4:$V$3183,0)),"")</f>
        <v/>
      </c>
      <c r="I625" s="29">
        <f>IF($B625="","",IFERROR(INDEX($U$4:$U$3183,MATCH(SMALL($V$4:$V$3183,622),$V$4:$V$3183,0)),""))</f>
        <v/>
      </c>
      <c r="J625">
        <f>IF($B625="","",IF($D625&gt;$F$2,"À venir",IF($E625&lt;$D$2,"Passé","Dans la période")))</f>
        <v/>
      </c>
      <c r="K625">
        <f>IF(OR($B625="",NOT(ISNUMBER($D625))),"",IF(AND($E625&lt;$D$2,$G625&lt;&gt;"X",$F625&lt;&gt;"Réalisé",$F625&lt;&gt;"Clôturé"),"RETARD",""))</f>
        <v/>
      </c>
      <c r="L625">
        <f>IF(OR($B625="",NOT(ISNUMBER($D625))),"",IF(AND($D625&gt;=$D$2,$D625&lt;=$H$2,$G625&lt;&gt;"X",$F625&lt;&gt;"Réalisé",$F625&lt;&gt;"Clôturé"),"≤ 7 j",""))</f>
        <v/>
      </c>
      <c r="M625" s="29">
        <f>IF($B625="","",IFERROR(INDEX($T$4:$T$3183,MATCH(SMALL($V$4:$V$3183,622),$V$4:$V$3183,0)),""))</f>
        <v/>
      </c>
      <c r="O625">
        <f>IF(INDEX(Suivi!$B:$B,637)="","",INDEX(Suivi!$B:$B,637))</f>
        <v/>
      </c>
      <c r="P625">
        <f>IF($O625="","",IF(INDEX(Suivi!$D:$D,637)="",INDEX(Suivi!$C:$C,637),INDEX(Suivi!$D:$D,637)))</f>
        <v/>
      </c>
      <c r="Q625">
        <f>IF($O625="","",INDEX(Suivi!$E:$E,637))</f>
        <v/>
      </c>
      <c r="R625">
        <f>IF($O625="","",INDEX(Suivi!$F:$F,637))</f>
        <v/>
      </c>
      <c r="S625">
        <f>IF($O625="","",INDEX(Suivi!$G:$G,637))</f>
        <v/>
      </c>
      <c r="T625">
        <f>IF($O625="","",IF(INDEX(Dossiers!$F$4:$F$63,12)="","",INDEX(Dossiers!$F$4:$F$63,12)))</f>
        <v/>
      </c>
      <c r="U625">
        <f>IF($O625="","",IF(INDEX(Dossiers!$G$4:$G$63,12)="","",INDEX(Dossiers!$G$4:$G$63,12)))</f>
        <v/>
      </c>
      <c r="V625">
        <f>IF(OR($O625="",NOT(ISNUMBER($Q625))),"",$Q625*1000000+625)</f>
        <v/>
      </c>
      <c r="W625" s="29">
        <f>IF($B625="","",IFERROR(INDEX($U$4:$U$3183,MATCH(SMALL($V$4:$V$3183,622),$V$4:$V$3183,0)),""))</f>
        <v/>
      </c>
    </row>
    <row r="626">
      <c r="A626">
        <f>IFERROR(INDEX($N$4:$N$3183,MATCH(SMALL($V$4:$V$3183,623),$V$4:$V$3183,0)),"")</f>
        <v/>
      </c>
      <c r="B626">
        <f>IFERROR(INDEX($O$4:$O$3183,MATCH(SMALL($V$4:$V$3183,623),$V$4:$V$3183,0)),"")</f>
        <v/>
      </c>
      <c r="C626">
        <f>IFERROR(INDEX($P$4:$P$3183,MATCH(SMALL($V$4:$V$3183,623),$V$4:$V$3183,0)),"")</f>
        <v/>
      </c>
      <c r="D626" s="29">
        <f>IFERROR(INDEX($Q$4:$Q$3183,MATCH(SMALL($V$4:$V$3183,623),$V$4:$V$3183,0)),"")</f>
        <v/>
      </c>
      <c r="E626" s="29">
        <f>IFERROR(INDEX($R$4:$R$3183,MATCH(SMALL($V$4:$V$3183,623),$V$4:$V$3183,0)),"")</f>
        <v/>
      </c>
      <c r="F626">
        <f>IFERROR(INDEX($S$4:$S$3183,MATCH(SMALL($V$4:$V$3183,623),$V$4:$V$3183,0)),"")</f>
        <v/>
      </c>
      <c r="I626" s="29">
        <f>IF($B626="","",IFERROR(INDEX($U$4:$U$3183,MATCH(SMALL($V$4:$V$3183,623),$V$4:$V$3183,0)),""))</f>
        <v/>
      </c>
      <c r="J626">
        <f>IF($B626="","",IF($D626&gt;$F$2,"À venir",IF($E626&lt;$D$2,"Passé","Dans la période")))</f>
        <v/>
      </c>
      <c r="K626">
        <f>IF(OR($B626="",NOT(ISNUMBER($D626))),"",IF(AND($E626&lt;$D$2,$G626&lt;&gt;"X",$F626&lt;&gt;"Réalisé",$F626&lt;&gt;"Clôturé"),"RETARD",""))</f>
        <v/>
      </c>
      <c r="L626">
        <f>IF(OR($B626="",NOT(ISNUMBER($D626))),"",IF(AND($D626&gt;=$D$2,$D626&lt;=$H$2,$G626&lt;&gt;"X",$F626&lt;&gt;"Réalisé",$F626&lt;&gt;"Clôturé"),"≤ 7 j",""))</f>
        <v/>
      </c>
      <c r="M626" s="29">
        <f>IF($B626="","",IFERROR(INDEX($T$4:$T$3183,MATCH(SMALL($V$4:$V$3183,623),$V$4:$V$3183,0)),""))</f>
        <v/>
      </c>
      <c r="O626">
        <f>IF(INDEX(Suivi!$B:$B,638)="","",INDEX(Suivi!$B:$B,638))</f>
        <v/>
      </c>
      <c r="P626">
        <f>IF($O626="","",IF(INDEX(Suivi!$D:$D,638)="",INDEX(Suivi!$C:$C,638),INDEX(Suivi!$D:$D,638)))</f>
        <v/>
      </c>
      <c r="Q626">
        <f>IF($O626="","",INDEX(Suivi!$E:$E,638))</f>
        <v/>
      </c>
      <c r="R626">
        <f>IF($O626="","",INDEX(Suivi!$F:$F,638))</f>
        <v/>
      </c>
      <c r="S626">
        <f>IF($O626="","",INDEX(Suivi!$G:$G,638))</f>
        <v/>
      </c>
      <c r="T626">
        <f>IF($O626="","",IF(INDEX(Dossiers!$F$4:$F$63,12)="","",INDEX(Dossiers!$F$4:$F$63,12)))</f>
        <v/>
      </c>
      <c r="U626">
        <f>IF($O626="","",IF(INDEX(Dossiers!$G$4:$G$63,12)="","",INDEX(Dossiers!$G$4:$G$63,12)))</f>
        <v/>
      </c>
      <c r="V626">
        <f>IF(OR($O626="",NOT(ISNUMBER($Q626))),"",$Q626*1000000+626)</f>
        <v/>
      </c>
      <c r="W626" s="29">
        <f>IF($B626="","",IFERROR(INDEX($U$4:$U$3183,MATCH(SMALL($V$4:$V$3183,623),$V$4:$V$3183,0)),""))</f>
        <v/>
      </c>
    </row>
    <row r="627">
      <c r="A627">
        <f>IFERROR(INDEX($N$4:$N$3183,MATCH(SMALL($V$4:$V$3183,624),$V$4:$V$3183,0)),"")</f>
        <v/>
      </c>
      <c r="B627">
        <f>IFERROR(INDEX($O$4:$O$3183,MATCH(SMALL($V$4:$V$3183,624),$V$4:$V$3183,0)),"")</f>
        <v/>
      </c>
      <c r="C627">
        <f>IFERROR(INDEX($P$4:$P$3183,MATCH(SMALL($V$4:$V$3183,624),$V$4:$V$3183,0)),"")</f>
        <v/>
      </c>
      <c r="D627" s="29">
        <f>IFERROR(INDEX($Q$4:$Q$3183,MATCH(SMALL($V$4:$V$3183,624),$V$4:$V$3183,0)),"")</f>
        <v/>
      </c>
      <c r="E627" s="29">
        <f>IFERROR(INDEX($R$4:$R$3183,MATCH(SMALL($V$4:$V$3183,624),$V$4:$V$3183,0)),"")</f>
        <v/>
      </c>
      <c r="F627">
        <f>IFERROR(INDEX($S$4:$S$3183,MATCH(SMALL($V$4:$V$3183,624),$V$4:$V$3183,0)),"")</f>
        <v/>
      </c>
      <c r="I627" s="29">
        <f>IF($B627="","",IFERROR(INDEX($U$4:$U$3183,MATCH(SMALL($V$4:$V$3183,624),$V$4:$V$3183,0)),""))</f>
        <v/>
      </c>
      <c r="J627">
        <f>IF($B627="","",IF($D627&gt;$F$2,"À venir",IF($E627&lt;$D$2,"Passé","Dans la période")))</f>
        <v/>
      </c>
      <c r="K627">
        <f>IF(OR($B627="",NOT(ISNUMBER($D627))),"",IF(AND($E627&lt;$D$2,$G627&lt;&gt;"X",$F627&lt;&gt;"Réalisé",$F627&lt;&gt;"Clôturé"),"RETARD",""))</f>
        <v/>
      </c>
      <c r="L627">
        <f>IF(OR($B627="",NOT(ISNUMBER($D627))),"",IF(AND($D627&gt;=$D$2,$D627&lt;=$H$2,$G627&lt;&gt;"X",$F627&lt;&gt;"Réalisé",$F627&lt;&gt;"Clôturé"),"≤ 7 j",""))</f>
        <v/>
      </c>
      <c r="M627" s="29">
        <f>IF($B627="","",IFERROR(INDEX($T$4:$T$3183,MATCH(SMALL($V$4:$V$3183,624),$V$4:$V$3183,0)),""))</f>
        <v/>
      </c>
      <c r="O627">
        <f>IF(INDEX(Suivi!$B:$B,639)="","",INDEX(Suivi!$B:$B,639))</f>
        <v/>
      </c>
      <c r="P627">
        <f>IF($O627="","",IF(INDEX(Suivi!$D:$D,639)="",INDEX(Suivi!$C:$C,639),INDEX(Suivi!$D:$D,639)))</f>
        <v/>
      </c>
      <c r="Q627">
        <f>IF($O627="","",INDEX(Suivi!$E:$E,639))</f>
        <v/>
      </c>
      <c r="R627">
        <f>IF($O627="","",INDEX(Suivi!$F:$F,639))</f>
        <v/>
      </c>
      <c r="S627">
        <f>IF($O627="","",INDEX(Suivi!$G:$G,639))</f>
        <v/>
      </c>
      <c r="T627">
        <f>IF($O627="","",IF(INDEX(Dossiers!$F$4:$F$63,12)="","",INDEX(Dossiers!$F$4:$F$63,12)))</f>
        <v/>
      </c>
      <c r="U627">
        <f>IF($O627="","",IF(INDEX(Dossiers!$G$4:$G$63,12)="","",INDEX(Dossiers!$G$4:$G$63,12)))</f>
        <v/>
      </c>
      <c r="V627">
        <f>IF(OR($O627="",NOT(ISNUMBER($Q627))),"",$Q627*1000000+627)</f>
        <v/>
      </c>
      <c r="W627" s="29">
        <f>IF($B627="","",IFERROR(INDEX($U$4:$U$3183,MATCH(SMALL($V$4:$V$3183,624),$V$4:$V$3183,0)),""))</f>
        <v/>
      </c>
    </row>
    <row r="628">
      <c r="A628">
        <f>IFERROR(INDEX($N$4:$N$3183,MATCH(SMALL($V$4:$V$3183,625),$V$4:$V$3183,0)),"")</f>
        <v/>
      </c>
      <c r="B628">
        <f>IFERROR(INDEX($O$4:$O$3183,MATCH(SMALL($V$4:$V$3183,625),$V$4:$V$3183,0)),"")</f>
        <v/>
      </c>
      <c r="C628">
        <f>IFERROR(INDEX($P$4:$P$3183,MATCH(SMALL($V$4:$V$3183,625),$V$4:$V$3183,0)),"")</f>
        <v/>
      </c>
      <c r="D628" s="29">
        <f>IFERROR(INDEX($Q$4:$Q$3183,MATCH(SMALL($V$4:$V$3183,625),$V$4:$V$3183,0)),"")</f>
        <v/>
      </c>
      <c r="E628" s="29">
        <f>IFERROR(INDEX($R$4:$R$3183,MATCH(SMALL($V$4:$V$3183,625),$V$4:$V$3183,0)),"")</f>
        <v/>
      </c>
      <c r="F628">
        <f>IFERROR(INDEX($S$4:$S$3183,MATCH(SMALL($V$4:$V$3183,625),$V$4:$V$3183,0)),"")</f>
        <v/>
      </c>
      <c r="I628" s="29">
        <f>IF($B628="","",IFERROR(INDEX($U$4:$U$3183,MATCH(SMALL($V$4:$V$3183,625),$V$4:$V$3183,0)),""))</f>
        <v/>
      </c>
      <c r="J628">
        <f>IF($B628="","",IF($D628&gt;$F$2,"À venir",IF($E628&lt;$D$2,"Passé","Dans la période")))</f>
        <v/>
      </c>
      <c r="K628">
        <f>IF(OR($B628="",NOT(ISNUMBER($D628))),"",IF(AND($E628&lt;$D$2,$G628&lt;&gt;"X",$F628&lt;&gt;"Réalisé",$F628&lt;&gt;"Clôturé"),"RETARD",""))</f>
        <v/>
      </c>
      <c r="L628">
        <f>IF(OR($B628="",NOT(ISNUMBER($D628))),"",IF(AND($D628&gt;=$D$2,$D628&lt;=$H$2,$G628&lt;&gt;"X",$F628&lt;&gt;"Réalisé",$F628&lt;&gt;"Clôturé"),"≤ 7 j",""))</f>
        <v/>
      </c>
      <c r="M628" s="29">
        <f>IF($B628="","",IFERROR(INDEX($T$4:$T$3183,MATCH(SMALL($V$4:$V$3183,625),$V$4:$V$3183,0)),""))</f>
        <v/>
      </c>
      <c r="O628">
        <f>IF(INDEX(Suivi!$B:$B,640)="","",INDEX(Suivi!$B:$B,640))</f>
        <v/>
      </c>
      <c r="P628">
        <f>IF($O628="","",IF(INDEX(Suivi!$D:$D,640)="",INDEX(Suivi!$C:$C,640),INDEX(Suivi!$D:$D,640)))</f>
        <v/>
      </c>
      <c r="Q628">
        <f>IF($O628="","",INDEX(Suivi!$E:$E,640))</f>
        <v/>
      </c>
      <c r="R628">
        <f>IF($O628="","",INDEX(Suivi!$F:$F,640))</f>
        <v/>
      </c>
      <c r="S628">
        <f>IF($O628="","",INDEX(Suivi!$G:$G,640))</f>
        <v/>
      </c>
      <c r="T628">
        <f>IF($O628="","",IF(INDEX(Dossiers!$F$4:$F$63,12)="","",INDEX(Dossiers!$F$4:$F$63,12)))</f>
        <v/>
      </c>
      <c r="U628">
        <f>IF($O628="","",IF(INDEX(Dossiers!$G$4:$G$63,12)="","",INDEX(Dossiers!$G$4:$G$63,12)))</f>
        <v/>
      </c>
      <c r="V628">
        <f>IF(OR($O628="",NOT(ISNUMBER($Q628))),"",$Q628*1000000+628)</f>
        <v/>
      </c>
      <c r="W628" s="29">
        <f>IF($B628="","",IFERROR(INDEX($U$4:$U$3183,MATCH(SMALL($V$4:$V$3183,625),$V$4:$V$3183,0)),""))</f>
        <v/>
      </c>
    </row>
    <row r="629">
      <c r="A629">
        <f>IFERROR(INDEX($N$4:$N$3183,MATCH(SMALL($V$4:$V$3183,626),$V$4:$V$3183,0)),"")</f>
        <v/>
      </c>
      <c r="B629">
        <f>IFERROR(INDEX($O$4:$O$3183,MATCH(SMALL($V$4:$V$3183,626),$V$4:$V$3183,0)),"")</f>
        <v/>
      </c>
      <c r="C629">
        <f>IFERROR(INDEX($P$4:$P$3183,MATCH(SMALL($V$4:$V$3183,626),$V$4:$V$3183,0)),"")</f>
        <v/>
      </c>
      <c r="D629" s="29">
        <f>IFERROR(INDEX($Q$4:$Q$3183,MATCH(SMALL($V$4:$V$3183,626),$V$4:$V$3183,0)),"")</f>
        <v/>
      </c>
      <c r="E629" s="29">
        <f>IFERROR(INDEX($R$4:$R$3183,MATCH(SMALL($V$4:$V$3183,626),$V$4:$V$3183,0)),"")</f>
        <v/>
      </c>
      <c r="F629">
        <f>IFERROR(INDEX($S$4:$S$3183,MATCH(SMALL($V$4:$V$3183,626),$V$4:$V$3183,0)),"")</f>
        <v/>
      </c>
      <c r="I629" s="29">
        <f>IF($B629="","",IFERROR(INDEX($U$4:$U$3183,MATCH(SMALL($V$4:$V$3183,626),$V$4:$V$3183,0)),""))</f>
        <v/>
      </c>
      <c r="J629">
        <f>IF($B629="","",IF($D629&gt;$F$2,"À venir",IF($E629&lt;$D$2,"Passé","Dans la période")))</f>
        <v/>
      </c>
      <c r="K629">
        <f>IF(OR($B629="",NOT(ISNUMBER($D629))),"",IF(AND($E629&lt;$D$2,$G629&lt;&gt;"X",$F629&lt;&gt;"Réalisé",$F629&lt;&gt;"Clôturé"),"RETARD",""))</f>
        <v/>
      </c>
      <c r="L629">
        <f>IF(OR($B629="",NOT(ISNUMBER($D629))),"",IF(AND($D629&gt;=$D$2,$D629&lt;=$H$2,$G629&lt;&gt;"X",$F629&lt;&gt;"Réalisé",$F629&lt;&gt;"Clôturé"),"≤ 7 j",""))</f>
        <v/>
      </c>
      <c r="M629" s="29">
        <f>IF($B629="","",IFERROR(INDEX($T$4:$T$3183,MATCH(SMALL($V$4:$V$3183,626),$V$4:$V$3183,0)),""))</f>
        <v/>
      </c>
      <c r="O629">
        <f>IF(INDEX(Suivi!$B:$B,641)="","",INDEX(Suivi!$B:$B,641))</f>
        <v/>
      </c>
      <c r="P629">
        <f>IF($O629="","",IF(INDEX(Suivi!$D:$D,641)="",INDEX(Suivi!$C:$C,641),INDEX(Suivi!$D:$D,641)))</f>
        <v/>
      </c>
      <c r="Q629">
        <f>IF($O629="","",INDEX(Suivi!$E:$E,641))</f>
        <v/>
      </c>
      <c r="R629">
        <f>IF($O629="","",INDEX(Suivi!$F:$F,641))</f>
        <v/>
      </c>
      <c r="S629">
        <f>IF($O629="","",INDEX(Suivi!$G:$G,641))</f>
        <v/>
      </c>
      <c r="T629">
        <f>IF($O629="","",IF(INDEX(Dossiers!$F$4:$F$63,12)="","",INDEX(Dossiers!$F$4:$F$63,12)))</f>
        <v/>
      </c>
      <c r="U629">
        <f>IF($O629="","",IF(INDEX(Dossiers!$G$4:$G$63,12)="","",INDEX(Dossiers!$G$4:$G$63,12)))</f>
        <v/>
      </c>
      <c r="V629">
        <f>IF(OR($O629="",NOT(ISNUMBER($Q629))),"",$Q629*1000000+629)</f>
        <v/>
      </c>
      <c r="W629" s="29">
        <f>IF($B629="","",IFERROR(INDEX($U$4:$U$3183,MATCH(SMALL($V$4:$V$3183,626),$V$4:$V$3183,0)),""))</f>
        <v/>
      </c>
    </row>
    <row r="630">
      <c r="A630">
        <f>IFERROR(INDEX($N$4:$N$3183,MATCH(SMALL($V$4:$V$3183,627),$V$4:$V$3183,0)),"")</f>
        <v/>
      </c>
      <c r="B630">
        <f>IFERROR(INDEX($O$4:$O$3183,MATCH(SMALL($V$4:$V$3183,627),$V$4:$V$3183,0)),"")</f>
        <v/>
      </c>
      <c r="C630">
        <f>IFERROR(INDEX($P$4:$P$3183,MATCH(SMALL($V$4:$V$3183,627),$V$4:$V$3183,0)),"")</f>
        <v/>
      </c>
      <c r="D630" s="29">
        <f>IFERROR(INDEX($Q$4:$Q$3183,MATCH(SMALL($V$4:$V$3183,627),$V$4:$V$3183,0)),"")</f>
        <v/>
      </c>
      <c r="E630" s="29">
        <f>IFERROR(INDEX($R$4:$R$3183,MATCH(SMALL($V$4:$V$3183,627),$V$4:$V$3183,0)),"")</f>
        <v/>
      </c>
      <c r="F630">
        <f>IFERROR(INDEX($S$4:$S$3183,MATCH(SMALL($V$4:$V$3183,627),$V$4:$V$3183,0)),"")</f>
        <v/>
      </c>
      <c r="I630" s="29">
        <f>IF($B630="","",IFERROR(INDEX($U$4:$U$3183,MATCH(SMALL($V$4:$V$3183,627),$V$4:$V$3183,0)),""))</f>
        <v/>
      </c>
      <c r="J630">
        <f>IF($B630="","",IF($D630&gt;$F$2,"À venir",IF($E630&lt;$D$2,"Passé","Dans la période")))</f>
        <v/>
      </c>
      <c r="K630">
        <f>IF(OR($B630="",NOT(ISNUMBER($D630))),"",IF(AND($E630&lt;$D$2,$G630&lt;&gt;"X",$F630&lt;&gt;"Réalisé",$F630&lt;&gt;"Clôturé"),"RETARD",""))</f>
        <v/>
      </c>
      <c r="L630">
        <f>IF(OR($B630="",NOT(ISNUMBER($D630))),"",IF(AND($D630&gt;=$D$2,$D630&lt;=$H$2,$G630&lt;&gt;"X",$F630&lt;&gt;"Réalisé",$F630&lt;&gt;"Clôturé"),"≤ 7 j",""))</f>
        <v/>
      </c>
      <c r="M630" s="29">
        <f>IF($B630="","",IFERROR(INDEX($T$4:$T$3183,MATCH(SMALL($V$4:$V$3183,627),$V$4:$V$3183,0)),""))</f>
        <v/>
      </c>
      <c r="O630">
        <f>IF(INDEX(Suivi!$B:$B,642)="","",INDEX(Suivi!$B:$B,642))</f>
        <v/>
      </c>
      <c r="P630">
        <f>IF($O630="","",IF(INDEX(Suivi!$D:$D,642)="",INDEX(Suivi!$C:$C,642),INDEX(Suivi!$D:$D,642)))</f>
        <v/>
      </c>
      <c r="Q630">
        <f>IF($O630="","",INDEX(Suivi!$E:$E,642))</f>
        <v/>
      </c>
      <c r="R630">
        <f>IF($O630="","",INDEX(Suivi!$F:$F,642))</f>
        <v/>
      </c>
      <c r="S630">
        <f>IF($O630="","",INDEX(Suivi!$G:$G,642))</f>
        <v/>
      </c>
      <c r="T630">
        <f>IF($O630="","",IF(INDEX(Dossiers!$F$4:$F$63,12)="","",INDEX(Dossiers!$F$4:$F$63,12)))</f>
        <v/>
      </c>
      <c r="U630">
        <f>IF($O630="","",IF(INDEX(Dossiers!$G$4:$G$63,12)="","",INDEX(Dossiers!$G$4:$G$63,12)))</f>
        <v/>
      </c>
      <c r="V630">
        <f>IF(OR($O630="",NOT(ISNUMBER($Q630))),"",$Q630*1000000+630)</f>
        <v/>
      </c>
      <c r="W630" s="29">
        <f>IF($B630="","",IFERROR(INDEX($U$4:$U$3183,MATCH(SMALL($V$4:$V$3183,627),$V$4:$V$3183,0)),""))</f>
        <v/>
      </c>
    </row>
    <row r="631">
      <c r="A631">
        <f>IFERROR(INDEX($N$4:$N$3183,MATCH(SMALL($V$4:$V$3183,628),$V$4:$V$3183,0)),"")</f>
        <v/>
      </c>
      <c r="B631">
        <f>IFERROR(INDEX($O$4:$O$3183,MATCH(SMALL($V$4:$V$3183,628),$V$4:$V$3183,0)),"")</f>
        <v/>
      </c>
      <c r="C631">
        <f>IFERROR(INDEX($P$4:$P$3183,MATCH(SMALL($V$4:$V$3183,628),$V$4:$V$3183,0)),"")</f>
        <v/>
      </c>
      <c r="D631" s="29">
        <f>IFERROR(INDEX($Q$4:$Q$3183,MATCH(SMALL($V$4:$V$3183,628),$V$4:$V$3183,0)),"")</f>
        <v/>
      </c>
      <c r="E631" s="29">
        <f>IFERROR(INDEX($R$4:$R$3183,MATCH(SMALL($V$4:$V$3183,628),$V$4:$V$3183,0)),"")</f>
        <v/>
      </c>
      <c r="F631">
        <f>IFERROR(INDEX($S$4:$S$3183,MATCH(SMALL($V$4:$V$3183,628),$V$4:$V$3183,0)),"")</f>
        <v/>
      </c>
      <c r="I631" s="29">
        <f>IF($B631="","",IFERROR(INDEX($U$4:$U$3183,MATCH(SMALL($V$4:$V$3183,628),$V$4:$V$3183,0)),""))</f>
        <v/>
      </c>
      <c r="J631">
        <f>IF($B631="","",IF($D631&gt;$F$2,"À venir",IF($E631&lt;$D$2,"Passé","Dans la période")))</f>
        <v/>
      </c>
      <c r="K631">
        <f>IF(OR($B631="",NOT(ISNUMBER($D631))),"",IF(AND($E631&lt;$D$2,$G631&lt;&gt;"X",$F631&lt;&gt;"Réalisé",$F631&lt;&gt;"Clôturé"),"RETARD",""))</f>
        <v/>
      </c>
      <c r="L631">
        <f>IF(OR($B631="",NOT(ISNUMBER($D631))),"",IF(AND($D631&gt;=$D$2,$D631&lt;=$H$2,$G631&lt;&gt;"X",$F631&lt;&gt;"Réalisé",$F631&lt;&gt;"Clôturé"),"≤ 7 j",""))</f>
        <v/>
      </c>
      <c r="M631" s="29">
        <f>IF($B631="","",IFERROR(INDEX($T$4:$T$3183,MATCH(SMALL($V$4:$V$3183,628),$V$4:$V$3183,0)),""))</f>
        <v/>
      </c>
      <c r="O631">
        <f>IF(INDEX(Suivi!$B:$B,643)="","",INDEX(Suivi!$B:$B,643))</f>
        <v/>
      </c>
      <c r="P631">
        <f>IF($O631="","",IF(INDEX(Suivi!$D:$D,643)="",INDEX(Suivi!$C:$C,643),INDEX(Suivi!$D:$D,643)))</f>
        <v/>
      </c>
      <c r="Q631">
        <f>IF($O631="","",INDEX(Suivi!$E:$E,643))</f>
        <v/>
      </c>
      <c r="R631">
        <f>IF($O631="","",INDEX(Suivi!$F:$F,643))</f>
        <v/>
      </c>
      <c r="S631">
        <f>IF($O631="","",INDEX(Suivi!$G:$G,643))</f>
        <v/>
      </c>
      <c r="T631">
        <f>IF($O631="","",IF(INDEX(Dossiers!$F$4:$F$63,12)="","",INDEX(Dossiers!$F$4:$F$63,12)))</f>
        <v/>
      </c>
      <c r="U631">
        <f>IF($O631="","",IF(INDEX(Dossiers!$G$4:$G$63,12)="","",INDEX(Dossiers!$G$4:$G$63,12)))</f>
        <v/>
      </c>
      <c r="V631">
        <f>IF(OR($O631="",NOT(ISNUMBER($Q631))),"",$Q631*1000000+631)</f>
        <v/>
      </c>
      <c r="W631" s="29">
        <f>IF($B631="","",IFERROR(INDEX($U$4:$U$3183,MATCH(SMALL($V$4:$V$3183,628),$V$4:$V$3183,0)),""))</f>
        <v/>
      </c>
    </row>
    <row r="632">
      <c r="A632">
        <f>IFERROR(INDEX($N$4:$N$3183,MATCH(SMALL($V$4:$V$3183,629),$V$4:$V$3183,0)),"")</f>
        <v/>
      </c>
      <c r="B632">
        <f>IFERROR(INDEX($O$4:$O$3183,MATCH(SMALL($V$4:$V$3183,629),$V$4:$V$3183,0)),"")</f>
        <v/>
      </c>
      <c r="C632">
        <f>IFERROR(INDEX($P$4:$P$3183,MATCH(SMALL($V$4:$V$3183,629),$V$4:$V$3183,0)),"")</f>
        <v/>
      </c>
      <c r="D632" s="29">
        <f>IFERROR(INDEX($Q$4:$Q$3183,MATCH(SMALL($V$4:$V$3183,629),$V$4:$V$3183,0)),"")</f>
        <v/>
      </c>
      <c r="E632" s="29">
        <f>IFERROR(INDEX($R$4:$R$3183,MATCH(SMALL($V$4:$V$3183,629),$V$4:$V$3183,0)),"")</f>
        <v/>
      </c>
      <c r="F632">
        <f>IFERROR(INDEX($S$4:$S$3183,MATCH(SMALL($V$4:$V$3183,629),$V$4:$V$3183,0)),"")</f>
        <v/>
      </c>
      <c r="I632" s="29">
        <f>IF($B632="","",IFERROR(INDEX($U$4:$U$3183,MATCH(SMALL($V$4:$V$3183,629),$V$4:$V$3183,0)),""))</f>
        <v/>
      </c>
      <c r="J632">
        <f>IF($B632="","",IF($D632&gt;$F$2,"À venir",IF($E632&lt;$D$2,"Passé","Dans la période")))</f>
        <v/>
      </c>
      <c r="K632">
        <f>IF(OR($B632="",NOT(ISNUMBER($D632))),"",IF(AND($E632&lt;$D$2,$G632&lt;&gt;"X",$F632&lt;&gt;"Réalisé",$F632&lt;&gt;"Clôturé"),"RETARD",""))</f>
        <v/>
      </c>
      <c r="L632">
        <f>IF(OR($B632="",NOT(ISNUMBER($D632))),"",IF(AND($D632&gt;=$D$2,$D632&lt;=$H$2,$G632&lt;&gt;"X",$F632&lt;&gt;"Réalisé",$F632&lt;&gt;"Clôturé"),"≤ 7 j",""))</f>
        <v/>
      </c>
      <c r="M632" s="29">
        <f>IF($B632="","",IFERROR(INDEX($T$4:$T$3183,MATCH(SMALL($V$4:$V$3183,629),$V$4:$V$3183,0)),""))</f>
        <v/>
      </c>
      <c r="O632">
        <f>IF(INDEX(Suivi!$B:$B,644)="","",INDEX(Suivi!$B:$B,644))</f>
        <v/>
      </c>
      <c r="P632">
        <f>IF($O632="","",IF(INDEX(Suivi!$D:$D,644)="",INDEX(Suivi!$C:$C,644),INDEX(Suivi!$D:$D,644)))</f>
        <v/>
      </c>
      <c r="Q632">
        <f>IF($O632="","",INDEX(Suivi!$E:$E,644))</f>
        <v/>
      </c>
      <c r="R632">
        <f>IF($O632="","",INDEX(Suivi!$F:$F,644))</f>
        <v/>
      </c>
      <c r="S632">
        <f>IF($O632="","",INDEX(Suivi!$G:$G,644))</f>
        <v/>
      </c>
      <c r="T632">
        <f>IF($O632="","",IF(INDEX(Dossiers!$F$4:$F$63,12)="","",INDEX(Dossiers!$F$4:$F$63,12)))</f>
        <v/>
      </c>
      <c r="U632">
        <f>IF($O632="","",IF(INDEX(Dossiers!$G$4:$G$63,12)="","",INDEX(Dossiers!$G$4:$G$63,12)))</f>
        <v/>
      </c>
      <c r="V632">
        <f>IF(OR($O632="",NOT(ISNUMBER($Q632))),"",$Q632*1000000+632)</f>
        <v/>
      </c>
      <c r="W632" s="29">
        <f>IF($B632="","",IFERROR(INDEX($U$4:$U$3183,MATCH(SMALL($V$4:$V$3183,629),$V$4:$V$3183,0)),""))</f>
        <v/>
      </c>
    </row>
    <row r="633">
      <c r="A633">
        <f>IFERROR(INDEX($N$4:$N$3183,MATCH(SMALL($V$4:$V$3183,630),$V$4:$V$3183,0)),"")</f>
        <v/>
      </c>
      <c r="B633">
        <f>IFERROR(INDEX($O$4:$O$3183,MATCH(SMALL($V$4:$V$3183,630),$V$4:$V$3183,0)),"")</f>
        <v/>
      </c>
      <c r="C633">
        <f>IFERROR(INDEX($P$4:$P$3183,MATCH(SMALL($V$4:$V$3183,630),$V$4:$V$3183,0)),"")</f>
        <v/>
      </c>
      <c r="D633" s="29">
        <f>IFERROR(INDEX($Q$4:$Q$3183,MATCH(SMALL($V$4:$V$3183,630),$V$4:$V$3183,0)),"")</f>
        <v/>
      </c>
      <c r="E633" s="29">
        <f>IFERROR(INDEX($R$4:$R$3183,MATCH(SMALL($V$4:$V$3183,630),$V$4:$V$3183,0)),"")</f>
        <v/>
      </c>
      <c r="F633">
        <f>IFERROR(INDEX($S$4:$S$3183,MATCH(SMALL($V$4:$V$3183,630),$V$4:$V$3183,0)),"")</f>
        <v/>
      </c>
      <c r="I633" s="29">
        <f>IF($B633="","",IFERROR(INDEX($U$4:$U$3183,MATCH(SMALL($V$4:$V$3183,630),$V$4:$V$3183,0)),""))</f>
        <v/>
      </c>
      <c r="J633">
        <f>IF($B633="","",IF($D633&gt;$F$2,"À venir",IF($E633&lt;$D$2,"Passé","Dans la période")))</f>
        <v/>
      </c>
      <c r="K633">
        <f>IF(OR($B633="",NOT(ISNUMBER($D633))),"",IF(AND($E633&lt;$D$2,$G633&lt;&gt;"X",$F633&lt;&gt;"Réalisé",$F633&lt;&gt;"Clôturé"),"RETARD",""))</f>
        <v/>
      </c>
      <c r="L633">
        <f>IF(OR($B633="",NOT(ISNUMBER($D633))),"",IF(AND($D633&gt;=$D$2,$D633&lt;=$H$2,$G633&lt;&gt;"X",$F633&lt;&gt;"Réalisé",$F633&lt;&gt;"Clôturé"),"≤ 7 j",""))</f>
        <v/>
      </c>
      <c r="M633" s="29">
        <f>IF($B633="","",IFERROR(INDEX($T$4:$T$3183,MATCH(SMALL($V$4:$V$3183,630),$V$4:$V$3183,0)),""))</f>
        <v/>
      </c>
      <c r="O633">
        <f>IF(INDEX(Suivi!$B:$B,645)="","",INDEX(Suivi!$B:$B,645))</f>
        <v/>
      </c>
      <c r="P633">
        <f>IF($O633="","",IF(INDEX(Suivi!$D:$D,645)="",INDEX(Suivi!$C:$C,645),INDEX(Suivi!$D:$D,645)))</f>
        <v/>
      </c>
      <c r="Q633">
        <f>IF($O633="","",INDEX(Suivi!$E:$E,645))</f>
        <v/>
      </c>
      <c r="R633">
        <f>IF($O633="","",INDEX(Suivi!$F:$F,645))</f>
        <v/>
      </c>
      <c r="S633">
        <f>IF($O633="","",INDEX(Suivi!$G:$G,645))</f>
        <v/>
      </c>
      <c r="T633">
        <f>IF($O633="","",IF(INDEX(Dossiers!$F$4:$F$63,12)="","",INDEX(Dossiers!$F$4:$F$63,12)))</f>
        <v/>
      </c>
      <c r="U633">
        <f>IF($O633="","",IF(INDEX(Dossiers!$G$4:$G$63,12)="","",INDEX(Dossiers!$G$4:$G$63,12)))</f>
        <v/>
      </c>
      <c r="V633">
        <f>IF(OR($O633="",NOT(ISNUMBER($Q633))),"",$Q633*1000000+633)</f>
        <v/>
      </c>
      <c r="W633" s="29">
        <f>IF($B633="","",IFERROR(INDEX($U$4:$U$3183,MATCH(SMALL($V$4:$V$3183,630),$V$4:$V$3183,0)),""))</f>
        <v/>
      </c>
    </row>
    <row r="634">
      <c r="A634">
        <f>IFERROR(INDEX($N$4:$N$3183,MATCH(SMALL($V$4:$V$3183,631),$V$4:$V$3183,0)),"")</f>
        <v/>
      </c>
      <c r="B634">
        <f>IFERROR(INDEX($O$4:$O$3183,MATCH(SMALL($V$4:$V$3183,631),$V$4:$V$3183,0)),"")</f>
        <v/>
      </c>
      <c r="C634">
        <f>IFERROR(INDEX($P$4:$P$3183,MATCH(SMALL($V$4:$V$3183,631),$V$4:$V$3183,0)),"")</f>
        <v/>
      </c>
      <c r="D634" s="29">
        <f>IFERROR(INDEX($Q$4:$Q$3183,MATCH(SMALL($V$4:$V$3183,631),$V$4:$V$3183,0)),"")</f>
        <v/>
      </c>
      <c r="E634" s="29">
        <f>IFERROR(INDEX($R$4:$R$3183,MATCH(SMALL($V$4:$V$3183,631),$V$4:$V$3183,0)),"")</f>
        <v/>
      </c>
      <c r="F634">
        <f>IFERROR(INDEX($S$4:$S$3183,MATCH(SMALL($V$4:$V$3183,631),$V$4:$V$3183,0)),"")</f>
        <v/>
      </c>
      <c r="I634" s="29">
        <f>IF($B634="","",IFERROR(INDEX($U$4:$U$3183,MATCH(SMALL($V$4:$V$3183,631),$V$4:$V$3183,0)),""))</f>
        <v/>
      </c>
      <c r="J634">
        <f>IF($B634="","",IF($D634&gt;$F$2,"À venir",IF($E634&lt;$D$2,"Passé","Dans la période")))</f>
        <v/>
      </c>
      <c r="K634">
        <f>IF(OR($B634="",NOT(ISNUMBER($D634))),"",IF(AND($E634&lt;$D$2,$G634&lt;&gt;"X",$F634&lt;&gt;"Réalisé",$F634&lt;&gt;"Clôturé"),"RETARD",""))</f>
        <v/>
      </c>
      <c r="L634">
        <f>IF(OR($B634="",NOT(ISNUMBER($D634))),"",IF(AND($D634&gt;=$D$2,$D634&lt;=$H$2,$G634&lt;&gt;"X",$F634&lt;&gt;"Réalisé",$F634&lt;&gt;"Clôturé"),"≤ 7 j",""))</f>
        <v/>
      </c>
      <c r="M634" s="29">
        <f>IF($B634="","",IFERROR(INDEX($T$4:$T$3183,MATCH(SMALL($V$4:$V$3183,631),$V$4:$V$3183,0)),""))</f>
        <v/>
      </c>
      <c r="O634">
        <f>IF(INDEX(Suivi!$B:$B,646)="","",INDEX(Suivi!$B:$B,646))</f>
        <v/>
      </c>
      <c r="P634">
        <f>IF($O634="","",IF(INDEX(Suivi!$D:$D,646)="",INDEX(Suivi!$C:$C,646),INDEX(Suivi!$D:$D,646)))</f>
        <v/>
      </c>
      <c r="Q634">
        <f>IF($O634="","",INDEX(Suivi!$E:$E,646))</f>
        <v/>
      </c>
      <c r="R634">
        <f>IF($O634="","",INDEX(Suivi!$F:$F,646))</f>
        <v/>
      </c>
      <c r="S634">
        <f>IF($O634="","",INDEX(Suivi!$G:$G,646))</f>
        <v/>
      </c>
      <c r="T634">
        <f>IF($O634="","",IF(INDEX(Dossiers!$F$4:$F$63,12)="","",INDEX(Dossiers!$F$4:$F$63,12)))</f>
        <v/>
      </c>
      <c r="U634">
        <f>IF($O634="","",IF(INDEX(Dossiers!$G$4:$G$63,12)="","",INDEX(Dossiers!$G$4:$G$63,12)))</f>
        <v/>
      </c>
      <c r="V634">
        <f>IF(OR($O634="",NOT(ISNUMBER($Q634))),"",$Q634*1000000+634)</f>
        <v/>
      </c>
      <c r="W634" s="29">
        <f>IF($B634="","",IFERROR(INDEX($U$4:$U$3183,MATCH(SMALL($V$4:$V$3183,631),$V$4:$V$3183,0)),""))</f>
        <v/>
      </c>
    </row>
    <row r="635">
      <c r="A635">
        <f>IFERROR(INDEX($N$4:$N$3183,MATCH(SMALL($V$4:$V$3183,632),$V$4:$V$3183,0)),"")</f>
        <v/>
      </c>
      <c r="B635">
        <f>IFERROR(INDEX($O$4:$O$3183,MATCH(SMALL($V$4:$V$3183,632),$V$4:$V$3183,0)),"")</f>
        <v/>
      </c>
      <c r="C635">
        <f>IFERROR(INDEX($P$4:$P$3183,MATCH(SMALL($V$4:$V$3183,632),$V$4:$V$3183,0)),"")</f>
        <v/>
      </c>
      <c r="D635" s="29">
        <f>IFERROR(INDEX($Q$4:$Q$3183,MATCH(SMALL($V$4:$V$3183,632),$V$4:$V$3183,0)),"")</f>
        <v/>
      </c>
      <c r="E635" s="29">
        <f>IFERROR(INDEX($R$4:$R$3183,MATCH(SMALL($V$4:$V$3183,632),$V$4:$V$3183,0)),"")</f>
        <v/>
      </c>
      <c r="F635">
        <f>IFERROR(INDEX($S$4:$S$3183,MATCH(SMALL($V$4:$V$3183,632),$V$4:$V$3183,0)),"")</f>
        <v/>
      </c>
      <c r="I635" s="29">
        <f>IF($B635="","",IFERROR(INDEX($U$4:$U$3183,MATCH(SMALL($V$4:$V$3183,632),$V$4:$V$3183,0)),""))</f>
        <v/>
      </c>
      <c r="J635">
        <f>IF($B635="","",IF($D635&gt;$F$2,"À venir",IF($E635&lt;$D$2,"Passé","Dans la période")))</f>
        <v/>
      </c>
      <c r="K635">
        <f>IF(OR($B635="",NOT(ISNUMBER($D635))),"",IF(AND($E635&lt;$D$2,$G635&lt;&gt;"X",$F635&lt;&gt;"Réalisé",$F635&lt;&gt;"Clôturé"),"RETARD",""))</f>
        <v/>
      </c>
      <c r="L635">
        <f>IF(OR($B635="",NOT(ISNUMBER($D635))),"",IF(AND($D635&gt;=$D$2,$D635&lt;=$H$2,$G635&lt;&gt;"X",$F635&lt;&gt;"Réalisé",$F635&lt;&gt;"Clôturé"),"≤ 7 j",""))</f>
        <v/>
      </c>
      <c r="M635" s="29">
        <f>IF($B635="","",IFERROR(INDEX($T$4:$T$3183,MATCH(SMALL($V$4:$V$3183,632),$V$4:$V$3183,0)),""))</f>
        <v/>
      </c>
      <c r="O635">
        <f>IF(INDEX(Suivi!$B:$B,647)="","",INDEX(Suivi!$B:$B,647))</f>
        <v/>
      </c>
      <c r="P635">
        <f>IF($O635="","",IF(INDEX(Suivi!$D:$D,647)="",INDEX(Suivi!$C:$C,647),INDEX(Suivi!$D:$D,647)))</f>
        <v/>
      </c>
      <c r="Q635">
        <f>IF($O635="","",INDEX(Suivi!$E:$E,647))</f>
        <v/>
      </c>
      <c r="R635">
        <f>IF($O635="","",INDEX(Suivi!$F:$F,647))</f>
        <v/>
      </c>
      <c r="S635">
        <f>IF($O635="","",INDEX(Suivi!$G:$G,647))</f>
        <v/>
      </c>
      <c r="T635">
        <f>IF($O635="","",IF(INDEX(Dossiers!$F$4:$F$63,12)="","",INDEX(Dossiers!$F$4:$F$63,12)))</f>
        <v/>
      </c>
      <c r="U635">
        <f>IF($O635="","",IF(INDEX(Dossiers!$G$4:$G$63,12)="","",INDEX(Dossiers!$G$4:$G$63,12)))</f>
        <v/>
      </c>
      <c r="V635">
        <f>IF(OR($O635="",NOT(ISNUMBER($Q635))),"",$Q635*1000000+635)</f>
        <v/>
      </c>
      <c r="W635" s="29">
        <f>IF($B635="","",IFERROR(INDEX($U$4:$U$3183,MATCH(SMALL($V$4:$V$3183,632),$V$4:$V$3183,0)),""))</f>
        <v/>
      </c>
    </row>
    <row r="636">
      <c r="A636">
        <f>IFERROR(INDEX($N$4:$N$3183,MATCH(SMALL($V$4:$V$3183,633),$V$4:$V$3183,0)),"")</f>
        <v/>
      </c>
      <c r="B636">
        <f>IFERROR(INDEX($O$4:$O$3183,MATCH(SMALL($V$4:$V$3183,633),$V$4:$V$3183,0)),"")</f>
        <v/>
      </c>
      <c r="C636">
        <f>IFERROR(INDEX($P$4:$P$3183,MATCH(SMALL($V$4:$V$3183,633),$V$4:$V$3183,0)),"")</f>
        <v/>
      </c>
      <c r="D636" s="29">
        <f>IFERROR(INDEX($Q$4:$Q$3183,MATCH(SMALL($V$4:$V$3183,633),$V$4:$V$3183,0)),"")</f>
        <v/>
      </c>
      <c r="E636" s="29">
        <f>IFERROR(INDEX($R$4:$R$3183,MATCH(SMALL($V$4:$V$3183,633),$V$4:$V$3183,0)),"")</f>
        <v/>
      </c>
      <c r="F636">
        <f>IFERROR(INDEX($S$4:$S$3183,MATCH(SMALL($V$4:$V$3183,633),$V$4:$V$3183,0)),"")</f>
        <v/>
      </c>
      <c r="I636" s="29">
        <f>IF($B636="","",IFERROR(INDEX($U$4:$U$3183,MATCH(SMALL($V$4:$V$3183,633),$V$4:$V$3183,0)),""))</f>
        <v/>
      </c>
      <c r="J636">
        <f>IF($B636="","",IF($D636&gt;$F$2,"À venir",IF($E636&lt;$D$2,"Passé","Dans la période")))</f>
        <v/>
      </c>
      <c r="K636">
        <f>IF(OR($B636="",NOT(ISNUMBER($D636))),"",IF(AND($E636&lt;$D$2,$G636&lt;&gt;"X",$F636&lt;&gt;"Réalisé",$F636&lt;&gt;"Clôturé"),"RETARD",""))</f>
        <v/>
      </c>
      <c r="L636">
        <f>IF(OR($B636="",NOT(ISNUMBER($D636))),"",IF(AND($D636&gt;=$D$2,$D636&lt;=$H$2,$G636&lt;&gt;"X",$F636&lt;&gt;"Réalisé",$F636&lt;&gt;"Clôturé"),"≤ 7 j",""))</f>
        <v/>
      </c>
      <c r="M636" s="29">
        <f>IF($B636="","",IFERROR(INDEX($T$4:$T$3183,MATCH(SMALL($V$4:$V$3183,633),$V$4:$V$3183,0)),""))</f>
        <v/>
      </c>
      <c r="O636">
        <f>IF(INDEX(Suivi!$B:$B,648)="","",INDEX(Suivi!$B:$B,648))</f>
        <v/>
      </c>
      <c r="P636">
        <f>IF($O636="","",IF(INDEX(Suivi!$D:$D,648)="",INDEX(Suivi!$C:$C,648),INDEX(Suivi!$D:$D,648)))</f>
        <v/>
      </c>
      <c r="Q636">
        <f>IF($O636="","",INDEX(Suivi!$E:$E,648))</f>
        <v/>
      </c>
      <c r="R636">
        <f>IF($O636="","",INDEX(Suivi!$F:$F,648))</f>
        <v/>
      </c>
      <c r="S636">
        <f>IF($O636="","",INDEX(Suivi!$G:$G,648))</f>
        <v/>
      </c>
      <c r="T636">
        <f>IF($O636="","",IF(INDEX(Dossiers!$F$4:$F$63,12)="","",INDEX(Dossiers!$F$4:$F$63,12)))</f>
        <v/>
      </c>
      <c r="U636">
        <f>IF($O636="","",IF(INDEX(Dossiers!$G$4:$G$63,12)="","",INDEX(Dossiers!$G$4:$G$63,12)))</f>
        <v/>
      </c>
      <c r="V636">
        <f>IF(OR($O636="",NOT(ISNUMBER($Q636))),"",$Q636*1000000+636)</f>
        <v/>
      </c>
      <c r="W636" s="29">
        <f>IF($B636="","",IFERROR(INDEX($U$4:$U$3183,MATCH(SMALL($V$4:$V$3183,633),$V$4:$V$3183,0)),""))</f>
        <v/>
      </c>
    </row>
    <row r="637">
      <c r="A637">
        <f>IFERROR(INDEX($N$4:$N$3183,MATCH(SMALL($V$4:$V$3183,634),$V$4:$V$3183,0)),"")</f>
        <v/>
      </c>
      <c r="B637">
        <f>IFERROR(INDEX($O$4:$O$3183,MATCH(SMALL($V$4:$V$3183,634),$V$4:$V$3183,0)),"")</f>
        <v/>
      </c>
      <c r="C637">
        <f>IFERROR(INDEX($P$4:$P$3183,MATCH(SMALL($V$4:$V$3183,634),$V$4:$V$3183,0)),"")</f>
        <v/>
      </c>
      <c r="D637" s="29">
        <f>IFERROR(INDEX($Q$4:$Q$3183,MATCH(SMALL($V$4:$V$3183,634),$V$4:$V$3183,0)),"")</f>
        <v/>
      </c>
      <c r="E637" s="29">
        <f>IFERROR(INDEX($R$4:$R$3183,MATCH(SMALL($V$4:$V$3183,634),$V$4:$V$3183,0)),"")</f>
        <v/>
      </c>
      <c r="F637">
        <f>IFERROR(INDEX($S$4:$S$3183,MATCH(SMALL($V$4:$V$3183,634),$V$4:$V$3183,0)),"")</f>
        <v/>
      </c>
      <c r="I637" s="29">
        <f>IF($B637="","",IFERROR(INDEX($U$4:$U$3183,MATCH(SMALL($V$4:$V$3183,634),$V$4:$V$3183,0)),""))</f>
        <v/>
      </c>
      <c r="J637">
        <f>IF($B637="","",IF($D637&gt;$F$2,"À venir",IF($E637&lt;$D$2,"Passé","Dans la période")))</f>
        <v/>
      </c>
      <c r="K637">
        <f>IF(OR($B637="",NOT(ISNUMBER($D637))),"",IF(AND($E637&lt;$D$2,$G637&lt;&gt;"X",$F637&lt;&gt;"Réalisé",$F637&lt;&gt;"Clôturé"),"RETARD",""))</f>
        <v/>
      </c>
      <c r="L637">
        <f>IF(OR($B637="",NOT(ISNUMBER($D637))),"",IF(AND($D637&gt;=$D$2,$D637&lt;=$H$2,$G637&lt;&gt;"X",$F637&lt;&gt;"Réalisé",$F637&lt;&gt;"Clôturé"),"≤ 7 j",""))</f>
        <v/>
      </c>
      <c r="M637" s="29">
        <f>IF($B637="","",IFERROR(INDEX($T$4:$T$3183,MATCH(SMALL($V$4:$V$3183,634),$V$4:$V$3183,0)),""))</f>
        <v/>
      </c>
      <c r="O637">
        <f>IF(INDEX(Suivi!$B:$B,649)="","",INDEX(Suivi!$B:$B,649))</f>
        <v/>
      </c>
      <c r="P637">
        <f>IF($O637="","",IF(INDEX(Suivi!$D:$D,649)="",INDEX(Suivi!$C:$C,649),INDEX(Suivi!$D:$D,649)))</f>
        <v/>
      </c>
      <c r="Q637">
        <f>IF($O637="","",INDEX(Suivi!$E:$E,649))</f>
        <v/>
      </c>
      <c r="R637">
        <f>IF($O637="","",INDEX(Suivi!$F:$F,649))</f>
        <v/>
      </c>
      <c r="S637">
        <f>IF($O637="","",INDEX(Suivi!$G:$G,649))</f>
        <v/>
      </c>
      <c r="T637">
        <f>IF($O637="","",IF(INDEX(Dossiers!$F$4:$F$63,12)="","",INDEX(Dossiers!$F$4:$F$63,12)))</f>
        <v/>
      </c>
      <c r="U637">
        <f>IF($O637="","",IF(INDEX(Dossiers!$G$4:$G$63,12)="","",INDEX(Dossiers!$G$4:$G$63,12)))</f>
        <v/>
      </c>
      <c r="V637">
        <f>IF(OR($O637="",NOT(ISNUMBER($Q637))),"",$Q637*1000000+637)</f>
        <v/>
      </c>
      <c r="W637" s="29">
        <f>IF($B637="","",IFERROR(INDEX($U$4:$U$3183,MATCH(SMALL($V$4:$V$3183,634),$V$4:$V$3183,0)),""))</f>
        <v/>
      </c>
    </row>
    <row r="638">
      <c r="A638">
        <f>IFERROR(INDEX($N$4:$N$3183,MATCH(SMALL($V$4:$V$3183,635),$V$4:$V$3183,0)),"")</f>
        <v/>
      </c>
      <c r="B638">
        <f>IFERROR(INDEX($O$4:$O$3183,MATCH(SMALL($V$4:$V$3183,635),$V$4:$V$3183,0)),"")</f>
        <v/>
      </c>
      <c r="C638">
        <f>IFERROR(INDEX($P$4:$P$3183,MATCH(SMALL($V$4:$V$3183,635),$V$4:$V$3183,0)),"")</f>
        <v/>
      </c>
      <c r="D638" s="29">
        <f>IFERROR(INDEX($Q$4:$Q$3183,MATCH(SMALL($V$4:$V$3183,635),$V$4:$V$3183,0)),"")</f>
        <v/>
      </c>
      <c r="E638" s="29">
        <f>IFERROR(INDEX($R$4:$R$3183,MATCH(SMALL($V$4:$V$3183,635),$V$4:$V$3183,0)),"")</f>
        <v/>
      </c>
      <c r="F638">
        <f>IFERROR(INDEX($S$4:$S$3183,MATCH(SMALL($V$4:$V$3183,635),$V$4:$V$3183,0)),"")</f>
        <v/>
      </c>
      <c r="I638" s="29">
        <f>IF($B638="","",IFERROR(INDEX($U$4:$U$3183,MATCH(SMALL($V$4:$V$3183,635),$V$4:$V$3183,0)),""))</f>
        <v/>
      </c>
      <c r="J638">
        <f>IF($B638="","",IF($D638&gt;$F$2,"À venir",IF($E638&lt;$D$2,"Passé","Dans la période")))</f>
        <v/>
      </c>
      <c r="K638">
        <f>IF(OR($B638="",NOT(ISNUMBER($D638))),"",IF(AND($E638&lt;$D$2,$G638&lt;&gt;"X",$F638&lt;&gt;"Réalisé",$F638&lt;&gt;"Clôturé"),"RETARD",""))</f>
        <v/>
      </c>
      <c r="L638">
        <f>IF(OR($B638="",NOT(ISNUMBER($D638))),"",IF(AND($D638&gt;=$D$2,$D638&lt;=$H$2,$G638&lt;&gt;"X",$F638&lt;&gt;"Réalisé",$F638&lt;&gt;"Clôturé"),"≤ 7 j",""))</f>
        <v/>
      </c>
      <c r="M638" s="29">
        <f>IF($B638="","",IFERROR(INDEX($T$4:$T$3183,MATCH(SMALL($V$4:$V$3183,635),$V$4:$V$3183,0)),""))</f>
        <v/>
      </c>
      <c r="O638">
        <f>IF(INDEX(Suivi!$B:$B,650)="","",INDEX(Suivi!$B:$B,650))</f>
        <v/>
      </c>
      <c r="P638">
        <f>IF($O638="","",IF(INDEX(Suivi!$D:$D,650)="",INDEX(Suivi!$C:$C,650),INDEX(Suivi!$D:$D,650)))</f>
        <v/>
      </c>
      <c r="Q638">
        <f>IF($O638="","",INDEX(Suivi!$E:$E,650))</f>
        <v/>
      </c>
      <c r="R638">
        <f>IF($O638="","",INDEX(Suivi!$F:$F,650))</f>
        <v/>
      </c>
      <c r="S638">
        <f>IF($O638="","",INDEX(Suivi!$G:$G,650))</f>
        <v/>
      </c>
      <c r="T638">
        <f>IF($O638="","",IF(INDEX(Dossiers!$F$4:$F$63,12)="","",INDEX(Dossiers!$F$4:$F$63,12)))</f>
        <v/>
      </c>
      <c r="U638">
        <f>IF($O638="","",IF(INDEX(Dossiers!$G$4:$G$63,12)="","",INDEX(Dossiers!$G$4:$G$63,12)))</f>
        <v/>
      </c>
      <c r="V638">
        <f>IF(OR($O638="",NOT(ISNUMBER($Q638))),"",$Q638*1000000+638)</f>
        <v/>
      </c>
      <c r="W638" s="29">
        <f>IF($B638="","",IFERROR(INDEX($U$4:$U$3183,MATCH(SMALL($V$4:$V$3183,635),$V$4:$V$3183,0)),""))</f>
        <v/>
      </c>
    </row>
    <row r="639">
      <c r="A639">
        <f>IFERROR(INDEX($N$4:$N$3183,MATCH(SMALL($V$4:$V$3183,636),$V$4:$V$3183,0)),"")</f>
        <v/>
      </c>
      <c r="B639">
        <f>IFERROR(INDEX($O$4:$O$3183,MATCH(SMALL($V$4:$V$3183,636),$V$4:$V$3183,0)),"")</f>
        <v/>
      </c>
      <c r="C639">
        <f>IFERROR(INDEX($P$4:$P$3183,MATCH(SMALL($V$4:$V$3183,636),$V$4:$V$3183,0)),"")</f>
        <v/>
      </c>
      <c r="D639" s="29">
        <f>IFERROR(INDEX($Q$4:$Q$3183,MATCH(SMALL($V$4:$V$3183,636),$V$4:$V$3183,0)),"")</f>
        <v/>
      </c>
      <c r="E639" s="29">
        <f>IFERROR(INDEX($R$4:$R$3183,MATCH(SMALL($V$4:$V$3183,636),$V$4:$V$3183,0)),"")</f>
        <v/>
      </c>
      <c r="F639">
        <f>IFERROR(INDEX($S$4:$S$3183,MATCH(SMALL($V$4:$V$3183,636),$V$4:$V$3183,0)),"")</f>
        <v/>
      </c>
      <c r="I639" s="29">
        <f>IF($B639="","",IFERROR(INDEX($U$4:$U$3183,MATCH(SMALL($V$4:$V$3183,636),$V$4:$V$3183,0)),""))</f>
        <v/>
      </c>
      <c r="J639">
        <f>IF($B639="","",IF($D639&gt;$F$2,"À venir",IF($E639&lt;$D$2,"Passé","Dans la période")))</f>
        <v/>
      </c>
      <c r="K639">
        <f>IF(OR($B639="",NOT(ISNUMBER($D639))),"",IF(AND($E639&lt;$D$2,$G639&lt;&gt;"X",$F639&lt;&gt;"Réalisé",$F639&lt;&gt;"Clôturé"),"RETARD",""))</f>
        <v/>
      </c>
      <c r="L639">
        <f>IF(OR($B639="",NOT(ISNUMBER($D639))),"",IF(AND($D639&gt;=$D$2,$D639&lt;=$H$2,$G639&lt;&gt;"X",$F639&lt;&gt;"Réalisé",$F639&lt;&gt;"Clôturé"),"≤ 7 j",""))</f>
        <v/>
      </c>
      <c r="M639" s="29">
        <f>IF($B639="","",IFERROR(INDEX($T$4:$T$3183,MATCH(SMALL($V$4:$V$3183,636),$V$4:$V$3183,0)),""))</f>
        <v/>
      </c>
      <c r="O639">
        <f>IF(INDEX(Suivi!$B:$B,651)="","",INDEX(Suivi!$B:$B,651))</f>
        <v/>
      </c>
      <c r="P639">
        <f>IF($O639="","",IF(INDEX(Suivi!$D:$D,651)="",INDEX(Suivi!$C:$C,651),INDEX(Suivi!$D:$D,651)))</f>
        <v/>
      </c>
      <c r="Q639">
        <f>IF($O639="","",INDEX(Suivi!$E:$E,651))</f>
        <v/>
      </c>
      <c r="R639">
        <f>IF($O639="","",INDEX(Suivi!$F:$F,651))</f>
        <v/>
      </c>
      <c r="S639">
        <f>IF($O639="","",INDEX(Suivi!$G:$G,651))</f>
        <v/>
      </c>
      <c r="T639">
        <f>IF($O639="","",IF(INDEX(Dossiers!$F$4:$F$63,12)="","",INDEX(Dossiers!$F$4:$F$63,12)))</f>
        <v/>
      </c>
      <c r="U639">
        <f>IF($O639="","",IF(INDEX(Dossiers!$G$4:$G$63,12)="","",INDEX(Dossiers!$G$4:$G$63,12)))</f>
        <v/>
      </c>
      <c r="V639">
        <f>IF(OR($O639="",NOT(ISNUMBER($Q639))),"",$Q639*1000000+639)</f>
        <v/>
      </c>
      <c r="W639" s="29">
        <f>IF($B639="","",IFERROR(INDEX($U$4:$U$3183,MATCH(SMALL($V$4:$V$3183,636),$V$4:$V$3183,0)),""))</f>
        <v/>
      </c>
    </row>
    <row r="640">
      <c r="A640">
        <f>IFERROR(INDEX($N$4:$N$3183,MATCH(SMALL($V$4:$V$3183,637),$V$4:$V$3183,0)),"")</f>
        <v/>
      </c>
      <c r="B640">
        <f>IFERROR(INDEX($O$4:$O$3183,MATCH(SMALL($V$4:$V$3183,637),$V$4:$V$3183,0)),"")</f>
        <v/>
      </c>
      <c r="C640">
        <f>IFERROR(INDEX($P$4:$P$3183,MATCH(SMALL($V$4:$V$3183,637),$V$4:$V$3183,0)),"")</f>
        <v/>
      </c>
      <c r="D640" s="29">
        <f>IFERROR(INDEX($Q$4:$Q$3183,MATCH(SMALL($V$4:$V$3183,637),$V$4:$V$3183,0)),"")</f>
        <v/>
      </c>
      <c r="E640" s="29">
        <f>IFERROR(INDEX($R$4:$R$3183,MATCH(SMALL($V$4:$V$3183,637),$V$4:$V$3183,0)),"")</f>
        <v/>
      </c>
      <c r="F640">
        <f>IFERROR(INDEX($S$4:$S$3183,MATCH(SMALL($V$4:$V$3183,637),$V$4:$V$3183,0)),"")</f>
        <v/>
      </c>
      <c r="I640" s="29">
        <f>IF($B640="","",IFERROR(INDEX($U$4:$U$3183,MATCH(SMALL($V$4:$V$3183,637),$V$4:$V$3183,0)),""))</f>
        <v/>
      </c>
      <c r="J640">
        <f>IF($B640="","",IF($D640&gt;$F$2,"À venir",IF($E640&lt;$D$2,"Passé","Dans la période")))</f>
        <v/>
      </c>
      <c r="K640">
        <f>IF(OR($B640="",NOT(ISNUMBER($D640))),"",IF(AND($E640&lt;$D$2,$G640&lt;&gt;"X",$F640&lt;&gt;"Réalisé",$F640&lt;&gt;"Clôturé"),"RETARD",""))</f>
        <v/>
      </c>
      <c r="L640">
        <f>IF(OR($B640="",NOT(ISNUMBER($D640))),"",IF(AND($D640&gt;=$D$2,$D640&lt;=$H$2,$G640&lt;&gt;"X",$F640&lt;&gt;"Réalisé",$F640&lt;&gt;"Clôturé"),"≤ 7 j",""))</f>
        <v/>
      </c>
      <c r="M640" s="29">
        <f>IF($B640="","",IFERROR(INDEX($T$4:$T$3183,MATCH(SMALL($V$4:$V$3183,637),$V$4:$V$3183,0)),""))</f>
        <v/>
      </c>
      <c r="O640">
        <f>IF(INDEX(Suivi!$B:$B,653)="","",INDEX(Suivi!$B:$B,653))</f>
        <v/>
      </c>
      <c r="P640">
        <f>IF($O640="","",IF(INDEX(Suivi!$D:$D,653)="",INDEX(Suivi!$C:$C,653),INDEX(Suivi!$D:$D,653)))</f>
        <v/>
      </c>
      <c r="Q640">
        <f>IF($O640="","",INDEX(Suivi!$E:$E,653))</f>
        <v/>
      </c>
      <c r="R640">
        <f>IF($O640="","",INDEX(Suivi!$F:$F,653))</f>
        <v/>
      </c>
      <c r="S640">
        <f>IF($O640="","",INDEX(Suivi!$G:$G,653))</f>
        <v/>
      </c>
      <c r="T640">
        <f>IF($O640="","",IF(INDEX(Dossiers!$F$4:$F$63,13)="","",INDEX(Dossiers!$F$4:$F$63,13)))</f>
        <v/>
      </c>
      <c r="U640">
        <f>IF($O640="","",IF(INDEX(Dossiers!$G$4:$G$63,13)="","",INDEX(Dossiers!$G$4:$G$63,13)))</f>
        <v/>
      </c>
      <c r="V640">
        <f>IF(OR($O640="",NOT(ISNUMBER($Q640))),"",$Q640*1000000+640)</f>
        <v/>
      </c>
      <c r="W640" s="29">
        <f>IF($B640="","",IFERROR(INDEX($U$4:$U$3183,MATCH(SMALL($V$4:$V$3183,637),$V$4:$V$3183,0)),""))</f>
        <v/>
      </c>
    </row>
    <row r="641">
      <c r="A641">
        <f>IFERROR(INDEX($N$4:$N$3183,MATCH(SMALL($V$4:$V$3183,638),$V$4:$V$3183,0)),"")</f>
        <v/>
      </c>
      <c r="B641">
        <f>IFERROR(INDEX($O$4:$O$3183,MATCH(SMALL($V$4:$V$3183,638),$V$4:$V$3183,0)),"")</f>
        <v/>
      </c>
      <c r="C641">
        <f>IFERROR(INDEX($P$4:$P$3183,MATCH(SMALL($V$4:$V$3183,638),$V$4:$V$3183,0)),"")</f>
        <v/>
      </c>
      <c r="D641" s="29">
        <f>IFERROR(INDEX($Q$4:$Q$3183,MATCH(SMALL($V$4:$V$3183,638),$V$4:$V$3183,0)),"")</f>
        <v/>
      </c>
      <c r="E641" s="29">
        <f>IFERROR(INDEX($R$4:$R$3183,MATCH(SMALL($V$4:$V$3183,638),$V$4:$V$3183,0)),"")</f>
        <v/>
      </c>
      <c r="F641">
        <f>IFERROR(INDEX($S$4:$S$3183,MATCH(SMALL($V$4:$V$3183,638),$V$4:$V$3183,0)),"")</f>
        <v/>
      </c>
      <c r="I641" s="29">
        <f>IF($B641="","",IFERROR(INDEX($U$4:$U$3183,MATCH(SMALL($V$4:$V$3183,638),$V$4:$V$3183,0)),""))</f>
        <v/>
      </c>
      <c r="J641">
        <f>IF($B641="","",IF($D641&gt;$F$2,"À venir",IF($E641&lt;$D$2,"Passé","Dans la période")))</f>
        <v/>
      </c>
      <c r="K641">
        <f>IF(OR($B641="",NOT(ISNUMBER($D641))),"",IF(AND($E641&lt;$D$2,$G641&lt;&gt;"X",$F641&lt;&gt;"Réalisé",$F641&lt;&gt;"Clôturé"),"RETARD",""))</f>
        <v/>
      </c>
      <c r="L641">
        <f>IF(OR($B641="",NOT(ISNUMBER($D641))),"",IF(AND($D641&gt;=$D$2,$D641&lt;=$H$2,$G641&lt;&gt;"X",$F641&lt;&gt;"Réalisé",$F641&lt;&gt;"Clôturé"),"≤ 7 j",""))</f>
        <v/>
      </c>
      <c r="M641" s="29">
        <f>IF($B641="","",IFERROR(INDEX($T$4:$T$3183,MATCH(SMALL($V$4:$V$3183,638),$V$4:$V$3183,0)),""))</f>
        <v/>
      </c>
      <c r="O641">
        <f>IF(INDEX(Suivi!$B:$B,654)="","",INDEX(Suivi!$B:$B,654))</f>
        <v/>
      </c>
      <c r="P641">
        <f>IF($O641="","",IF(INDEX(Suivi!$D:$D,654)="",INDEX(Suivi!$C:$C,654),INDEX(Suivi!$D:$D,654)))</f>
        <v/>
      </c>
      <c r="Q641">
        <f>IF($O641="","",INDEX(Suivi!$E:$E,654))</f>
        <v/>
      </c>
      <c r="R641">
        <f>IF($O641="","",INDEX(Suivi!$F:$F,654))</f>
        <v/>
      </c>
      <c r="S641">
        <f>IF($O641="","",INDEX(Suivi!$G:$G,654))</f>
        <v/>
      </c>
      <c r="T641">
        <f>IF($O641="","",IF(INDEX(Dossiers!$F$4:$F$63,13)="","",INDEX(Dossiers!$F$4:$F$63,13)))</f>
        <v/>
      </c>
      <c r="U641">
        <f>IF($O641="","",IF(INDEX(Dossiers!$G$4:$G$63,13)="","",INDEX(Dossiers!$G$4:$G$63,13)))</f>
        <v/>
      </c>
      <c r="V641">
        <f>IF(OR($O641="",NOT(ISNUMBER($Q641))),"",$Q641*1000000+641)</f>
        <v/>
      </c>
      <c r="W641" s="29">
        <f>IF($B641="","",IFERROR(INDEX($U$4:$U$3183,MATCH(SMALL($V$4:$V$3183,638),$V$4:$V$3183,0)),""))</f>
        <v/>
      </c>
    </row>
    <row r="642">
      <c r="A642">
        <f>IFERROR(INDEX($N$4:$N$3183,MATCH(SMALL($V$4:$V$3183,639),$V$4:$V$3183,0)),"")</f>
        <v/>
      </c>
      <c r="B642">
        <f>IFERROR(INDEX($O$4:$O$3183,MATCH(SMALL($V$4:$V$3183,639),$V$4:$V$3183,0)),"")</f>
        <v/>
      </c>
      <c r="C642">
        <f>IFERROR(INDEX($P$4:$P$3183,MATCH(SMALL($V$4:$V$3183,639),$V$4:$V$3183,0)),"")</f>
        <v/>
      </c>
      <c r="D642" s="29">
        <f>IFERROR(INDEX($Q$4:$Q$3183,MATCH(SMALL($V$4:$V$3183,639),$V$4:$V$3183,0)),"")</f>
        <v/>
      </c>
      <c r="E642" s="29">
        <f>IFERROR(INDEX($R$4:$R$3183,MATCH(SMALL($V$4:$V$3183,639),$V$4:$V$3183,0)),"")</f>
        <v/>
      </c>
      <c r="F642">
        <f>IFERROR(INDEX($S$4:$S$3183,MATCH(SMALL($V$4:$V$3183,639),$V$4:$V$3183,0)),"")</f>
        <v/>
      </c>
      <c r="I642" s="29">
        <f>IF($B642="","",IFERROR(INDEX($U$4:$U$3183,MATCH(SMALL($V$4:$V$3183,639),$V$4:$V$3183,0)),""))</f>
        <v/>
      </c>
      <c r="J642">
        <f>IF($B642="","",IF($D642&gt;$F$2,"À venir",IF($E642&lt;$D$2,"Passé","Dans la période")))</f>
        <v/>
      </c>
      <c r="K642">
        <f>IF(OR($B642="",NOT(ISNUMBER($D642))),"",IF(AND($E642&lt;$D$2,$G642&lt;&gt;"X",$F642&lt;&gt;"Réalisé",$F642&lt;&gt;"Clôturé"),"RETARD",""))</f>
        <v/>
      </c>
      <c r="L642">
        <f>IF(OR($B642="",NOT(ISNUMBER($D642))),"",IF(AND($D642&gt;=$D$2,$D642&lt;=$H$2,$G642&lt;&gt;"X",$F642&lt;&gt;"Réalisé",$F642&lt;&gt;"Clôturé"),"≤ 7 j",""))</f>
        <v/>
      </c>
      <c r="M642" s="29">
        <f>IF($B642="","",IFERROR(INDEX($T$4:$T$3183,MATCH(SMALL($V$4:$V$3183,639),$V$4:$V$3183,0)),""))</f>
        <v/>
      </c>
      <c r="O642">
        <f>IF(INDEX(Suivi!$B:$B,655)="","",INDEX(Suivi!$B:$B,655))</f>
        <v/>
      </c>
      <c r="P642">
        <f>IF($O642="","",IF(INDEX(Suivi!$D:$D,655)="",INDEX(Suivi!$C:$C,655),INDEX(Suivi!$D:$D,655)))</f>
        <v/>
      </c>
      <c r="Q642">
        <f>IF($O642="","",INDEX(Suivi!$E:$E,655))</f>
        <v/>
      </c>
      <c r="R642">
        <f>IF($O642="","",INDEX(Suivi!$F:$F,655))</f>
        <v/>
      </c>
      <c r="S642">
        <f>IF($O642="","",INDEX(Suivi!$G:$G,655))</f>
        <v/>
      </c>
      <c r="T642">
        <f>IF($O642="","",IF(INDEX(Dossiers!$F$4:$F$63,13)="","",INDEX(Dossiers!$F$4:$F$63,13)))</f>
        <v/>
      </c>
      <c r="U642">
        <f>IF($O642="","",IF(INDEX(Dossiers!$G$4:$G$63,13)="","",INDEX(Dossiers!$G$4:$G$63,13)))</f>
        <v/>
      </c>
      <c r="V642">
        <f>IF(OR($O642="",NOT(ISNUMBER($Q642))),"",$Q642*1000000+642)</f>
        <v/>
      </c>
      <c r="W642" s="29">
        <f>IF($B642="","",IFERROR(INDEX($U$4:$U$3183,MATCH(SMALL($V$4:$V$3183,639),$V$4:$V$3183,0)),""))</f>
        <v/>
      </c>
    </row>
    <row r="643">
      <c r="A643">
        <f>IFERROR(INDEX($N$4:$N$3183,MATCH(SMALL($V$4:$V$3183,640),$V$4:$V$3183,0)),"")</f>
        <v/>
      </c>
      <c r="B643">
        <f>IFERROR(INDEX($O$4:$O$3183,MATCH(SMALL($V$4:$V$3183,640),$V$4:$V$3183,0)),"")</f>
        <v/>
      </c>
      <c r="C643">
        <f>IFERROR(INDEX($P$4:$P$3183,MATCH(SMALL($V$4:$V$3183,640),$V$4:$V$3183,0)),"")</f>
        <v/>
      </c>
      <c r="D643" s="29">
        <f>IFERROR(INDEX($Q$4:$Q$3183,MATCH(SMALL($V$4:$V$3183,640),$V$4:$V$3183,0)),"")</f>
        <v/>
      </c>
      <c r="E643" s="29">
        <f>IFERROR(INDEX($R$4:$R$3183,MATCH(SMALL($V$4:$V$3183,640),$V$4:$V$3183,0)),"")</f>
        <v/>
      </c>
      <c r="F643">
        <f>IFERROR(INDEX($S$4:$S$3183,MATCH(SMALL($V$4:$V$3183,640),$V$4:$V$3183,0)),"")</f>
        <v/>
      </c>
      <c r="I643" s="29">
        <f>IF($B643="","",IFERROR(INDEX($U$4:$U$3183,MATCH(SMALL($V$4:$V$3183,640),$V$4:$V$3183,0)),""))</f>
        <v/>
      </c>
      <c r="J643">
        <f>IF($B643="","",IF($D643&gt;$F$2,"À venir",IF($E643&lt;$D$2,"Passé","Dans la période")))</f>
        <v/>
      </c>
      <c r="K643">
        <f>IF(OR($B643="",NOT(ISNUMBER($D643))),"",IF(AND($E643&lt;$D$2,$G643&lt;&gt;"X",$F643&lt;&gt;"Réalisé",$F643&lt;&gt;"Clôturé"),"RETARD",""))</f>
        <v/>
      </c>
      <c r="L643">
        <f>IF(OR($B643="",NOT(ISNUMBER($D643))),"",IF(AND($D643&gt;=$D$2,$D643&lt;=$H$2,$G643&lt;&gt;"X",$F643&lt;&gt;"Réalisé",$F643&lt;&gt;"Clôturé"),"≤ 7 j",""))</f>
        <v/>
      </c>
      <c r="M643" s="29">
        <f>IF($B643="","",IFERROR(INDEX($T$4:$T$3183,MATCH(SMALL($V$4:$V$3183,640),$V$4:$V$3183,0)),""))</f>
        <v/>
      </c>
      <c r="O643">
        <f>IF(INDEX(Suivi!$B:$B,656)="","",INDEX(Suivi!$B:$B,656))</f>
        <v/>
      </c>
      <c r="P643">
        <f>IF($O643="","",IF(INDEX(Suivi!$D:$D,656)="",INDEX(Suivi!$C:$C,656),INDEX(Suivi!$D:$D,656)))</f>
        <v/>
      </c>
      <c r="Q643">
        <f>IF($O643="","",INDEX(Suivi!$E:$E,656))</f>
        <v/>
      </c>
      <c r="R643">
        <f>IF($O643="","",INDEX(Suivi!$F:$F,656))</f>
        <v/>
      </c>
      <c r="S643">
        <f>IF($O643="","",INDEX(Suivi!$G:$G,656))</f>
        <v/>
      </c>
      <c r="T643">
        <f>IF($O643="","",IF(INDEX(Dossiers!$F$4:$F$63,13)="","",INDEX(Dossiers!$F$4:$F$63,13)))</f>
        <v/>
      </c>
      <c r="U643">
        <f>IF($O643="","",IF(INDEX(Dossiers!$G$4:$G$63,13)="","",INDEX(Dossiers!$G$4:$G$63,13)))</f>
        <v/>
      </c>
      <c r="V643">
        <f>IF(OR($O643="",NOT(ISNUMBER($Q643))),"",$Q643*1000000+643)</f>
        <v/>
      </c>
      <c r="W643" s="29">
        <f>IF($B643="","",IFERROR(INDEX($U$4:$U$3183,MATCH(SMALL($V$4:$V$3183,640),$V$4:$V$3183,0)),""))</f>
        <v/>
      </c>
    </row>
    <row r="644">
      <c r="A644">
        <f>IFERROR(INDEX($N$4:$N$3183,MATCH(SMALL($V$4:$V$3183,641),$V$4:$V$3183,0)),"")</f>
        <v/>
      </c>
      <c r="B644">
        <f>IFERROR(INDEX($O$4:$O$3183,MATCH(SMALL($V$4:$V$3183,641),$V$4:$V$3183,0)),"")</f>
        <v/>
      </c>
      <c r="C644">
        <f>IFERROR(INDEX($P$4:$P$3183,MATCH(SMALL($V$4:$V$3183,641),$V$4:$V$3183,0)),"")</f>
        <v/>
      </c>
      <c r="D644" s="29">
        <f>IFERROR(INDEX($Q$4:$Q$3183,MATCH(SMALL($V$4:$V$3183,641),$V$4:$V$3183,0)),"")</f>
        <v/>
      </c>
      <c r="E644" s="29">
        <f>IFERROR(INDEX($R$4:$R$3183,MATCH(SMALL($V$4:$V$3183,641),$V$4:$V$3183,0)),"")</f>
        <v/>
      </c>
      <c r="F644">
        <f>IFERROR(INDEX($S$4:$S$3183,MATCH(SMALL($V$4:$V$3183,641),$V$4:$V$3183,0)),"")</f>
        <v/>
      </c>
      <c r="I644" s="29">
        <f>IF($B644="","",IFERROR(INDEX($U$4:$U$3183,MATCH(SMALL($V$4:$V$3183,641),$V$4:$V$3183,0)),""))</f>
        <v/>
      </c>
      <c r="J644">
        <f>IF($B644="","",IF($D644&gt;$F$2,"À venir",IF($E644&lt;$D$2,"Passé","Dans la période")))</f>
        <v/>
      </c>
      <c r="K644">
        <f>IF(OR($B644="",NOT(ISNUMBER($D644))),"",IF(AND($E644&lt;$D$2,$G644&lt;&gt;"X",$F644&lt;&gt;"Réalisé",$F644&lt;&gt;"Clôturé"),"RETARD",""))</f>
        <v/>
      </c>
      <c r="L644">
        <f>IF(OR($B644="",NOT(ISNUMBER($D644))),"",IF(AND($D644&gt;=$D$2,$D644&lt;=$H$2,$G644&lt;&gt;"X",$F644&lt;&gt;"Réalisé",$F644&lt;&gt;"Clôturé"),"≤ 7 j",""))</f>
        <v/>
      </c>
      <c r="M644" s="29">
        <f>IF($B644="","",IFERROR(INDEX($T$4:$T$3183,MATCH(SMALL($V$4:$V$3183,641),$V$4:$V$3183,0)),""))</f>
        <v/>
      </c>
      <c r="O644">
        <f>IF(INDEX(Suivi!$B:$B,657)="","",INDEX(Suivi!$B:$B,657))</f>
        <v/>
      </c>
      <c r="P644">
        <f>IF($O644="","",IF(INDEX(Suivi!$D:$D,657)="",INDEX(Suivi!$C:$C,657),INDEX(Suivi!$D:$D,657)))</f>
        <v/>
      </c>
      <c r="Q644">
        <f>IF($O644="","",INDEX(Suivi!$E:$E,657))</f>
        <v/>
      </c>
      <c r="R644">
        <f>IF($O644="","",INDEX(Suivi!$F:$F,657))</f>
        <v/>
      </c>
      <c r="S644">
        <f>IF($O644="","",INDEX(Suivi!$G:$G,657))</f>
        <v/>
      </c>
      <c r="T644">
        <f>IF($O644="","",IF(INDEX(Dossiers!$F$4:$F$63,13)="","",INDEX(Dossiers!$F$4:$F$63,13)))</f>
        <v/>
      </c>
      <c r="U644">
        <f>IF($O644="","",IF(INDEX(Dossiers!$G$4:$G$63,13)="","",INDEX(Dossiers!$G$4:$G$63,13)))</f>
        <v/>
      </c>
      <c r="V644">
        <f>IF(OR($O644="",NOT(ISNUMBER($Q644))),"",$Q644*1000000+644)</f>
        <v/>
      </c>
      <c r="W644" s="29">
        <f>IF($B644="","",IFERROR(INDEX($U$4:$U$3183,MATCH(SMALL($V$4:$V$3183,641),$V$4:$V$3183,0)),""))</f>
        <v/>
      </c>
    </row>
    <row r="645">
      <c r="A645">
        <f>IFERROR(INDEX($N$4:$N$3183,MATCH(SMALL($V$4:$V$3183,642),$V$4:$V$3183,0)),"")</f>
        <v/>
      </c>
      <c r="B645">
        <f>IFERROR(INDEX($O$4:$O$3183,MATCH(SMALL($V$4:$V$3183,642),$V$4:$V$3183,0)),"")</f>
        <v/>
      </c>
      <c r="C645">
        <f>IFERROR(INDEX($P$4:$P$3183,MATCH(SMALL($V$4:$V$3183,642),$V$4:$V$3183,0)),"")</f>
        <v/>
      </c>
      <c r="D645" s="29">
        <f>IFERROR(INDEX($Q$4:$Q$3183,MATCH(SMALL($V$4:$V$3183,642),$V$4:$V$3183,0)),"")</f>
        <v/>
      </c>
      <c r="E645" s="29">
        <f>IFERROR(INDEX($R$4:$R$3183,MATCH(SMALL($V$4:$V$3183,642),$V$4:$V$3183,0)),"")</f>
        <v/>
      </c>
      <c r="F645">
        <f>IFERROR(INDEX($S$4:$S$3183,MATCH(SMALL($V$4:$V$3183,642),$V$4:$V$3183,0)),"")</f>
        <v/>
      </c>
      <c r="I645" s="29">
        <f>IF($B645="","",IFERROR(INDEX($U$4:$U$3183,MATCH(SMALL($V$4:$V$3183,642),$V$4:$V$3183,0)),""))</f>
        <v/>
      </c>
      <c r="J645">
        <f>IF($B645="","",IF($D645&gt;$F$2,"À venir",IF($E645&lt;$D$2,"Passé","Dans la période")))</f>
        <v/>
      </c>
      <c r="K645">
        <f>IF(OR($B645="",NOT(ISNUMBER($D645))),"",IF(AND($E645&lt;$D$2,$G645&lt;&gt;"X",$F645&lt;&gt;"Réalisé",$F645&lt;&gt;"Clôturé"),"RETARD",""))</f>
        <v/>
      </c>
      <c r="L645">
        <f>IF(OR($B645="",NOT(ISNUMBER($D645))),"",IF(AND($D645&gt;=$D$2,$D645&lt;=$H$2,$G645&lt;&gt;"X",$F645&lt;&gt;"Réalisé",$F645&lt;&gt;"Clôturé"),"≤ 7 j",""))</f>
        <v/>
      </c>
      <c r="M645" s="29">
        <f>IF($B645="","",IFERROR(INDEX($T$4:$T$3183,MATCH(SMALL($V$4:$V$3183,642),$V$4:$V$3183,0)),""))</f>
        <v/>
      </c>
      <c r="O645">
        <f>IF(INDEX(Suivi!$B:$B,658)="","",INDEX(Suivi!$B:$B,658))</f>
        <v/>
      </c>
      <c r="P645">
        <f>IF($O645="","",IF(INDEX(Suivi!$D:$D,658)="",INDEX(Suivi!$C:$C,658),INDEX(Suivi!$D:$D,658)))</f>
        <v/>
      </c>
      <c r="Q645">
        <f>IF($O645="","",INDEX(Suivi!$E:$E,658))</f>
        <v/>
      </c>
      <c r="R645">
        <f>IF($O645="","",INDEX(Suivi!$F:$F,658))</f>
        <v/>
      </c>
      <c r="S645">
        <f>IF($O645="","",INDEX(Suivi!$G:$G,658))</f>
        <v/>
      </c>
      <c r="T645">
        <f>IF($O645="","",IF(INDEX(Dossiers!$F$4:$F$63,13)="","",INDEX(Dossiers!$F$4:$F$63,13)))</f>
        <v/>
      </c>
      <c r="U645">
        <f>IF($O645="","",IF(INDEX(Dossiers!$G$4:$G$63,13)="","",INDEX(Dossiers!$G$4:$G$63,13)))</f>
        <v/>
      </c>
      <c r="V645">
        <f>IF(OR($O645="",NOT(ISNUMBER($Q645))),"",$Q645*1000000+645)</f>
        <v/>
      </c>
      <c r="W645" s="29">
        <f>IF($B645="","",IFERROR(INDEX($U$4:$U$3183,MATCH(SMALL($V$4:$V$3183,642),$V$4:$V$3183,0)),""))</f>
        <v/>
      </c>
    </row>
    <row r="646">
      <c r="A646">
        <f>IFERROR(INDEX($N$4:$N$3183,MATCH(SMALL($V$4:$V$3183,643),$V$4:$V$3183,0)),"")</f>
        <v/>
      </c>
      <c r="B646">
        <f>IFERROR(INDEX($O$4:$O$3183,MATCH(SMALL($V$4:$V$3183,643),$V$4:$V$3183,0)),"")</f>
        <v/>
      </c>
      <c r="C646">
        <f>IFERROR(INDEX($P$4:$P$3183,MATCH(SMALL($V$4:$V$3183,643),$V$4:$V$3183,0)),"")</f>
        <v/>
      </c>
      <c r="D646" s="29">
        <f>IFERROR(INDEX($Q$4:$Q$3183,MATCH(SMALL($V$4:$V$3183,643),$V$4:$V$3183,0)),"")</f>
        <v/>
      </c>
      <c r="E646" s="29">
        <f>IFERROR(INDEX($R$4:$R$3183,MATCH(SMALL($V$4:$V$3183,643),$V$4:$V$3183,0)),"")</f>
        <v/>
      </c>
      <c r="F646">
        <f>IFERROR(INDEX($S$4:$S$3183,MATCH(SMALL($V$4:$V$3183,643),$V$4:$V$3183,0)),"")</f>
        <v/>
      </c>
      <c r="I646" s="29">
        <f>IF($B646="","",IFERROR(INDEX($U$4:$U$3183,MATCH(SMALL($V$4:$V$3183,643),$V$4:$V$3183,0)),""))</f>
        <v/>
      </c>
      <c r="J646">
        <f>IF($B646="","",IF($D646&gt;$F$2,"À venir",IF($E646&lt;$D$2,"Passé","Dans la période")))</f>
        <v/>
      </c>
      <c r="K646">
        <f>IF(OR($B646="",NOT(ISNUMBER($D646))),"",IF(AND($E646&lt;$D$2,$G646&lt;&gt;"X",$F646&lt;&gt;"Réalisé",$F646&lt;&gt;"Clôturé"),"RETARD",""))</f>
        <v/>
      </c>
      <c r="L646">
        <f>IF(OR($B646="",NOT(ISNUMBER($D646))),"",IF(AND($D646&gt;=$D$2,$D646&lt;=$H$2,$G646&lt;&gt;"X",$F646&lt;&gt;"Réalisé",$F646&lt;&gt;"Clôturé"),"≤ 7 j",""))</f>
        <v/>
      </c>
      <c r="M646" s="29">
        <f>IF($B646="","",IFERROR(INDEX($T$4:$T$3183,MATCH(SMALL($V$4:$V$3183,643),$V$4:$V$3183,0)),""))</f>
        <v/>
      </c>
      <c r="O646">
        <f>IF(INDEX(Suivi!$B:$B,659)="","",INDEX(Suivi!$B:$B,659))</f>
        <v/>
      </c>
      <c r="P646">
        <f>IF($O646="","",IF(INDEX(Suivi!$D:$D,659)="",INDEX(Suivi!$C:$C,659),INDEX(Suivi!$D:$D,659)))</f>
        <v/>
      </c>
      <c r="Q646">
        <f>IF($O646="","",INDEX(Suivi!$E:$E,659))</f>
        <v/>
      </c>
      <c r="R646">
        <f>IF($O646="","",INDEX(Suivi!$F:$F,659))</f>
        <v/>
      </c>
      <c r="S646">
        <f>IF($O646="","",INDEX(Suivi!$G:$G,659))</f>
        <v/>
      </c>
      <c r="T646">
        <f>IF($O646="","",IF(INDEX(Dossiers!$F$4:$F$63,13)="","",INDEX(Dossiers!$F$4:$F$63,13)))</f>
        <v/>
      </c>
      <c r="U646">
        <f>IF($O646="","",IF(INDEX(Dossiers!$G$4:$G$63,13)="","",INDEX(Dossiers!$G$4:$G$63,13)))</f>
        <v/>
      </c>
      <c r="V646">
        <f>IF(OR($O646="",NOT(ISNUMBER($Q646))),"",$Q646*1000000+646)</f>
        <v/>
      </c>
      <c r="W646" s="29">
        <f>IF($B646="","",IFERROR(INDEX($U$4:$U$3183,MATCH(SMALL($V$4:$V$3183,643),$V$4:$V$3183,0)),""))</f>
        <v/>
      </c>
    </row>
    <row r="647">
      <c r="A647">
        <f>IFERROR(INDEX($N$4:$N$3183,MATCH(SMALL($V$4:$V$3183,644),$V$4:$V$3183,0)),"")</f>
        <v/>
      </c>
      <c r="B647">
        <f>IFERROR(INDEX($O$4:$O$3183,MATCH(SMALL($V$4:$V$3183,644),$V$4:$V$3183,0)),"")</f>
        <v/>
      </c>
      <c r="C647">
        <f>IFERROR(INDEX($P$4:$P$3183,MATCH(SMALL($V$4:$V$3183,644),$V$4:$V$3183,0)),"")</f>
        <v/>
      </c>
      <c r="D647" s="29">
        <f>IFERROR(INDEX($Q$4:$Q$3183,MATCH(SMALL($V$4:$V$3183,644),$V$4:$V$3183,0)),"")</f>
        <v/>
      </c>
      <c r="E647" s="29">
        <f>IFERROR(INDEX($R$4:$R$3183,MATCH(SMALL($V$4:$V$3183,644),$V$4:$V$3183,0)),"")</f>
        <v/>
      </c>
      <c r="F647">
        <f>IFERROR(INDEX($S$4:$S$3183,MATCH(SMALL($V$4:$V$3183,644),$V$4:$V$3183,0)),"")</f>
        <v/>
      </c>
      <c r="I647" s="29">
        <f>IF($B647="","",IFERROR(INDEX($U$4:$U$3183,MATCH(SMALL($V$4:$V$3183,644),$V$4:$V$3183,0)),""))</f>
        <v/>
      </c>
      <c r="J647">
        <f>IF($B647="","",IF($D647&gt;$F$2,"À venir",IF($E647&lt;$D$2,"Passé","Dans la période")))</f>
        <v/>
      </c>
      <c r="K647">
        <f>IF(OR($B647="",NOT(ISNUMBER($D647))),"",IF(AND($E647&lt;$D$2,$G647&lt;&gt;"X",$F647&lt;&gt;"Réalisé",$F647&lt;&gt;"Clôturé"),"RETARD",""))</f>
        <v/>
      </c>
      <c r="L647">
        <f>IF(OR($B647="",NOT(ISNUMBER($D647))),"",IF(AND($D647&gt;=$D$2,$D647&lt;=$H$2,$G647&lt;&gt;"X",$F647&lt;&gt;"Réalisé",$F647&lt;&gt;"Clôturé"),"≤ 7 j",""))</f>
        <v/>
      </c>
      <c r="M647" s="29">
        <f>IF($B647="","",IFERROR(INDEX($T$4:$T$3183,MATCH(SMALL($V$4:$V$3183,644),$V$4:$V$3183,0)),""))</f>
        <v/>
      </c>
      <c r="O647">
        <f>IF(INDEX(Suivi!$B:$B,660)="","",INDEX(Suivi!$B:$B,660))</f>
        <v/>
      </c>
      <c r="P647">
        <f>IF($O647="","",IF(INDEX(Suivi!$D:$D,660)="",INDEX(Suivi!$C:$C,660),INDEX(Suivi!$D:$D,660)))</f>
        <v/>
      </c>
      <c r="Q647">
        <f>IF($O647="","",INDEX(Suivi!$E:$E,660))</f>
        <v/>
      </c>
      <c r="R647">
        <f>IF($O647="","",INDEX(Suivi!$F:$F,660))</f>
        <v/>
      </c>
      <c r="S647">
        <f>IF($O647="","",INDEX(Suivi!$G:$G,660))</f>
        <v/>
      </c>
      <c r="T647">
        <f>IF($O647="","",IF(INDEX(Dossiers!$F$4:$F$63,13)="","",INDEX(Dossiers!$F$4:$F$63,13)))</f>
        <v/>
      </c>
      <c r="U647">
        <f>IF($O647="","",IF(INDEX(Dossiers!$G$4:$G$63,13)="","",INDEX(Dossiers!$G$4:$G$63,13)))</f>
        <v/>
      </c>
      <c r="V647">
        <f>IF(OR($O647="",NOT(ISNUMBER($Q647))),"",$Q647*1000000+647)</f>
        <v/>
      </c>
      <c r="W647" s="29">
        <f>IF($B647="","",IFERROR(INDEX($U$4:$U$3183,MATCH(SMALL($V$4:$V$3183,644),$V$4:$V$3183,0)),""))</f>
        <v/>
      </c>
    </row>
    <row r="648">
      <c r="A648">
        <f>IFERROR(INDEX($N$4:$N$3183,MATCH(SMALL($V$4:$V$3183,645),$V$4:$V$3183,0)),"")</f>
        <v/>
      </c>
      <c r="B648">
        <f>IFERROR(INDEX($O$4:$O$3183,MATCH(SMALL($V$4:$V$3183,645),$V$4:$V$3183,0)),"")</f>
        <v/>
      </c>
      <c r="C648">
        <f>IFERROR(INDEX($P$4:$P$3183,MATCH(SMALL($V$4:$V$3183,645),$V$4:$V$3183,0)),"")</f>
        <v/>
      </c>
      <c r="D648" s="29">
        <f>IFERROR(INDEX($Q$4:$Q$3183,MATCH(SMALL($V$4:$V$3183,645),$V$4:$V$3183,0)),"")</f>
        <v/>
      </c>
      <c r="E648" s="29">
        <f>IFERROR(INDEX($R$4:$R$3183,MATCH(SMALL($V$4:$V$3183,645),$V$4:$V$3183,0)),"")</f>
        <v/>
      </c>
      <c r="F648">
        <f>IFERROR(INDEX($S$4:$S$3183,MATCH(SMALL($V$4:$V$3183,645),$V$4:$V$3183,0)),"")</f>
        <v/>
      </c>
      <c r="I648" s="29">
        <f>IF($B648="","",IFERROR(INDEX($U$4:$U$3183,MATCH(SMALL($V$4:$V$3183,645),$V$4:$V$3183,0)),""))</f>
        <v/>
      </c>
      <c r="J648">
        <f>IF($B648="","",IF($D648&gt;$F$2,"À venir",IF($E648&lt;$D$2,"Passé","Dans la période")))</f>
        <v/>
      </c>
      <c r="K648">
        <f>IF(OR($B648="",NOT(ISNUMBER($D648))),"",IF(AND($E648&lt;$D$2,$G648&lt;&gt;"X",$F648&lt;&gt;"Réalisé",$F648&lt;&gt;"Clôturé"),"RETARD",""))</f>
        <v/>
      </c>
      <c r="L648">
        <f>IF(OR($B648="",NOT(ISNUMBER($D648))),"",IF(AND($D648&gt;=$D$2,$D648&lt;=$H$2,$G648&lt;&gt;"X",$F648&lt;&gt;"Réalisé",$F648&lt;&gt;"Clôturé"),"≤ 7 j",""))</f>
        <v/>
      </c>
      <c r="M648" s="29">
        <f>IF($B648="","",IFERROR(INDEX($T$4:$T$3183,MATCH(SMALL($V$4:$V$3183,645),$V$4:$V$3183,0)),""))</f>
        <v/>
      </c>
      <c r="O648">
        <f>IF(INDEX(Suivi!$B:$B,661)="","",INDEX(Suivi!$B:$B,661))</f>
        <v/>
      </c>
      <c r="P648">
        <f>IF($O648="","",IF(INDEX(Suivi!$D:$D,661)="",INDEX(Suivi!$C:$C,661),INDEX(Suivi!$D:$D,661)))</f>
        <v/>
      </c>
      <c r="Q648">
        <f>IF($O648="","",INDEX(Suivi!$E:$E,661))</f>
        <v/>
      </c>
      <c r="R648">
        <f>IF($O648="","",INDEX(Suivi!$F:$F,661))</f>
        <v/>
      </c>
      <c r="S648">
        <f>IF($O648="","",INDEX(Suivi!$G:$G,661))</f>
        <v/>
      </c>
      <c r="T648">
        <f>IF($O648="","",IF(INDEX(Dossiers!$F$4:$F$63,13)="","",INDEX(Dossiers!$F$4:$F$63,13)))</f>
        <v/>
      </c>
      <c r="U648">
        <f>IF($O648="","",IF(INDEX(Dossiers!$G$4:$G$63,13)="","",INDEX(Dossiers!$G$4:$G$63,13)))</f>
        <v/>
      </c>
      <c r="V648">
        <f>IF(OR($O648="",NOT(ISNUMBER($Q648))),"",$Q648*1000000+648)</f>
        <v/>
      </c>
      <c r="W648" s="29">
        <f>IF($B648="","",IFERROR(INDEX($U$4:$U$3183,MATCH(SMALL($V$4:$V$3183,645),$V$4:$V$3183,0)),""))</f>
        <v/>
      </c>
    </row>
    <row r="649">
      <c r="A649">
        <f>IFERROR(INDEX($N$4:$N$3183,MATCH(SMALL($V$4:$V$3183,646),$V$4:$V$3183,0)),"")</f>
        <v/>
      </c>
      <c r="B649">
        <f>IFERROR(INDEX($O$4:$O$3183,MATCH(SMALL($V$4:$V$3183,646),$V$4:$V$3183,0)),"")</f>
        <v/>
      </c>
      <c r="C649">
        <f>IFERROR(INDEX($P$4:$P$3183,MATCH(SMALL($V$4:$V$3183,646),$V$4:$V$3183,0)),"")</f>
        <v/>
      </c>
      <c r="D649" s="29">
        <f>IFERROR(INDEX($Q$4:$Q$3183,MATCH(SMALL($V$4:$V$3183,646),$V$4:$V$3183,0)),"")</f>
        <v/>
      </c>
      <c r="E649" s="29">
        <f>IFERROR(INDEX($R$4:$R$3183,MATCH(SMALL($V$4:$V$3183,646),$V$4:$V$3183,0)),"")</f>
        <v/>
      </c>
      <c r="F649">
        <f>IFERROR(INDEX($S$4:$S$3183,MATCH(SMALL($V$4:$V$3183,646),$V$4:$V$3183,0)),"")</f>
        <v/>
      </c>
      <c r="I649" s="29">
        <f>IF($B649="","",IFERROR(INDEX($U$4:$U$3183,MATCH(SMALL($V$4:$V$3183,646),$V$4:$V$3183,0)),""))</f>
        <v/>
      </c>
      <c r="J649">
        <f>IF($B649="","",IF($D649&gt;$F$2,"À venir",IF($E649&lt;$D$2,"Passé","Dans la période")))</f>
        <v/>
      </c>
      <c r="K649">
        <f>IF(OR($B649="",NOT(ISNUMBER($D649))),"",IF(AND($E649&lt;$D$2,$G649&lt;&gt;"X",$F649&lt;&gt;"Réalisé",$F649&lt;&gt;"Clôturé"),"RETARD",""))</f>
        <v/>
      </c>
      <c r="L649">
        <f>IF(OR($B649="",NOT(ISNUMBER($D649))),"",IF(AND($D649&gt;=$D$2,$D649&lt;=$H$2,$G649&lt;&gt;"X",$F649&lt;&gt;"Réalisé",$F649&lt;&gt;"Clôturé"),"≤ 7 j",""))</f>
        <v/>
      </c>
      <c r="M649" s="29">
        <f>IF($B649="","",IFERROR(INDEX($T$4:$T$3183,MATCH(SMALL($V$4:$V$3183,646),$V$4:$V$3183,0)),""))</f>
        <v/>
      </c>
      <c r="O649">
        <f>IF(INDEX(Suivi!$B:$B,662)="","",INDEX(Suivi!$B:$B,662))</f>
        <v/>
      </c>
      <c r="P649">
        <f>IF($O649="","",IF(INDEX(Suivi!$D:$D,662)="",INDEX(Suivi!$C:$C,662),INDEX(Suivi!$D:$D,662)))</f>
        <v/>
      </c>
      <c r="Q649">
        <f>IF($O649="","",INDEX(Suivi!$E:$E,662))</f>
        <v/>
      </c>
      <c r="R649">
        <f>IF($O649="","",INDEX(Suivi!$F:$F,662))</f>
        <v/>
      </c>
      <c r="S649">
        <f>IF($O649="","",INDEX(Suivi!$G:$G,662))</f>
        <v/>
      </c>
      <c r="T649">
        <f>IF($O649="","",IF(INDEX(Dossiers!$F$4:$F$63,13)="","",INDEX(Dossiers!$F$4:$F$63,13)))</f>
        <v/>
      </c>
      <c r="U649">
        <f>IF($O649="","",IF(INDEX(Dossiers!$G$4:$G$63,13)="","",INDEX(Dossiers!$G$4:$G$63,13)))</f>
        <v/>
      </c>
      <c r="V649">
        <f>IF(OR($O649="",NOT(ISNUMBER($Q649))),"",$Q649*1000000+649)</f>
        <v/>
      </c>
      <c r="W649" s="29">
        <f>IF($B649="","",IFERROR(INDEX($U$4:$U$3183,MATCH(SMALL($V$4:$V$3183,646),$V$4:$V$3183,0)),""))</f>
        <v/>
      </c>
    </row>
    <row r="650">
      <c r="A650">
        <f>IFERROR(INDEX($N$4:$N$3183,MATCH(SMALL($V$4:$V$3183,647),$V$4:$V$3183,0)),"")</f>
        <v/>
      </c>
      <c r="B650">
        <f>IFERROR(INDEX($O$4:$O$3183,MATCH(SMALL($V$4:$V$3183,647),$V$4:$V$3183,0)),"")</f>
        <v/>
      </c>
      <c r="C650">
        <f>IFERROR(INDEX($P$4:$P$3183,MATCH(SMALL($V$4:$V$3183,647),$V$4:$V$3183,0)),"")</f>
        <v/>
      </c>
      <c r="D650" s="29">
        <f>IFERROR(INDEX($Q$4:$Q$3183,MATCH(SMALL($V$4:$V$3183,647),$V$4:$V$3183,0)),"")</f>
        <v/>
      </c>
      <c r="E650" s="29">
        <f>IFERROR(INDEX($R$4:$R$3183,MATCH(SMALL($V$4:$V$3183,647),$V$4:$V$3183,0)),"")</f>
        <v/>
      </c>
      <c r="F650">
        <f>IFERROR(INDEX($S$4:$S$3183,MATCH(SMALL($V$4:$V$3183,647),$V$4:$V$3183,0)),"")</f>
        <v/>
      </c>
      <c r="I650" s="29">
        <f>IF($B650="","",IFERROR(INDEX($U$4:$U$3183,MATCH(SMALL($V$4:$V$3183,647),$V$4:$V$3183,0)),""))</f>
        <v/>
      </c>
      <c r="J650">
        <f>IF($B650="","",IF($D650&gt;$F$2,"À venir",IF($E650&lt;$D$2,"Passé","Dans la période")))</f>
        <v/>
      </c>
      <c r="K650">
        <f>IF(OR($B650="",NOT(ISNUMBER($D650))),"",IF(AND($E650&lt;$D$2,$G650&lt;&gt;"X",$F650&lt;&gt;"Réalisé",$F650&lt;&gt;"Clôturé"),"RETARD",""))</f>
        <v/>
      </c>
      <c r="L650">
        <f>IF(OR($B650="",NOT(ISNUMBER($D650))),"",IF(AND($D650&gt;=$D$2,$D650&lt;=$H$2,$G650&lt;&gt;"X",$F650&lt;&gt;"Réalisé",$F650&lt;&gt;"Clôturé"),"≤ 7 j",""))</f>
        <v/>
      </c>
      <c r="M650" s="29">
        <f>IF($B650="","",IFERROR(INDEX($T$4:$T$3183,MATCH(SMALL($V$4:$V$3183,647),$V$4:$V$3183,0)),""))</f>
        <v/>
      </c>
      <c r="O650">
        <f>IF(INDEX(Suivi!$B:$B,663)="","",INDEX(Suivi!$B:$B,663))</f>
        <v/>
      </c>
      <c r="P650">
        <f>IF($O650="","",IF(INDEX(Suivi!$D:$D,663)="",INDEX(Suivi!$C:$C,663),INDEX(Suivi!$D:$D,663)))</f>
        <v/>
      </c>
      <c r="Q650">
        <f>IF($O650="","",INDEX(Suivi!$E:$E,663))</f>
        <v/>
      </c>
      <c r="R650">
        <f>IF($O650="","",INDEX(Suivi!$F:$F,663))</f>
        <v/>
      </c>
      <c r="S650">
        <f>IF($O650="","",INDEX(Suivi!$G:$G,663))</f>
        <v/>
      </c>
      <c r="T650">
        <f>IF($O650="","",IF(INDEX(Dossiers!$F$4:$F$63,13)="","",INDEX(Dossiers!$F$4:$F$63,13)))</f>
        <v/>
      </c>
      <c r="U650">
        <f>IF($O650="","",IF(INDEX(Dossiers!$G$4:$G$63,13)="","",INDEX(Dossiers!$G$4:$G$63,13)))</f>
        <v/>
      </c>
      <c r="V650">
        <f>IF(OR($O650="",NOT(ISNUMBER($Q650))),"",$Q650*1000000+650)</f>
        <v/>
      </c>
      <c r="W650" s="29">
        <f>IF($B650="","",IFERROR(INDEX($U$4:$U$3183,MATCH(SMALL($V$4:$V$3183,647),$V$4:$V$3183,0)),""))</f>
        <v/>
      </c>
    </row>
    <row r="651">
      <c r="A651">
        <f>IFERROR(INDEX($N$4:$N$3183,MATCH(SMALL($V$4:$V$3183,648),$V$4:$V$3183,0)),"")</f>
        <v/>
      </c>
      <c r="B651">
        <f>IFERROR(INDEX($O$4:$O$3183,MATCH(SMALL($V$4:$V$3183,648),$V$4:$V$3183,0)),"")</f>
        <v/>
      </c>
      <c r="C651">
        <f>IFERROR(INDEX($P$4:$P$3183,MATCH(SMALL($V$4:$V$3183,648),$V$4:$V$3183,0)),"")</f>
        <v/>
      </c>
      <c r="D651" s="29">
        <f>IFERROR(INDEX($Q$4:$Q$3183,MATCH(SMALL($V$4:$V$3183,648),$V$4:$V$3183,0)),"")</f>
        <v/>
      </c>
      <c r="E651" s="29">
        <f>IFERROR(INDEX($R$4:$R$3183,MATCH(SMALL($V$4:$V$3183,648),$V$4:$V$3183,0)),"")</f>
        <v/>
      </c>
      <c r="F651">
        <f>IFERROR(INDEX($S$4:$S$3183,MATCH(SMALL($V$4:$V$3183,648),$V$4:$V$3183,0)),"")</f>
        <v/>
      </c>
      <c r="I651" s="29">
        <f>IF($B651="","",IFERROR(INDEX($U$4:$U$3183,MATCH(SMALL($V$4:$V$3183,648),$V$4:$V$3183,0)),""))</f>
        <v/>
      </c>
      <c r="J651">
        <f>IF($B651="","",IF($D651&gt;$F$2,"À venir",IF($E651&lt;$D$2,"Passé","Dans la période")))</f>
        <v/>
      </c>
      <c r="K651">
        <f>IF(OR($B651="",NOT(ISNUMBER($D651))),"",IF(AND($E651&lt;$D$2,$G651&lt;&gt;"X",$F651&lt;&gt;"Réalisé",$F651&lt;&gt;"Clôturé"),"RETARD",""))</f>
        <v/>
      </c>
      <c r="L651">
        <f>IF(OR($B651="",NOT(ISNUMBER($D651))),"",IF(AND($D651&gt;=$D$2,$D651&lt;=$H$2,$G651&lt;&gt;"X",$F651&lt;&gt;"Réalisé",$F651&lt;&gt;"Clôturé"),"≤ 7 j",""))</f>
        <v/>
      </c>
      <c r="M651" s="29">
        <f>IF($B651="","",IFERROR(INDEX($T$4:$T$3183,MATCH(SMALL($V$4:$V$3183,648),$V$4:$V$3183,0)),""))</f>
        <v/>
      </c>
      <c r="O651">
        <f>IF(INDEX(Suivi!$B:$B,664)="","",INDEX(Suivi!$B:$B,664))</f>
        <v/>
      </c>
      <c r="P651">
        <f>IF($O651="","",IF(INDEX(Suivi!$D:$D,664)="",INDEX(Suivi!$C:$C,664),INDEX(Suivi!$D:$D,664)))</f>
        <v/>
      </c>
      <c r="Q651">
        <f>IF($O651="","",INDEX(Suivi!$E:$E,664))</f>
        <v/>
      </c>
      <c r="R651">
        <f>IF($O651="","",INDEX(Suivi!$F:$F,664))</f>
        <v/>
      </c>
      <c r="S651">
        <f>IF($O651="","",INDEX(Suivi!$G:$G,664))</f>
        <v/>
      </c>
      <c r="T651">
        <f>IF($O651="","",IF(INDEX(Dossiers!$F$4:$F$63,13)="","",INDEX(Dossiers!$F$4:$F$63,13)))</f>
        <v/>
      </c>
      <c r="U651">
        <f>IF($O651="","",IF(INDEX(Dossiers!$G$4:$G$63,13)="","",INDEX(Dossiers!$G$4:$G$63,13)))</f>
        <v/>
      </c>
      <c r="V651">
        <f>IF(OR($O651="",NOT(ISNUMBER($Q651))),"",$Q651*1000000+651)</f>
        <v/>
      </c>
      <c r="W651" s="29">
        <f>IF($B651="","",IFERROR(INDEX($U$4:$U$3183,MATCH(SMALL($V$4:$V$3183,648),$V$4:$V$3183,0)),""))</f>
        <v/>
      </c>
    </row>
    <row r="652">
      <c r="A652">
        <f>IFERROR(INDEX($N$4:$N$3183,MATCH(SMALL($V$4:$V$3183,649),$V$4:$V$3183,0)),"")</f>
        <v/>
      </c>
      <c r="B652">
        <f>IFERROR(INDEX($O$4:$O$3183,MATCH(SMALL($V$4:$V$3183,649),$V$4:$V$3183,0)),"")</f>
        <v/>
      </c>
      <c r="C652">
        <f>IFERROR(INDEX($P$4:$P$3183,MATCH(SMALL($V$4:$V$3183,649),$V$4:$V$3183,0)),"")</f>
        <v/>
      </c>
      <c r="D652" s="29">
        <f>IFERROR(INDEX($Q$4:$Q$3183,MATCH(SMALL($V$4:$V$3183,649),$V$4:$V$3183,0)),"")</f>
        <v/>
      </c>
      <c r="E652" s="29">
        <f>IFERROR(INDEX($R$4:$R$3183,MATCH(SMALL($V$4:$V$3183,649),$V$4:$V$3183,0)),"")</f>
        <v/>
      </c>
      <c r="F652">
        <f>IFERROR(INDEX($S$4:$S$3183,MATCH(SMALL($V$4:$V$3183,649),$V$4:$V$3183,0)),"")</f>
        <v/>
      </c>
      <c r="I652" s="29">
        <f>IF($B652="","",IFERROR(INDEX($U$4:$U$3183,MATCH(SMALL($V$4:$V$3183,649),$V$4:$V$3183,0)),""))</f>
        <v/>
      </c>
      <c r="J652">
        <f>IF($B652="","",IF($D652&gt;$F$2,"À venir",IF($E652&lt;$D$2,"Passé","Dans la période")))</f>
        <v/>
      </c>
      <c r="K652">
        <f>IF(OR($B652="",NOT(ISNUMBER($D652))),"",IF(AND($E652&lt;$D$2,$G652&lt;&gt;"X",$F652&lt;&gt;"Réalisé",$F652&lt;&gt;"Clôturé"),"RETARD",""))</f>
        <v/>
      </c>
      <c r="L652">
        <f>IF(OR($B652="",NOT(ISNUMBER($D652))),"",IF(AND($D652&gt;=$D$2,$D652&lt;=$H$2,$G652&lt;&gt;"X",$F652&lt;&gt;"Réalisé",$F652&lt;&gt;"Clôturé"),"≤ 7 j",""))</f>
        <v/>
      </c>
      <c r="M652" s="29">
        <f>IF($B652="","",IFERROR(INDEX($T$4:$T$3183,MATCH(SMALL($V$4:$V$3183,649),$V$4:$V$3183,0)),""))</f>
        <v/>
      </c>
      <c r="O652">
        <f>IF(INDEX(Suivi!$B:$B,665)="","",INDEX(Suivi!$B:$B,665))</f>
        <v/>
      </c>
      <c r="P652">
        <f>IF($O652="","",IF(INDEX(Suivi!$D:$D,665)="",INDEX(Suivi!$C:$C,665),INDEX(Suivi!$D:$D,665)))</f>
        <v/>
      </c>
      <c r="Q652">
        <f>IF($O652="","",INDEX(Suivi!$E:$E,665))</f>
        <v/>
      </c>
      <c r="R652">
        <f>IF($O652="","",INDEX(Suivi!$F:$F,665))</f>
        <v/>
      </c>
      <c r="S652">
        <f>IF($O652="","",INDEX(Suivi!$G:$G,665))</f>
        <v/>
      </c>
      <c r="T652">
        <f>IF($O652="","",IF(INDEX(Dossiers!$F$4:$F$63,13)="","",INDEX(Dossiers!$F$4:$F$63,13)))</f>
        <v/>
      </c>
      <c r="U652">
        <f>IF($O652="","",IF(INDEX(Dossiers!$G$4:$G$63,13)="","",INDEX(Dossiers!$G$4:$G$63,13)))</f>
        <v/>
      </c>
      <c r="V652">
        <f>IF(OR($O652="",NOT(ISNUMBER($Q652))),"",$Q652*1000000+652)</f>
        <v/>
      </c>
      <c r="W652" s="29">
        <f>IF($B652="","",IFERROR(INDEX($U$4:$U$3183,MATCH(SMALL($V$4:$V$3183,649),$V$4:$V$3183,0)),""))</f>
        <v/>
      </c>
    </row>
    <row r="653">
      <c r="A653">
        <f>IFERROR(INDEX($N$4:$N$3183,MATCH(SMALL($V$4:$V$3183,650),$V$4:$V$3183,0)),"")</f>
        <v/>
      </c>
      <c r="B653">
        <f>IFERROR(INDEX($O$4:$O$3183,MATCH(SMALL($V$4:$V$3183,650),$V$4:$V$3183,0)),"")</f>
        <v/>
      </c>
      <c r="C653">
        <f>IFERROR(INDEX($P$4:$P$3183,MATCH(SMALL($V$4:$V$3183,650),$V$4:$V$3183,0)),"")</f>
        <v/>
      </c>
      <c r="D653" s="29">
        <f>IFERROR(INDEX($Q$4:$Q$3183,MATCH(SMALL($V$4:$V$3183,650),$V$4:$V$3183,0)),"")</f>
        <v/>
      </c>
      <c r="E653" s="29">
        <f>IFERROR(INDEX($R$4:$R$3183,MATCH(SMALL($V$4:$V$3183,650),$V$4:$V$3183,0)),"")</f>
        <v/>
      </c>
      <c r="F653">
        <f>IFERROR(INDEX($S$4:$S$3183,MATCH(SMALL($V$4:$V$3183,650),$V$4:$V$3183,0)),"")</f>
        <v/>
      </c>
      <c r="I653" s="29">
        <f>IF($B653="","",IFERROR(INDEX($U$4:$U$3183,MATCH(SMALL($V$4:$V$3183,650),$V$4:$V$3183,0)),""))</f>
        <v/>
      </c>
      <c r="J653">
        <f>IF($B653="","",IF($D653&gt;$F$2,"À venir",IF($E653&lt;$D$2,"Passé","Dans la période")))</f>
        <v/>
      </c>
      <c r="K653">
        <f>IF(OR($B653="",NOT(ISNUMBER($D653))),"",IF(AND($E653&lt;$D$2,$G653&lt;&gt;"X",$F653&lt;&gt;"Réalisé",$F653&lt;&gt;"Clôturé"),"RETARD",""))</f>
        <v/>
      </c>
      <c r="L653">
        <f>IF(OR($B653="",NOT(ISNUMBER($D653))),"",IF(AND($D653&gt;=$D$2,$D653&lt;=$H$2,$G653&lt;&gt;"X",$F653&lt;&gt;"Réalisé",$F653&lt;&gt;"Clôturé"),"≤ 7 j",""))</f>
        <v/>
      </c>
      <c r="M653" s="29">
        <f>IF($B653="","",IFERROR(INDEX($T$4:$T$3183,MATCH(SMALL($V$4:$V$3183,650),$V$4:$V$3183,0)),""))</f>
        <v/>
      </c>
      <c r="O653">
        <f>IF(INDEX(Suivi!$B:$B,666)="","",INDEX(Suivi!$B:$B,666))</f>
        <v/>
      </c>
      <c r="P653">
        <f>IF($O653="","",IF(INDEX(Suivi!$D:$D,666)="",INDEX(Suivi!$C:$C,666),INDEX(Suivi!$D:$D,666)))</f>
        <v/>
      </c>
      <c r="Q653">
        <f>IF($O653="","",INDEX(Suivi!$E:$E,666))</f>
        <v/>
      </c>
      <c r="R653">
        <f>IF($O653="","",INDEX(Suivi!$F:$F,666))</f>
        <v/>
      </c>
      <c r="S653">
        <f>IF($O653="","",INDEX(Suivi!$G:$G,666))</f>
        <v/>
      </c>
      <c r="T653">
        <f>IF($O653="","",IF(INDEX(Dossiers!$F$4:$F$63,13)="","",INDEX(Dossiers!$F$4:$F$63,13)))</f>
        <v/>
      </c>
      <c r="U653">
        <f>IF($O653="","",IF(INDEX(Dossiers!$G$4:$G$63,13)="","",INDEX(Dossiers!$G$4:$G$63,13)))</f>
        <v/>
      </c>
      <c r="V653">
        <f>IF(OR($O653="",NOT(ISNUMBER($Q653))),"",$Q653*1000000+653)</f>
        <v/>
      </c>
      <c r="W653" s="29">
        <f>IF($B653="","",IFERROR(INDEX($U$4:$U$3183,MATCH(SMALL($V$4:$V$3183,650),$V$4:$V$3183,0)),""))</f>
        <v/>
      </c>
    </row>
    <row r="654">
      <c r="A654">
        <f>IFERROR(INDEX($N$4:$N$3183,MATCH(SMALL($V$4:$V$3183,651),$V$4:$V$3183,0)),"")</f>
        <v/>
      </c>
      <c r="B654">
        <f>IFERROR(INDEX($O$4:$O$3183,MATCH(SMALL($V$4:$V$3183,651),$V$4:$V$3183,0)),"")</f>
        <v/>
      </c>
      <c r="C654">
        <f>IFERROR(INDEX($P$4:$P$3183,MATCH(SMALL($V$4:$V$3183,651),$V$4:$V$3183,0)),"")</f>
        <v/>
      </c>
      <c r="D654" s="29">
        <f>IFERROR(INDEX($Q$4:$Q$3183,MATCH(SMALL($V$4:$V$3183,651),$V$4:$V$3183,0)),"")</f>
        <v/>
      </c>
      <c r="E654" s="29">
        <f>IFERROR(INDEX($R$4:$R$3183,MATCH(SMALL($V$4:$V$3183,651),$V$4:$V$3183,0)),"")</f>
        <v/>
      </c>
      <c r="F654">
        <f>IFERROR(INDEX($S$4:$S$3183,MATCH(SMALL($V$4:$V$3183,651),$V$4:$V$3183,0)),"")</f>
        <v/>
      </c>
      <c r="I654" s="29">
        <f>IF($B654="","",IFERROR(INDEX($U$4:$U$3183,MATCH(SMALL($V$4:$V$3183,651),$V$4:$V$3183,0)),""))</f>
        <v/>
      </c>
      <c r="J654">
        <f>IF($B654="","",IF($D654&gt;$F$2,"À venir",IF($E654&lt;$D$2,"Passé","Dans la période")))</f>
        <v/>
      </c>
      <c r="K654">
        <f>IF(OR($B654="",NOT(ISNUMBER($D654))),"",IF(AND($E654&lt;$D$2,$G654&lt;&gt;"X",$F654&lt;&gt;"Réalisé",$F654&lt;&gt;"Clôturé"),"RETARD",""))</f>
        <v/>
      </c>
      <c r="L654">
        <f>IF(OR($B654="",NOT(ISNUMBER($D654))),"",IF(AND($D654&gt;=$D$2,$D654&lt;=$H$2,$G654&lt;&gt;"X",$F654&lt;&gt;"Réalisé",$F654&lt;&gt;"Clôturé"),"≤ 7 j",""))</f>
        <v/>
      </c>
      <c r="M654" s="29">
        <f>IF($B654="","",IFERROR(INDEX($T$4:$T$3183,MATCH(SMALL($V$4:$V$3183,651),$V$4:$V$3183,0)),""))</f>
        <v/>
      </c>
      <c r="O654">
        <f>IF(INDEX(Suivi!$B:$B,667)="","",INDEX(Suivi!$B:$B,667))</f>
        <v/>
      </c>
      <c r="P654">
        <f>IF($O654="","",IF(INDEX(Suivi!$D:$D,667)="",INDEX(Suivi!$C:$C,667),INDEX(Suivi!$D:$D,667)))</f>
        <v/>
      </c>
      <c r="Q654">
        <f>IF($O654="","",INDEX(Suivi!$E:$E,667))</f>
        <v/>
      </c>
      <c r="R654">
        <f>IF($O654="","",INDEX(Suivi!$F:$F,667))</f>
        <v/>
      </c>
      <c r="S654">
        <f>IF($O654="","",INDEX(Suivi!$G:$G,667))</f>
        <v/>
      </c>
      <c r="T654">
        <f>IF($O654="","",IF(INDEX(Dossiers!$F$4:$F$63,13)="","",INDEX(Dossiers!$F$4:$F$63,13)))</f>
        <v/>
      </c>
      <c r="U654">
        <f>IF($O654="","",IF(INDEX(Dossiers!$G$4:$G$63,13)="","",INDEX(Dossiers!$G$4:$G$63,13)))</f>
        <v/>
      </c>
      <c r="V654">
        <f>IF(OR($O654="",NOT(ISNUMBER($Q654))),"",$Q654*1000000+654)</f>
        <v/>
      </c>
      <c r="W654" s="29">
        <f>IF($B654="","",IFERROR(INDEX($U$4:$U$3183,MATCH(SMALL($V$4:$V$3183,651),$V$4:$V$3183,0)),""))</f>
        <v/>
      </c>
    </row>
    <row r="655">
      <c r="A655">
        <f>IFERROR(INDEX($N$4:$N$3183,MATCH(SMALL($V$4:$V$3183,652),$V$4:$V$3183,0)),"")</f>
        <v/>
      </c>
      <c r="B655">
        <f>IFERROR(INDEX($O$4:$O$3183,MATCH(SMALL($V$4:$V$3183,652),$V$4:$V$3183,0)),"")</f>
        <v/>
      </c>
      <c r="C655">
        <f>IFERROR(INDEX($P$4:$P$3183,MATCH(SMALL($V$4:$V$3183,652),$V$4:$V$3183,0)),"")</f>
        <v/>
      </c>
      <c r="D655" s="29">
        <f>IFERROR(INDEX($Q$4:$Q$3183,MATCH(SMALL($V$4:$V$3183,652),$V$4:$V$3183,0)),"")</f>
        <v/>
      </c>
      <c r="E655" s="29">
        <f>IFERROR(INDEX($R$4:$R$3183,MATCH(SMALL($V$4:$V$3183,652),$V$4:$V$3183,0)),"")</f>
        <v/>
      </c>
      <c r="F655">
        <f>IFERROR(INDEX($S$4:$S$3183,MATCH(SMALL($V$4:$V$3183,652),$V$4:$V$3183,0)),"")</f>
        <v/>
      </c>
      <c r="I655" s="29">
        <f>IF($B655="","",IFERROR(INDEX($U$4:$U$3183,MATCH(SMALL($V$4:$V$3183,652),$V$4:$V$3183,0)),""))</f>
        <v/>
      </c>
      <c r="J655">
        <f>IF($B655="","",IF($D655&gt;$F$2,"À venir",IF($E655&lt;$D$2,"Passé","Dans la période")))</f>
        <v/>
      </c>
      <c r="K655">
        <f>IF(OR($B655="",NOT(ISNUMBER($D655))),"",IF(AND($E655&lt;$D$2,$G655&lt;&gt;"X",$F655&lt;&gt;"Réalisé",$F655&lt;&gt;"Clôturé"),"RETARD",""))</f>
        <v/>
      </c>
      <c r="L655">
        <f>IF(OR($B655="",NOT(ISNUMBER($D655))),"",IF(AND($D655&gt;=$D$2,$D655&lt;=$H$2,$G655&lt;&gt;"X",$F655&lt;&gt;"Réalisé",$F655&lt;&gt;"Clôturé"),"≤ 7 j",""))</f>
        <v/>
      </c>
      <c r="M655" s="29">
        <f>IF($B655="","",IFERROR(INDEX($T$4:$T$3183,MATCH(SMALL($V$4:$V$3183,652),$V$4:$V$3183,0)),""))</f>
        <v/>
      </c>
      <c r="O655">
        <f>IF(INDEX(Suivi!$B:$B,668)="","",INDEX(Suivi!$B:$B,668))</f>
        <v/>
      </c>
      <c r="P655">
        <f>IF($O655="","",IF(INDEX(Suivi!$D:$D,668)="",INDEX(Suivi!$C:$C,668),INDEX(Suivi!$D:$D,668)))</f>
        <v/>
      </c>
      <c r="Q655">
        <f>IF($O655="","",INDEX(Suivi!$E:$E,668))</f>
        <v/>
      </c>
      <c r="R655">
        <f>IF($O655="","",INDEX(Suivi!$F:$F,668))</f>
        <v/>
      </c>
      <c r="S655">
        <f>IF($O655="","",INDEX(Suivi!$G:$G,668))</f>
        <v/>
      </c>
      <c r="T655">
        <f>IF($O655="","",IF(INDEX(Dossiers!$F$4:$F$63,13)="","",INDEX(Dossiers!$F$4:$F$63,13)))</f>
        <v/>
      </c>
      <c r="U655">
        <f>IF($O655="","",IF(INDEX(Dossiers!$G$4:$G$63,13)="","",INDEX(Dossiers!$G$4:$G$63,13)))</f>
        <v/>
      </c>
      <c r="V655">
        <f>IF(OR($O655="",NOT(ISNUMBER($Q655))),"",$Q655*1000000+655)</f>
        <v/>
      </c>
      <c r="W655" s="29">
        <f>IF($B655="","",IFERROR(INDEX($U$4:$U$3183,MATCH(SMALL($V$4:$V$3183,652),$V$4:$V$3183,0)),""))</f>
        <v/>
      </c>
    </row>
    <row r="656">
      <c r="A656">
        <f>IFERROR(INDEX($N$4:$N$3183,MATCH(SMALL($V$4:$V$3183,653),$V$4:$V$3183,0)),"")</f>
        <v/>
      </c>
      <c r="B656">
        <f>IFERROR(INDEX($O$4:$O$3183,MATCH(SMALL($V$4:$V$3183,653),$V$4:$V$3183,0)),"")</f>
        <v/>
      </c>
      <c r="C656">
        <f>IFERROR(INDEX($P$4:$P$3183,MATCH(SMALL($V$4:$V$3183,653),$V$4:$V$3183,0)),"")</f>
        <v/>
      </c>
      <c r="D656" s="29">
        <f>IFERROR(INDEX($Q$4:$Q$3183,MATCH(SMALL($V$4:$V$3183,653),$V$4:$V$3183,0)),"")</f>
        <v/>
      </c>
      <c r="E656" s="29">
        <f>IFERROR(INDEX($R$4:$R$3183,MATCH(SMALL($V$4:$V$3183,653),$V$4:$V$3183,0)),"")</f>
        <v/>
      </c>
      <c r="F656">
        <f>IFERROR(INDEX($S$4:$S$3183,MATCH(SMALL($V$4:$V$3183,653),$V$4:$V$3183,0)),"")</f>
        <v/>
      </c>
      <c r="I656" s="29">
        <f>IF($B656="","",IFERROR(INDEX($U$4:$U$3183,MATCH(SMALL($V$4:$V$3183,653),$V$4:$V$3183,0)),""))</f>
        <v/>
      </c>
      <c r="J656">
        <f>IF($B656="","",IF($D656&gt;$F$2,"À venir",IF($E656&lt;$D$2,"Passé","Dans la période")))</f>
        <v/>
      </c>
      <c r="K656">
        <f>IF(OR($B656="",NOT(ISNUMBER($D656))),"",IF(AND($E656&lt;$D$2,$G656&lt;&gt;"X",$F656&lt;&gt;"Réalisé",$F656&lt;&gt;"Clôturé"),"RETARD",""))</f>
        <v/>
      </c>
      <c r="L656">
        <f>IF(OR($B656="",NOT(ISNUMBER($D656))),"",IF(AND($D656&gt;=$D$2,$D656&lt;=$H$2,$G656&lt;&gt;"X",$F656&lt;&gt;"Réalisé",$F656&lt;&gt;"Clôturé"),"≤ 7 j",""))</f>
        <v/>
      </c>
      <c r="M656" s="29">
        <f>IF($B656="","",IFERROR(INDEX($T$4:$T$3183,MATCH(SMALL($V$4:$V$3183,653),$V$4:$V$3183,0)),""))</f>
        <v/>
      </c>
      <c r="O656">
        <f>IF(INDEX(Suivi!$B:$B,669)="","",INDEX(Suivi!$B:$B,669))</f>
        <v/>
      </c>
      <c r="P656">
        <f>IF($O656="","",IF(INDEX(Suivi!$D:$D,669)="",INDEX(Suivi!$C:$C,669),INDEX(Suivi!$D:$D,669)))</f>
        <v/>
      </c>
      <c r="Q656">
        <f>IF($O656="","",INDEX(Suivi!$E:$E,669))</f>
        <v/>
      </c>
      <c r="R656">
        <f>IF($O656="","",INDEX(Suivi!$F:$F,669))</f>
        <v/>
      </c>
      <c r="S656">
        <f>IF($O656="","",INDEX(Suivi!$G:$G,669))</f>
        <v/>
      </c>
      <c r="T656">
        <f>IF($O656="","",IF(INDEX(Dossiers!$F$4:$F$63,13)="","",INDEX(Dossiers!$F$4:$F$63,13)))</f>
        <v/>
      </c>
      <c r="U656">
        <f>IF($O656="","",IF(INDEX(Dossiers!$G$4:$G$63,13)="","",INDEX(Dossiers!$G$4:$G$63,13)))</f>
        <v/>
      </c>
      <c r="V656">
        <f>IF(OR($O656="",NOT(ISNUMBER($Q656))),"",$Q656*1000000+656)</f>
        <v/>
      </c>
      <c r="W656" s="29">
        <f>IF($B656="","",IFERROR(INDEX($U$4:$U$3183,MATCH(SMALL($V$4:$V$3183,653),$V$4:$V$3183,0)),""))</f>
        <v/>
      </c>
    </row>
    <row r="657">
      <c r="A657">
        <f>IFERROR(INDEX($N$4:$N$3183,MATCH(SMALL($V$4:$V$3183,654),$V$4:$V$3183,0)),"")</f>
        <v/>
      </c>
      <c r="B657">
        <f>IFERROR(INDEX($O$4:$O$3183,MATCH(SMALL($V$4:$V$3183,654),$V$4:$V$3183,0)),"")</f>
        <v/>
      </c>
      <c r="C657">
        <f>IFERROR(INDEX($P$4:$P$3183,MATCH(SMALL($V$4:$V$3183,654),$V$4:$V$3183,0)),"")</f>
        <v/>
      </c>
      <c r="D657" s="29">
        <f>IFERROR(INDEX($Q$4:$Q$3183,MATCH(SMALL($V$4:$V$3183,654),$V$4:$V$3183,0)),"")</f>
        <v/>
      </c>
      <c r="E657" s="29">
        <f>IFERROR(INDEX($R$4:$R$3183,MATCH(SMALL($V$4:$V$3183,654),$V$4:$V$3183,0)),"")</f>
        <v/>
      </c>
      <c r="F657">
        <f>IFERROR(INDEX($S$4:$S$3183,MATCH(SMALL($V$4:$V$3183,654),$V$4:$V$3183,0)),"")</f>
        <v/>
      </c>
      <c r="I657" s="29">
        <f>IF($B657="","",IFERROR(INDEX($U$4:$U$3183,MATCH(SMALL($V$4:$V$3183,654),$V$4:$V$3183,0)),""))</f>
        <v/>
      </c>
      <c r="J657">
        <f>IF($B657="","",IF($D657&gt;$F$2,"À venir",IF($E657&lt;$D$2,"Passé","Dans la période")))</f>
        <v/>
      </c>
      <c r="K657">
        <f>IF(OR($B657="",NOT(ISNUMBER($D657))),"",IF(AND($E657&lt;$D$2,$G657&lt;&gt;"X",$F657&lt;&gt;"Réalisé",$F657&lt;&gt;"Clôturé"),"RETARD",""))</f>
        <v/>
      </c>
      <c r="L657">
        <f>IF(OR($B657="",NOT(ISNUMBER($D657))),"",IF(AND($D657&gt;=$D$2,$D657&lt;=$H$2,$G657&lt;&gt;"X",$F657&lt;&gt;"Réalisé",$F657&lt;&gt;"Clôturé"),"≤ 7 j",""))</f>
        <v/>
      </c>
      <c r="M657" s="29">
        <f>IF($B657="","",IFERROR(INDEX($T$4:$T$3183,MATCH(SMALL($V$4:$V$3183,654),$V$4:$V$3183,0)),""))</f>
        <v/>
      </c>
      <c r="O657">
        <f>IF(INDEX(Suivi!$B:$B,670)="","",INDEX(Suivi!$B:$B,670))</f>
        <v/>
      </c>
      <c r="P657">
        <f>IF($O657="","",IF(INDEX(Suivi!$D:$D,670)="",INDEX(Suivi!$C:$C,670),INDEX(Suivi!$D:$D,670)))</f>
        <v/>
      </c>
      <c r="Q657">
        <f>IF($O657="","",INDEX(Suivi!$E:$E,670))</f>
        <v/>
      </c>
      <c r="R657">
        <f>IF($O657="","",INDEX(Suivi!$F:$F,670))</f>
        <v/>
      </c>
      <c r="S657">
        <f>IF($O657="","",INDEX(Suivi!$G:$G,670))</f>
        <v/>
      </c>
      <c r="T657">
        <f>IF($O657="","",IF(INDEX(Dossiers!$F$4:$F$63,13)="","",INDEX(Dossiers!$F$4:$F$63,13)))</f>
        <v/>
      </c>
      <c r="U657">
        <f>IF($O657="","",IF(INDEX(Dossiers!$G$4:$G$63,13)="","",INDEX(Dossiers!$G$4:$G$63,13)))</f>
        <v/>
      </c>
      <c r="V657">
        <f>IF(OR($O657="",NOT(ISNUMBER($Q657))),"",$Q657*1000000+657)</f>
        <v/>
      </c>
      <c r="W657" s="29">
        <f>IF($B657="","",IFERROR(INDEX($U$4:$U$3183,MATCH(SMALL($V$4:$V$3183,654),$V$4:$V$3183,0)),""))</f>
        <v/>
      </c>
    </row>
    <row r="658">
      <c r="A658">
        <f>IFERROR(INDEX($N$4:$N$3183,MATCH(SMALL($V$4:$V$3183,655),$V$4:$V$3183,0)),"")</f>
        <v/>
      </c>
      <c r="B658">
        <f>IFERROR(INDEX($O$4:$O$3183,MATCH(SMALL($V$4:$V$3183,655),$V$4:$V$3183,0)),"")</f>
        <v/>
      </c>
      <c r="C658">
        <f>IFERROR(INDEX($P$4:$P$3183,MATCH(SMALL($V$4:$V$3183,655),$V$4:$V$3183,0)),"")</f>
        <v/>
      </c>
      <c r="D658" s="29">
        <f>IFERROR(INDEX($Q$4:$Q$3183,MATCH(SMALL($V$4:$V$3183,655),$V$4:$V$3183,0)),"")</f>
        <v/>
      </c>
      <c r="E658" s="29">
        <f>IFERROR(INDEX($R$4:$R$3183,MATCH(SMALL($V$4:$V$3183,655),$V$4:$V$3183,0)),"")</f>
        <v/>
      </c>
      <c r="F658">
        <f>IFERROR(INDEX($S$4:$S$3183,MATCH(SMALL($V$4:$V$3183,655),$V$4:$V$3183,0)),"")</f>
        <v/>
      </c>
      <c r="I658" s="29">
        <f>IF($B658="","",IFERROR(INDEX($U$4:$U$3183,MATCH(SMALL($V$4:$V$3183,655),$V$4:$V$3183,0)),""))</f>
        <v/>
      </c>
      <c r="J658">
        <f>IF($B658="","",IF($D658&gt;$F$2,"À venir",IF($E658&lt;$D$2,"Passé","Dans la période")))</f>
        <v/>
      </c>
      <c r="K658">
        <f>IF(OR($B658="",NOT(ISNUMBER($D658))),"",IF(AND($E658&lt;$D$2,$G658&lt;&gt;"X",$F658&lt;&gt;"Réalisé",$F658&lt;&gt;"Clôturé"),"RETARD",""))</f>
        <v/>
      </c>
      <c r="L658">
        <f>IF(OR($B658="",NOT(ISNUMBER($D658))),"",IF(AND($D658&gt;=$D$2,$D658&lt;=$H$2,$G658&lt;&gt;"X",$F658&lt;&gt;"Réalisé",$F658&lt;&gt;"Clôturé"),"≤ 7 j",""))</f>
        <v/>
      </c>
      <c r="M658" s="29">
        <f>IF($B658="","",IFERROR(INDEX($T$4:$T$3183,MATCH(SMALL($V$4:$V$3183,655),$V$4:$V$3183,0)),""))</f>
        <v/>
      </c>
      <c r="O658">
        <f>IF(INDEX(Suivi!$B:$B,671)="","",INDEX(Suivi!$B:$B,671))</f>
        <v/>
      </c>
      <c r="P658">
        <f>IF($O658="","",IF(INDEX(Suivi!$D:$D,671)="",INDEX(Suivi!$C:$C,671),INDEX(Suivi!$D:$D,671)))</f>
        <v/>
      </c>
      <c r="Q658">
        <f>IF($O658="","",INDEX(Suivi!$E:$E,671))</f>
        <v/>
      </c>
      <c r="R658">
        <f>IF($O658="","",INDEX(Suivi!$F:$F,671))</f>
        <v/>
      </c>
      <c r="S658">
        <f>IF($O658="","",INDEX(Suivi!$G:$G,671))</f>
        <v/>
      </c>
      <c r="T658">
        <f>IF($O658="","",IF(INDEX(Dossiers!$F$4:$F$63,13)="","",INDEX(Dossiers!$F$4:$F$63,13)))</f>
        <v/>
      </c>
      <c r="U658">
        <f>IF($O658="","",IF(INDEX(Dossiers!$G$4:$G$63,13)="","",INDEX(Dossiers!$G$4:$G$63,13)))</f>
        <v/>
      </c>
      <c r="V658">
        <f>IF(OR($O658="",NOT(ISNUMBER($Q658))),"",$Q658*1000000+658)</f>
        <v/>
      </c>
      <c r="W658" s="29">
        <f>IF($B658="","",IFERROR(INDEX($U$4:$U$3183,MATCH(SMALL($V$4:$V$3183,655),$V$4:$V$3183,0)),""))</f>
        <v/>
      </c>
    </row>
    <row r="659">
      <c r="A659">
        <f>IFERROR(INDEX($N$4:$N$3183,MATCH(SMALL($V$4:$V$3183,656),$V$4:$V$3183,0)),"")</f>
        <v/>
      </c>
      <c r="B659">
        <f>IFERROR(INDEX($O$4:$O$3183,MATCH(SMALL($V$4:$V$3183,656),$V$4:$V$3183,0)),"")</f>
        <v/>
      </c>
      <c r="C659">
        <f>IFERROR(INDEX($P$4:$P$3183,MATCH(SMALL($V$4:$V$3183,656),$V$4:$V$3183,0)),"")</f>
        <v/>
      </c>
      <c r="D659" s="29">
        <f>IFERROR(INDEX($Q$4:$Q$3183,MATCH(SMALL($V$4:$V$3183,656),$V$4:$V$3183,0)),"")</f>
        <v/>
      </c>
      <c r="E659" s="29">
        <f>IFERROR(INDEX($R$4:$R$3183,MATCH(SMALL($V$4:$V$3183,656),$V$4:$V$3183,0)),"")</f>
        <v/>
      </c>
      <c r="F659">
        <f>IFERROR(INDEX($S$4:$S$3183,MATCH(SMALL($V$4:$V$3183,656),$V$4:$V$3183,0)),"")</f>
        <v/>
      </c>
      <c r="I659" s="29">
        <f>IF($B659="","",IFERROR(INDEX($U$4:$U$3183,MATCH(SMALL($V$4:$V$3183,656),$V$4:$V$3183,0)),""))</f>
        <v/>
      </c>
      <c r="J659">
        <f>IF($B659="","",IF($D659&gt;$F$2,"À venir",IF($E659&lt;$D$2,"Passé","Dans la période")))</f>
        <v/>
      </c>
      <c r="K659">
        <f>IF(OR($B659="",NOT(ISNUMBER($D659))),"",IF(AND($E659&lt;$D$2,$G659&lt;&gt;"X",$F659&lt;&gt;"Réalisé",$F659&lt;&gt;"Clôturé"),"RETARD",""))</f>
        <v/>
      </c>
      <c r="L659">
        <f>IF(OR($B659="",NOT(ISNUMBER($D659))),"",IF(AND($D659&gt;=$D$2,$D659&lt;=$H$2,$G659&lt;&gt;"X",$F659&lt;&gt;"Réalisé",$F659&lt;&gt;"Clôturé"),"≤ 7 j",""))</f>
        <v/>
      </c>
      <c r="M659" s="29">
        <f>IF($B659="","",IFERROR(INDEX($T$4:$T$3183,MATCH(SMALL($V$4:$V$3183,656),$V$4:$V$3183,0)),""))</f>
        <v/>
      </c>
      <c r="O659">
        <f>IF(INDEX(Suivi!$B:$B,672)="","",INDEX(Suivi!$B:$B,672))</f>
        <v/>
      </c>
      <c r="P659">
        <f>IF($O659="","",IF(INDEX(Suivi!$D:$D,672)="",INDEX(Suivi!$C:$C,672),INDEX(Suivi!$D:$D,672)))</f>
        <v/>
      </c>
      <c r="Q659">
        <f>IF($O659="","",INDEX(Suivi!$E:$E,672))</f>
        <v/>
      </c>
      <c r="R659">
        <f>IF($O659="","",INDEX(Suivi!$F:$F,672))</f>
        <v/>
      </c>
      <c r="S659">
        <f>IF($O659="","",INDEX(Suivi!$G:$G,672))</f>
        <v/>
      </c>
      <c r="T659">
        <f>IF($O659="","",IF(INDEX(Dossiers!$F$4:$F$63,13)="","",INDEX(Dossiers!$F$4:$F$63,13)))</f>
        <v/>
      </c>
      <c r="U659">
        <f>IF($O659="","",IF(INDEX(Dossiers!$G$4:$G$63,13)="","",INDEX(Dossiers!$G$4:$G$63,13)))</f>
        <v/>
      </c>
      <c r="V659">
        <f>IF(OR($O659="",NOT(ISNUMBER($Q659))),"",$Q659*1000000+659)</f>
        <v/>
      </c>
      <c r="W659" s="29">
        <f>IF($B659="","",IFERROR(INDEX($U$4:$U$3183,MATCH(SMALL($V$4:$V$3183,656),$V$4:$V$3183,0)),""))</f>
        <v/>
      </c>
    </row>
    <row r="660">
      <c r="A660">
        <f>IFERROR(INDEX($N$4:$N$3183,MATCH(SMALL($V$4:$V$3183,657),$V$4:$V$3183,0)),"")</f>
        <v/>
      </c>
      <c r="B660">
        <f>IFERROR(INDEX($O$4:$O$3183,MATCH(SMALL($V$4:$V$3183,657),$V$4:$V$3183,0)),"")</f>
        <v/>
      </c>
      <c r="C660">
        <f>IFERROR(INDEX($P$4:$P$3183,MATCH(SMALL($V$4:$V$3183,657),$V$4:$V$3183,0)),"")</f>
        <v/>
      </c>
      <c r="D660" s="29">
        <f>IFERROR(INDEX($Q$4:$Q$3183,MATCH(SMALL($V$4:$V$3183,657),$V$4:$V$3183,0)),"")</f>
        <v/>
      </c>
      <c r="E660" s="29">
        <f>IFERROR(INDEX($R$4:$R$3183,MATCH(SMALL($V$4:$V$3183,657),$V$4:$V$3183,0)),"")</f>
        <v/>
      </c>
      <c r="F660">
        <f>IFERROR(INDEX($S$4:$S$3183,MATCH(SMALL($V$4:$V$3183,657),$V$4:$V$3183,0)),"")</f>
        <v/>
      </c>
      <c r="I660" s="29">
        <f>IF($B660="","",IFERROR(INDEX($U$4:$U$3183,MATCH(SMALL($V$4:$V$3183,657),$V$4:$V$3183,0)),""))</f>
        <v/>
      </c>
      <c r="J660">
        <f>IF($B660="","",IF($D660&gt;$F$2,"À venir",IF($E660&lt;$D$2,"Passé","Dans la période")))</f>
        <v/>
      </c>
      <c r="K660">
        <f>IF(OR($B660="",NOT(ISNUMBER($D660))),"",IF(AND($E660&lt;$D$2,$G660&lt;&gt;"X",$F660&lt;&gt;"Réalisé",$F660&lt;&gt;"Clôturé"),"RETARD",""))</f>
        <v/>
      </c>
      <c r="L660">
        <f>IF(OR($B660="",NOT(ISNUMBER($D660))),"",IF(AND($D660&gt;=$D$2,$D660&lt;=$H$2,$G660&lt;&gt;"X",$F660&lt;&gt;"Réalisé",$F660&lt;&gt;"Clôturé"),"≤ 7 j",""))</f>
        <v/>
      </c>
      <c r="M660" s="29">
        <f>IF($B660="","",IFERROR(INDEX($T$4:$T$3183,MATCH(SMALL($V$4:$V$3183,657),$V$4:$V$3183,0)),""))</f>
        <v/>
      </c>
      <c r="O660">
        <f>IF(INDEX(Suivi!$B:$B,673)="","",INDEX(Suivi!$B:$B,673))</f>
        <v/>
      </c>
      <c r="P660">
        <f>IF($O660="","",IF(INDEX(Suivi!$D:$D,673)="",INDEX(Suivi!$C:$C,673),INDEX(Suivi!$D:$D,673)))</f>
        <v/>
      </c>
      <c r="Q660">
        <f>IF($O660="","",INDEX(Suivi!$E:$E,673))</f>
        <v/>
      </c>
      <c r="R660">
        <f>IF($O660="","",INDEX(Suivi!$F:$F,673))</f>
        <v/>
      </c>
      <c r="S660">
        <f>IF($O660="","",INDEX(Suivi!$G:$G,673))</f>
        <v/>
      </c>
      <c r="T660">
        <f>IF($O660="","",IF(INDEX(Dossiers!$F$4:$F$63,13)="","",INDEX(Dossiers!$F$4:$F$63,13)))</f>
        <v/>
      </c>
      <c r="U660">
        <f>IF($O660="","",IF(INDEX(Dossiers!$G$4:$G$63,13)="","",INDEX(Dossiers!$G$4:$G$63,13)))</f>
        <v/>
      </c>
      <c r="V660">
        <f>IF(OR($O660="",NOT(ISNUMBER($Q660))),"",$Q660*1000000+660)</f>
        <v/>
      </c>
      <c r="W660" s="29">
        <f>IF($B660="","",IFERROR(INDEX($U$4:$U$3183,MATCH(SMALL($V$4:$V$3183,657),$V$4:$V$3183,0)),""))</f>
        <v/>
      </c>
    </row>
    <row r="661">
      <c r="A661">
        <f>IFERROR(INDEX($N$4:$N$3183,MATCH(SMALL($V$4:$V$3183,658),$V$4:$V$3183,0)),"")</f>
        <v/>
      </c>
      <c r="B661">
        <f>IFERROR(INDEX($O$4:$O$3183,MATCH(SMALL($V$4:$V$3183,658),$V$4:$V$3183,0)),"")</f>
        <v/>
      </c>
      <c r="C661">
        <f>IFERROR(INDEX($P$4:$P$3183,MATCH(SMALL($V$4:$V$3183,658),$V$4:$V$3183,0)),"")</f>
        <v/>
      </c>
      <c r="D661" s="29">
        <f>IFERROR(INDEX($Q$4:$Q$3183,MATCH(SMALL($V$4:$V$3183,658),$V$4:$V$3183,0)),"")</f>
        <v/>
      </c>
      <c r="E661" s="29">
        <f>IFERROR(INDEX($R$4:$R$3183,MATCH(SMALL($V$4:$V$3183,658),$V$4:$V$3183,0)),"")</f>
        <v/>
      </c>
      <c r="F661">
        <f>IFERROR(INDEX($S$4:$S$3183,MATCH(SMALL($V$4:$V$3183,658),$V$4:$V$3183,0)),"")</f>
        <v/>
      </c>
      <c r="I661" s="29">
        <f>IF($B661="","",IFERROR(INDEX($U$4:$U$3183,MATCH(SMALL($V$4:$V$3183,658),$V$4:$V$3183,0)),""))</f>
        <v/>
      </c>
      <c r="J661">
        <f>IF($B661="","",IF($D661&gt;$F$2,"À venir",IF($E661&lt;$D$2,"Passé","Dans la période")))</f>
        <v/>
      </c>
      <c r="K661">
        <f>IF(OR($B661="",NOT(ISNUMBER($D661))),"",IF(AND($E661&lt;$D$2,$G661&lt;&gt;"X",$F661&lt;&gt;"Réalisé",$F661&lt;&gt;"Clôturé"),"RETARD",""))</f>
        <v/>
      </c>
      <c r="L661">
        <f>IF(OR($B661="",NOT(ISNUMBER($D661))),"",IF(AND($D661&gt;=$D$2,$D661&lt;=$H$2,$G661&lt;&gt;"X",$F661&lt;&gt;"Réalisé",$F661&lt;&gt;"Clôturé"),"≤ 7 j",""))</f>
        <v/>
      </c>
      <c r="M661" s="29">
        <f>IF($B661="","",IFERROR(INDEX($T$4:$T$3183,MATCH(SMALL($V$4:$V$3183,658),$V$4:$V$3183,0)),""))</f>
        <v/>
      </c>
      <c r="O661">
        <f>IF(INDEX(Suivi!$B:$B,674)="","",INDEX(Suivi!$B:$B,674))</f>
        <v/>
      </c>
      <c r="P661">
        <f>IF($O661="","",IF(INDEX(Suivi!$D:$D,674)="",INDEX(Suivi!$C:$C,674),INDEX(Suivi!$D:$D,674)))</f>
        <v/>
      </c>
      <c r="Q661">
        <f>IF($O661="","",INDEX(Suivi!$E:$E,674))</f>
        <v/>
      </c>
      <c r="R661">
        <f>IF($O661="","",INDEX(Suivi!$F:$F,674))</f>
        <v/>
      </c>
      <c r="S661">
        <f>IF($O661="","",INDEX(Suivi!$G:$G,674))</f>
        <v/>
      </c>
      <c r="T661">
        <f>IF($O661="","",IF(INDEX(Dossiers!$F$4:$F$63,13)="","",INDEX(Dossiers!$F$4:$F$63,13)))</f>
        <v/>
      </c>
      <c r="U661">
        <f>IF($O661="","",IF(INDEX(Dossiers!$G$4:$G$63,13)="","",INDEX(Dossiers!$G$4:$G$63,13)))</f>
        <v/>
      </c>
      <c r="V661">
        <f>IF(OR($O661="",NOT(ISNUMBER($Q661))),"",$Q661*1000000+661)</f>
        <v/>
      </c>
      <c r="W661" s="29">
        <f>IF($B661="","",IFERROR(INDEX($U$4:$U$3183,MATCH(SMALL($V$4:$V$3183,658),$V$4:$V$3183,0)),""))</f>
        <v/>
      </c>
    </row>
    <row r="662">
      <c r="A662">
        <f>IFERROR(INDEX($N$4:$N$3183,MATCH(SMALL($V$4:$V$3183,659),$V$4:$V$3183,0)),"")</f>
        <v/>
      </c>
      <c r="B662">
        <f>IFERROR(INDEX($O$4:$O$3183,MATCH(SMALL($V$4:$V$3183,659),$V$4:$V$3183,0)),"")</f>
        <v/>
      </c>
      <c r="C662">
        <f>IFERROR(INDEX($P$4:$P$3183,MATCH(SMALL($V$4:$V$3183,659),$V$4:$V$3183,0)),"")</f>
        <v/>
      </c>
      <c r="D662" s="29">
        <f>IFERROR(INDEX($Q$4:$Q$3183,MATCH(SMALL($V$4:$V$3183,659),$V$4:$V$3183,0)),"")</f>
        <v/>
      </c>
      <c r="E662" s="29">
        <f>IFERROR(INDEX($R$4:$R$3183,MATCH(SMALL($V$4:$V$3183,659),$V$4:$V$3183,0)),"")</f>
        <v/>
      </c>
      <c r="F662">
        <f>IFERROR(INDEX($S$4:$S$3183,MATCH(SMALL($V$4:$V$3183,659),$V$4:$V$3183,0)),"")</f>
        <v/>
      </c>
      <c r="I662" s="29">
        <f>IF($B662="","",IFERROR(INDEX($U$4:$U$3183,MATCH(SMALL($V$4:$V$3183,659),$V$4:$V$3183,0)),""))</f>
        <v/>
      </c>
      <c r="J662">
        <f>IF($B662="","",IF($D662&gt;$F$2,"À venir",IF($E662&lt;$D$2,"Passé","Dans la période")))</f>
        <v/>
      </c>
      <c r="K662">
        <f>IF(OR($B662="",NOT(ISNUMBER($D662))),"",IF(AND($E662&lt;$D$2,$G662&lt;&gt;"X",$F662&lt;&gt;"Réalisé",$F662&lt;&gt;"Clôturé"),"RETARD",""))</f>
        <v/>
      </c>
      <c r="L662">
        <f>IF(OR($B662="",NOT(ISNUMBER($D662))),"",IF(AND($D662&gt;=$D$2,$D662&lt;=$H$2,$G662&lt;&gt;"X",$F662&lt;&gt;"Réalisé",$F662&lt;&gt;"Clôturé"),"≤ 7 j",""))</f>
        <v/>
      </c>
      <c r="M662" s="29">
        <f>IF($B662="","",IFERROR(INDEX($T$4:$T$3183,MATCH(SMALL($V$4:$V$3183,659),$V$4:$V$3183,0)),""))</f>
        <v/>
      </c>
      <c r="O662">
        <f>IF(INDEX(Suivi!$B:$B,675)="","",INDEX(Suivi!$B:$B,675))</f>
        <v/>
      </c>
      <c r="P662">
        <f>IF($O662="","",IF(INDEX(Suivi!$D:$D,675)="",INDEX(Suivi!$C:$C,675),INDEX(Suivi!$D:$D,675)))</f>
        <v/>
      </c>
      <c r="Q662">
        <f>IF($O662="","",INDEX(Suivi!$E:$E,675))</f>
        <v/>
      </c>
      <c r="R662">
        <f>IF($O662="","",INDEX(Suivi!$F:$F,675))</f>
        <v/>
      </c>
      <c r="S662">
        <f>IF($O662="","",INDEX(Suivi!$G:$G,675))</f>
        <v/>
      </c>
      <c r="T662">
        <f>IF($O662="","",IF(INDEX(Dossiers!$F$4:$F$63,13)="","",INDEX(Dossiers!$F$4:$F$63,13)))</f>
        <v/>
      </c>
      <c r="U662">
        <f>IF($O662="","",IF(INDEX(Dossiers!$G$4:$G$63,13)="","",INDEX(Dossiers!$G$4:$G$63,13)))</f>
        <v/>
      </c>
      <c r="V662">
        <f>IF(OR($O662="",NOT(ISNUMBER($Q662))),"",$Q662*1000000+662)</f>
        <v/>
      </c>
      <c r="W662" s="29">
        <f>IF($B662="","",IFERROR(INDEX($U$4:$U$3183,MATCH(SMALL($V$4:$V$3183,659),$V$4:$V$3183,0)),""))</f>
        <v/>
      </c>
    </row>
    <row r="663">
      <c r="A663">
        <f>IFERROR(INDEX($N$4:$N$3183,MATCH(SMALL($V$4:$V$3183,660),$V$4:$V$3183,0)),"")</f>
        <v/>
      </c>
      <c r="B663">
        <f>IFERROR(INDEX($O$4:$O$3183,MATCH(SMALL($V$4:$V$3183,660),$V$4:$V$3183,0)),"")</f>
        <v/>
      </c>
      <c r="C663">
        <f>IFERROR(INDEX($P$4:$P$3183,MATCH(SMALL($V$4:$V$3183,660),$V$4:$V$3183,0)),"")</f>
        <v/>
      </c>
      <c r="D663" s="29">
        <f>IFERROR(INDEX($Q$4:$Q$3183,MATCH(SMALL($V$4:$V$3183,660),$V$4:$V$3183,0)),"")</f>
        <v/>
      </c>
      <c r="E663" s="29">
        <f>IFERROR(INDEX($R$4:$R$3183,MATCH(SMALL($V$4:$V$3183,660),$V$4:$V$3183,0)),"")</f>
        <v/>
      </c>
      <c r="F663">
        <f>IFERROR(INDEX($S$4:$S$3183,MATCH(SMALL($V$4:$V$3183,660),$V$4:$V$3183,0)),"")</f>
        <v/>
      </c>
      <c r="I663" s="29">
        <f>IF($B663="","",IFERROR(INDEX($U$4:$U$3183,MATCH(SMALL($V$4:$V$3183,660),$V$4:$V$3183,0)),""))</f>
        <v/>
      </c>
      <c r="J663">
        <f>IF($B663="","",IF($D663&gt;$F$2,"À venir",IF($E663&lt;$D$2,"Passé","Dans la période")))</f>
        <v/>
      </c>
      <c r="K663">
        <f>IF(OR($B663="",NOT(ISNUMBER($D663))),"",IF(AND($E663&lt;$D$2,$G663&lt;&gt;"X",$F663&lt;&gt;"Réalisé",$F663&lt;&gt;"Clôturé"),"RETARD",""))</f>
        <v/>
      </c>
      <c r="L663">
        <f>IF(OR($B663="",NOT(ISNUMBER($D663))),"",IF(AND($D663&gt;=$D$2,$D663&lt;=$H$2,$G663&lt;&gt;"X",$F663&lt;&gt;"Réalisé",$F663&lt;&gt;"Clôturé"),"≤ 7 j",""))</f>
        <v/>
      </c>
      <c r="M663" s="29">
        <f>IF($B663="","",IFERROR(INDEX($T$4:$T$3183,MATCH(SMALL($V$4:$V$3183,660),$V$4:$V$3183,0)),""))</f>
        <v/>
      </c>
      <c r="O663">
        <f>IF(INDEX(Suivi!$B:$B,676)="","",INDEX(Suivi!$B:$B,676))</f>
        <v/>
      </c>
      <c r="P663">
        <f>IF($O663="","",IF(INDEX(Suivi!$D:$D,676)="",INDEX(Suivi!$C:$C,676),INDEX(Suivi!$D:$D,676)))</f>
        <v/>
      </c>
      <c r="Q663">
        <f>IF($O663="","",INDEX(Suivi!$E:$E,676))</f>
        <v/>
      </c>
      <c r="R663">
        <f>IF($O663="","",INDEX(Suivi!$F:$F,676))</f>
        <v/>
      </c>
      <c r="S663">
        <f>IF($O663="","",INDEX(Suivi!$G:$G,676))</f>
        <v/>
      </c>
      <c r="T663">
        <f>IF($O663="","",IF(INDEX(Dossiers!$F$4:$F$63,13)="","",INDEX(Dossiers!$F$4:$F$63,13)))</f>
        <v/>
      </c>
      <c r="U663">
        <f>IF($O663="","",IF(INDEX(Dossiers!$G$4:$G$63,13)="","",INDEX(Dossiers!$G$4:$G$63,13)))</f>
        <v/>
      </c>
      <c r="V663">
        <f>IF(OR($O663="",NOT(ISNUMBER($Q663))),"",$Q663*1000000+663)</f>
        <v/>
      </c>
      <c r="W663" s="29">
        <f>IF($B663="","",IFERROR(INDEX($U$4:$U$3183,MATCH(SMALL($V$4:$V$3183,660),$V$4:$V$3183,0)),""))</f>
        <v/>
      </c>
    </row>
    <row r="664">
      <c r="A664">
        <f>IFERROR(INDEX($N$4:$N$3183,MATCH(SMALL($V$4:$V$3183,661),$V$4:$V$3183,0)),"")</f>
        <v/>
      </c>
      <c r="B664">
        <f>IFERROR(INDEX($O$4:$O$3183,MATCH(SMALL($V$4:$V$3183,661),$V$4:$V$3183,0)),"")</f>
        <v/>
      </c>
      <c r="C664">
        <f>IFERROR(INDEX($P$4:$P$3183,MATCH(SMALL($V$4:$V$3183,661),$V$4:$V$3183,0)),"")</f>
        <v/>
      </c>
      <c r="D664" s="29">
        <f>IFERROR(INDEX($Q$4:$Q$3183,MATCH(SMALL($V$4:$V$3183,661),$V$4:$V$3183,0)),"")</f>
        <v/>
      </c>
      <c r="E664" s="29">
        <f>IFERROR(INDEX($R$4:$R$3183,MATCH(SMALL($V$4:$V$3183,661),$V$4:$V$3183,0)),"")</f>
        <v/>
      </c>
      <c r="F664">
        <f>IFERROR(INDEX($S$4:$S$3183,MATCH(SMALL($V$4:$V$3183,661),$V$4:$V$3183,0)),"")</f>
        <v/>
      </c>
      <c r="I664" s="29">
        <f>IF($B664="","",IFERROR(INDEX($U$4:$U$3183,MATCH(SMALL($V$4:$V$3183,661),$V$4:$V$3183,0)),""))</f>
        <v/>
      </c>
      <c r="J664">
        <f>IF($B664="","",IF($D664&gt;$F$2,"À venir",IF($E664&lt;$D$2,"Passé","Dans la période")))</f>
        <v/>
      </c>
      <c r="K664">
        <f>IF(OR($B664="",NOT(ISNUMBER($D664))),"",IF(AND($E664&lt;$D$2,$G664&lt;&gt;"X",$F664&lt;&gt;"Réalisé",$F664&lt;&gt;"Clôturé"),"RETARD",""))</f>
        <v/>
      </c>
      <c r="L664">
        <f>IF(OR($B664="",NOT(ISNUMBER($D664))),"",IF(AND($D664&gt;=$D$2,$D664&lt;=$H$2,$G664&lt;&gt;"X",$F664&lt;&gt;"Réalisé",$F664&lt;&gt;"Clôturé"),"≤ 7 j",""))</f>
        <v/>
      </c>
      <c r="M664" s="29">
        <f>IF($B664="","",IFERROR(INDEX($T$4:$T$3183,MATCH(SMALL($V$4:$V$3183,661),$V$4:$V$3183,0)),""))</f>
        <v/>
      </c>
      <c r="O664">
        <f>IF(INDEX(Suivi!$B:$B,677)="","",INDEX(Suivi!$B:$B,677))</f>
        <v/>
      </c>
      <c r="P664">
        <f>IF($O664="","",IF(INDEX(Suivi!$D:$D,677)="",INDEX(Suivi!$C:$C,677),INDEX(Suivi!$D:$D,677)))</f>
        <v/>
      </c>
      <c r="Q664">
        <f>IF($O664="","",INDEX(Suivi!$E:$E,677))</f>
        <v/>
      </c>
      <c r="R664">
        <f>IF($O664="","",INDEX(Suivi!$F:$F,677))</f>
        <v/>
      </c>
      <c r="S664">
        <f>IF($O664="","",INDEX(Suivi!$G:$G,677))</f>
        <v/>
      </c>
      <c r="T664">
        <f>IF($O664="","",IF(INDEX(Dossiers!$F$4:$F$63,13)="","",INDEX(Dossiers!$F$4:$F$63,13)))</f>
        <v/>
      </c>
      <c r="U664">
        <f>IF($O664="","",IF(INDEX(Dossiers!$G$4:$G$63,13)="","",INDEX(Dossiers!$G$4:$G$63,13)))</f>
        <v/>
      </c>
      <c r="V664">
        <f>IF(OR($O664="",NOT(ISNUMBER($Q664))),"",$Q664*1000000+664)</f>
        <v/>
      </c>
      <c r="W664" s="29">
        <f>IF($B664="","",IFERROR(INDEX($U$4:$U$3183,MATCH(SMALL($V$4:$V$3183,661),$V$4:$V$3183,0)),""))</f>
        <v/>
      </c>
    </row>
    <row r="665">
      <c r="A665">
        <f>IFERROR(INDEX($N$4:$N$3183,MATCH(SMALL($V$4:$V$3183,662),$V$4:$V$3183,0)),"")</f>
        <v/>
      </c>
      <c r="B665">
        <f>IFERROR(INDEX($O$4:$O$3183,MATCH(SMALL($V$4:$V$3183,662),$V$4:$V$3183,0)),"")</f>
        <v/>
      </c>
      <c r="C665">
        <f>IFERROR(INDEX($P$4:$P$3183,MATCH(SMALL($V$4:$V$3183,662),$V$4:$V$3183,0)),"")</f>
        <v/>
      </c>
      <c r="D665" s="29">
        <f>IFERROR(INDEX($Q$4:$Q$3183,MATCH(SMALL($V$4:$V$3183,662),$V$4:$V$3183,0)),"")</f>
        <v/>
      </c>
      <c r="E665" s="29">
        <f>IFERROR(INDEX($R$4:$R$3183,MATCH(SMALL($V$4:$V$3183,662),$V$4:$V$3183,0)),"")</f>
        <v/>
      </c>
      <c r="F665">
        <f>IFERROR(INDEX($S$4:$S$3183,MATCH(SMALL($V$4:$V$3183,662),$V$4:$V$3183,0)),"")</f>
        <v/>
      </c>
      <c r="I665" s="29">
        <f>IF($B665="","",IFERROR(INDEX($U$4:$U$3183,MATCH(SMALL($V$4:$V$3183,662),$V$4:$V$3183,0)),""))</f>
        <v/>
      </c>
      <c r="J665">
        <f>IF($B665="","",IF($D665&gt;$F$2,"À venir",IF($E665&lt;$D$2,"Passé","Dans la période")))</f>
        <v/>
      </c>
      <c r="K665">
        <f>IF(OR($B665="",NOT(ISNUMBER($D665))),"",IF(AND($E665&lt;$D$2,$G665&lt;&gt;"X",$F665&lt;&gt;"Réalisé",$F665&lt;&gt;"Clôturé"),"RETARD",""))</f>
        <v/>
      </c>
      <c r="L665">
        <f>IF(OR($B665="",NOT(ISNUMBER($D665))),"",IF(AND($D665&gt;=$D$2,$D665&lt;=$H$2,$G665&lt;&gt;"X",$F665&lt;&gt;"Réalisé",$F665&lt;&gt;"Clôturé"),"≤ 7 j",""))</f>
        <v/>
      </c>
      <c r="M665" s="29">
        <f>IF($B665="","",IFERROR(INDEX($T$4:$T$3183,MATCH(SMALL($V$4:$V$3183,662),$V$4:$V$3183,0)),""))</f>
        <v/>
      </c>
      <c r="O665">
        <f>IF(INDEX(Suivi!$B:$B,678)="","",INDEX(Suivi!$B:$B,678))</f>
        <v/>
      </c>
      <c r="P665">
        <f>IF($O665="","",IF(INDEX(Suivi!$D:$D,678)="",INDEX(Suivi!$C:$C,678),INDEX(Suivi!$D:$D,678)))</f>
        <v/>
      </c>
      <c r="Q665">
        <f>IF($O665="","",INDEX(Suivi!$E:$E,678))</f>
        <v/>
      </c>
      <c r="R665">
        <f>IF($O665="","",INDEX(Suivi!$F:$F,678))</f>
        <v/>
      </c>
      <c r="S665">
        <f>IF($O665="","",INDEX(Suivi!$G:$G,678))</f>
        <v/>
      </c>
      <c r="T665">
        <f>IF($O665="","",IF(INDEX(Dossiers!$F$4:$F$63,13)="","",INDEX(Dossiers!$F$4:$F$63,13)))</f>
        <v/>
      </c>
      <c r="U665">
        <f>IF($O665="","",IF(INDEX(Dossiers!$G$4:$G$63,13)="","",INDEX(Dossiers!$G$4:$G$63,13)))</f>
        <v/>
      </c>
      <c r="V665">
        <f>IF(OR($O665="",NOT(ISNUMBER($Q665))),"",$Q665*1000000+665)</f>
        <v/>
      </c>
      <c r="W665" s="29">
        <f>IF($B665="","",IFERROR(INDEX($U$4:$U$3183,MATCH(SMALL($V$4:$V$3183,662),$V$4:$V$3183,0)),""))</f>
        <v/>
      </c>
    </row>
    <row r="666">
      <c r="A666">
        <f>IFERROR(INDEX($N$4:$N$3183,MATCH(SMALL($V$4:$V$3183,663),$V$4:$V$3183,0)),"")</f>
        <v/>
      </c>
      <c r="B666">
        <f>IFERROR(INDEX($O$4:$O$3183,MATCH(SMALL($V$4:$V$3183,663),$V$4:$V$3183,0)),"")</f>
        <v/>
      </c>
      <c r="C666">
        <f>IFERROR(INDEX($P$4:$P$3183,MATCH(SMALL($V$4:$V$3183,663),$V$4:$V$3183,0)),"")</f>
        <v/>
      </c>
      <c r="D666" s="29">
        <f>IFERROR(INDEX($Q$4:$Q$3183,MATCH(SMALL($V$4:$V$3183,663),$V$4:$V$3183,0)),"")</f>
        <v/>
      </c>
      <c r="E666" s="29">
        <f>IFERROR(INDEX($R$4:$R$3183,MATCH(SMALL($V$4:$V$3183,663),$V$4:$V$3183,0)),"")</f>
        <v/>
      </c>
      <c r="F666">
        <f>IFERROR(INDEX($S$4:$S$3183,MATCH(SMALL($V$4:$V$3183,663),$V$4:$V$3183,0)),"")</f>
        <v/>
      </c>
      <c r="I666" s="29">
        <f>IF($B666="","",IFERROR(INDEX($U$4:$U$3183,MATCH(SMALL($V$4:$V$3183,663),$V$4:$V$3183,0)),""))</f>
        <v/>
      </c>
      <c r="J666">
        <f>IF($B666="","",IF($D666&gt;$F$2,"À venir",IF($E666&lt;$D$2,"Passé","Dans la période")))</f>
        <v/>
      </c>
      <c r="K666">
        <f>IF(OR($B666="",NOT(ISNUMBER($D666))),"",IF(AND($E666&lt;$D$2,$G666&lt;&gt;"X",$F666&lt;&gt;"Réalisé",$F666&lt;&gt;"Clôturé"),"RETARD",""))</f>
        <v/>
      </c>
      <c r="L666">
        <f>IF(OR($B666="",NOT(ISNUMBER($D666))),"",IF(AND($D666&gt;=$D$2,$D666&lt;=$H$2,$G666&lt;&gt;"X",$F666&lt;&gt;"Réalisé",$F666&lt;&gt;"Clôturé"),"≤ 7 j",""))</f>
        <v/>
      </c>
      <c r="M666" s="29">
        <f>IF($B666="","",IFERROR(INDEX($T$4:$T$3183,MATCH(SMALL($V$4:$V$3183,663),$V$4:$V$3183,0)),""))</f>
        <v/>
      </c>
      <c r="O666">
        <f>IF(INDEX(Suivi!$B:$B,679)="","",INDEX(Suivi!$B:$B,679))</f>
        <v/>
      </c>
      <c r="P666">
        <f>IF($O666="","",IF(INDEX(Suivi!$D:$D,679)="",INDEX(Suivi!$C:$C,679),INDEX(Suivi!$D:$D,679)))</f>
        <v/>
      </c>
      <c r="Q666">
        <f>IF($O666="","",INDEX(Suivi!$E:$E,679))</f>
        <v/>
      </c>
      <c r="R666">
        <f>IF($O666="","",INDEX(Suivi!$F:$F,679))</f>
        <v/>
      </c>
      <c r="S666">
        <f>IF($O666="","",INDEX(Suivi!$G:$G,679))</f>
        <v/>
      </c>
      <c r="T666">
        <f>IF($O666="","",IF(INDEX(Dossiers!$F$4:$F$63,13)="","",INDEX(Dossiers!$F$4:$F$63,13)))</f>
        <v/>
      </c>
      <c r="U666">
        <f>IF($O666="","",IF(INDEX(Dossiers!$G$4:$G$63,13)="","",INDEX(Dossiers!$G$4:$G$63,13)))</f>
        <v/>
      </c>
      <c r="V666">
        <f>IF(OR($O666="",NOT(ISNUMBER($Q666))),"",$Q666*1000000+666)</f>
        <v/>
      </c>
      <c r="W666" s="29">
        <f>IF($B666="","",IFERROR(INDEX($U$4:$U$3183,MATCH(SMALL($V$4:$V$3183,663),$V$4:$V$3183,0)),""))</f>
        <v/>
      </c>
    </row>
    <row r="667">
      <c r="A667">
        <f>IFERROR(INDEX($N$4:$N$3183,MATCH(SMALL($V$4:$V$3183,664),$V$4:$V$3183,0)),"")</f>
        <v/>
      </c>
      <c r="B667">
        <f>IFERROR(INDEX($O$4:$O$3183,MATCH(SMALL($V$4:$V$3183,664),$V$4:$V$3183,0)),"")</f>
        <v/>
      </c>
      <c r="C667">
        <f>IFERROR(INDEX($P$4:$P$3183,MATCH(SMALL($V$4:$V$3183,664),$V$4:$V$3183,0)),"")</f>
        <v/>
      </c>
      <c r="D667" s="29">
        <f>IFERROR(INDEX($Q$4:$Q$3183,MATCH(SMALL($V$4:$V$3183,664),$V$4:$V$3183,0)),"")</f>
        <v/>
      </c>
      <c r="E667" s="29">
        <f>IFERROR(INDEX($R$4:$R$3183,MATCH(SMALL($V$4:$V$3183,664),$V$4:$V$3183,0)),"")</f>
        <v/>
      </c>
      <c r="F667">
        <f>IFERROR(INDEX($S$4:$S$3183,MATCH(SMALL($V$4:$V$3183,664),$V$4:$V$3183,0)),"")</f>
        <v/>
      </c>
      <c r="I667" s="29">
        <f>IF($B667="","",IFERROR(INDEX($U$4:$U$3183,MATCH(SMALL($V$4:$V$3183,664),$V$4:$V$3183,0)),""))</f>
        <v/>
      </c>
      <c r="J667">
        <f>IF($B667="","",IF($D667&gt;$F$2,"À venir",IF($E667&lt;$D$2,"Passé","Dans la période")))</f>
        <v/>
      </c>
      <c r="K667">
        <f>IF(OR($B667="",NOT(ISNUMBER($D667))),"",IF(AND($E667&lt;$D$2,$G667&lt;&gt;"X",$F667&lt;&gt;"Réalisé",$F667&lt;&gt;"Clôturé"),"RETARD",""))</f>
        <v/>
      </c>
      <c r="L667">
        <f>IF(OR($B667="",NOT(ISNUMBER($D667))),"",IF(AND($D667&gt;=$D$2,$D667&lt;=$H$2,$G667&lt;&gt;"X",$F667&lt;&gt;"Réalisé",$F667&lt;&gt;"Clôturé"),"≤ 7 j",""))</f>
        <v/>
      </c>
      <c r="M667" s="29">
        <f>IF($B667="","",IFERROR(INDEX($T$4:$T$3183,MATCH(SMALL($V$4:$V$3183,664),$V$4:$V$3183,0)),""))</f>
        <v/>
      </c>
      <c r="O667">
        <f>IF(INDEX(Suivi!$B:$B,680)="","",INDEX(Suivi!$B:$B,680))</f>
        <v/>
      </c>
      <c r="P667">
        <f>IF($O667="","",IF(INDEX(Suivi!$D:$D,680)="",INDEX(Suivi!$C:$C,680),INDEX(Suivi!$D:$D,680)))</f>
        <v/>
      </c>
      <c r="Q667">
        <f>IF($O667="","",INDEX(Suivi!$E:$E,680))</f>
        <v/>
      </c>
      <c r="R667">
        <f>IF($O667="","",INDEX(Suivi!$F:$F,680))</f>
        <v/>
      </c>
      <c r="S667">
        <f>IF($O667="","",INDEX(Suivi!$G:$G,680))</f>
        <v/>
      </c>
      <c r="T667">
        <f>IF($O667="","",IF(INDEX(Dossiers!$F$4:$F$63,13)="","",INDEX(Dossiers!$F$4:$F$63,13)))</f>
        <v/>
      </c>
      <c r="U667">
        <f>IF($O667="","",IF(INDEX(Dossiers!$G$4:$G$63,13)="","",INDEX(Dossiers!$G$4:$G$63,13)))</f>
        <v/>
      </c>
      <c r="V667">
        <f>IF(OR($O667="",NOT(ISNUMBER($Q667))),"",$Q667*1000000+667)</f>
        <v/>
      </c>
      <c r="W667" s="29">
        <f>IF($B667="","",IFERROR(INDEX($U$4:$U$3183,MATCH(SMALL($V$4:$V$3183,664),$V$4:$V$3183,0)),""))</f>
        <v/>
      </c>
    </row>
    <row r="668">
      <c r="A668">
        <f>IFERROR(INDEX($N$4:$N$3183,MATCH(SMALL($V$4:$V$3183,665),$V$4:$V$3183,0)),"")</f>
        <v/>
      </c>
      <c r="B668">
        <f>IFERROR(INDEX($O$4:$O$3183,MATCH(SMALL($V$4:$V$3183,665),$V$4:$V$3183,0)),"")</f>
        <v/>
      </c>
      <c r="C668">
        <f>IFERROR(INDEX($P$4:$P$3183,MATCH(SMALL($V$4:$V$3183,665),$V$4:$V$3183,0)),"")</f>
        <v/>
      </c>
      <c r="D668" s="29">
        <f>IFERROR(INDEX($Q$4:$Q$3183,MATCH(SMALL($V$4:$V$3183,665),$V$4:$V$3183,0)),"")</f>
        <v/>
      </c>
      <c r="E668" s="29">
        <f>IFERROR(INDEX($R$4:$R$3183,MATCH(SMALL($V$4:$V$3183,665),$V$4:$V$3183,0)),"")</f>
        <v/>
      </c>
      <c r="F668">
        <f>IFERROR(INDEX($S$4:$S$3183,MATCH(SMALL($V$4:$V$3183,665),$V$4:$V$3183,0)),"")</f>
        <v/>
      </c>
      <c r="I668" s="29">
        <f>IF($B668="","",IFERROR(INDEX($U$4:$U$3183,MATCH(SMALL($V$4:$V$3183,665),$V$4:$V$3183,0)),""))</f>
        <v/>
      </c>
      <c r="J668">
        <f>IF($B668="","",IF($D668&gt;$F$2,"À venir",IF($E668&lt;$D$2,"Passé","Dans la période")))</f>
        <v/>
      </c>
      <c r="K668">
        <f>IF(OR($B668="",NOT(ISNUMBER($D668))),"",IF(AND($E668&lt;$D$2,$G668&lt;&gt;"X",$F668&lt;&gt;"Réalisé",$F668&lt;&gt;"Clôturé"),"RETARD",""))</f>
        <v/>
      </c>
      <c r="L668">
        <f>IF(OR($B668="",NOT(ISNUMBER($D668))),"",IF(AND($D668&gt;=$D$2,$D668&lt;=$H$2,$G668&lt;&gt;"X",$F668&lt;&gt;"Réalisé",$F668&lt;&gt;"Clôturé"),"≤ 7 j",""))</f>
        <v/>
      </c>
      <c r="M668" s="29">
        <f>IF($B668="","",IFERROR(INDEX($T$4:$T$3183,MATCH(SMALL($V$4:$V$3183,665),$V$4:$V$3183,0)),""))</f>
        <v/>
      </c>
      <c r="O668">
        <f>IF(INDEX(Suivi!$B:$B,681)="","",INDEX(Suivi!$B:$B,681))</f>
        <v/>
      </c>
      <c r="P668">
        <f>IF($O668="","",IF(INDEX(Suivi!$D:$D,681)="",INDEX(Suivi!$C:$C,681),INDEX(Suivi!$D:$D,681)))</f>
        <v/>
      </c>
      <c r="Q668">
        <f>IF($O668="","",INDEX(Suivi!$E:$E,681))</f>
        <v/>
      </c>
      <c r="R668">
        <f>IF($O668="","",INDEX(Suivi!$F:$F,681))</f>
        <v/>
      </c>
      <c r="S668">
        <f>IF($O668="","",INDEX(Suivi!$G:$G,681))</f>
        <v/>
      </c>
      <c r="T668">
        <f>IF($O668="","",IF(INDEX(Dossiers!$F$4:$F$63,13)="","",INDEX(Dossiers!$F$4:$F$63,13)))</f>
        <v/>
      </c>
      <c r="U668">
        <f>IF($O668="","",IF(INDEX(Dossiers!$G$4:$G$63,13)="","",INDEX(Dossiers!$G$4:$G$63,13)))</f>
        <v/>
      </c>
      <c r="V668">
        <f>IF(OR($O668="",NOT(ISNUMBER($Q668))),"",$Q668*1000000+668)</f>
        <v/>
      </c>
      <c r="W668" s="29">
        <f>IF($B668="","",IFERROR(INDEX($U$4:$U$3183,MATCH(SMALL($V$4:$V$3183,665),$V$4:$V$3183,0)),""))</f>
        <v/>
      </c>
    </row>
    <row r="669">
      <c r="A669">
        <f>IFERROR(INDEX($N$4:$N$3183,MATCH(SMALL($V$4:$V$3183,666),$V$4:$V$3183,0)),"")</f>
        <v/>
      </c>
      <c r="B669">
        <f>IFERROR(INDEX($O$4:$O$3183,MATCH(SMALL($V$4:$V$3183,666),$V$4:$V$3183,0)),"")</f>
        <v/>
      </c>
      <c r="C669">
        <f>IFERROR(INDEX($P$4:$P$3183,MATCH(SMALL($V$4:$V$3183,666),$V$4:$V$3183,0)),"")</f>
        <v/>
      </c>
      <c r="D669" s="29">
        <f>IFERROR(INDEX($Q$4:$Q$3183,MATCH(SMALL($V$4:$V$3183,666),$V$4:$V$3183,0)),"")</f>
        <v/>
      </c>
      <c r="E669" s="29">
        <f>IFERROR(INDEX($R$4:$R$3183,MATCH(SMALL($V$4:$V$3183,666),$V$4:$V$3183,0)),"")</f>
        <v/>
      </c>
      <c r="F669">
        <f>IFERROR(INDEX($S$4:$S$3183,MATCH(SMALL($V$4:$V$3183,666),$V$4:$V$3183,0)),"")</f>
        <v/>
      </c>
      <c r="I669" s="29">
        <f>IF($B669="","",IFERROR(INDEX($U$4:$U$3183,MATCH(SMALL($V$4:$V$3183,666),$V$4:$V$3183,0)),""))</f>
        <v/>
      </c>
      <c r="J669">
        <f>IF($B669="","",IF($D669&gt;$F$2,"À venir",IF($E669&lt;$D$2,"Passé","Dans la période")))</f>
        <v/>
      </c>
      <c r="K669">
        <f>IF(OR($B669="",NOT(ISNUMBER($D669))),"",IF(AND($E669&lt;$D$2,$G669&lt;&gt;"X",$F669&lt;&gt;"Réalisé",$F669&lt;&gt;"Clôturé"),"RETARD",""))</f>
        <v/>
      </c>
      <c r="L669">
        <f>IF(OR($B669="",NOT(ISNUMBER($D669))),"",IF(AND($D669&gt;=$D$2,$D669&lt;=$H$2,$G669&lt;&gt;"X",$F669&lt;&gt;"Réalisé",$F669&lt;&gt;"Clôturé"),"≤ 7 j",""))</f>
        <v/>
      </c>
      <c r="M669" s="29">
        <f>IF($B669="","",IFERROR(INDEX($T$4:$T$3183,MATCH(SMALL($V$4:$V$3183,666),$V$4:$V$3183,0)),""))</f>
        <v/>
      </c>
      <c r="O669">
        <f>IF(INDEX(Suivi!$B:$B,682)="","",INDEX(Suivi!$B:$B,682))</f>
        <v/>
      </c>
      <c r="P669">
        <f>IF($O669="","",IF(INDEX(Suivi!$D:$D,682)="",INDEX(Suivi!$C:$C,682),INDEX(Suivi!$D:$D,682)))</f>
        <v/>
      </c>
      <c r="Q669">
        <f>IF($O669="","",INDEX(Suivi!$E:$E,682))</f>
        <v/>
      </c>
      <c r="R669">
        <f>IF($O669="","",INDEX(Suivi!$F:$F,682))</f>
        <v/>
      </c>
      <c r="S669">
        <f>IF($O669="","",INDEX(Suivi!$G:$G,682))</f>
        <v/>
      </c>
      <c r="T669">
        <f>IF($O669="","",IF(INDEX(Dossiers!$F$4:$F$63,13)="","",INDEX(Dossiers!$F$4:$F$63,13)))</f>
        <v/>
      </c>
      <c r="U669">
        <f>IF($O669="","",IF(INDEX(Dossiers!$G$4:$G$63,13)="","",INDEX(Dossiers!$G$4:$G$63,13)))</f>
        <v/>
      </c>
      <c r="V669">
        <f>IF(OR($O669="",NOT(ISNUMBER($Q669))),"",$Q669*1000000+669)</f>
        <v/>
      </c>
      <c r="W669" s="29">
        <f>IF($B669="","",IFERROR(INDEX($U$4:$U$3183,MATCH(SMALL($V$4:$V$3183,666),$V$4:$V$3183,0)),""))</f>
        <v/>
      </c>
    </row>
    <row r="670">
      <c r="A670">
        <f>IFERROR(INDEX($N$4:$N$3183,MATCH(SMALL($V$4:$V$3183,667),$V$4:$V$3183,0)),"")</f>
        <v/>
      </c>
      <c r="B670">
        <f>IFERROR(INDEX($O$4:$O$3183,MATCH(SMALL($V$4:$V$3183,667),$V$4:$V$3183,0)),"")</f>
        <v/>
      </c>
      <c r="C670">
        <f>IFERROR(INDEX($P$4:$P$3183,MATCH(SMALL($V$4:$V$3183,667),$V$4:$V$3183,0)),"")</f>
        <v/>
      </c>
      <c r="D670" s="29">
        <f>IFERROR(INDEX($Q$4:$Q$3183,MATCH(SMALL($V$4:$V$3183,667),$V$4:$V$3183,0)),"")</f>
        <v/>
      </c>
      <c r="E670" s="29">
        <f>IFERROR(INDEX($R$4:$R$3183,MATCH(SMALL($V$4:$V$3183,667),$V$4:$V$3183,0)),"")</f>
        <v/>
      </c>
      <c r="F670">
        <f>IFERROR(INDEX($S$4:$S$3183,MATCH(SMALL($V$4:$V$3183,667),$V$4:$V$3183,0)),"")</f>
        <v/>
      </c>
      <c r="I670" s="29">
        <f>IF($B670="","",IFERROR(INDEX($U$4:$U$3183,MATCH(SMALL($V$4:$V$3183,667),$V$4:$V$3183,0)),""))</f>
        <v/>
      </c>
      <c r="J670">
        <f>IF($B670="","",IF($D670&gt;$F$2,"À venir",IF($E670&lt;$D$2,"Passé","Dans la période")))</f>
        <v/>
      </c>
      <c r="K670">
        <f>IF(OR($B670="",NOT(ISNUMBER($D670))),"",IF(AND($E670&lt;$D$2,$G670&lt;&gt;"X",$F670&lt;&gt;"Réalisé",$F670&lt;&gt;"Clôturé"),"RETARD",""))</f>
        <v/>
      </c>
      <c r="L670">
        <f>IF(OR($B670="",NOT(ISNUMBER($D670))),"",IF(AND($D670&gt;=$D$2,$D670&lt;=$H$2,$G670&lt;&gt;"X",$F670&lt;&gt;"Réalisé",$F670&lt;&gt;"Clôturé"),"≤ 7 j",""))</f>
        <v/>
      </c>
      <c r="M670" s="29">
        <f>IF($B670="","",IFERROR(INDEX($T$4:$T$3183,MATCH(SMALL($V$4:$V$3183,667),$V$4:$V$3183,0)),""))</f>
        <v/>
      </c>
      <c r="O670">
        <f>IF(INDEX(Suivi!$B:$B,683)="","",INDEX(Suivi!$B:$B,683))</f>
        <v/>
      </c>
      <c r="P670">
        <f>IF($O670="","",IF(INDEX(Suivi!$D:$D,683)="",INDEX(Suivi!$C:$C,683),INDEX(Suivi!$D:$D,683)))</f>
        <v/>
      </c>
      <c r="Q670">
        <f>IF($O670="","",INDEX(Suivi!$E:$E,683))</f>
        <v/>
      </c>
      <c r="R670">
        <f>IF($O670="","",INDEX(Suivi!$F:$F,683))</f>
        <v/>
      </c>
      <c r="S670">
        <f>IF($O670="","",INDEX(Suivi!$G:$G,683))</f>
        <v/>
      </c>
      <c r="T670">
        <f>IF($O670="","",IF(INDEX(Dossiers!$F$4:$F$63,13)="","",INDEX(Dossiers!$F$4:$F$63,13)))</f>
        <v/>
      </c>
      <c r="U670">
        <f>IF($O670="","",IF(INDEX(Dossiers!$G$4:$G$63,13)="","",INDEX(Dossiers!$G$4:$G$63,13)))</f>
        <v/>
      </c>
      <c r="V670">
        <f>IF(OR($O670="",NOT(ISNUMBER($Q670))),"",$Q670*1000000+670)</f>
        <v/>
      </c>
      <c r="W670" s="29">
        <f>IF($B670="","",IFERROR(INDEX($U$4:$U$3183,MATCH(SMALL($V$4:$V$3183,667),$V$4:$V$3183,0)),""))</f>
        <v/>
      </c>
    </row>
    <row r="671">
      <c r="A671">
        <f>IFERROR(INDEX($N$4:$N$3183,MATCH(SMALL($V$4:$V$3183,668),$V$4:$V$3183,0)),"")</f>
        <v/>
      </c>
      <c r="B671">
        <f>IFERROR(INDEX($O$4:$O$3183,MATCH(SMALL($V$4:$V$3183,668),$V$4:$V$3183,0)),"")</f>
        <v/>
      </c>
      <c r="C671">
        <f>IFERROR(INDEX($P$4:$P$3183,MATCH(SMALL($V$4:$V$3183,668),$V$4:$V$3183,0)),"")</f>
        <v/>
      </c>
      <c r="D671" s="29">
        <f>IFERROR(INDEX($Q$4:$Q$3183,MATCH(SMALL($V$4:$V$3183,668),$V$4:$V$3183,0)),"")</f>
        <v/>
      </c>
      <c r="E671" s="29">
        <f>IFERROR(INDEX($R$4:$R$3183,MATCH(SMALL($V$4:$V$3183,668),$V$4:$V$3183,0)),"")</f>
        <v/>
      </c>
      <c r="F671">
        <f>IFERROR(INDEX($S$4:$S$3183,MATCH(SMALL($V$4:$V$3183,668),$V$4:$V$3183,0)),"")</f>
        <v/>
      </c>
      <c r="I671" s="29">
        <f>IF($B671="","",IFERROR(INDEX($U$4:$U$3183,MATCH(SMALL($V$4:$V$3183,668),$V$4:$V$3183,0)),""))</f>
        <v/>
      </c>
      <c r="J671">
        <f>IF($B671="","",IF($D671&gt;$F$2,"À venir",IF($E671&lt;$D$2,"Passé","Dans la période")))</f>
        <v/>
      </c>
      <c r="K671">
        <f>IF(OR($B671="",NOT(ISNUMBER($D671))),"",IF(AND($E671&lt;$D$2,$G671&lt;&gt;"X",$F671&lt;&gt;"Réalisé",$F671&lt;&gt;"Clôturé"),"RETARD",""))</f>
        <v/>
      </c>
      <c r="L671">
        <f>IF(OR($B671="",NOT(ISNUMBER($D671))),"",IF(AND($D671&gt;=$D$2,$D671&lt;=$H$2,$G671&lt;&gt;"X",$F671&lt;&gt;"Réalisé",$F671&lt;&gt;"Clôturé"),"≤ 7 j",""))</f>
        <v/>
      </c>
      <c r="M671" s="29">
        <f>IF($B671="","",IFERROR(INDEX($T$4:$T$3183,MATCH(SMALL($V$4:$V$3183,668),$V$4:$V$3183,0)),""))</f>
        <v/>
      </c>
      <c r="O671">
        <f>IF(INDEX(Suivi!$B:$B,684)="","",INDEX(Suivi!$B:$B,684))</f>
        <v/>
      </c>
      <c r="P671">
        <f>IF($O671="","",IF(INDEX(Suivi!$D:$D,684)="",INDEX(Suivi!$C:$C,684),INDEX(Suivi!$D:$D,684)))</f>
        <v/>
      </c>
      <c r="Q671">
        <f>IF($O671="","",INDEX(Suivi!$E:$E,684))</f>
        <v/>
      </c>
      <c r="R671">
        <f>IF($O671="","",INDEX(Suivi!$F:$F,684))</f>
        <v/>
      </c>
      <c r="S671">
        <f>IF($O671="","",INDEX(Suivi!$G:$G,684))</f>
        <v/>
      </c>
      <c r="T671">
        <f>IF($O671="","",IF(INDEX(Dossiers!$F$4:$F$63,13)="","",INDEX(Dossiers!$F$4:$F$63,13)))</f>
        <v/>
      </c>
      <c r="U671">
        <f>IF($O671="","",IF(INDEX(Dossiers!$G$4:$G$63,13)="","",INDEX(Dossiers!$G$4:$G$63,13)))</f>
        <v/>
      </c>
      <c r="V671">
        <f>IF(OR($O671="",NOT(ISNUMBER($Q671))),"",$Q671*1000000+671)</f>
        <v/>
      </c>
      <c r="W671" s="29">
        <f>IF($B671="","",IFERROR(INDEX($U$4:$U$3183,MATCH(SMALL($V$4:$V$3183,668),$V$4:$V$3183,0)),""))</f>
        <v/>
      </c>
    </row>
    <row r="672">
      <c r="A672">
        <f>IFERROR(INDEX($N$4:$N$3183,MATCH(SMALL($V$4:$V$3183,669),$V$4:$V$3183,0)),"")</f>
        <v/>
      </c>
      <c r="B672">
        <f>IFERROR(INDEX($O$4:$O$3183,MATCH(SMALL($V$4:$V$3183,669),$V$4:$V$3183,0)),"")</f>
        <v/>
      </c>
      <c r="C672">
        <f>IFERROR(INDEX($P$4:$P$3183,MATCH(SMALL($V$4:$V$3183,669),$V$4:$V$3183,0)),"")</f>
        <v/>
      </c>
      <c r="D672" s="29">
        <f>IFERROR(INDEX($Q$4:$Q$3183,MATCH(SMALL($V$4:$V$3183,669),$V$4:$V$3183,0)),"")</f>
        <v/>
      </c>
      <c r="E672" s="29">
        <f>IFERROR(INDEX($R$4:$R$3183,MATCH(SMALL($V$4:$V$3183,669),$V$4:$V$3183,0)),"")</f>
        <v/>
      </c>
      <c r="F672">
        <f>IFERROR(INDEX($S$4:$S$3183,MATCH(SMALL($V$4:$V$3183,669),$V$4:$V$3183,0)),"")</f>
        <v/>
      </c>
      <c r="I672" s="29">
        <f>IF($B672="","",IFERROR(INDEX($U$4:$U$3183,MATCH(SMALL($V$4:$V$3183,669),$V$4:$V$3183,0)),""))</f>
        <v/>
      </c>
      <c r="J672">
        <f>IF($B672="","",IF($D672&gt;$F$2,"À venir",IF($E672&lt;$D$2,"Passé","Dans la période")))</f>
        <v/>
      </c>
      <c r="K672">
        <f>IF(OR($B672="",NOT(ISNUMBER($D672))),"",IF(AND($E672&lt;$D$2,$G672&lt;&gt;"X",$F672&lt;&gt;"Réalisé",$F672&lt;&gt;"Clôturé"),"RETARD",""))</f>
        <v/>
      </c>
      <c r="L672">
        <f>IF(OR($B672="",NOT(ISNUMBER($D672))),"",IF(AND($D672&gt;=$D$2,$D672&lt;=$H$2,$G672&lt;&gt;"X",$F672&lt;&gt;"Réalisé",$F672&lt;&gt;"Clôturé"),"≤ 7 j",""))</f>
        <v/>
      </c>
      <c r="M672" s="29">
        <f>IF($B672="","",IFERROR(INDEX($T$4:$T$3183,MATCH(SMALL($V$4:$V$3183,669),$V$4:$V$3183,0)),""))</f>
        <v/>
      </c>
      <c r="O672">
        <f>IF(INDEX(Suivi!$B:$B,685)="","",INDEX(Suivi!$B:$B,685))</f>
        <v/>
      </c>
      <c r="P672">
        <f>IF($O672="","",IF(INDEX(Suivi!$D:$D,685)="",INDEX(Suivi!$C:$C,685),INDEX(Suivi!$D:$D,685)))</f>
        <v/>
      </c>
      <c r="Q672">
        <f>IF($O672="","",INDEX(Suivi!$E:$E,685))</f>
        <v/>
      </c>
      <c r="R672">
        <f>IF($O672="","",INDEX(Suivi!$F:$F,685))</f>
        <v/>
      </c>
      <c r="S672">
        <f>IF($O672="","",INDEX(Suivi!$G:$G,685))</f>
        <v/>
      </c>
      <c r="T672">
        <f>IF($O672="","",IF(INDEX(Dossiers!$F$4:$F$63,13)="","",INDEX(Dossiers!$F$4:$F$63,13)))</f>
        <v/>
      </c>
      <c r="U672">
        <f>IF($O672="","",IF(INDEX(Dossiers!$G$4:$G$63,13)="","",INDEX(Dossiers!$G$4:$G$63,13)))</f>
        <v/>
      </c>
      <c r="V672">
        <f>IF(OR($O672="",NOT(ISNUMBER($Q672))),"",$Q672*1000000+672)</f>
        <v/>
      </c>
      <c r="W672" s="29">
        <f>IF($B672="","",IFERROR(INDEX($U$4:$U$3183,MATCH(SMALL($V$4:$V$3183,669),$V$4:$V$3183,0)),""))</f>
        <v/>
      </c>
    </row>
    <row r="673">
      <c r="A673">
        <f>IFERROR(INDEX($N$4:$N$3183,MATCH(SMALL($V$4:$V$3183,670),$V$4:$V$3183,0)),"")</f>
        <v/>
      </c>
      <c r="B673">
        <f>IFERROR(INDEX($O$4:$O$3183,MATCH(SMALL($V$4:$V$3183,670),$V$4:$V$3183,0)),"")</f>
        <v/>
      </c>
      <c r="C673">
        <f>IFERROR(INDEX($P$4:$P$3183,MATCH(SMALL($V$4:$V$3183,670),$V$4:$V$3183,0)),"")</f>
        <v/>
      </c>
      <c r="D673" s="29">
        <f>IFERROR(INDEX($Q$4:$Q$3183,MATCH(SMALL($V$4:$V$3183,670),$V$4:$V$3183,0)),"")</f>
        <v/>
      </c>
      <c r="E673" s="29">
        <f>IFERROR(INDEX($R$4:$R$3183,MATCH(SMALL($V$4:$V$3183,670),$V$4:$V$3183,0)),"")</f>
        <v/>
      </c>
      <c r="F673">
        <f>IFERROR(INDEX($S$4:$S$3183,MATCH(SMALL($V$4:$V$3183,670),$V$4:$V$3183,0)),"")</f>
        <v/>
      </c>
      <c r="I673" s="29">
        <f>IF($B673="","",IFERROR(INDEX($U$4:$U$3183,MATCH(SMALL($V$4:$V$3183,670),$V$4:$V$3183,0)),""))</f>
        <v/>
      </c>
      <c r="J673">
        <f>IF($B673="","",IF($D673&gt;$F$2,"À venir",IF($E673&lt;$D$2,"Passé","Dans la période")))</f>
        <v/>
      </c>
      <c r="K673">
        <f>IF(OR($B673="",NOT(ISNUMBER($D673))),"",IF(AND($E673&lt;$D$2,$G673&lt;&gt;"X",$F673&lt;&gt;"Réalisé",$F673&lt;&gt;"Clôturé"),"RETARD",""))</f>
        <v/>
      </c>
      <c r="L673">
        <f>IF(OR($B673="",NOT(ISNUMBER($D673))),"",IF(AND($D673&gt;=$D$2,$D673&lt;=$H$2,$G673&lt;&gt;"X",$F673&lt;&gt;"Réalisé",$F673&lt;&gt;"Clôturé"),"≤ 7 j",""))</f>
        <v/>
      </c>
      <c r="M673" s="29">
        <f>IF($B673="","",IFERROR(INDEX($T$4:$T$3183,MATCH(SMALL($V$4:$V$3183,670),$V$4:$V$3183,0)),""))</f>
        <v/>
      </c>
      <c r="O673">
        <f>IF(INDEX(Suivi!$B:$B,686)="","",INDEX(Suivi!$B:$B,686))</f>
        <v/>
      </c>
      <c r="P673">
        <f>IF($O673="","",IF(INDEX(Suivi!$D:$D,686)="",INDEX(Suivi!$C:$C,686),INDEX(Suivi!$D:$D,686)))</f>
        <v/>
      </c>
      <c r="Q673">
        <f>IF($O673="","",INDEX(Suivi!$E:$E,686))</f>
        <v/>
      </c>
      <c r="R673">
        <f>IF($O673="","",INDEX(Suivi!$F:$F,686))</f>
        <v/>
      </c>
      <c r="S673">
        <f>IF($O673="","",INDEX(Suivi!$G:$G,686))</f>
        <v/>
      </c>
      <c r="T673">
        <f>IF($O673="","",IF(INDEX(Dossiers!$F$4:$F$63,13)="","",INDEX(Dossiers!$F$4:$F$63,13)))</f>
        <v/>
      </c>
      <c r="U673">
        <f>IF($O673="","",IF(INDEX(Dossiers!$G$4:$G$63,13)="","",INDEX(Dossiers!$G$4:$G$63,13)))</f>
        <v/>
      </c>
      <c r="V673">
        <f>IF(OR($O673="",NOT(ISNUMBER($Q673))),"",$Q673*1000000+673)</f>
        <v/>
      </c>
      <c r="W673" s="29">
        <f>IF($B673="","",IFERROR(INDEX($U$4:$U$3183,MATCH(SMALL($V$4:$V$3183,670),$V$4:$V$3183,0)),""))</f>
        <v/>
      </c>
    </row>
    <row r="674">
      <c r="A674">
        <f>IFERROR(INDEX($N$4:$N$3183,MATCH(SMALL($V$4:$V$3183,671),$V$4:$V$3183,0)),"")</f>
        <v/>
      </c>
      <c r="B674">
        <f>IFERROR(INDEX($O$4:$O$3183,MATCH(SMALL($V$4:$V$3183,671),$V$4:$V$3183,0)),"")</f>
        <v/>
      </c>
      <c r="C674">
        <f>IFERROR(INDEX($P$4:$P$3183,MATCH(SMALL($V$4:$V$3183,671),$V$4:$V$3183,0)),"")</f>
        <v/>
      </c>
      <c r="D674" s="29">
        <f>IFERROR(INDEX($Q$4:$Q$3183,MATCH(SMALL($V$4:$V$3183,671),$V$4:$V$3183,0)),"")</f>
        <v/>
      </c>
      <c r="E674" s="29">
        <f>IFERROR(INDEX($R$4:$R$3183,MATCH(SMALL($V$4:$V$3183,671),$V$4:$V$3183,0)),"")</f>
        <v/>
      </c>
      <c r="F674">
        <f>IFERROR(INDEX($S$4:$S$3183,MATCH(SMALL($V$4:$V$3183,671),$V$4:$V$3183,0)),"")</f>
        <v/>
      </c>
      <c r="I674" s="29">
        <f>IF($B674="","",IFERROR(INDEX($U$4:$U$3183,MATCH(SMALL($V$4:$V$3183,671),$V$4:$V$3183,0)),""))</f>
        <v/>
      </c>
      <c r="J674">
        <f>IF($B674="","",IF($D674&gt;$F$2,"À venir",IF($E674&lt;$D$2,"Passé","Dans la période")))</f>
        <v/>
      </c>
      <c r="K674">
        <f>IF(OR($B674="",NOT(ISNUMBER($D674))),"",IF(AND($E674&lt;$D$2,$G674&lt;&gt;"X",$F674&lt;&gt;"Réalisé",$F674&lt;&gt;"Clôturé"),"RETARD",""))</f>
        <v/>
      </c>
      <c r="L674">
        <f>IF(OR($B674="",NOT(ISNUMBER($D674))),"",IF(AND($D674&gt;=$D$2,$D674&lt;=$H$2,$G674&lt;&gt;"X",$F674&lt;&gt;"Réalisé",$F674&lt;&gt;"Clôturé"),"≤ 7 j",""))</f>
        <v/>
      </c>
      <c r="M674" s="29">
        <f>IF($B674="","",IFERROR(INDEX($T$4:$T$3183,MATCH(SMALL($V$4:$V$3183,671),$V$4:$V$3183,0)),""))</f>
        <v/>
      </c>
      <c r="O674">
        <f>IF(INDEX(Suivi!$B:$B,687)="","",INDEX(Suivi!$B:$B,687))</f>
        <v/>
      </c>
      <c r="P674">
        <f>IF($O674="","",IF(INDEX(Suivi!$D:$D,687)="",INDEX(Suivi!$C:$C,687),INDEX(Suivi!$D:$D,687)))</f>
        <v/>
      </c>
      <c r="Q674">
        <f>IF($O674="","",INDEX(Suivi!$E:$E,687))</f>
        <v/>
      </c>
      <c r="R674">
        <f>IF($O674="","",INDEX(Suivi!$F:$F,687))</f>
        <v/>
      </c>
      <c r="S674">
        <f>IF($O674="","",INDEX(Suivi!$G:$G,687))</f>
        <v/>
      </c>
      <c r="T674">
        <f>IF($O674="","",IF(INDEX(Dossiers!$F$4:$F$63,13)="","",INDEX(Dossiers!$F$4:$F$63,13)))</f>
        <v/>
      </c>
      <c r="U674">
        <f>IF($O674="","",IF(INDEX(Dossiers!$G$4:$G$63,13)="","",INDEX(Dossiers!$G$4:$G$63,13)))</f>
        <v/>
      </c>
      <c r="V674">
        <f>IF(OR($O674="",NOT(ISNUMBER($Q674))),"",$Q674*1000000+674)</f>
        <v/>
      </c>
      <c r="W674" s="29">
        <f>IF($B674="","",IFERROR(INDEX($U$4:$U$3183,MATCH(SMALL($V$4:$V$3183,671),$V$4:$V$3183,0)),""))</f>
        <v/>
      </c>
    </row>
    <row r="675">
      <c r="A675">
        <f>IFERROR(INDEX($N$4:$N$3183,MATCH(SMALL($V$4:$V$3183,672),$V$4:$V$3183,0)),"")</f>
        <v/>
      </c>
      <c r="B675">
        <f>IFERROR(INDEX($O$4:$O$3183,MATCH(SMALL($V$4:$V$3183,672),$V$4:$V$3183,0)),"")</f>
        <v/>
      </c>
      <c r="C675">
        <f>IFERROR(INDEX($P$4:$P$3183,MATCH(SMALL($V$4:$V$3183,672),$V$4:$V$3183,0)),"")</f>
        <v/>
      </c>
      <c r="D675" s="29">
        <f>IFERROR(INDEX($Q$4:$Q$3183,MATCH(SMALL($V$4:$V$3183,672),$V$4:$V$3183,0)),"")</f>
        <v/>
      </c>
      <c r="E675" s="29">
        <f>IFERROR(INDEX($R$4:$R$3183,MATCH(SMALL($V$4:$V$3183,672),$V$4:$V$3183,0)),"")</f>
        <v/>
      </c>
      <c r="F675">
        <f>IFERROR(INDEX($S$4:$S$3183,MATCH(SMALL($V$4:$V$3183,672),$V$4:$V$3183,0)),"")</f>
        <v/>
      </c>
      <c r="I675" s="29">
        <f>IF($B675="","",IFERROR(INDEX($U$4:$U$3183,MATCH(SMALL($V$4:$V$3183,672),$V$4:$V$3183,0)),""))</f>
        <v/>
      </c>
      <c r="J675">
        <f>IF($B675="","",IF($D675&gt;$F$2,"À venir",IF($E675&lt;$D$2,"Passé","Dans la période")))</f>
        <v/>
      </c>
      <c r="K675">
        <f>IF(OR($B675="",NOT(ISNUMBER($D675))),"",IF(AND($E675&lt;$D$2,$G675&lt;&gt;"X",$F675&lt;&gt;"Réalisé",$F675&lt;&gt;"Clôturé"),"RETARD",""))</f>
        <v/>
      </c>
      <c r="L675">
        <f>IF(OR($B675="",NOT(ISNUMBER($D675))),"",IF(AND($D675&gt;=$D$2,$D675&lt;=$H$2,$G675&lt;&gt;"X",$F675&lt;&gt;"Réalisé",$F675&lt;&gt;"Clôturé"),"≤ 7 j",""))</f>
        <v/>
      </c>
      <c r="M675" s="29">
        <f>IF($B675="","",IFERROR(INDEX($T$4:$T$3183,MATCH(SMALL($V$4:$V$3183,672),$V$4:$V$3183,0)),""))</f>
        <v/>
      </c>
      <c r="O675">
        <f>IF(INDEX(Suivi!$B:$B,688)="","",INDEX(Suivi!$B:$B,688))</f>
        <v/>
      </c>
      <c r="P675">
        <f>IF($O675="","",IF(INDEX(Suivi!$D:$D,688)="",INDEX(Suivi!$C:$C,688),INDEX(Suivi!$D:$D,688)))</f>
        <v/>
      </c>
      <c r="Q675">
        <f>IF($O675="","",INDEX(Suivi!$E:$E,688))</f>
        <v/>
      </c>
      <c r="R675">
        <f>IF($O675="","",INDEX(Suivi!$F:$F,688))</f>
        <v/>
      </c>
      <c r="S675">
        <f>IF($O675="","",INDEX(Suivi!$G:$G,688))</f>
        <v/>
      </c>
      <c r="T675">
        <f>IF($O675="","",IF(INDEX(Dossiers!$F$4:$F$63,13)="","",INDEX(Dossiers!$F$4:$F$63,13)))</f>
        <v/>
      </c>
      <c r="U675">
        <f>IF($O675="","",IF(INDEX(Dossiers!$G$4:$G$63,13)="","",INDEX(Dossiers!$G$4:$G$63,13)))</f>
        <v/>
      </c>
      <c r="V675">
        <f>IF(OR($O675="",NOT(ISNUMBER($Q675))),"",$Q675*1000000+675)</f>
        <v/>
      </c>
      <c r="W675" s="29">
        <f>IF($B675="","",IFERROR(INDEX($U$4:$U$3183,MATCH(SMALL($V$4:$V$3183,672),$V$4:$V$3183,0)),""))</f>
        <v/>
      </c>
    </row>
    <row r="676">
      <c r="A676">
        <f>IFERROR(INDEX($N$4:$N$3183,MATCH(SMALL($V$4:$V$3183,673),$V$4:$V$3183,0)),"")</f>
        <v/>
      </c>
      <c r="B676">
        <f>IFERROR(INDEX($O$4:$O$3183,MATCH(SMALL($V$4:$V$3183,673),$V$4:$V$3183,0)),"")</f>
        <v/>
      </c>
      <c r="C676">
        <f>IFERROR(INDEX($P$4:$P$3183,MATCH(SMALL($V$4:$V$3183,673),$V$4:$V$3183,0)),"")</f>
        <v/>
      </c>
      <c r="D676" s="29">
        <f>IFERROR(INDEX($Q$4:$Q$3183,MATCH(SMALL($V$4:$V$3183,673),$V$4:$V$3183,0)),"")</f>
        <v/>
      </c>
      <c r="E676" s="29">
        <f>IFERROR(INDEX($R$4:$R$3183,MATCH(SMALL($V$4:$V$3183,673),$V$4:$V$3183,0)),"")</f>
        <v/>
      </c>
      <c r="F676">
        <f>IFERROR(INDEX($S$4:$S$3183,MATCH(SMALL($V$4:$V$3183,673),$V$4:$V$3183,0)),"")</f>
        <v/>
      </c>
      <c r="I676" s="29">
        <f>IF($B676="","",IFERROR(INDEX($U$4:$U$3183,MATCH(SMALL($V$4:$V$3183,673),$V$4:$V$3183,0)),""))</f>
        <v/>
      </c>
      <c r="J676">
        <f>IF($B676="","",IF($D676&gt;$F$2,"À venir",IF($E676&lt;$D$2,"Passé","Dans la période")))</f>
        <v/>
      </c>
      <c r="K676">
        <f>IF(OR($B676="",NOT(ISNUMBER($D676))),"",IF(AND($E676&lt;$D$2,$G676&lt;&gt;"X",$F676&lt;&gt;"Réalisé",$F676&lt;&gt;"Clôturé"),"RETARD",""))</f>
        <v/>
      </c>
      <c r="L676">
        <f>IF(OR($B676="",NOT(ISNUMBER($D676))),"",IF(AND($D676&gt;=$D$2,$D676&lt;=$H$2,$G676&lt;&gt;"X",$F676&lt;&gt;"Réalisé",$F676&lt;&gt;"Clôturé"),"≤ 7 j",""))</f>
        <v/>
      </c>
      <c r="M676" s="29">
        <f>IF($B676="","",IFERROR(INDEX($T$4:$T$3183,MATCH(SMALL($V$4:$V$3183,673),$V$4:$V$3183,0)),""))</f>
        <v/>
      </c>
      <c r="O676">
        <f>IF(INDEX(Suivi!$B:$B,689)="","",INDEX(Suivi!$B:$B,689))</f>
        <v/>
      </c>
      <c r="P676">
        <f>IF($O676="","",IF(INDEX(Suivi!$D:$D,689)="",INDEX(Suivi!$C:$C,689),INDEX(Suivi!$D:$D,689)))</f>
        <v/>
      </c>
      <c r="Q676">
        <f>IF($O676="","",INDEX(Suivi!$E:$E,689))</f>
        <v/>
      </c>
      <c r="R676">
        <f>IF($O676="","",INDEX(Suivi!$F:$F,689))</f>
        <v/>
      </c>
      <c r="S676">
        <f>IF($O676="","",INDEX(Suivi!$G:$G,689))</f>
        <v/>
      </c>
      <c r="T676">
        <f>IF($O676="","",IF(INDEX(Dossiers!$F$4:$F$63,13)="","",INDEX(Dossiers!$F$4:$F$63,13)))</f>
        <v/>
      </c>
      <c r="U676">
        <f>IF($O676="","",IF(INDEX(Dossiers!$G$4:$G$63,13)="","",INDEX(Dossiers!$G$4:$G$63,13)))</f>
        <v/>
      </c>
      <c r="V676">
        <f>IF(OR($O676="",NOT(ISNUMBER($Q676))),"",$Q676*1000000+676)</f>
        <v/>
      </c>
      <c r="W676" s="29">
        <f>IF($B676="","",IFERROR(INDEX($U$4:$U$3183,MATCH(SMALL($V$4:$V$3183,673),$V$4:$V$3183,0)),""))</f>
        <v/>
      </c>
    </row>
    <row r="677">
      <c r="A677">
        <f>IFERROR(INDEX($N$4:$N$3183,MATCH(SMALL($V$4:$V$3183,674),$V$4:$V$3183,0)),"")</f>
        <v/>
      </c>
      <c r="B677">
        <f>IFERROR(INDEX($O$4:$O$3183,MATCH(SMALL($V$4:$V$3183,674),$V$4:$V$3183,0)),"")</f>
        <v/>
      </c>
      <c r="C677">
        <f>IFERROR(INDEX($P$4:$P$3183,MATCH(SMALL($V$4:$V$3183,674),$V$4:$V$3183,0)),"")</f>
        <v/>
      </c>
      <c r="D677" s="29">
        <f>IFERROR(INDEX($Q$4:$Q$3183,MATCH(SMALL($V$4:$V$3183,674),$V$4:$V$3183,0)),"")</f>
        <v/>
      </c>
      <c r="E677" s="29">
        <f>IFERROR(INDEX($R$4:$R$3183,MATCH(SMALL($V$4:$V$3183,674),$V$4:$V$3183,0)),"")</f>
        <v/>
      </c>
      <c r="F677">
        <f>IFERROR(INDEX($S$4:$S$3183,MATCH(SMALL($V$4:$V$3183,674),$V$4:$V$3183,0)),"")</f>
        <v/>
      </c>
      <c r="I677" s="29">
        <f>IF($B677="","",IFERROR(INDEX($U$4:$U$3183,MATCH(SMALL($V$4:$V$3183,674),$V$4:$V$3183,0)),""))</f>
        <v/>
      </c>
      <c r="J677">
        <f>IF($B677="","",IF($D677&gt;$F$2,"À venir",IF($E677&lt;$D$2,"Passé","Dans la période")))</f>
        <v/>
      </c>
      <c r="K677">
        <f>IF(OR($B677="",NOT(ISNUMBER($D677))),"",IF(AND($E677&lt;$D$2,$G677&lt;&gt;"X",$F677&lt;&gt;"Réalisé",$F677&lt;&gt;"Clôturé"),"RETARD",""))</f>
        <v/>
      </c>
      <c r="L677">
        <f>IF(OR($B677="",NOT(ISNUMBER($D677))),"",IF(AND($D677&gt;=$D$2,$D677&lt;=$H$2,$G677&lt;&gt;"X",$F677&lt;&gt;"Réalisé",$F677&lt;&gt;"Clôturé"),"≤ 7 j",""))</f>
        <v/>
      </c>
      <c r="M677" s="29">
        <f>IF($B677="","",IFERROR(INDEX($T$4:$T$3183,MATCH(SMALL($V$4:$V$3183,674),$V$4:$V$3183,0)),""))</f>
        <v/>
      </c>
      <c r="O677">
        <f>IF(INDEX(Suivi!$B:$B,690)="","",INDEX(Suivi!$B:$B,690))</f>
        <v/>
      </c>
      <c r="P677">
        <f>IF($O677="","",IF(INDEX(Suivi!$D:$D,690)="",INDEX(Suivi!$C:$C,690),INDEX(Suivi!$D:$D,690)))</f>
        <v/>
      </c>
      <c r="Q677">
        <f>IF($O677="","",INDEX(Suivi!$E:$E,690))</f>
        <v/>
      </c>
      <c r="R677">
        <f>IF($O677="","",INDEX(Suivi!$F:$F,690))</f>
        <v/>
      </c>
      <c r="S677">
        <f>IF($O677="","",INDEX(Suivi!$G:$G,690))</f>
        <v/>
      </c>
      <c r="T677">
        <f>IF($O677="","",IF(INDEX(Dossiers!$F$4:$F$63,13)="","",INDEX(Dossiers!$F$4:$F$63,13)))</f>
        <v/>
      </c>
      <c r="U677">
        <f>IF($O677="","",IF(INDEX(Dossiers!$G$4:$G$63,13)="","",INDEX(Dossiers!$G$4:$G$63,13)))</f>
        <v/>
      </c>
      <c r="V677">
        <f>IF(OR($O677="",NOT(ISNUMBER($Q677))),"",$Q677*1000000+677)</f>
        <v/>
      </c>
      <c r="W677" s="29">
        <f>IF($B677="","",IFERROR(INDEX($U$4:$U$3183,MATCH(SMALL($V$4:$V$3183,674),$V$4:$V$3183,0)),""))</f>
        <v/>
      </c>
    </row>
    <row r="678">
      <c r="A678">
        <f>IFERROR(INDEX($N$4:$N$3183,MATCH(SMALL($V$4:$V$3183,675),$V$4:$V$3183,0)),"")</f>
        <v/>
      </c>
      <c r="B678">
        <f>IFERROR(INDEX($O$4:$O$3183,MATCH(SMALL($V$4:$V$3183,675),$V$4:$V$3183,0)),"")</f>
        <v/>
      </c>
      <c r="C678">
        <f>IFERROR(INDEX($P$4:$P$3183,MATCH(SMALL($V$4:$V$3183,675),$V$4:$V$3183,0)),"")</f>
        <v/>
      </c>
      <c r="D678" s="29">
        <f>IFERROR(INDEX($Q$4:$Q$3183,MATCH(SMALL($V$4:$V$3183,675),$V$4:$V$3183,0)),"")</f>
        <v/>
      </c>
      <c r="E678" s="29">
        <f>IFERROR(INDEX($R$4:$R$3183,MATCH(SMALL($V$4:$V$3183,675),$V$4:$V$3183,0)),"")</f>
        <v/>
      </c>
      <c r="F678">
        <f>IFERROR(INDEX($S$4:$S$3183,MATCH(SMALL($V$4:$V$3183,675),$V$4:$V$3183,0)),"")</f>
        <v/>
      </c>
      <c r="I678" s="29">
        <f>IF($B678="","",IFERROR(INDEX($U$4:$U$3183,MATCH(SMALL($V$4:$V$3183,675),$V$4:$V$3183,0)),""))</f>
        <v/>
      </c>
      <c r="J678">
        <f>IF($B678="","",IF($D678&gt;$F$2,"À venir",IF($E678&lt;$D$2,"Passé","Dans la période")))</f>
        <v/>
      </c>
      <c r="K678">
        <f>IF(OR($B678="",NOT(ISNUMBER($D678))),"",IF(AND($E678&lt;$D$2,$G678&lt;&gt;"X",$F678&lt;&gt;"Réalisé",$F678&lt;&gt;"Clôturé"),"RETARD",""))</f>
        <v/>
      </c>
      <c r="L678">
        <f>IF(OR($B678="",NOT(ISNUMBER($D678))),"",IF(AND($D678&gt;=$D$2,$D678&lt;=$H$2,$G678&lt;&gt;"X",$F678&lt;&gt;"Réalisé",$F678&lt;&gt;"Clôturé"),"≤ 7 j",""))</f>
        <v/>
      </c>
      <c r="M678" s="29">
        <f>IF($B678="","",IFERROR(INDEX($T$4:$T$3183,MATCH(SMALL($V$4:$V$3183,675),$V$4:$V$3183,0)),""))</f>
        <v/>
      </c>
      <c r="O678">
        <f>IF(INDEX(Suivi!$B:$B,691)="","",INDEX(Suivi!$B:$B,691))</f>
        <v/>
      </c>
      <c r="P678">
        <f>IF($O678="","",IF(INDEX(Suivi!$D:$D,691)="",INDEX(Suivi!$C:$C,691),INDEX(Suivi!$D:$D,691)))</f>
        <v/>
      </c>
      <c r="Q678">
        <f>IF($O678="","",INDEX(Suivi!$E:$E,691))</f>
        <v/>
      </c>
      <c r="R678">
        <f>IF($O678="","",INDEX(Suivi!$F:$F,691))</f>
        <v/>
      </c>
      <c r="S678">
        <f>IF($O678="","",INDEX(Suivi!$G:$G,691))</f>
        <v/>
      </c>
      <c r="T678">
        <f>IF($O678="","",IF(INDEX(Dossiers!$F$4:$F$63,13)="","",INDEX(Dossiers!$F$4:$F$63,13)))</f>
        <v/>
      </c>
      <c r="U678">
        <f>IF($O678="","",IF(INDEX(Dossiers!$G$4:$G$63,13)="","",INDEX(Dossiers!$G$4:$G$63,13)))</f>
        <v/>
      </c>
      <c r="V678">
        <f>IF(OR($O678="",NOT(ISNUMBER($Q678))),"",$Q678*1000000+678)</f>
        <v/>
      </c>
      <c r="W678" s="29">
        <f>IF($B678="","",IFERROR(INDEX($U$4:$U$3183,MATCH(SMALL($V$4:$V$3183,675),$V$4:$V$3183,0)),""))</f>
        <v/>
      </c>
    </row>
    <row r="679">
      <c r="A679">
        <f>IFERROR(INDEX($N$4:$N$3183,MATCH(SMALL($V$4:$V$3183,676),$V$4:$V$3183,0)),"")</f>
        <v/>
      </c>
      <c r="B679">
        <f>IFERROR(INDEX($O$4:$O$3183,MATCH(SMALL($V$4:$V$3183,676),$V$4:$V$3183,0)),"")</f>
        <v/>
      </c>
      <c r="C679">
        <f>IFERROR(INDEX($P$4:$P$3183,MATCH(SMALL($V$4:$V$3183,676),$V$4:$V$3183,0)),"")</f>
        <v/>
      </c>
      <c r="D679" s="29">
        <f>IFERROR(INDEX($Q$4:$Q$3183,MATCH(SMALL($V$4:$V$3183,676),$V$4:$V$3183,0)),"")</f>
        <v/>
      </c>
      <c r="E679" s="29">
        <f>IFERROR(INDEX($R$4:$R$3183,MATCH(SMALL($V$4:$V$3183,676),$V$4:$V$3183,0)),"")</f>
        <v/>
      </c>
      <c r="F679">
        <f>IFERROR(INDEX($S$4:$S$3183,MATCH(SMALL($V$4:$V$3183,676),$V$4:$V$3183,0)),"")</f>
        <v/>
      </c>
      <c r="I679" s="29">
        <f>IF($B679="","",IFERROR(INDEX($U$4:$U$3183,MATCH(SMALL($V$4:$V$3183,676),$V$4:$V$3183,0)),""))</f>
        <v/>
      </c>
      <c r="J679">
        <f>IF($B679="","",IF($D679&gt;$F$2,"À venir",IF($E679&lt;$D$2,"Passé","Dans la période")))</f>
        <v/>
      </c>
      <c r="K679">
        <f>IF(OR($B679="",NOT(ISNUMBER($D679))),"",IF(AND($E679&lt;$D$2,$G679&lt;&gt;"X",$F679&lt;&gt;"Réalisé",$F679&lt;&gt;"Clôturé"),"RETARD",""))</f>
        <v/>
      </c>
      <c r="L679">
        <f>IF(OR($B679="",NOT(ISNUMBER($D679))),"",IF(AND($D679&gt;=$D$2,$D679&lt;=$H$2,$G679&lt;&gt;"X",$F679&lt;&gt;"Réalisé",$F679&lt;&gt;"Clôturé"),"≤ 7 j",""))</f>
        <v/>
      </c>
      <c r="M679" s="29">
        <f>IF($B679="","",IFERROR(INDEX($T$4:$T$3183,MATCH(SMALL($V$4:$V$3183,676),$V$4:$V$3183,0)),""))</f>
        <v/>
      </c>
      <c r="O679">
        <f>IF(INDEX(Suivi!$B:$B,692)="","",INDEX(Suivi!$B:$B,692))</f>
        <v/>
      </c>
      <c r="P679">
        <f>IF($O679="","",IF(INDEX(Suivi!$D:$D,692)="",INDEX(Suivi!$C:$C,692),INDEX(Suivi!$D:$D,692)))</f>
        <v/>
      </c>
      <c r="Q679">
        <f>IF($O679="","",INDEX(Suivi!$E:$E,692))</f>
        <v/>
      </c>
      <c r="R679">
        <f>IF($O679="","",INDEX(Suivi!$F:$F,692))</f>
        <v/>
      </c>
      <c r="S679">
        <f>IF($O679="","",INDEX(Suivi!$G:$G,692))</f>
        <v/>
      </c>
      <c r="T679">
        <f>IF($O679="","",IF(INDEX(Dossiers!$F$4:$F$63,13)="","",INDEX(Dossiers!$F$4:$F$63,13)))</f>
        <v/>
      </c>
      <c r="U679">
        <f>IF($O679="","",IF(INDEX(Dossiers!$G$4:$G$63,13)="","",INDEX(Dossiers!$G$4:$G$63,13)))</f>
        <v/>
      </c>
      <c r="V679">
        <f>IF(OR($O679="",NOT(ISNUMBER($Q679))),"",$Q679*1000000+679)</f>
        <v/>
      </c>
      <c r="W679" s="29">
        <f>IF($B679="","",IFERROR(INDEX($U$4:$U$3183,MATCH(SMALL($V$4:$V$3183,676),$V$4:$V$3183,0)),""))</f>
        <v/>
      </c>
    </row>
    <row r="680">
      <c r="A680">
        <f>IFERROR(INDEX($N$4:$N$3183,MATCH(SMALL($V$4:$V$3183,677),$V$4:$V$3183,0)),"")</f>
        <v/>
      </c>
      <c r="B680">
        <f>IFERROR(INDEX($O$4:$O$3183,MATCH(SMALL($V$4:$V$3183,677),$V$4:$V$3183,0)),"")</f>
        <v/>
      </c>
      <c r="C680">
        <f>IFERROR(INDEX($P$4:$P$3183,MATCH(SMALL($V$4:$V$3183,677),$V$4:$V$3183,0)),"")</f>
        <v/>
      </c>
      <c r="D680" s="29">
        <f>IFERROR(INDEX($Q$4:$Q$3183,MATCH(SMALL($V$4:$V$3183,677),$V$4:$V$3183,0)),"")</f>
        <v/>
      </c>
      <c r="E680" s="29">
        <f>IFERROR(INDEX($R$4:$R$3183,MATCH(SMALL($V$4:$V$3183,677),$V$4:$V$3183,0)),"")</f>
        <v/>
      </c>
      <c r="F680">
        <f>IFERROR(INDEX($S$4:$S$3183,MATCH(SMALL($V$4:$V$3183,677),$V$4:$V$3183,0)),"")</f>
        <v/>
      </c>
      <c r="I680" s="29">
        <f>IF($B680="","",IFERROR(INDEX($U$4:$U$3183,MATCH(SMALL($V$4:$V$3183,677),$V$4:$V$3183,0)),""))</f>
        <v/>
      </c>
      <c r="J680">
        <f>IF($B680="","",IF($D680&gt;$F$2,"À venir",IF($E680&lt;$D$2,"Passé","Dans la période")))</f>
        <v/>
      </c>
      <c r="K680">
        <f>IF(OR($B680="",NOT(ISNUMBER($D680))),"",IF(AND($E680&lt;$D$2,$G680&lt;&gt;"X",$F680&lt;&gt;"Réalisé",$F680&lt;&gt;"Clôturé"),"RETARD",""))</f>
        <v/>
      </c>
      <c r="L680">
        <f>IF(OR($B680="",NOT(ISNUMBER($D680))),"",IF(AND($D680&gt;=$D$2,$D680&lt;=$H$2,$G680&lt;&gt;"X",$F680&lt;&gt;"Réalisé",$F680&lt;&gt;"Clôturé"),"≤ 7 j",""))</f>
        <v/>
      </c>
      <c r="M680" s="29">
        <f>IF($B680="","",IFERROR(INDEX($T$4:$T$3183,MATCH(SMALL($V$4:$V$3183,677),$V$4:$V$3183,0)),""))</f>
        <v/>
      </c>
      <c r="O680">
        <f>IF(INDEX(Suivi!$B:$B,693)="","",INDEX(Suivi!$B:$B,693))</f>
        <v/>
      </c>
      <c r="P680">
        <f>IF($O680="","",IF(INDEX(Suivi!$D:$D,693)="",INDEX(Suivi!$C:$C,693),INDEX(Suivi!$D:$D,693)))</f>
        <v/>
      </c>
      <c r="Q680">
        <f>IF($O680="","",INDEX(Suivi!$E:$E,693))</f>
        <v/>
      </c>
      <c r="R680">
        <f>IF($O680="","",INDEX(Suivi!$F:$F,693))</f>
        <v/>
      </c>
      <c r="S680">
        <f>IF($O680="","",INDEX(Suivi!$G:$G,693))</f>
        <v/>
      </c>
      <c r="T680">
        <f>IF($O680="","",IF(INDEX(Dossiers!$F$4:$F$63,13)="","",INDEX(Dossiers!$F$4:$F$63,13)))</f>
        <v/>
      </c>
      <c r="U680">
        <f>IF($O680="","",IF(INDEX(Dossiers!$G$4:$G$63,13)="","",INDEX(Dossiers!$G$4:$G$63,13)))</f>
        <v/>
      </c>
      <c r="V680">
        <f>IF(OR($O680="",NOT(ISNUMBER($Q680))),"",$Q680*1000000+680)</f>
        <v/>
      </c>
      <c r="W680" s="29">
        <f>IF($B680="","",IFERROR(INDEX($U$4:$U$3183,MATCH(SMALL($V$4:$V$3183,677),$V$4:$V$3183,0)),""))</f>
        <v/>
      </c>
    </row>
    <row r="681">
      <c r="A681">
        <f>IFERROR(INDEX($N$4:$N$3183,MATCH(SMALL($V$4:$V$3183,678),$V$4:$V$3183,0)),"")</f>
        <v/>
      </c>
      <c r="B681">
        <f>IFERROR(INDEX($O$4:$O$3183,MATCH(SMALL($V$4:$V$3183,678),$V$4:$V$3183,0)),"")</f>
        <v/>
      </c>
      <c r="C681">
        <f>IFERROR(INDEX($P$4:$P$3183,MATCH(SMALL($V$4:$V$3183,678),$V$4:$V$3183,0)),"")</f>
        <v/>
      </c>
      <c r="D681" s="29">
        <f>IFERROR(INDEX($Q$4:$Q$3183,MATCH(SMALL($V$4:$V$3183,678),$V$4:$V$3183,0)),"")</f>
        <v/>
      </c>
      <c r="E681" s="29">
        <f>IFERROR(INDEX($R$4:$R$3183,MATCH(SMALL($V$4:$V$3183,678),$V$4:$V$3183,0)),"")</f>
        <v/>
      </c>
      <c r="F681">
        <f>IFERROR(INDEX($S$4:$S$3183,MATCH(SMALL($V$4:$V$3183,678),$V$4:$V$3183,0)),"")</f>
        <v/>
      </c>
      <c r="I681" s="29">
        <f>IF($B681="","",IFERROR(INDEX($U$4:$U$3183,MATCH(SMALL($V$4:$V$3183,678),$V$4:$V$3183,0)),""))</f>
        <v/>
      </c>
      <c r="J681">
        <f>IF($B681="","",IF($D681&gt;$F$2,"À venir",IF($E681&lt;$D$2,"Passé","Dans la période")))</f>
        <v/>
      </c>
      <c r="K681">
        <f>IF(OR($B681="",NOT(ISNUMBER($D681))),"",IF(AND($E681&lt;$D$2,$G681&lt;&gt;"X",$F681&lt;&gt;"Réalisé",$F681&lt;&gt;"Clôturé"),"RETARD",""))</f>
        <v/>
      </c>
      <c r="L681">
        <f>IF(OR($B681="",NOT(ISNUMBER($D681))),"",IF(AND($D681&gt;=$D$2,$D681&lt;=$H$2,$G681&lt;&gt;"X",$F681&lt;&gt;"Réalisé",$F681&lt;&gt;"Clôturé"),"≤ 7 j",""))</f>
        <v/>
      </c>
      <c r="M681" s="29">
        <f>IF($B681="","",IFERROR(INDEX($T$4:$T$3183,MATCH(SMALL($V$4:$V$3183,678),$V$4:$V$3183,0)),""))</f>
        <v/>
      </c>
      <c r="O681">
        <f>IF(INDEX(Suivi!$B:$B,694)="","",INDEX(Suivi!$B:$B,694))</f>
        <v/>
      </c>
      <c r="P681">
        <f>IF($O681="","",IF(INDEX(Suivi!$D:$D,694)="",INDEX(Suivi!$C:$C,694),INDEX(Suivi!$D:$D,694)))</f>
        <v/>
      </c>
      <c r="Q681">
        <f>IF($O681="","",INDEX(Suivi!$E:$E,694))</f>
        <v/>
      </c>
      <c r="R681">
        <f>IF($O681="","",INDEX(Suivi!$F:$F,694))</f>
        <v/>
      </c>
      <c r="S681">
        <f>IF($O681="","",INDEX(Suivi!$G:$G,694))</f>
        <v/>
      </c>
      <c r="T681">
        <f>IF($O681="","",IF(INDEX(Dossiers!$F$4:$F$63,13)="","",INDEX(Dossiers!$F$4:$F$63,13)))</f>
        <v/>
      </c>
      <c r="U681">
        <f>IF($O681="","",IF(INDEX(Dossiers!$G$4:$G$63,13)="","",INDEX(Dossiers!$G$4:$G$63,13)))</f>
        <v/>
      </c>
      <c r="V681">
        <f>IF(OR($O681="",NOT(ISNUMBER($Q681))),"",$Q681*1000000+681)</f>
        <v/>
      </c>
      <c r="W681" s="29">
        <f>IF($B681="","",IFERROR(INDEX($U$4:$U$3183,MATCH(SMALL($V$4:$V$3183,678),$V$4:$V$3183,0)),""))</f>
        <v/>
      </c>
    </row>
    <row r="682">
      <c r="A682">
        <f>IFERROR(INDEX($N$4:$N$3183,MATCH(SMALL($V$4:$V$3183,679),$V$4:$V$3183,0)),"")</f>
        <v/>
      </c>
      <c r="B682">
        <f>IFERROR(INDEX($O$4:$O$3183,MATCH(SMALL($V$4:$V$3183,679),$V$4:$V$3183,0)),"")</f>
        <v/>
      </c>
      <c r="C682">
        <f>IFERROR(INDEX($P$4:$P$3183,MATCH(SMALL($V$4:$V$3183,679),$V$4:$V$3183,0)),"")</f>
        <v/>
      </c>
      <c r="D682" s="29">
        <f>IFERROR(INDEX($Q$4:$Q$3183,MATCH(SMALL($V$4:$V$3183,679),$V$4:$V$3183,0)),"")</f>
        <v/>
      </c>
      <c r="E682" s="29">
        <f>IFERROR(INDEX($R$4:$R$3183,MATCH(SMALL($V$4:$V$3183,679),$V$4:$V$3183,0)),"")</f>
        <v/>
      </c>
      <c r="F682">
        <f>IFERROR(INDEX($S$4:$S$3183,MATCH(SMALL($V$4:$V$3183,679),$V$4:$V$3183,0)),"")</f>
        <v/>
      </c>
      <c r="I682" s="29">
        <f>IF($B682="","",IFERROR(INDEX($U$4:$U$3183,MATCH(SMALL($V$4:$V$3183,679),$V$4:$V$3183,0)),""))</f>
        <v/>
      </c>
      <c r="J682">
        <f>IF($B682="","",IF($D682&gt;$F$2,"À venir",IF($E682&lt;$D$2,"Passé","Dans la période")))</f>
        <v/>
      </c>
      <c r="K682">
        <f>IF(OR($B682="",NOT(ISNUMBER($D682))),"",IF(AND($E682&lt;$D$2,$G682&lt;&gt;"X",$F682&lt;&gt;"Réalisé",$F682&lt;&gt;"Clôturé"),"RETARD",""))</f>
        <v/>
      </c>
      <c r="L682">
        <f>IF(OR($B682="",NOT(ISNUMBER($D682))),"",IF(AND($D682&gt;=$D$2,$D682&lt;=$H$2,$G682&lt;&gt;"X",$F682&lt;&gt;"Réalisé",$F682&lt;&gt;"Clôturé"),"≤ 7 j",""))</f>
        <v/>
      </c>
      <c r="M682" s="29">
        <f>IF($B682="","",IFERROR(INDEX($T$4:$T$3183,MATCH(SMALL($V$4:$V$3183,679),$V$4:$V$3183,0)),""))</f>
        <v/>
      </c>
      <c r="O682">
        <f>IF(INDEX(Suivi!$B:$B,695)="","",INDEX(Suivi!$B:$B,695))</f>
        <v/>
      </c>
      <c r="P682">
        <f>IF($O682="","",IF(INDEX(Suivi!$D:$D,695)="",INDEX(Suivi!$C:$C,695),INDEX(Suivi!$D:$D,695)))</f>
        <v/>
      </c>
      <c r="Q682">
        <f>IF($O682="","",INDEX(Suivi!$E:$E,695))</f>
        <v/>
      </c>
      <c r="R682">
        <f>IF($O682="","",INDEX(Suivi!$F:$F,695))</f>
        <v/>
      </c>
      <c r="S682">
        <f>IF($O682="","",INDEX(Suivi!$G:$G,695))</f>
        <v/>
      </c>
      <c r="T682">
        <f>IF($O682="","",IF(INDEX(Dossiers!$F$4:$F$63,13)="","",INDEX(Dossiers!$F$4:$F$63,13)))</f>
        <v/>
      </c>
      <c r="U682">
        <f>IF($O682="","",IF(INDEX(Dossiers!$G$4:$G$63,13)="","",INDEX(Dossiers!$G$4:$G$63,13)))</f>
        <v/>
      </c>
      <c r="V682">
        <f>IF(OR($O682="",NOT(ISNUMBER($Q682))),"",$Q682*1000000+682)</f>
        <v/>
      </c>
      <c r="W682" s="29">
        <f>IF($B682="","",IFERROR(INDEX($U$4:$U$3183,MATCH(SMALL($V$4:$V$3183,679),$V$4:$V$3183,0)),""))</f>
        <v/>
      </c>
    </row>
    <row r="683">
      <c r="A683">
        <f>IFERROR(INDEX($N$4:$N$3183,MATCH(SMALL($V$4:$V$3183,680),$V$4:$V$3183,0)),"")</f>
        <v/>
      </c>
      <c r="B683">
        <f>IFERROR(INDEX($O$4:$O$3183,MATCH(SMALL($V$4:$V$3183,680),$V$4:$V$3183,0)),"")</f>
        <v/>
      </c>
      <c r="C683">
        <f>IFERROR(INDEX($P$4:$P$3183,MATCH(SMALL($V$4:$V$3183,680),$V$4:$V$3183,0)),"")</f>
        <v/>
      </c>
      <c r="D683" s="29">
        <f>IFERROR(INDEX($Q$4:$Q$3183,MATCH(SMALL($V$4:$V$3183,680),$V$4:$V$3183,0)),"")</f>
        <v/>
      </c>
      <c r="E683" s="29">
        <f>IFERROR(INDEX($R$4:$R$3183,MATCH(SMALL($V$4:$V$3183,680),$V$4:$V$3183,0)),"")</f>
        <v/>
      </c>
      <c r="F683">
        <f>IFERROR(INDEX($S$4:$S$3183,MATCH(SMALL($V$4:$V$3183,680),$V$4:$V$3183,0)),"")</f>
        <v/>
      </c>
      <c r="I683" s="29">
        <f>IF($B683="","",IFERROR(INDEX($U$4:$U$3183,MATCH(SMALL($V$4:$V$3183,680),$V$4:$V$3183,0)),""))</f>
        <v/>
      </c>
      <c r="J683">
        <f>IF($B683="","",IF($D683&gt;$F$2,"À venir",IF($E683&lt;$D$2,"Passé","Dans la période")))</f>
        <v/>
      </c>
      <c r="K683">
        <f>IF(OR($B683="",NOT(ISNUMBER($D683))),"",IF(AND($E683&lt;$D$2,$G683&lt;&gt;"X",$F683&lt;&gt;"Réalisé",$F683&lt;&gt;"Clôturé"),"RETARD",""))</f>
        <v/>
      </c>
      <c r="L683">
        <f>IF(OR($B683="",NOT(ISNUMBER($D683))),"",IF(AND($D683&gt;=$D$2,$D683&lt;=$H$2,$G683&lt;&gt;"X",$F683&lt;&gt;"Réalisé",$F683&lt;&gt;"Clôturé"),"≤ 7 j",""))</f>
        <v/>
      </c>
      <c r="M683" s="29">
        <f>IF($B683="","",IFERROR(INDEX($T$4:$T$3183,MATCH(SMALL($V$4:$V$3183,680),$V$4:$V$3183,0)),""))</f>
        <v/>
      </c>
      <c r="O683">
        <f>IF(INDEX(Suivi!$B:$B,696)="","",INDEX(Suivi!$B:$B,696))</f>
        <v/>
      </c>
      <c r="P683">
        <f>IF($O683="","",IF(INDEX(Suivi!$D:$D,696)="",INDEX(Suivi!$C:$C,696),INDEX(Suivi!$D:$D,696)))</f>
        <v/>
      </c>
      <c r="Q683">
        <f>IF($O683="","",INDEX(Suivi!$E:$E,696))</f>
        <v/>
      </c>
      <c r="R683">
        <f>IF($O683="","",INDEX(Suivi!$F:$F,696))</f>
        <v/>
      </c>
      <c r="S683">
        <f>IF($O683="","",INDEX(Suivi!$G:$G,696))</f>
        <v/>
      </c>
      <c r="T683">
        <f>IF($O683="","",IF(INDEX(Dossiers!$F$4:$F$63,13)="","",INDEX(Dossiers!$F$4:$F$63,13)))</f>
        <v/>
      </c>
      <c r="U683">
        <f>IF($O683="","",IF(INDEX(Dossiers!$G$4:$G$63,13)="","",INDEX(Dossiers!$G$4:$G$63,13)))</f>
        <v/>
      </c>
      <c r="V683">
        <f>IF(OR($O683="",NOT(ISNUMBER($Q683))),"",$Q683*1000000+683)</f>
        <v/>
      </c>
      <c r="W683" s="29">
        <f>IF($B683="","",IFERROR(INDEX($U$4:$U$3183,MATCH(SMALL($V$4:$V$3183,680),$V$4:$V$3183,0)),""))</f>
        <v/>
      </c>
    </row>
    <row r="684">
      <c r="A684">
        <f>IFERROR(INDEX($N$4:$N$3183,MATCH(SMALL($V$4:$V$3183,681),$V$4:$V$3183,0)),"")</f>
        <v/>
      </c>
      <c r="B684">
        <f>IFERROR(INDEX($O$4:$O$3183,MATCH(SMALL($V$4:$V$3183,681),$V$4:$V$3183,0)),"")</f>
        <v/>
      </c>
      <c r="C684">
        <f>IFERROR(INDEX($P$4:$P$3183,MATCH(SMALL($V$4:$V$3183,681),$V$4:$V$3183,0)),"")</f>
        <v/>
      </c>
      <c r="D684" s="29">
        <f>IFERROR(INDEX($Q$4:$Q$3183,MATCH(SMALL($V$4:$V$3183,681),$V$4:$V$3183,0)),"")</f>
        <v/>
      </c>
      <c r="E684" s="29">
        <f>IFERROR(INDEX($R$4:$R$3183,MATCH(SMALL($V$4:$V$3183,681),$V$4:$V$3183,0)),"")</f>
        <v/>
      </c>
      <c r="F684">
        <f>IFERROR(INDEX($S$4:$S$3183,MATCH(SMALL($V$4:$V$3183,681),$V$4:$V$3183,0)),"")</f>
        <v/>
      </c>
      <c r="I684" s="29">
        <f>IF($B684="","",IFERROR(INDEX($U$4:$U$3183,MATCH(SMALL($V$4:$V$3183,681),$V$4:$V$3183,0)),""))</f>
        <v/>
      </c>
      <c r="J684">
        <f>IF($B684="","",IF($D684&gt;$F$2,"À venir",IF($E684&lt;$D$2,"Passé","Dans la période")))</f>
        <v/>
      </c>
      <c r="K684">
        <f>IF(OR($B684="",NOT(ISNUMBER($D684))),"",IF(AND($E684&lt;$D$2,$G684&lt;&gt;"X",$F684&lt;&gt;"Réalisé",$F684&lt;&gt;"Clôturé"),"RETARD",""))</f>
        <v/>
      </c>
      <c r="L684">
        <f>IF(OR($B684="",NOT(ISNUMBER($D684))),"",IF(AND($D684&gt;=$D$2,$D684&lt;=$H$2,$G684&lt;&gt;"X",$F684&lt;&gt;"Réalisé",$F684&lt;&gt;"Clôturé"),"≤ 7 j",""))</f>
        <v/>
      </c>
      <c r="M684" s="29">
        <f>IF($B684="","",IFERROR(INDEX($T$4:$T$3183,MATCH(SMALL($V$4:$V$3183,681),$V$4:$V$3183,0)),""))</f>
        <v/>
      </c>
      <c r="O684">
        <f>IF(INDEX(Suivi!$B:$B,697)="","",INDEX(Suivi!$B:$B,697))</f>
        <v/>
      </c>
      <c r="P684">
        <f>IF($O684="","",IF(INDEX(Suivi!$D:$D,697)="",INDEX(Suivi!$C:$C,697),INDEX(Suivi!$D:$D,697)))</f>
        <v/>
      </c>
      <c r="Q684">
        <f>IF($O684="","",INDEX(Suivi!$E:$E,697))</f>
        <v/>
      </c>
      <c r="R684">
        <f>IF($O684="","",INDEX(Suivi!$F:$F,697))</f>
        <v/>
      </c>
      <c r="S684">
        <f>IF($O684="","",INDEX(Suivi!$G:$G,697))</f>
        <v/>
      </c>
      <c r="T684">
        <f>IF($O684="","",IF(INDEX(Dossiers!$F$4:$F$63,13)="","",INDEX(Dossiers!$F$4:$F$63,13)))</f>
        <v/>
      </c>
      <c r="U684">
        <f>IF($O684="","",IF(INDEX(Dossiers!$G$4:$G$63,13)="","",INDEX(Dossiers!$G$4:$G$63,13)))</f>
        <v/>
      </c>
      <c r="V684">
        <f>IF(OR($O684="",NOT(ISNUMBER($Q684))),"",$Q684*1000000+684)</f>
        <v/>
      </c>
      <c r="W684" s="29">
        <f>IF($B684="","",IFERROR(INDEX($U$4:$U$3183,MATCH(SMALL($V$4:$V$3183,681),$V$4:$V$3183,0)),""))</f>
        <v/>
      </c>
    </row>
    <row r="685">
      <c r="A685">
        <f>IFERROR(INDEX($N$4:$N$3183,MATCH(SMALL($V$4:$V$3183,682),$V$4:$V$3183,0)),"")</f>
        <v/>
      </c>
      <c r="B685">
        <f>IFERROR(INDEX($O$4:$O$3183,MATCH(SMALL($V$4:$V$3183,682),$V$4:$V$3183,0)),"")</f>
        <v/>
      </c>
      <c r="C685">
        <f>IFERROR(INDEX($P$4:$P$3183,MATCH(SMALL($V$4:$V$3183,682),$V$4:$V$3183,0)),"")</f>
        <v/>
      </c>
      <c r="D685" s="29">
        <f>IFERROR(INDEX($Q$4:$Q$3183,MATCH(SMALL($V$4:$V$3183,682),$V$4:$V$3183,0)),"")</f>
        <v/>
      </c>
      <c r="E685" s="29">
        <f>IFERROR(INDEX($R$4:$R$3183,MATCH(SMALL($V$4:$V$3183,682),$V$4:$V$3183,0)),"")</f>
        <v/>
      </c>
      <c r="F685">
        <f>IFERROR(INDEX($S$4:$S$3183,MATCH(SMALL($V$4:$V$3183,682),$V$4:$V$3183,0)),"")</f>
        <v/>
      </c>
      <c r="I685" s="29">
        <f>IF($B685="","",IFERROR(INDEX($U$4:$U$3183,MATCH(SMALL($V$4:$V$3183,682),$V$4:$V$3183,0)),""))</f>
        <v/>
      </c>
      <c r="J685">
        <f>IF($B685="","",IF($D685&gt;$F$2,"À venir",IF($E685&lt;$D$2,"Passé","Dans la période")))</f>
        <v/>
      </c>
      <c r="K685">
        <f>IF(OR($B685="",NOT(ISNUMBER($D685))),"",IF(AND($E685&lt;$D$2,$G685&lt;&gt;"X",$F685&lt;&gt;"Réalisé",$F685&lt;&gt;"Clôturé"),"RETARD",""))</f>
        <v/>
      </c>
      <c r="L685">
        <f>IF(OR($B685="",NOT(ISNUMBER($D685))),"",IF(AND($D685&gt;=$D$2,$D685&lt;=$H$2,$G685&lt;&gt;"X",$F685&lt;&gt;"Réalisé",$F685&lt;&gt;"Clôturé"),"≤ 7 j",""))</f>
        <v/>
      </c>
      <c r="M685" s="29">
        <f>IF($B685="","",IFERROR(INDEX($T$4:$T$3183,MATCH(SMALL($V$4:$V$3183,682),$V$4:$V$3183,0)),""))</f>
        <v/>
      </c>
      <c r="O685">
        <f>IF(INDEX(Suivi!$B:$B,698)="","",INDEX(Suivi!$B:$B,698))</f>
        <v/>
      </c>
      <c r="P685">
        <f>IF($O685="","",IF(INDEX(Suivi!$D:$D,698)="",INDEX(Suivi!$C:$C,698),INDEX(Suivi!$D:$D,698)))</f>
        <v/>
      </c>
      <c r="Q685">
        <f>IF($O685="","",INDEX(Suivi!$E:$E,698))</f>
        <v/>
      </c>
      <c r="R685">
        <f>IF($O685="","",INDEX(Suivi!$F:$F,698))</f>
        <v/>
      </c>
      <c r="S685">
        <f>IF($O685="","",INDEX(Suivi!$G:$G,698))</f>
        <v/>
      </c>
      <c r="T685">
        <f>IF($O685="","",IF(INDEX(Dossiers!$F$4:$F$63,13)="","",INDEX(Dossiers!$F$4:$F$63,13)))</f>
        <v/>
      </c>
      <c r="U685">
        <f>IF($O685="","",IF(INDEX(Dossiers!$G$4:$G$63,13)="","",INDEX(Dossiers!$G$4:$G$63,13)))</f>
        <v/>
      </c>
      <c r="V685">
        <f>IF(OR($O685="",NOT(ISNUMBER($Q685))),"",$Q685*1000000+685)</f>
        <v/>
      </c>
      <c r="W685" s="29">
        <f>IF($B685="","",IFERROR(INDEX($U$4:$U$3183,MATCH(SMALL($V$4:$V$3183,682),$V$4:$V$3183,0)),""))</f>
        <v/>
      </c>
    </row>
    <row r="686">
      <c r="A686">
        <f>IFERROR(INDEX($N$4:$N$3183,MATCH(SMALL($V$4:$V$3183,683),$V$4:$V$3183,0)),"")</f>
        <v/>
      </c>
      <c r="B686">
        <f>IFERROR(INDEX($O$4:$O$3183,MATCH(SMALL($V$4:$V$3183,683),$V$4:$V$3183,0)),"")</f>
        <v/>
      </c>
      <c r="C686">
        <f>IFERROR(INDEX($P$4:$P$3183,MATCH(SMALL($V$4:$V$3183,683),$V$4:$V$3183,0)),"")</f>
        <v/>
      </c>
      <c r="D686" s="29">
        <f>IFERROR(INDEX($Q$4:$Q$3183,MATCH(SMALL($V$4:$V$3183,683),$V$4:$V$3183,0)),"")</f>
        <v/>
      </c>
      <c r="E686" s="29">
        <f>IFERROR(INDEX($R$4:$R$3183,MATCH(SMALL($V$4:$V$3183,683),$V$4:$V$3183,0)),"")</f>
        <v/>
      </c>
      <c r="F686">
        <f>IFERROR(INDEX($S$4:$S$3183,MATCH(SMALL($V$4:$V$3183,683),$V$4:$V$3183,0)),"")</f>
        <v/>
      </c>
      <c r="I686" s="29">
        <f>IF($B686="","",IFERROR(INDEX($U$4:$U$3183,MATCH(SMALL($V$4:$V$3183,683),$V$4:$V$3183,0)),""))</f>
        <v/>
      </c>
      <c r="J686">
        <f>IF($B686="","",IF($D686&gt;$F$2,"À venir",IF($E686&lt;$D$2,"Passé","Dans la période")))</f>
        <v/>
      </c>
      <c r="K686">
        <f>IF(OR($B686="",NOT(ISNUMBER($D686))),"",IF(AND($E686&lt;$D$2,$G686&lt;&gt;"X",$F686&lt;&gt;"Réalisé",$F686&lt;&gt;"Clôturé"),"RETARD",""))</f>
        <v/>
      </c>
      <c r="L686">
        <f>IF(OR($B686="",NOT(ISNUMBER($D686))),"",IF(AND($D686&gt;=$D$2,$D686&lt;=$H$2,$G686&lt;&gt;"X",$F686&lt;&gt;"Réalisé",$F686&lt;&gt;"Clôturé"),"≤ 7 j",""))</f>
        <v/>
      </c>
      <c r="M686" s="29">
        <f>IF($B686="","",IFERROR(INDEX($T$4:$T$3183,MATCH(SMALL($V$4:$V$3183,683),$V$4:$V$3183,0)),""))</f>
        <v/>
      </c>
      <c r="O686">
        <f>IF(INDEX(Suivi!$B:$B,699)="","",INDEX(Suivi!$B:$B,699))</f>
        <v/>
      </c>
      <c r="P686">
        <f>IF($O686="","",IF(INDEX(Suivi!$D:$D,699)="",INDEX(Suivi!$C:$C,699),INDEX(Suivi!$D:$D,699)))</f>
        <v/>
      </c>
      <c r="Q686">
        <f>IF($O686="","",INDEX(Suivi!$E:$E,699))</f>
        <v/>
      </c>
      <c r="R686">
        <f>IF($O686="","",INDEX(Suivi!$F:$F,699))</f>
        <v/>
      </c>
      <c r="S686">
        <f>IF($O686="","",INDEX(Suivi!$G:$G,699))</f>
        <v/>
      </c>
      <c r="T686">
        <f>IF($O686="","",IF(INDEX(Dossiers!$F$4:$F$63,13)="","",INDEX(Dossiers!$F$4:$F$63,13)))</f>
        <v/>
      </c>
      <c r="U686">
        <f>IF($O686="","",IF(INDEX(Dossiers!$G$4:$G$63,13)="","",INDEX(Dossiers!$G$4:$G$63,13)))</f>
        <v/>
      </c>
      <c r="V686">
        <f>IF(OR($O686="",NOT(ISNUMBER($Q686))),"",$Q686*1000000+686)</f>
        <v/>
      </c>
      <c r="W686" s="29">
        <f>IF($B686="","",IFERROR(INDEX($U$4:$U$3183,MATCH(SMALL($V$4:$V$3183,683),$V$4:$V$3183,0)),""))</f>
        <v/>
      </c>
    </row>
    <row r="687">
      <c r="A687">
        <f>IFERROR(INDEX($N$4:$N$3183,MATCH(SMALL($V$4:$V$3183,684),$V$4:$V$3183,0)),"")</f>
        <v/>
      </c>
      <c r="B687">
        <f>IFERROR(INDEX($O$4:$O$3183,MATCH(SMALL($V$4:$V$3183,684),$V$4:$V$3183,0)),"")</f>
        <v/>
      </c>
      <c r="C687">
        <f>IFERROR(INDEX($P$4:$P$3183,MATCH(SMALL($V$4:$V$3183,684),$V$4:$V$3183,0)),"")</f>
        <v/>
      </c>
      <c r="D687" s="29">
        <f>IFERROR(INDEX($Q$4:$Q$3183,MATCH(SMALL($V$4:$V$3183,684),$V$4:$V$3183,0)),"")</f>
        <v/>
      </c>
      <c r="E687" s="29">
        <f>IFERROR(INDEX($R$4:$R$3183,MATCH(SMALL($V$4:$V$3183,684),$V$4:$V$3183,0)),"")</f>
        <v/>
      </c>
      <c r="F687">
        <f>IFERROR(INDEX($S$4:$S$3183,MATCH(SMALL($V$4:$V$3183,684),$V$4:$V$3183,0)),"")</f>
        <v/>
      </c>
      <c r="I687" s="29">
        <f>IF($B687="","",IFERROR(INDEX($U$4:$U$3183,MATCH(SMALL($V$4:$V$3183,684),$V$4:$V$3183,0)),""))</f>
        <v/>
      </c>
      <c r="J687">
        <f>IF($B687="","",IF($D687&gt;$F$2,"À venir",IF($E687&lt;$D$2,"Passé","Dans la période")))</f>
        <v/>
      </c>
      <c r="K687">
        <f>IF(OR($B687="",NOT(ISNUMBER($D687))),"",IF(AND($E687&lt;$D$2,$G687&lt;&gt;"X",$F687&lt;&gt;"Réalisé",$F687&lt;&gt;"Clôturé"),"RETARD",""))</f>
        <v/>
      </c>
      <c r="L687">
        <f>IF(OR($B687="",NOT(ISNUMBER($D687))),"",IF(AND($D687&gt;=$D$2,$D687&lt;=$H$2,$G687&lt;&gt;"X",$F687&lt;&gt;"Réalisé",$F687&lt;&gt;"Clôturé"),"≤ 7 j",""))</f>
        <v/>
      </c>
      <c r="M687" s="29">
        <f>IF($B687="","",IFERROR(INDEX($T$4:$T$3183,MATCH(SMALL($V$4:$V$3183,684),$V$4:$V$3183,0)),""))</f>
        <v/>
      </c>
      <c r="O687">
        <f>IF(INDEX(Suivi!$B:$B,700)="","",INDEX(Suivi!$B:$B,700))</f>
        <v/>
      </c>
      <c r="P687">
        <f>IF($O687="","",IF(INDEX(Suivi!$D:$D,700)="",INDEX(Suivi!$C:$C,700),INDEX(Suivi!$D:$D,700)))</f>
        <v/>
      </c>
      <c r="Q687">
        <f>IF($O687="","",INDEX(Suivi!$E:$E,700))</f>
        <v/>
      </c>
      <c r="R687">
        <f>IF($O687="","",INDEX(Suivi!$F:$F,700))</f>
        <v/>
      </c>
      <c r="S687">
        <f>IF($O687="","",INDEX(Suivi!$G:$G,700))</f>
        <v/>
      </c>
      <c r="T687">
        <f>IF($O687="","",IF(INDEX(Dossiers!$F$4:$F$63,13)="","",INDEX(Dossiers!$F$4:$F$63,13)))</f>
        <v/>
      </c>
      <c r="U687">
        <f>IF($O687="","",IF(INDEX(Dossiers!$G$4:$G$63,13)="","",INDEX(Dossiers!$G$4:$G$63,13)))</f>
        <v/>
      </c>
      <c r="V687">
        <f>IF(OR($O687="",NOT(ISNUMBER($Q687))),"",$Q687*1000000+687)</f>
        <v/>
      </c>
      <c r="W687" s="29">
        <f>IF($B687="","",IFERROR(INDEX($U$4:$U$3183,MATCH(SMALL($V$4:$V$3183,684),$V$4:$V$3183,0)),""))</f>
        <v/>
      </c>
    </row>
    <row r="688">
      <c r="A688">
        <f>IFERROR(INDEX($N$4:$N$3183,MATCH(SMALL($V$4:$V$3183,685),$V$4:$V$3183,0)),"")</f>
        <v/>
      </c>
      <c r="B688">
        <f>IFERROR(INDEX($O$4:$O$3183,MATCH(SMALL($V$4:$V$3183,685),$V$4:$V$3183,0)),"")</f>
        <v/>
      </c>
      <c r="C688">
        <f>IFERROR(INDEX($P$4:$P$3183,MATCH(SMALL($V$4:$V$3183,685),$V$4:$V$3183,0)),"")</f>
        <v/>
      </c>
      <c r="D688" s="29">
        <f>IFERROR(INDEX($Q$4:$Q$3183,MATCH(SMALL($V$4:$V$3183,685),$V$4:$V$3183,0)),"")</f>
        <v/>
      </c>
      <c r="E688" s="29">
        <f>IFERROR(INDEX($R$4:$R$3183,MATCH(SMALL($V$4:$V$3183,685),$V$4:$V$3183,0)),"")</f>
        <v/>
      </c>
      <c r="F688">
        <f>IFERROR(INDEX($S$4:$S$3183,MATCH(SMALL($V$4:$V$3183,685),$V$4:$V$3183,0)),"")</f>
        <v/>
      </c>
      <c r="I688" s="29">
        <f>IF($B688="","",IFERROR(INDEX($U$4:$U$3183,MATCH(SMALL($V$4:$V$3183,685),$V$4:$V$3183,0)),""))</f>
        <v/>
      </c>
      <c r="J688">
        <f>IF($B688="","",IF($D688&gt;$F$2,"À venir",IF($E688&lt;$D$2,"Passé","Dans la période")))</f>
        <v/>
      </c>
      <c r="K688">
        <f>IF(OR($B688="",NOT(ISNUMBER($D688))),"",IF(AND($E688&lt;$D$2,$G688&lt;&gt;"X",$F688&lt;&gt;"Réalisé",$F688&lt;&gt;"Clôturé"),"RETARD",""))</f>
        <v/>
      </c>
      <c r="L688">
        <f>IF(OR($B688="",NOT(ISNUMBER($D688))),"",IF(AND($D688&gt;=$D$2,$D688&lt;=$H$2,$G688&lt;&gt;"X",$F688&lt;&gt;"Réalisé",$F688&lt;&gt;"Clôturé"),"≤ 7 j",""))</f>
        <v/>
      </c>
      <c r="M688" s="29">
        <f>IF($B688="","",IFERROR(INDEX($T$4:$T$3183,MATCH(SMALL($V$4:$V$3183,685),$V$4:$V$3183,0)),""))</f>
        <v/>
      </c>
      <c r="O688">
        <f>IF(INDEX(Suivi!$B:$B,701)="","",INDEX(Suivi!$B:$B,701))</f>
        <v/>
      </c>
      <c r="P688">
        <f>IF($O688="","",IF(INDEX(Suivi!$D:$D,701)="",INDEX(Suivi!$C:$C,701),INDEX(Suivi!$D:$D,701)))</f>
        <v/>
      </c>
      <c r="Q688">
        <f>IF($O688="","",INDEX(Suivi!$E:$E,701))</f>
        <v/>
      </c>
      <c r="R688">
        <f>IF($O688="","",INDEX(Suivi!$F:$F,701))</f>
        <v/>
      </c>
      <c r="S688">
        <f>IF($O688="","",INDEX(Suivi!$G:$G,701))</f>
        <v/>
      </c>
      <c r="T688">
        <f>IF($O688="","",IF(INDEX(Dossiers!$F$4:$F$63,13)="","",INDEX(Dossiers!$F$4:$F$63,13)))</f>
        <v/>
      </c>
      <c r="U688">
        <f>IF($O688="","",IF(INDEX(Dossiers!$G$4:$G$63,13)="","",INDEX(Dossiers!$G$4:$G$63,13)))</f>
        <v/>
      </c>
      <c r="V688">
        <f>IF(OR($O688="",NOT(ISNUMBER($Q688))),"",$Q688*1000000+688)</f>
        <v/>
      </c>
      <c r="W688" s="29">
        <f>IF($B688="","",IFERROR(INDEX($U$4:$U$3183,MATCH(SMALL($V$4:$V$3183,685),$V$4:$V$3183,0)),""))</f>
        <v/>
      </c>
    </row>
    <row r="689">
      <c r="A689">
        <f>IFERROR(INDEX($N$4:$N$3183,MATCH(SMALL($V$4:$V$3183,686),$V$4:$V$3183,0)),"")</f>
        <v/>
      </c>
      <c r="B689">
        <f>IFERROR(INDEX($O$4:$O$3183,MATCH(SMALL($V$4:$V$3183,686),$V$4:$V$3183,0)),"")</f>
        <v/>
      </c>
      <c r="C689">
        <f>IFERROR(INDEX($P$4:$P$3183,MATCH(SMALL($V$4:$V$3183,686),$V$4:$V$3183,0)),"")</f>
        <v/>
      </c>
      <c r="D689" s="29">
        <f>IFERROR(INDEX($Q$4:$Q$3183,MATCH(SMALL($V$4:$V$3183,686),$V$4:$V$3183,0)),"")</f>
        <v/>
      </c>
      <c r="E689" s="29">
        <f>IFERROR(INDEX($R$4:$R$3183,MATCH(SMALL($V$4:$V$3183,686),$V$4:$V$3183,0)),"")</f>
        <v/>
      </c>
      <c r="F689">
        <f>IFERROR(INDEX($S$4:$S$3183,MATCH(SMALL($V$4:$V$3183,686),$V$4:$V$3183,0)),"")</f>
        <v/>
      </c>
      <c r="I689" s="29">
        <f>IF($B689="","",IFERROR(INDEX($U$4:$U$3183,MATCH(SMALL($V$4:$V$3183,686),$V$4:$V$3183,0)),""))</f>
        <v/>
      </c>
      <c r="J689">
        <f>IF($B689="","",IF($D689&gt;$F$2,"À venir",IF($E689&lt;$D$2,"Passé","Dans la période")))</f>
        <v/>
      </c>
      <c r="K689">
        <f>IF(OR($B689="",NOT(ISNUMBER($D689))),"",IF(AND($E689&lt;$D$2,$G689&lt;&gt;"X",$F689&lt;&gt;"Réalisé",$F689&lt;&gt;"Clôturé"),"RETARD",""))</f>
        <v/>
      </c>
      <c r="L689">
        <f>IF(OR($B689="",NOT(ISNUMBER($D689))),"",IF(AND($D689&gt;=$D$2,$D689&lt;=$H$2,$G689&lt;&gt;"X",$F689&lt;&gt;"Réalisé",$F689&lt;&gt;"Clôturé"),"≤ 7 j",""))</f>
        <v/>
      </c>
      <c r="M689" s="29">
        <f>IF($B689="","",IFERROR(INDEX($T$4:$T$3183,MATCH(SMALL($V$4:$V$3183,686),$V$4:$V$3183,0)),""))</f>
        <v/>
      </c>
      <c r="O689">
        <f>IF(INDEX(Suivi!$B:$B,702)="","",INDEX(Suivi!$B:$B,702))</f>
        <v/>
      </c>
      <c r="P689">
        <f>IF($O689="","",IF(INDEX(Suivi!$D:$D,702)="",INDEX(Suivi!$C:$C,702),INDEX(Suivi!$D:$D,702)))</f>
        <v/>
      </c>
      <c r="Q689">
        <f>IF($O689="","",INDEX(Suivi!$E:$E,702))</f>
        <v/>
      </c>
      <c r="R689">
        <f>IF($O689="","",INDEX(Suivi!$F:$F,702))</f>
        <v/>
      </c>
      <c r="S689">
        <f>IF($O689="","",INDEX(Suivi!$G:$G,702))</f>
        <v/>
      </c>
      <c r="T689">
        <f>IF($O689="","",IF(INDEX(Dossiers!$F$4:$F$63,13)="","",INDEX(Dossiers!$F$4:$F$63,13)))</f>
        <v/>
      </c>
      <c r="U689">
        <f>IF($O689="","",IF(INDEX(Dossiers!$G$4:$G$63,13)="","",INDEX(Dossiers!$G$4:$G$63,13)))</f>
        <v/>
      </c>
      <c r="V689">
        <f>IF(OR($O689="",NOT(ISNUMBER($Q689))),"",$Q689*1000000+689)</f>
        <v/>
      </c>
      <c r="W689" s="29">
        <f>IF($B689="","",IFERROR(INDEX($U$4:$U$3183,MATCH(SMALL($V$4:$V$3183,686),$V$4:$V$3183,0)),""))</f>
        <v/>
      </c>
    </row>
    <row r="690">
      <c r="A690">
        <f>IFERROR(INDEX($N$4:$N$3183,MATCH(SMALL($V$4:$V$3183,687),$V$4:$V$3183,0)),"")</f>
        <v/>
      </c>
      <c r="B690">
        <f>IFERROR(INDEX($O$4:$O$3183,MATCH(SMALL($V$4:$V$3183,687),$V$4:$V$3183,0)),"")</f>
        <v/>
      </c>
      <c r="C690">
        <f>IFERROR(INDEX($P$4:$P$3183,MATCH(SMALL($V$4:$V$3183,687),$V$4:$V$3183,0)),"")</f>
        <v/>
      </c>
      <c r="D690" s="29">
        <f>IFERROR(INDEX($Q$4:$Q$3183,MATCH(SMALL($V$4:$V$3183,687),$V$4:$V$3183,0)),"")</f>
        <v/>
      </c>
      <c r="E690" s="29">
        <f>IFERROR(INDEX($R$4:$R$3183,MATCH(SMALL($V$4:$V$3183,687),$V$4:$V$3183,0)),"")</f>
        <v/>
      </c>
      <c r="F690">
        <f>IFERROR(INDEX($S$4:$S$3183,MATCH(SMALL($V$4:$V$3183,687),$V$4:$V$3183,0)),"")</f>
        <v/>
      </c>
      <c r="I690" s="29">
        <f>IF($B690="","",IFERROR(INDEX($U$4:$U$3183,MATCH(SMALL($V$4:$V$3183,687),$V$4:$V$3183,0)),""))</f>
        <v/>
      </c>
      <c r="J690">
        <f>IF($B690="","",IF($D690&gt;$F$2,"À venir",IF($E690&lt;$D$2,"Passé","Dans la période")))</f>
        <v/>
      </c>
      <c r="K690">
        <f>IF(OR($B690="",NOT(ISNUMBER($D690))),"",IF(AND($E690&lt;$D$2,$G690&lt;&gt;"X",$F690&lt;&gt;"Réalisé",$F690&lt;&gt;"Clôturé"),"RETARD",""))</f>
        <v/>
      </c>
      <c r="L690">
        <f>IF(OR($B690="",NOT(ISNUMBER($D690))),"",IF(AND($D690&gt;=$D$2,$D690&lt;=$H$2,$G690&lt;&gt;"X",$F690&lt;&gt;"Réalisé",$F690&lt;&gt;"Clôturé"),"≤ 7 j",""))</f>
        <v/>
      </c>
      <c r="M690" s="29">
        <f>IF($B690="","",IFERROR(INDEX($T$4:$T$3183,MATCH(SMALL($V$4:$V$3183,687),$V$4:$V$3183,0)),""))</f>
        <v/>
      </c>
      <c r="O690">
        <f>IF(INDEX(Suivi!$B:$B,703)="","",INDEX(Suivi!$B:$B,703))</f>
        <v/>
      </c>
      <c r="P690">
        <f>IF($O690="","",IF(INDEX(Suivi!$D:$D,703)="",INDEX(Suivi!$C:$C,703),INDEX(Suivi!$D:$D,703)))</f>
        <v/>
      </c>
      <c r="Q690">
        <f>IF($O690="","",INDEX(Suivi!$E:$E,703))</f>
        <v/>
      </c>
      <c r="R690">
        <f>IF($O690="","",INDEX(Suivi!$F:$F,703))</f>
        <v/>
      </c>
      <c r="S690">
        <f>IF($O690="","",INDEX(Suivi!$G:$G,703))</f>
        <v/>
      </c>
      <c r="T690">
        <f>IF($O690="","",IF(INDEX(Dossiers!$F$4:$F$63,13)="","",INDEX(Dossiers!$F$4:$F$63,13)))</f>
        <v/>
      </c>
      <c r="U690">
        <f>IF($O690="","",IF(INDEX(Dossiers!$G$4:$G$63,13)="","",INDEX(Dossiers!$G$4:$G$63,13)))</f>
        <v/>
      </c>
      <c r="V690">
        <f>IF(OR($O690="",NOT(ISNUMBER($Q690))),"",$Q690*1000000+690)</f>
        <v/>
      </c>
      <c r="W690" s="29">
        <f>IF($B690="","",IFERROR(INDEX($U$4:$U$3183,MATCH(SMALL($V$4:$V$3183,687),$V$4:$V$3183,0)),""))</f>
        <v/>
      </c>
    </row>
    <row r="691">
      <c r="A691">
        <f>IFERROR(INDEX($N$4:$N$3183,MATCH(SMALL($V$4:$V$3183,688),$V$4:$V$3183,0)),"")</f>
        <v/>
      </c>
      <c r="B691">
        <f>IFERROR(INDEX($O$4:$O$3183,MATCH(SMALL($V$4:$V$3183,688),$V$4:$V$3183,0)),"")</f>
        <v/>
      </c>
      <c r="C691">
        <f>IFERROR(INDEX($P$4:$P$3183,MATCH(SMALL($V$4:$V$3183,688),$V$4:$V$3183,0)),"")</f>
        <v/>
      </c>
      <c r="D691" s="29">
        <f>IFERROR(INDEX($Q$4:$Q$3183,MATCH(SMALL($V$4:$V$3183,688),$V$4:$V$3183,0)),"")</f>
        <v/>
      </c>
      <c r="E691" s="29">
        <f>IFERROR(INDEX($R$4:$R$3183,MATCH(SMALL($V$4:$V$3183,688),$V$4:$V$3183,0)),"")</f>
        <v/>
      </c>
      <c r="F691">
        <f>IFERROR(INDEX($S$4:$S$3183,MATCH(SMALL($V$4:$V$3183,688),$V$4:$V$3183,0)),"")</f>
        <v/>
      </c>
      <c r="I691" s="29">
        <f>IF($B691="","",IFERROR(INDEX($U$4:$U$3183,MATCH(SMALL($V$4:$V$3183,688),$V$4:$V$3183,0)),""))</f>
        <v/>
      </c>
      <c r="J691">
        <f>IF($B691="","",IF($D691&gt;$F$2,"À venir",IF($E691&lt;$D$2,"Passé","Dans la période")))</f>
        <v/>
      </c>
      <c r="K691">
        <f>IF(OR($B691="",NOT(ISNUMBER($D691))),"",IF(AND($E691&lt;$D$2,$G691&lt;&gt;"X",$F691&lt;&gt;"Réalisé",$F691&lt;&gt;"Clôturé"),"RETARD",""))</f>
        <v/>
      </c>
      <c r="L691">
        <f>IF(OR($B691="",NOT(ISNUMBER($D691))),"",IF(AND($D691&gt;=$D$2,$D691&lt;=$H$2,$G691&lt;&gt;"X",$F691&lt;&gt;"Réalisé",$F691&lt;&gt;"Clôturé"),"≤ 7 j",""))</f>
        <v/>
      </c>
      <c r="M691" s="29">
        <f>IF($B691="","",IFERROR(INDEX($T$4:$T$3183,MATCH(SMALL($V$4:$V$3183,688),$V$4:$V$3183,0)),""))</f>
        <v/>
      </c>
      <c r="O691">
        <f>IF(INDEX(Suivi!$B:$B,704)="","",INDEX(Suivi!$B:$B,704))</f>
        <v/>
      </c>
      <c r="P691">
        <f>IF($O691="","",IF(INDEX(Suivi!$D:$D,704)="",INDEX(Suivi!$C:$C,704),INDEX(Suivi!$D:$D,704)))</f>
        <v/>
      </c>
      <c r="Q691">
        <f>IF($O691="","",INDEX(Suivi!$E:$E,704))</f>
        <v/>
      </c>
      <c r="R691">
        <f>IF($O691="","",INDEX(Suivi!$F:$F,704))</f>
        <v/>
      </c>
      <c r="S691">
        <f>IF($O691="","",INDEX(Suivi!$G:$G,704))</f>
        <v/>
      </c>
      <c r="T691">
        <f>IF($O691="","",IF(INDEX(Dossiers!$F$4:$F$63,13)="","",INDEX(Dossiers!$F$4:$F$63,13)))</f>
        <v/>
      </c>
      <c r="U691">
        <f>IF($O691="","",IF(INDEX(Dossiers!$G$4:$G$63,13)="","",INDEX(Dossiers!$G$4:$G$63,13)))</f>
        <v/>
      </c>
      <c r="V691">
        <f>IF(OR($O691="",NOT(ISNUMBER($Q691))),"",$Q691*1000000+691)</f>
        <v/>
      </c>
      <c r="W691" s="29">
        <f>IF($B691="","",IFERROR(INDEX($U$4:$U$3183,MATCH(SMALL($V$4:$V$3183,688),$V$4:$V$3183,0)),""))</f>
        <v/>
      </c>
    </row>
    <row r="692">
      <c r="A692">
        <f>IFERROR(INDEX($N$4:$N$3183,MATCH(SMALL($V$4:$V$3183,689),$V$4:$V$3183,0)),"")</f>
        <v/>
      </c>
      <c r="B692">
        <f>IFERROR(INDEX($O$4:$O$3183,MATCH(SMALL($V$4:$V$3183,689),$V$4:$V$3183,0)),"")</f>
        <v/>
      </c>
      <c r="C692">
        <f>IFERROR(INDEX($P$4:$P$3183,MATCH(SMALL($V$4:$V$3183,689),$V$4:$V$3183,0)),"")</f>
        <v/>
      </c>
      <c r="D692" s="29">
        <f>IFERROR(INDEX($Q$4:$Q$3183,MATCH(SMALL($V$4:$V$3183,689),$V$4:$V$3183,0)),"")</f>
        <v/>
      </c>
      <c r="E692" s="29">
        <f>IFERROR(INDEX($R$4:$R$3183,MATCH(SMALL($V$4:$V$3183,689),$V$4:$V$3183,0)),"")</f>
        <v/>
      </c>
      <c r="F692">
        <f>IFERROR(INDEX($S$4:$S$3183,MATCH(SMALL($V$4:$V$3183,689),$V$4:$V$3183,0)),"")</f>
        <v/>
      </c>
      <c r="I692" s="29">
        <f>IF($B692="","",IFERROR(INDEX($U$4:$U$3183,MATCH(SMALL($V$4:$V$3183,689),$V$4:$V$3183,0)),""))</f>
        <v/>
      </c>
      <c r="J692">
        <f>IF($B692="","",IF($D692&gt;$F$2,"À venir",IF($E692&lt;$D$2,"Passé","Dans la période")))</f>
        <v/>
      </c>
      <c r="K692">
        <f>IF(OR($B692="",NOT(ISNUMBER($D692))),"",IF(AND($E692&lt;$D$2,$G692&lt;&gt;"X",$F692&lt;&gt;"Réalisé",$F692&lt;&gt;"Clôturé"),"RETARD",""))</f>
        <v/>
      </c>
      <c r="L692">
        <f>IF(OR($B692="",NOT(ISNUMBER($D692))),"",IF(AND($D692&gt;=$D$2,$D692&lt;=$H$2,$G692&lt;&gt;"X",$F692&lt;&gt;"Réalisé",$F692&lt;&gt;"Clôturé"),"≤ 7 j",""))</f>
        <v/>
      </c>
      <c r="M692" s="29">
        <f>IF($B692="","",IFERROR(INDEX($T$4:$T$3183,MATCH(SMALL($V$4:$V$3183,689),$V$4:$V$3183,0)),""))</f>
        <v/>
      </c>
      <c r="O692">
        <f>IF(INDEX(Suivi!$B:$B,705)="","",INDEX(Suivi!$B:$B,705))</f>
        <v/>
      </c>
      <c r="P692">
        <f>IF($O692="","",IF(INDEX(Suivi!$D:$D,705)="",INDEX(Suivi!$C:$C,705),INDEX(Suivi!$D:$D,705)))</f>
        <v/>
      </c>
      <c r="Q692">
        <f>IF($O692="","",INDEX(Suivi!$E:$E,705))</f>
        <v/>
      </c>
      <c r="R692">
        <f>IF($O692="","",INDEX(Suivi!$F:$F,705))</f>
        <v/>
      </c>
      <c r="S692">
        <f>IF($O692="","",INDEX(Suivi!$G:$G,705))</f>
        <v/>
      </c>
      <c r="T692">
        <f>IF($O692="","",IF(INDEX(Dossiers!$F$4:$F$63,13)="","",INDEX(Dossiers!$F$4:$F$63,13)))</f>
        <v/>
      </c>
      <c r="U692">
        <f>IF($O692="","",IF(INDEX(Dossiers!$G$4:$G$63,13)="","",INDEX(Dossiers!$G$4:$G$63,13)))</f>
        <v/>
      </c>
      <c r="V692">
        <f>IF(OR($O692="",NOT(ISNUMBER($Q692))),"",$Q692*1000000+692)</f>
        <v/>
      </c>
      <c r="W692" s="29">
        <f>IF($B692="","",IFERROR(INDEX($U$4:$U$3183,MATCH(SMALL($V$4:$V$3183,689),$V$4:$V$3183,0)),""))</f>
        <v/>
      </c>
    </row>
    <row r="693">
      <c r="A693">
        <f>IFERROR(INDEX($N$4:$N$3183,MATCH(SMALL($V$4:$V$3183,690),$V$4:$V$3183,0)),"")</f>
        <v/>
      </c>
      <c r="B693">
        <f>IFERROR(INDEX($O$4:$O$3183,MATCH(SMALL($V$4:$V$3183,690),$V$4:$V$3183,0)),"")</f>
        <v/>
      </c>
      <c r="C693">
        <f>IFERROR(INDEX($P$4:$P$3183,MATCH(SMALL($V$4:$V$3183,690),$V$4:$V$3183,0)),"")</f>
        <v/>
      </c>
      <c r="D693" s="29">
        <f>IFERROR(INDEX($Q$4:$Q$3183,MATCH(SMALL($V$4:$V$3183,690),$V$4:$V$3183,0)),"")</f>
        <v/>
      </c>
      <c r="E693" s="29">
        <f>IFERROR(INDEX($R$4:$R$3183,MATCH(SMALL($V$4:$V$3183,690),$V$4:$V$3183,0)),"")</f>
        <v/>
      </c>
      <c r="F693">
        <f>IFERROR(INDEX($S$4:$S$3183,MATCH(SMALL($V$4:$V$3183,690),$V$4:$V$3183,0)),"")</f>
        <v/>
      </c>
      <c r="I693" s="29">
        <f>IF($B693="","",IFERROR(INDEX($U$4:$U$3183,MATCH(SMALL($V$4:$V$3183,690),$V$4:$V$3183,0)),""))</f>
        <v/>
      </c>
      <c r="J693">
        <f>IF($B693="","",IF($D693&gt;$F$2,"À venir",IF($E693&lt;$D$2,"Passé","Dans la période")))</f>
        <v/>
      </c>
      <c r="K693">
        <f>IF(OR($B693="",NOT(ISNUMBER($D693))),"",IF(AND($E693&lt;$D$2,$G693&lt;&gt;"X",$F693&lt;&gt;"Réalisé",$F693&lt;&gt;"Clôturé"),"RETARD",""))</f>
        <v/>
      </c>
      <c r="L693">
        <f>IF(OR($B693="",NOT(ISNUMBER($D693))),"",IF(AND($D693&gt;=$D$2,$D693&lt;=$H$2,$G693&lt;&gt;"X",$F693&lt;&gt;"Réalisé",$F693&lt;&gt;"Clôturé"),"≤ 7 j",""))</f>
        <v/>
      </c>
      <c r="M693" s="29">
        <f>IF($B693="","",IFERROR(INDEX($T$4:$T$3183,MATCH(SMALL($V$4:$V$3183,690),$V$4:$V$3183,0)),""))</f>
        <v/>
      </c>
      <c r="O693">
        <f>IF(INDEX(Suivi!$B:$B,707)="","",INDEX(Suivi!$B:$B,707))</f>
        <v/>
      </c>
      <c r="P693">
        <f>IF($O693="","",IF(INDEX(Suivi!$D:$D,707)="",INDEX(Suivi!$C:$C,707),INDEX(Suivi!$D:$D,707)))</f>
        <v/>
      </c>
      <c r="Q693">
        <f>IF($O693="","",INDEX(Suivi!$E:$E,707))</f>
        <v/>
      </c>
      <c r="R693">
        <f>IF($O693="","",INDEX(Suivi!$F:$F,707))</f>
        <v/>
      </c>
      <c r="S693">
        <f>IF($O693="","",INDEX(Suivi!$G:$G,707))</f>
        <v/>
      </c>
      <c r="T693">
        <f>IF($O693="","",IF(INDEX(Dossiers!$F$4:$F$63,14)="","",INDEX(Dossiers!$F$4:$F$63,14)))</f>
        <v/>
      </c>
      <c r="U693">
        <f>IF($O693="","",IF(INDEX(Dossiers!$G$4:$G$63,14)="","",INDEX(Dossiers!$G$4:$G$63,14)))</f>
        <v/>
      </c>
      <c r="V693">
        <f>IF(OR($O693="",NOT(ISNUMBER($Q693))),"",$Q693*1000000+693)</f>
        <v/>
      </c>
      <c r="W693" s="29">
        <f>IF($B693="","",IFERROR(INDEX($U$4:$U$3183,MATCH(SMALL($V$4:$V$3183,690),$V$4:$V$3183,0)),""))</f>
        <v/>
      </c>
    </row>
    <row r="694">
      <c r="A694">
        <f>IFERROR(INDEX($N$4:$N$3183,MATCH(SMALL($V$4:$V$3183,691),$V$4:$V$3183,0)),"")</f>
        <v/>
      </c>
      <c r="B694">
        <f>IFERROR(INDEX($O$4:$O$3183,MATCH(SMALL($V$4:$V$3183,691),$V$4:$V$3183,0)),"")</f>
        <v/>
      </c>
      <c r="C694">
        <f>IFERROR(INDEX($P$4:$P$3183,MATCH(SMALL($V$4:$V$3183,691),$V$4:$V$3183,0)),"")</f>
        <v/>
      </c>
      <c r="D694" s="29">
        <f>IFERROR(INDEX($Q$4:$Q$3183,MATCH(SMALL($V$4:$V$3183,691),$V$4:$V$3183,0)),"")</f>
        <v/>
      </c>
      <c r="E694" s="29">
        <f>IFERROR(INDEX($R$4:$R$3183,MATCH(SMALL($V$4:$V$3183,691),$V$4:$V$3183,0)),"")</f>
        <v/>
      </c>
      <c r="F694">
        <f>IFERROR(INDEX($S$4:$S$3183,MATCH(SMALL($V$4:$V$3183,691),$V$4:$V$3183,0)),"")</f>
        <v/>
      </c>
      <c r="I694" s="29">
        <f>IF($B694="","",IFERROR(INDEX($U$4:$U$3183,MATCH(SMALL($V$4:$V$3183,691),$V$4:$V$3183,0)),""))</f>
        <v/>
      </c>
      <c r="J694">
        <f>IF($B694="","",IF($D694&gt;$F$2,"À venir",IF($E694&lt;$D$2,"Passé","Dans la période")))</f>
        <v/>
      </c>
      <c r="K694">
        <f>IF(OR($B694="",NOT(ISNUMBER($D694))),"",IF(AND($E694&lt;$D$2,$G694&lt;&gt;"X",$F694&lt;&gt;"Réalisé",$F694&lt;&gt;"Clôturé"),"RETARD",""))</f>
        <v/>
      </c>
      <c r="L694">
        <f>IF(OR($B694="",NOT(ISNUMBER($D694))),"",IF(AND($D694&gt;=$D$2,$D694&lt;=$H$2,$G694&lt;&gt;"X",$F694&lt;&gt;"Réalisé",$F694&lt;&gt;"Clôturé"),"≤ 7 j",""))</f>
        <v/>
      </c>
      <c r="M694" s="29">
        <f>IF($B694="","",IFERROR(INDEX($T$4:$T$3183,MATCH(SMALL($V$4:$V$3183,691),$V$4:$V$3183,0)),""))</f>
        <v/>
      </c>
      <c r="O694">
        <f>IF(INDEX(Suivi!$B:$B,708)="","",INDEX(Suivi!$B:$B,708))</f>
        <v/>
      </c>
      <c r="P694">
        <f>IF($O694="","",IF(INDEX(Suivi!$D:$D,708)="",INDEX(Suivi!$C:$C,708),INDEX(Suivi!$D:$D,708)))</f>
        <v/>
      </c>
      <c r="Q694">
        <f>IF($O694="","",INDEX(Suivi!$E:$E,708))</f>
        <v/>
      </c>
      <c r="R694">
        <f>IF($O694="","",INDEX(Suivi!$F:$F,708))</f>
        <v/>
      </c>
      <c r="S694">
        <f>IF($O694="","",INDEX(Suivi!$G:$G,708))</f>
        <v/>
      </c>
      <c r="T694">
        <f>IF($O694="","",IF(INDEX(Dossiers!$F$4:$F$63,14)="","",INDEX(Dossiers!$F$4:$F$63,14)))</f>
        <v/>
      </c>
      <c r="U694">
        <f>IF($O694="","",IF(INDEX(Dossiers!$G$4:$G$63,14)="","",INDEX(Dossiers!$G$4:$G$63,14)))</f>
        <v/>
      </c>
      <c r="V694">
        <f>IF(OR($O694="",NOT(ISNUMBER($Q694))),"",$Q694*1000000+694)</f>
        <v/>
      </c>
      <c r="W694" s="29">
        <f>IF($B694="","",IFERROR(INDEX($U$4:$U$3183,MATCH(SMALL($V$4:$V$3183,691),$V$4:$V$3183,0)),""))</f>
        <v/>
      </c>
    </row>
    <row r="695">
      <c r="A695">
        <f>IFERROR(INDEX($N$4:$N$3183,MATCH(SMALL($V$4:$V$3183,692),$V$4:$V$3183,0)),"")</f>
        <v/>
      </c>
      <c r="B695">
        <f>IFERROR(INDEX($O$4:$O$3183,MATCH(SMALL($V$4:$V$3183,692),$V$4:$V$3183,0)),"")</f>
        <v/>
      </c>
      <c r="C695">
        <f>IFERROR(INDEX($P$4:$P$3183,MATCH(SMALL($V$4:$V$3183,692),$V$4:$V$3183,0)),"")</f>
        <v/>
      </c>
      <c r="D695" s="29">
        <f>IFERROR(INDEX($Q$4:$Q$3183,MATCH(SMALL($V$4:$V$3183,692),$V$4:$V$3183,0)),"")</f>
        <v/>
      </c>
      <c r="E695" s="29">
        <f>IFERROR(INDEX($R$4:$R$3183,MATCH(SMALL($V$4:$V$3183,692),$V$4:$V$3183,0)),"")</f>
        <v/>
      </c>
      <c r="F695">
        <f>IFERROR(INDEX($S$4:$S$3183,MATCH(SMALL($V$4:$V$3183,692),$V$4:$V$3183,0)),"")</f>
        <v/>
      </c>
      <c r="I695" s="29">
        <f>IF($B695="","",IFERROR(INDEX($U$4:$U$3183,MATCH(SMALL($V$4:$V$3183,692),$V$4:$V$3183,0)),""))</f>
        <v/>
      </c>
      <c r="J695">
        <f>IF($B695="","",IF($D695&gt;$F$2,"À venir",IF($E695&lt;$D$2,"Passé","Dans la période")))</f>
        <v/>
      </c>
      <c r="K695">
        <f>IF(OR($B695="",NOT(ISNUMBER($D695))),"",IF(AND($E695&lt;$D$2,$G695&lt;&gt;"X",$F695&lt;&gt;"Réalisé",$F695&lt;&gt;"Clôturé"),"RETARD",""))</f>
        <v/>
      </c>
      <c r="L695">
        <f>IF(OR($B695="",NOT(ISNUMBER($D695))),"",IF(AND($D695&gt;=$D$2,$D695&lt;=$H$2,$G695&lt;&gt;"X",$F695&lt;&gt;"Réalisé",$F695&lt;&gt;"Clôturé"),"≤ 7 j",""))</f>
        <v/>
      </c>
      <c r="M695" s="29">
        <f>IF($B695="","",IFERROR(INDEX($T$4:$T$3183,MATCH(SMALL($V$4:$V$3183,692),$V$4:$V$3183,0)),""))</f>
        <v/>
      </c>
      <c r="O695">
        <f>IF(INDEX(Suivi!$B:$B,709)="","",INDEX(Suivi!$B:$B,709))</f>
        <v/>
      </c>
      <c r="P695">
        <f>IF($O695="","",IF(INDEX(Suivi!$D:$D,709)="",INDEX(Suivi!$C:$C,709),INDEX(Suivi!$D:$D,709)))</f>
        <v/>
      </c>
      <c r="Q695">
        <f>IF($O695="","",INDEX(Suivi!$E:$E,709))</f>
        <v/>
      </c>
      <c r="R695">
        <f>IF($O695="","",INDEX(Suivi!$F:$F,709))</f>
        <v/>
      </c>
      <c r="S695">
        <f>IF($O695="","",INDEX(Suivi!$G:$G,709))</f>
        <v/>
      </c>
      <c r="T695">
        <f>IF($O695="","",IF(INDEX(Dossiers!$F$4:$F$63,14)="","",INDEX(Dossiers!$F$4:$F$63,14)))</f>
        <v/>
      </c>
      <c r="U695">
        <f>IF($O695="","",IF(INDEX(Dossiers!$G$4:$G$63,14)="","",INDEX(Dossiers!$G$4:$G$63,14)))</f>
        <v/>
      </c>
      <c r="V695">
        <f>IF(OR($O695="",NOT(ISNUMBER($Q695))),"",$Q695*1000000+695)</f>
        <v/>
      </c>
      <c r="W695" s="29">
        <f>IF($B695="","",IFERROR(INDEX($U$4:$U$3183,MATCH(SMALL($V$4:$V$3183,692),$V$4:$V$3183,0)),""))</f>
        <v/>
      </c>
    </row>
    <row r="696">
      <c r="A696">
        <f>IFERROR(INDEX($N$4:$N$3183,MATCH(SMALL($V$4:$V$3183,693),$V$4:$V$3183,0)),"")</f>
        <v/>
      </c>
      <c r="B696">
        <f>IFERROR(INDEX($O$4:$O$3183,MATCH(SMALL($V$4:$V$3183,693),$V$4:$V$3183,0)),"")</f>
        <v/>
      </c>
      <c r="C696">
        <f>IFERROR(INDEX($P$4:$P$3183,MATCH(SMALL($V$4:$V$3183,693),$V$4:$V$3183,0)),"")</f>
        <v/>
      </c>
      <c r="D696" s="29">
        <f>IFERROR(INDEX($Q$4:$Q$3183,MATCH(SMALL($V$4:$V$3183,693),$V$4:$V$3183,0)),"")</f>
        <v/>
      </c>
      <c r="E696" s="29">
        <f>IFERROR(INDEX($R$4:$R$3183,MATCH(SMALL($V$4:$V$3183,693),$V$4:$V$3183,0)),"")</f>
        <v/>
      </c>
      <c r="F696">
        <f>IFERROR(INDEX($S$4:$S$3183,MATCH(SMALL($V$4:$V$3183,693),$V$4:$V$3183,0)),"")</f>
        <v/>
      </c>
      <c r="I696" s="29">
        <f>IF($B696="","",IFERROR(INDEX($U$4:$U$3183,MATCH(SMALL($V$4:$V$3183,693),$V$4:$V$3183,0)),""))</f>
        <v/>
      </c>
      <c r="J696">
        <f>IF($B696="","",IF($D696&gt;$F$2,"À venir",IF($E696&lt;$D$2,"Passé","Dans la période")))</f>
        <v/>
      </c>
      <c r="K696">
        <f>IF(OR($B696="",NOT(ISNUMBER($D696))),"",IF(AND($E696&lt;$D$2,$G696&lt;&gt;"X",$F696&lt;&gt;"Réalisé",$F696&lt;&gt;"Clôturé"),"RETARD",""))</f>
        <v/>
      </c>
      <c r="L696">
        <f>IF(OR($B696="",NOT(ISNUMBER($D696))),"",IF(AND($D696&gt;=$D$2,$D696&lt;=$H$2,$G696&lt;&gt;"X",$F696&lt;&gt;"Réalisé",$F696&lt;&gt;"Clôturé"),"≤ 7 j",""))</f>
        <v/>
      </c>
      <c r="M696" s="29">
        <f>IF($B696="","",IFERROR(INDEX($T$4:$T$3183,MATCH(SMALL($V$4:$V$3183,693),$V$4:$V$3183,0)),""))</f>
        <v/>
      </c>
      <c r="O696">
        <f>IF(INDEX(Suivi!$B:$B,710)="","",INDEX(Suivi!$B:$B,710))</f>
        <v/>
      </c>
      <c r="P696">
        <f>IF($O696="","",IF(INDEX(Suivi!$D:$D,710)="",INDEX(Suivi!$C:$C,710),INDEX(Suivi!$D:$D,710)))</f>
        <v/>
      </c>
      <c r="Q696">
        <f>IF($O696="","",INDEX(Suivi!$E:$E,710))</f>
        <v/>
      </c>
      <c r="R696">
        <f>IF($O696="","",INDEX(Suivi!$F:$F,710))</f>
        <v/>
      </c>
      <c r="S696">
        <f>IF($O696="","",INDEX(Suivi!$G:$G,710))</f>
        <v/>
      </c>
      <c r="T696">
        <f>IF($O696="","",IF(INDEX(Dossiers!$F$4:$F$63,14)="","",INDEX(Dossiers!$F$4:$F$63,14)))</f>
        <v/>
      </c>
      <c r="U696">
        <f>IF($O696="","",IF(INDEX(Dossiers!$G$4:$G$63,14)="","",INDEX(Dossiers!$G$4:$G$63,14)))</f>
        <v/>
      </c>
      <c r="V696">
        <f>IF(OR($O696="",NOT(ISNUMBER($Q696))),"",$Q696*1000000+696)</f>
        <v/>
      </c>
      <c r="W696" s="29">
        <f>IF($B696="","",IFERROR(INDEX($U$4:$U$3183,MATCH(SMALL($V$4:$V$3183,693),$V$4:$V$3183,0)),""))</f>
        <v/>
      </c>
    </row>
    <row r="697">
      <c r="A697">
        <f>IFERROR(INDEX($N$4:$N$3183,MATCH(SMALL($V$4:$V$3183,694),$V$4:$V$3183,0)),"")</f>
        <v/>
      </c>
      <c r="B697">
        <f>IFERROR(INDEX($O$4:$O$3183,MATCH(SMALL($V$4:$V$3183,694),$V$4:$V$3183,0)),"")</f>
        <v/>
      </c>
      <c r="C697">
        <f>IFERROR(INDEX($P$4:$P$3183,MATCH(SMALL($V$4:$V$3183,694),$V$4:$V$3183,0)),"")</f>
        <v/>
      </c>
      <c r="D697" s="29">
        <f>IFERROR(INDEX($Q$4:$Q$3183,MATCH(SMALL($V$4:$V$3183,694),$V$4:$V$3183,0)),"")</f>
        <v/>
      </c>
      <c r="E697" s="29">
        <f>IFERROR(INDEX($R$4:$R$3183,MATCH(SMALL($V$4:$V$3183,694),$V$4:$V$3183,0)),"")</f>
        <v/>
      </c>
      <c r="F697">
        <f>IFERROR(INDEX($S$4:$S$3183,MATCH(SMALL($V$4:$V$3183,694),$V$4:$V$3183,0)),"")</f>
        <v/>
      </c>
      <c r="I697" s="29">
        <f>IF($B697="","",IFERROR(INDEX($U$4:$U$3183,MATCH(SMALL($V$4:$V$3183,694),$V$4:$V$3183,0)),""))</f>
        <v/>
      </c>
      <c r="J697">
        <f>IF($B697="","",IF($D697&gt;$F$2,"À venir",IF($E697&lt;$D$2,"Passé","Dans la période")))</f>
        <v/>
      </c>
      <c r="K697">
        <f>IF(OR($B697="",NOT(ISNUMBER($D697))),"",IF(AND($E697&lt;$D$2,$G697&lt;&gt;"X",$F697&lt;&gt;"Réalisé",$F697&lt;&gt;"Clôturé"),"RETARD",""))</f>
        <v/>
      </c>
      <c r="L697">
        <f>IF(OR($B697="",NOT(ISNUMBER($D697))),"",IF(AND($D697&gt;=$D$2,$D697&lt;=$H$2,$G697&lt;&gt;"X",$F697&lt;&gt;"Réalisé",$F697&lt;&gt;"Clôturé"),"≤ 7 j",""))</f>
        <v/>
      </c>
      <c r="M697" s="29">
        <f>IF($B697="","",IFERROR(INDEX($T$4:$T$3183,MATCH(SMALL($V$4:$V$3183,694),$V$4:$V$3183,0)),""))</f>
        <v/>
      </c>
      <c r="O697">
        <f>IF(INDEX(Suivi!$B:$B,711)="","",INDEX(Suivi!$B:$B,711))</f>
        <v/>
      </c>
      <c r="P697">
        <f>IF($O697="","",IF(INDEX(Suivi!$D:$D,711)="",INDEX(Suivi!$C:$C,711),INDEX(Suivi!$D:$D,711)))</f>
        <v/>
      </c>
      <c r="Q697">
        <f>IF($O697="","",INDEX(Suivi!$E:$E,711))</f>
        <v/>
      </c>
      <c r="R697">
        <f>IF($O697="","",INDEX(Suivi!$F:$F,711))</f>
        <v/>
      </c>
      <c r="S697">
        <f>IF($O697="","",INDEX(Suivi!$G:$G,711))</f>
        <v/>
      </c>
      <c r="T697">
        <f>IF($O697="","",IF(INDEX(Dossiers!$F$4:$F$63,14)="","",INDEX(Dossiers!$F$4:$F$63,14)))</f>
        <v/>
      </c>
      <c r="U697">
        <f>IF($O697="","",IF(INDEX(Dossiers!$G$4:$G$63,14)="","",INDEX(Dossiers!$G$4:$G$63,14)))</f>
        <v/>
      </c>
      <c r="V697">
        <f>IF(OR($O697="",NOT(ISNUMBER($Q697))),"",$Q697*1000000+697)</f>
        <v/>
      </c>
      <c r="W697" s="29">
        <f>IF($B697="","",IFERROR(INDEX($U$4:$U$3183,MATCH(SMALL($V$4:$V$3183,694),$V$4:$V$3183,0)),""))</f>
        <v/>
      </c>
    </row>
    <row r="698">
      <c r="A698">
        <f>IFERROR(INDEX($N$4:$N$3183,MATCH(SMALL($V$4:$V$3183,695),$V$4:$V$3183,0)),"")</f>
        <v/>
      </c>
      <c r="B698">
        <f>IFERROR(INDEX($O$4:$O$3183,MATCH(SMALL($V$4:$V$3183,695),$V$4:$V$3183,0)),"")</f>
        <v/>
      </c>
      <c r="C698">
        <f>IFERROR(INDEX($P$4:$P$3183,MATCH(SMALL($V$4:$V$3183,695),$V$4:$V$3183,0)),"")</f>
        <v/>
      </c>
      <c r="D698" s="29">
        <f>IFERROR(INDEX($Q$4:$Q$3183,MATCH(SMALL($V$4:$V$3183,695),$V$4:$V$3183,0)),"")</f>
        <v/>
      </c>
      <c r="E698" s="29">
        <f>IFERROR(INDEX($R$4:$R$3183,MATCH(SMALL($V$4:$V$3183,695),$V$4:$V$3183,0)),"")</f>
        <v/>
      </c>
      <c r="F698">
        <f>IFERROR(INDEX($S$4:$S$3183,MATCH(SMALL($V$4:$V$3183,695),$V$4:$V$3183,0)),"")</f>
        <v/>
      </c>
      <c r="I698" s="29">
        <f>IF($B698="","",IFERROR(INDEX($U$4:$U$3183,MATCH(SMALL($V$4:$V$3183,695),$V$4:$V$3183,0)),""))</f>
        <v/>
      </c>
      <c r="J698">
        <f>IF($B698="","",IF($D698&gt;$F$2,"À venir",IF($E698&lt;$D$2,"Passé","Dans la période")))</f>
        <v/>
      </c>
      <c r="K698">
        <f>IF(OR($B698="",NOT(ISNUMBER($D698))),"",IF(AND($E698&lt;$D$2,$G698&lt;&gt;"X",$F698&lt;&gt;"Réalisé",$F698&lt;&gt;"Clôturé"),"RETARD",""))</f>
        <v/>
      </c>
      <c r="L698">
        <f>IF(OR($B698="",NOT(ISNUMBER($D698))),"",IF(AND($D698&gt;=$D$2,$D698&lt;=$H$2,$G698&lt;&gt;"X",$F698&lt;&gt;"Réalisé",$F698&lt;&gt;"Clôturé"),"≤ 7 j",""))</f>
        <v/>
      </c>
      <c r="M698" s="29">
        <f>IF($B698="","",IFERROR(INDEX($T$4:$T$3183,MATCH(SMALL($V$4:$V$3183,695),$V$4:$V$3183,0)),""))</f>
        <v/>
      </c>
      <c r="O698">
        <f>IF(INDEX(Suivi!$B:$B,712)="","",INDEX(Suivi!$B:$B,712))</f>
        <v/>
      </c>
      <c r="P698">
        <f>IF($O698="","",IF(INDEX(Suivi!$D:$D,712)="",INDEX(Suivi!$C:$C,712),INDEX(Suivi!$D:$D,712)))</f>
        <v/>
      </c>
      <c r="Q698">
        <f>IF($O698="","",INDEX(Suivi!$E:$E,712))</f>
        <v/>
      </c>
      <c r="R698">
        <f>IF($O698="","",INDEX(Suivi!$F:$F,712))</f>
        <v/>
      </c>
      <c r="S698">
        <f>IF($O698="","",INDEX(Suivi!$G:$G,712))</f>
        <v/>
      </c>
      <c r="T698">
        <f>IF($O698="","",IF(INDEX(Dossiers!$F$4:$F$63,14)="","",INDEX(Dossiers!$F$4:$F$63,14)))</f>
        <v/>
      </c>
      <c r="U698">
        <f>IF($O698="","",IF(INDEX(Dossiers!$G$4:$G$63,14)="","",INDEX(Dossiers!$G$4:$G$63,14)))</f>
        <v/>
      </c>
      <c r="V698">
        <f>IF(OR($O698="",NOT(ISNUMBER($Q698))),"",$Q698*1000000+698)</f>
        <v/>
      </c>
      <c r="W698" s="29">
        <f>IF($B698="","",IFERROR(INDEX($U$4:$U$3183,MATCH(SMALL($V$4:$V$3183,695),$V$4:$V$3183,0)),""))</f>
        <v/>
      </c>
    </row>
    <row r="699">
      <c r="A699">
        <f>IFERROR(INDEX($N$4:$N$3183,MATCH(SMALL($V$4:$V$3183,696),$V$4:$V$3183,0)),"")</f>
        <v/>
      </c>
      <c r="B699">
        <f>IFERROR(INDEX($O$4:$O$3183,MATCH(SMALL($V$4:$V$3183,696),$V$4:$V$3183,0)),"")</f>
        <v/>
      </c>
      <c r="C699">
        <f>IFERROR(INDEX($P$4:$P$3183,MATCH(SMALL($V$4:$V$3183,696),$V$4:$V$3183,0)),"")</f>
        <v/>
      </c>
      <c r="D699" s="29">
        <f>IFERROR(INDEX($Q$4:$Q$3183,MATCH(SMALL($V$4:$V$3183,696),$V$4:$V$3183,0)),"")</f>
        <v/>
      </c>
      <c r="E699" s="29">
        <f>IFERROR(INDEX($R$4:$R$3183,MATCH(SMALL($V$4:$V$3183,696),$V$4:$V$3183,0)),"")</f>
        <v/>
      </c>
      <c r="F699">
        <f>IFERROR(INDEX($S$4:$S$3183,MATCH(SMALL($V$4:$V$3183,696),$V$4:$V$3183,0)),"")</f>
        <v/>
      </c>
      <c r="I699" s="29">
        <f>IF($B699="","",IFERROR(INDEX($U$4:$U$3183,MATCH(SMALL($V$4:$V$3183,696),$V$4:$V$3183,0)),""))</f>
        <v/>
      </c>
      <c r="J699">
        <f>IF($B699="","",IF($D699&gt;$F$2,"À venir",IF($E699&lt;$D$2,"Passé","Dans la période")))</f>
        <v/>
      </c>
      <c r="K699">
        <f>IF(OR($B699="",NOT(ISNUMBER($D699))),"",IF(AND($E699&lt;$D$2,$G699&lt;&gt;"X",$F699&lt;&gt;"Réalisé",$F699&lt;&gt;"Clôturé"),"RETARD",""))</f>
        <v/>
      </c>
      <c r="L699">
        <f>IF(OR($B699="",NOT(ISNUMBER($D699))),"",IF(AND($D699&gt;=$D$2,$D699&lt;=$H$2,$G699&lt;&gt;"X",$F699&lt;&gt;"Réalisé",$F699&lt;&gt;"Clôturé"),"≤ 7 j",""))</f>
        <v/>
      </c>
      <c r="M699" s="29">
        <f>IF($B699="","",IFERROR(INDEX($T$4:$T$3183,MATCH(SMALL($V$4:$V$3183,696),$V$4:$V$3183,0)),""))</f>
        <v/>
      </c>
      <c r="O699">
        <f>IF(INDEX(Suivi!$B:$B,713)="","",INDEX(Suivi!$B:$B,713))</f>
        <v/>
      </c>
      <c r="P699">
        <f>IF($O699="","",IF(INDEX(Suivi!$D:$D,713)="",INDEX(Suivi!$C:$C,713),INDEX(Suivi!$D:$D,713)))</f>
        <v/>
      </c>
      <c r="Q699">
        <f>IF($O699="","",INDEX(Suivi!$E:$E,713))</f>
        <v/>
      </c>
      <c r="R699">
        <f>IF($O699="","",INDEX(Suivi!$F:$F,713))</f>
        <v/>
      </c>
      <c r="S699">
        <f>IF($O699="","",INDEX(Suivi!$G:$G,713))</f>
        <v/>
      </c>
      <c r="T699">
        <f>IF($O699="","",IF(INDEX(Dossiers!$F$4:$F$63,14)="","",INDEX(Dossiers!$F$4:$F$63,14)))</f>
        <v/>
      </c>
      <c r="U699">
        <f>IF($O699="","",IF(INDEX(Dossiers!$G$4:$G$63,14)="","",INDEX(Dossiers!$G$4:$G$63,14)))</f>
        <v/>
      </c>
      <c r="V699">
        <f>IF(OR($O699="",NOT(ISNUMBER($Q699))),"",$Q699*1000000+699)</f>
        <v/>
      </c>
      <c r="W699" s="29">
        <f>IF($B699="","",IFERROR(INDEX($U$4:$U$3183,MATCH(SMALL($V$4:$V$3183,696),$V$4:$V$3183,0)),""))</f>
        <v/>
      </c>
    </row>
    <row r="700">
      <c r="A700">
        <f>IFERROR(INDEX($N$4:$N$3183,MATCH(SMALL($V$4:$V$3183,697),$V$4:$V$3183,0)),"")</f>
        <v/>
      </c>
      <c r="B700">
        <f>IFERROR(INDEX($O$4:$O$3183,MATCH(SMALL($V$4:$V$3183,697),$V$4:$V$3183,0)),"")</f>
        <v/>
      </c>
      <c r="C700">
        <f>IFERROR(INDEX($P$4:$P$3183,MATCH(SMALL($V$4:$V$3183,697),$V$4:$V$3183,0)),"")</f>
        <v/>
      </c>
      <c r="D700" s="29">
        <f>IFERROR(INDEX($Q$4:$Q$3183,MATCH(SMALL($V$4:$V$3183,697),$V$4:$V$3183,0)),"")</f>
        <v/>
      </c>
      <c r="E700" s="29">
        <f>IFERROR(INDEX($R$4:$R$3183,MATCH(SMALL($V$4:$V$3183,697),$V$4:$V$3183,0)),"")</f>
        <v/>
      </c>
      <c r="F700">
        <f>IFERROR(INDEX($S$4:$S$3183,MATCH(SMALL($V$4:$V$3183,697),$V$4:$V$3183,0)),"")</f>
        <v/>
      </c>
      <c r="I700" s="29">
        <f>IF($B700="","",IFERROR(INDEX($U$4:$U$3183,MATCH(SMALL($V$4:$V$3183,697),$V$4:$V$3183,0)),""))</f>
        <v/>
      </c>
      <c r="J700">
        <f>IF($B700="","",IF($D700&gt;$F$2,"À venir",IF($E700&lt;$D$2,"Passé","Dans la période")))</f>
        <v/>
      </c>
      <c r="K700">
        <f>IF(OR($B700="",NOT(ISNUMBER($D700))),"",IF(AND($E700&lt;$D$2,$G700&lt;&gt;"X",$F700&lt;&gt;"Réalisé",$F700&lt;&gt;"Clôturé"),"RETARD",""))</f>
        <v/>
      </c>
      <c r="L700">
        <f>IF(OR($B700="",NOT(ISNUMBER($D700))),"",IF(AND($D700&gt;=$D$2,$D700&lt;=$H$2,$G700&lt;&gt;"X",$F700&lt;&gt;"Réalisé",$F700&lt;&gt;"Clôturé"),"≤ 7 j",""))</f>
        <v/>
      </c>
      <c r="M700" s="29">
        <f>IF($B700="","",IFERROR(INDEX($T$4:$T$3183,MATCH(SMALL($V$4:$V$3183,697),$V$4:$V$3183,0)),""))</f>
        <v/>
      </c>
      <c r="O700">
        <f>IF(INDEX(Suivi!$B:$B,714)="","",INDEX(Suivi!$B:$B,714))</f>
        <v/>
      </c>
      <c r="P700">
        <f>IF($O700="","",IF(INDEX(Suivi!$D:$D,714)="",INDEX(Suivi!$C:$C,714),INDEX(Suivi!$D:$D,714)))</f>
        <v/>
      </c>
      <c r="Q700">
        <f>IF($O700="","",INDEX(Suivi!$E:$E,714))</f>
        <v/>
      </c>
      <c r="R700">
        <f>IF($O700="","",INDEX(Suivi!$F:$F,714))</f>
        <v/>
      </c>
      <c r="S700">
        <f>IF($O700="","",INDEX(Suivi!$G:$G,714))</f>
        <v/>
      </c>
      <c r="T700">
        <f>IF($O700="","",IF(INDEX(Dossiers!$F$4:$F$63,14)="","",INDEX(Dossiers!$F$4:$F$63,14)))</f>
        <v/>
      </c>
      <c r="U700">
        <f>IF($O700="","",IF(INDEX(Dossiers!$G$4:$G$63,14)="","",INDEX(Dossiers!$G$4:$G$63,14)))</f>
        <v/>
      </c>
      <c r="V700">
        <f>IF(OR($O700="",NOT(ISNUMBER($Q700))),"",$Q700*1000000+700)</f>
        <v/>
      </c>
      <c r="W700" s="29">
        <f>IF($B700="","",IFERROR(INDEX($U$4:$U$3183,MATCH(SMALL($V$4:$V$3183,697),$V$4:$V$3183,0)),""))</f>
        <v/>
      </c>
    </row>
    <row r="701">
      <c r="A701">
        <f>IFERROR(INDEX($N$4:$N$3183,MATCH(SMALL($V$4:$V$3183,698),$V$4:$V$3183,0)),"")</f>
        <v/>
      </c>
      <c r="B701">
        <f>IFERROR(INDEX($O$4:$O$3183,MATCH(SMALL($V$4:$V$3183,698),$V$4:$V$3183,0)),"")</f>
        <v/>
      </c>
      <c r="C701">
        <f>IFERROR(INDEX($P$4:$P$3183,MATCH(SMALL($V$4:$V$3183,698),$V$4:$V$3183,0)),"")</f>
        <v/>
      </c>
      <c r="D701" s="29">
        <f>IFERROR(INDEX($Q$4:$Q$3183,MATCH(SMALL($V$4:$V$3183,698),$V$4:$V$3183,0)),"")</f>
        <v/>
      </c>
      <c r="E701" s="29">
        <f>IFERROR(INDEX($R$4:$R$3183,MATCH(SMALL($V$4:$V$3183,698),$V$4:$V$3183,0)),"")</f>
        <v/>
      </c>
      <c r="F701">
        <f>IFERROR(INDEX($S$4:$S$3183,MATCH(SMALL($V$4:$V$3183,698),$V$4:$V$3183,0)),"")</f>
        <v/>
      </c>
      <c r="I701" s="29">
        <f>IF($B701="","",IFERROR(INDEX($U$4:$U$3183,MATCH(SMALL($V$4:$V$3183,698),$V$4:$V$3183,0)),""))</f>
        <v/>
      </c>
      <c r="J701">
        <f>IF($B701="","",IF($D701&gt;$F$2,"À venir",IF($E701&lt;$D$2,"Passé","Dans la période")))</f>
        <v/>
      </c>
      <c r="K701">
        <f>IF(OR($B701="",NOT(ISNUMBER($D701))),"",IF(AND($E701&lt;$D$2,$G701&lt;&gt;"X",$F701&lt;&gt;"Réalisé",$F701&lt;&gt;"Clôturé"),"RETARD",""))</f>
        <v/>
      </c>
      <c r="L701">
        <f>IF(OR($B701="",NOT(ISNUMBER($D701))),"",IF(AND($D701&gt;=$D$2,$D701&lt;=$H$2,$G701&lt;&gt;"X",$F701&lt;&gt;"Réalisé",$F701&lt;&gt;"Clôturé"),"≤ 7 j",""))</f>
        <v/>
      </c>
      <c r="M701" s="29">
        <f>IF($B701="","",IFERROR(INDEX($T$4:$T$3183,MATCH(SMALL($V$4:$V$3183,698),$V$4:$V$3183,0)),""))</f>
        <v/>
      </c>
      <c r="O701">
        <f>IF(INDEX(Suivi!$B:$B,715)="","",INDEX(Suivi!$B:$B,715))</f>
        <v/>
      </c>
      <c r="P701">
        <f>IF($O701="","",IF(INDEX(Suivi!$D:$D,715)="",INDEX(Suivi!$C:$C,715),INDEX(Suivi!$D:$D,715)))</f>
        <v/>
      </c>
      <c r="Q701">
        <f>IF($O701="","",INDEX(Suivi!$E:$E,715))</f>
        <v/>
      </c>
      <c r="R701">
        <f>IF($O701="","",INDEX(Suivi!$F:$F,715))</f>
        <v/>
      </c>
      <c r="S701">
        <f>IF($O701="","",INDEX(Suivi!$G:$G,715))</f>
        <v/>
      </c>
      <c r="T701">
        <f>IF($O701="","",IF(INDEX(Dossiers!$F$4:$F$63,14)="","",INDEX(Dossiers!$F$4:$F$63,14)))</f>
        <v/>
      </c>
      <c r="U701">
        <f>IF($O701="","",IF(INDEX(Dossiers!$G$4:$G$63,14)="","",INDEX(Dossiers!$G$4:$G$63,14)))</f>
        <v/>
      </c>
      <c r="V701">
        <f>IF(OR($O701="",NOT(ISNUMBER($Q701))),"",$Q701*1000000+701)</f>
        <v/>
      </c>
      <c r="W701" s="29">
        <f>IF($B701="","",IFERROR(INDEX($U$4:$U$3183,MATCH(SMALL($V$4:$V$3183,698),$V$4:$V$3183,0)),""))</f>
        <v/>
      </c>
    </row>
    <row r="702">
      <c r="A702">
        <f>IFERROR(INDEX($N$4:$N$3183,MATCH(SMALL($V$4:$V$3183,699),$V$4:$V$3183,0)),"")</f>
        <v/>
      </c>
      <c r="B702">
        <f>IFERROR(INDEX($O$4:$O$3183,MATCH(SMALL($V$4:$V$3183,699),$V$4:$V$3183,0)),"")</f>
        <v/>
      </c>
      <c r="C702">
        <f>IFERROR(INDEX($P$4:$P$3183,MATCH(SMALL($V$4:$V$3183,699),$V$4:$V$3183,0)),"")</f>
        <v/>
      </c>
      <c r="D702" s="29">
        <f>IFERROR(INDEX($Q$4:$Q$3183,MATCH(SMALL($V$4:$V$3183,699),$V$4:$V$3183,0)),"")</f>
        <v/>
      </c>
      <c r="E702" s="29">
        <f>IFERROR(INDEX($R$4:$R$3183,MATCH(SMALL($V$4:$V$3183,699),$V$4:$V$3183,0)),"")</f>
        <v/>
      </c>
      <c r="F702">
        <f>IFERROR(INDEX($S$4:$S$3183,MATCH(SMALL($V$4:$V$3183,699),$V$4:$V$3183,0)),"")</f>
        <v/>
      </c>
      <c r="I702" s="29">
        <f>IF($B702="","",IFERROR(INDEX($U$4:$U$3183,MATCH(SMALL($V$4:$V$3183,699),$V$4:$V$3183,0)),""))</f>
        <v/>
      </c>
      <c r="J702">
        <f>IF($B702="","",IF($D702&gt;$F$2,"À venir",IF($E702&lt;$D$2,"Passé","Dans la période")))</f>
        <v/>
      </c>
      <c r="K702">
        <f>IF(OR($B702="",NOT(ISNUMBER($D702))),"",IF(AND($E702&lt;$D$2,$G702&lt;&gt;"X",$F702&lt;&gt;"Réalisé",$F702&lt;&gt;"Clôturé"),"RETARD",""))</f>
        <v/>
      </c>
      <c r="L702">
        <f>IF(OR($B702="",NOT(ISNUMBER($D702))),"",IF(AND($D702&gt;=$D$2,$D702&lt;=$H$2,$G702&lt;&gt;"X",$F702&lt;&gt;"Réalisé",$F702&lt;&gt;"Clôturé"),"≤ 7 j",""))</f>
        <v/>
      </c>
      <c r="M702" s="29">
        <f>IF($B702="","",IFERROR(INDEX($T$4:$T$3183,MATCH(SMALL($V$4:$V$3183,699),$V$4:$V$3183,0)),""))</f>
        <v/>
      </c>
      <c r="O702">
        <f>IF(INDEX(Suivi!$B:$B,716)="","",INDEX(Suivi!$B:$B,716))</f>
        <v/>
      </c>
      <c r="P702">
        <f>IF($O702="","",IF(INDEX(Suivi!$D:$D,716)="",INDEX(Suivi!$C:$C,716),INDEX(Suivi!$D:$D,716)))</f>
        <v/>
      </c>
      <c r="Q702">
        <f>IF($O702="","",INDEX(Suivi!$E:$E,716))</f>
        <v/>
      </c>
      <c r="R702">
        <f>IF($O702="","",INDEX(Suivi!$F:$F,716))</f>
        <v/>
      </c>
      <c r="S702">
        <f>IF($O702="","",INDEX(Suivi!$G:$G,716))</f>
        <v/>
      </c>
      <c r="T702">
        <f>IF($O702="","",IF(INDEX(Dossiers!$F$4:$F$63,14)="","",INDEX(Dossiers!$F$4:$F$63,14)))</f>
        <v/>
      </c>
      <c r="U702">
        <f>IF($O702="","",IF(INDEX(Dossiers!$G$4:$G$63,14)="","",INDEX(Dossiers!$G$4:$G$63,14)))</f>
        <v/>
      </c>
      <c r="V702">
        <f>IF(OR($O702="",NOT(ISNUMBER($Q702))),"",$Q702*1000000+702)</f>
        <v/>
      </c>
      <c r="W702" s="29">
        <f>IF($B702="","",IFERROR(INDEX($U$4:$U$3183,MATCH(SMALL($V$4:$V$3183,699),$V$4:$V$3183,0)),""))</f>
        <v/>
      </c>
    </row>
    <row r="703">
      <c r="A703">
        <f>IFERROR(INDEX($N$4:$N$3183,MATCH(SMALL($V$4:$V$3183,700),$V$4:$V$3183,0)),"")</f>
        <v/>
      </c>
      <c r="B703">
        <f>IFERROR(INDEX($O$4:$O$3183,MATCH(SMALL($V$4:$V$3183,700),$V$4:$V$3183,0)),"")</f>
        <v/>
      </c>
      <c r="C703">
        <f>IFERROR(INDEX($P$4:$P$3183,MATCH(SMALL($V$4:$V$3183,700),$V$4:$V$3183,0)),"")</f>
        <v/>
      </c>
      <c r="D703" s="29">
        <f>IFERROR(INDEX($Q$4:$Q$3183,MATCH(SMALL($V$4:$V$3183,700),$V$4:$V$3183,0)),"")</f>
        <v/>
      </c>
      <c r="E703" s="29">
        <f>IFERROR(INDEX($R$4:$R$3183,MATCH(SMALL($V$4:$V$3183,700),$V$4:$V$3183,0)),"")</f>
        <v/>
      </c>
      <c r="F703">
        <f>IFERROR(INDEX($S$4:$S$3183,MATCH(SMALL($V$4:$V$3183,700),$V$4:$V$3183,0)),"")</f>
        <v/>
      </c>
      <c r="I703" s="29">
        <f>IF($B703="","",IFERROR(INDEX($U$4:$U$3183,MATCH(SMALL($V$4:$V$3183,700),$V$4:$V$3183,0)),""))</f>
        <v/>
      </c>
      <c r="J703">
        <f>IF($B703="","",IF($D703&gt;$F$2,"À venir",IF($E703&lt;$D$2,"Passé","Dans la période")))</f>
        <v/>
      </c>
      <c r="K703">
        <f>IF(OR($B703="",NOT(ISNUMBER($D703))),"",IF(AND($E703&lt;$D$2,$G703&lt;&gt;"X",$F703&lt;&gt;"Réalisé",$F703&lt;&gt;"Clôturé"),"RETARD",""))</f>
        <v/>
      </c>
      <c r="L703">
        <f>IF(OR($B703="",NOT(ISNUMBER($D703))),"",IF(AND($D703&gt;=$D$2,$D703&lt;=$H$2,$G703&lt;&gt;"X",$F703&lt;&gt;"Réalisé",$F703&lt;&gt;"Clôturé"),"≤ 7 j",""))</f>
        <v/>
      </c>
      <c r="M703" s="29">
        <f>IF($B703="","",IFERROR(INDEX($T$4:$T$3183,MATCH(SMALL($V$4:$V$3183,700),$V$4:$V$3183,0)),""))</f>
        <v/>
      </c>
      <c r="O703">
        <f>IF(INDEX(Suivi!$B:$B,717)="","",INDEX(Suivi!$B:$B,717))</f>
        <v/>
      </c>
      <c r="P703">
        <f>IF($O703="","",IF(INDEX(Suivi!$D:$D,717)="",INDEX(Suivi!$C:$C,717),INDEX(Suivi!$D:$D,717)))</f>
        <v/>
      </c>
      <c r="Q703">
        <f>IF($O703="","",INDEX(Suivi!$E:$E,717))</f>
        <v/>
      </c>
      <c r="R703">
        <f>IF($O703="","",INDEX(Suivi!$F:$F,717))</f>
        <v/>
      </c>
      <c r="S703">
        <f>IF($O703="","",INDEX(Suivi!$G:$G,717))</f>
        <v/>
      </c>
      <c r="T703">
        <f>IF($O703="","",IF(INDEX(Dossiers!$F$4:$F$63,14)="","",INDEX(Dossiers!$F$4:$F$63,14)))</f>
        <v/>
      </c>
      <c r="U703">
        <f>IF($O703="","",IF(INDEX(Dossiers!$G$4:$G$63,14)="","",INDEX(Dossiers!$G$4:$G$63,14)))</f>
        <v/>
      </c>
      <c r="V703">
        <f>IF(OR($O703="",NOT(ISNUMBER($Q703))),"",$Q703*1000000+703)</f>
        <v/>
      </c>
      <c r="W703" s="29">
        <f>IF($B703="","",IFERROR(INDEX($U$4:$U$3183,MATCH(SMALL($V$4:$V$3183,700),$V$4:$V$3183,0)),""))</f>
        <v/>
      </c>
    </row>
    <row r="704">
      <c r="A704">
        <f>IFERROR(INDEX($N$4:$N$3183,MATCH(SMALL($V$4:$V$3183,701),$V$4:$V$3183,0)),"")</f>
        <v/>
      </c>
      <c r="B704">
        <f>IFERROR(INDEX($O$4:$O$3183,MATCH(SMALL($V$4:$V$3183,701),$V$4:$V$3183,0)),"")</f>
        <v/>
      </c>
      <c r="C704">
        <f>IFERROR(INDEX($P$4:$P$3183,MATCH(SMALL($V$4:$V$3183,701),$V$4:$V$3183,0)),"")</f>
        <v/>
      </c>
      <c r="D704" s="29">
        <f>IFERROR(INDEX($Q$4:$Q$3183,MATCH(SMALL($V$4:$V$3183,701),$V$4:$V$3183,0)),"")</f>
        <v/>
      </c>
      <c r="E704" s="29">
        <f>IFERROR(INDEX($R$4:$R$3183,MATCH(SMALL($V$4:$V$3183,701),$V$4:$V$3183,0)),"")</f>
        <v/>
      </c>
      <c r="F704">
        <f>IFERROR(INDEX($S$4:$S$3183,MATCH(SMALL($V$4:$V$3183,701),$V$4:$V$3183,0)),"")</f>
        <v/>
      </c>
      <c r="I704" s="29">
        <f>IF($B704="","",IFERROR(INDEX($U$4:$U$3183,MATCH(SMALL($V$4:$V$3183,701),$V$4:$V$3183,0)),""))</f>
        <v/>
      </c>
      <c r="J704">
        <f>IF($B704="","",IF($D704&gt;$F$2,"À venir",IF($E704&lt;$D$2,"Passé","Dans la période")))</f>
        <v/>
      </c>
      <c r="K704">
        <f>IF(OR($B704="",NOT(ISNUMBER($D704))),"",IF(AND($E704&lt;$D$2,$G704&lt;&gt;"X",$F704&lt;&gt;"Réalisé",$F704&lt;&gt;"Clôturé"),"RETARD",""))</f>
        <v/>
      </c>
      <c r="L704">
        <f>IF(OR($B704="",NOT(ISNUMBER($D704))),"",IF(AND($D704&gt;=$D$2,$D704&lt;=$H$2,$G704&lt;&gt;"X",$F704&lt;&gt;"Réalisé",$F704&lt;&gt;"Clôturé"),"≤ 7 j",""))</f>
        <v/>
      </c>
      <c r="M704" s="29">
        <f>IF($B704="","",IFERROR(INDEX($T$4:$T$3183,MATCH(SMALL($V$4:$V$3183,701),$V$4:$V$3183,0)),""))</f>
        <v/>
      </c>
      <c r="O704">
        <f>IF(INDEX(Suivi!$B:$B,718)="","",INDEX(Suivi!$B:$B,718))</f>
        <v/>
      </c>
      <c r="P704">
        <f>IF($O704="","",IF(INDEX(Suivi!$D:$D,718)="",INDEX(Suivi!$C:$C,718),INDEX(Suivi!$D:$D,718)))</f>
        <v/>
      </c>
      <c r="Q704">
        <f>IF($O704="","",INDEX(Suivi!$E:$E,718))</f>
        <v/>
      </c>
      <c r="R704">
        <f>IF($O704="","",INDEX(Suivi!$F:$F,718))</f>
        <v/>
      </c>
      <c r="S704">
        <f>IF($O704="","",INDEX(Suivi!$G:$G,718))</f>
        <v/>
      </c>
      <c r="T704">
        <f>IF($O704="","",IF(INDEX(Dossiers!$F$4:$F$63,14)="","",INDEX(Dossiers!$F$4:$F$63,14)))</f>
        <v/>
      </c>
      <c r="U704">
        <f>IF($O704="","",IF(INDEX(Dossiers!$G$4:$G$63,14)="","",INDEX(Dossiers!$G$4:$G$63,14)))</f>
        <v/>
      </c>
      <c r="V704">
        <f>IF(OR($O704="",NOT(ISNUMBER($Q704))),"",$Q704*1000000+704)</f>
        <v/>
      </c>
      <c r="W704" s="29">
        <f>IF($B704="","",IFERROR(INDEX($U$4:$U$3183,MATCH(SMALL($V$4:$V$3183,701),$V$4:$V$3183,0)),""))</f>
        <v/>
      </c>
    </row>
    <row r="705">
      <c r="A705">
        <f>IFERROR(INDEX($N$4:$N$3183,MATCH(SMALL($V$4:$V$3183,702),$V$4:$V$3183,0)),"")</f>
        <v/>
      </c>
      <c r="B705">
        <f>IFERROR(INDEX($O$4:$O$3183,MATCH(SMALL($V$4:$V$3183,702),$V$4:$V$3183,0)),"")</f>
        <v/>
      </c>
      <c r="C705">
        <f>IFERROR(INDEX($P$4:$P$3183,MATCH(SMALL($V$4:$V$3183,702),$V$4:$V$3183,0)),"")</f>
        <v/>
      </c>
      <c r="D705" s="29">
        <f>IFERROR(INDEX($Q$4:$Q$3183,MATCH(SMALL($V$4:$V$3183,702),$V$4:$V$3183,0)),"")</f>
        <v/>
      </c>
      <c r="E705" s="29">
        <f>IFERROR(INDEX($R$4:$R$3183,MATCH(SMALL($V$4:$V$3183,702),$V$4:$V$3183,0)),"")</f>
        <v/>
      </c>
      <c r="F705">
        <f>IFERROR(INDEX($S$4:$S$3183,MATCH(SMALL($V$4:$V$3183,702),$V$4:$V$3183,0)),"")</f>
        <v/>
      </c>
      <c r="I705" s="29">
        <f>IF($B705="","",IFERROR(INDEX($U$4:$U$3183,MATCH(SMALL($V$4:$V$3183,702),$V$4:$V$3183,0)),""))</f>
        <v/>
      </c>
      <c r="J705">
        <f>IF($B705="","",IF($D705&gt;$F$2,"À venir",IF($E705&lt;$D$2,"Passé","Dans la période")))</f>
        <v/>
      </c>
      <c r="K705">
        <f>IF(OR($B705="",NOT(ISNUMBER($D705))),"",IF(AND($E705&lt;$D$2,$G705&lt;&gt;"X",$F705&lt;&gt;"Réalisé",$F705&lt;&gt;"Clôturé"),"RETARD",""))</f>
        <v/>
      </c>
      <c r="L705">
        <f>IF(OR($B705="",NOT(ISNUMBER($D705))),"",IF(AND($D705&gt;=$D$2,$D705&lt;=$H$2,$G705&lt;&gt;"X",$F705&lt;&gt;"Réalisé",$F705&lt;&gt;"Clôturé"),"≤ 7 j",""))</f>
        <v/>
      </c>
      <c r="M705" s="29">
        <f>IF($B705="","",IFERROR(INDEX($T$4:$T$3183,MATCH(SMALL($V$4:$V$3183,702),$V$4:$V$3183,0)),""))</f>
        <v/>
      </c>
      <c r="O705">
        <f>IF(INDEX(Suivi!$B:$B,719)="","",INDEX(Suivi!$B:$B,719))</f>
        <v/>
      </c>
      <c r="P705">
        <f>IF($O705="","",IF(INDEX(Suivi!$D:$D,719)="",INDEX(Suivi!$C:$C,719),INDEX(Suivi!$D:$D,719)))</f>
        <v/>
      </c>
      <c r="Q705">
        <f>IF($O705="","",INDEX(Suivi!$E:$E,719))</f>
        <v/>
      </c>
      <c r="R705">
        <f>IF($O705="","",INDEX(Suivi!$F:$F,719))</f>
        <v/>
      </c>
      <c r="S705">
        <f>IF($O705="","",INDEX(Suivi!$G:$G,719))</f>
        <v/>
      </c>
      <c r="T705">
        <f>IF($O705="","",IF(INDEX(Dossiers!$F$4:$F$63,14)="","",INDEX(Dossiers!$F$4:$F$63,14)))</f>
        <v/>
      </c>
      <c r="U705">
        <f>IF($O705="","",IF(INDEX(Dossiers!$G$4:$G$63,14)="","",INDEX(Dossiers!$G$4:$G$63,14)))</f>
        <v/>
      </c>
      <c r="V705">
        <f>IF(OR($O705="",NOT(ISNUMBER($Q705))),"",$Q705*1000000+705)</f>
        <v/>
      </c>
      <c r="W705" s="29">
        <f>IF($B705="","",IFERROR(INDEX($U$4:$U$3183,MATCH(SMALL($V$4:$V$3183,702),$V$4:$V$3183,0)),""))</f>
        <v/>
      </c>
    </row>
    <row r="706">
      <c r="A706">
        <f>IFERROR(INDEX($N$4:$N$3183,MATCH(SMALL($V$4:$V$3183,703),$V$4:$V$3183,0)),"")</f>
        <v/>
      </c>
      <c r="B706">
        <f>IFERROR(INDEX($O$4:$O$3183,MATCH(SMALL($V$4:$V$3183,703),$V$4:$V$3183,0)),"")</f>
        <v/>
      </c>
      <c r="C706">
        <f>IFERROR(INDEX($P$4:$P$3183,MATCH(SMALL($V$4:$V$3183,703),$V$4:$V$3183,0)),"")</f>
        <v/>
      </c>
      <c r="D706" s="29">
        <f>IFERROR(INDEX($Q$4:$Q$3183,MATCH(SMALL($V$4:$V$3183,703),$V$4:$V$3183,0)),"")</f>
        <v/>
      </c>
      <c r="E706" s="29">
        <f>IFERROR(INDEX($R$4:$R$3183,MATCH(SMALL($V$4:$V$3183,703),$V$4:$V$3183,0)),"")</f>
        <v/>
      </c>
      <c r="F706">
        <f>IFERROR(INDEX($S$4:$S$3183,MATCH(SMALL($V$4:$V$3183,703),$V$4:$V$3183,0)),"")</f>
        <v/>
      </c>
      <c r="I706" s="29">
        <f>IF($B706="","",IFERROR(INDEX($U$4:$U$3183,MATCH(SMALL($V$4:$V$3183,703),$V$4:$V$3183,0)),""))</f>
        <v/>
      </c>
      <c r="J706">
        <f>IF($B706="","",IF($D706&gt;$F$2,"À venir",IF($E706&lt;$D$2,"Passé","Dans la période")))</f>
        <v/>
      </c>
      <c r="K706">
        <f>IF(OR($B706="",NOT(ISNUMBER($D706))),"",IF(AND($E706&lt;$D$2,$G706&lt;&gt;"X",$F706&lt;&gt;"Réalisé",$F706&lt;&gt;"Clôturé"),"RETARD",""))</f>
        <v/>
      </c>
      <c r="L706">
        <f>IF(OR($B706="",NOT(ISNUMBER($D706))),"",IF(AND($D706&gt;=$D$2,$D706&lt;=$H$2,$G706&lt;&gt;"X",$F706&lt;&gt;"Réalisé",$F706&lt;&gt;"Clôturé"),"≤ 7 j",""))</f>
        <v/>
      </c>
      <c r="M706" s="29">
        <f>IF($B706="","",IFERROR(INDEX($T$4:$T$3183,MATCH(SMALL($V$4:$V$3183,703),$V$4:$V$3183,0)),""))</f>
        <v/>
      </c>
      <c r="O706">
        <f>IF(INDEX(Suivi!$B:$B,720)="","",INDEX(Suivi!$B:$B,720))</f>
        <v/>
      </c>
      <c r="P706">
        <f>IF($O706="","",IF(INDEX(Suivi!$D:$D,720)="",INDEX(Suivi!$C:$C,720),INDEX(Suivi!$D:$D,720)))</f>
        <v/>
      </c>
      <c r="Q706">
        <f>IF($O706="","",INDEX(Suivi!$E:$E,720))</f>
        <v/>
      </c>
      <c r="R706">
        <f>IF($O706="","",INDEX(Suivi!$F:$F,720))</f>
        <v/>
      </c>
      <c r="S706">
        <f>IF($O706="","",INDEX(Suivi!$G:$G,720))</f>
        <v/>
      </c>
      <c r="T706">
        <f>IF($O706="","",IF(INDEX(Dossiers!$F$4:$F$63,14)="","",INDEX(Dossiers!$F$4:$F$63,14)))</f>
        <v/>
      </c>
      <c r="U706">
        <f>IF($O706="","",IF(INDEX(Dossiers!$G$4:$G$63,14)="","",INDEX(Dossiers!$G$4:$G$63,14)))</f>
        <v/>
      </c>
      <c r="V706">
        <f>IF(OR($O706="",NOT(ISNUMBER($Q706))),"",$Q706*1000000+706)</f>
        <v/>
      </c>
      <c r="W706" s="29">
        <f>IF($B706="","",IFERROR(INDEX($U$4:$U$3183,MATCH(SMALL($V$4:$V$3183,703),$V$4:$V$3183,0)),""))</f>
        <v/>
      </c>
    </row>
    <row r="707">
      <c r="A707">
        <f>IFERROR(INDEX($N$4:$N$3183,MATCH(SMALL($V$4:$V$3183,704),$V$4:$V$3183,0)),"")</f>
        <v/>
      </c>
      <c r="B707">
        <f>IFERROR(INDEX($O$4:$O$3183,MATCH(SMALL($V$4:$V$3183,704),$V$4:$V$3183,0)),"")</f>
        <v/>
      </c>
      <c r="C707">
        <f>IFERROR(INDEX($P$4:$P$3183,MATCH(SMALL($V$4:$V$3183,704),$V$4:$V$3183,0)),"")</f>
        <v/>
      </c>
      <c r="D707" s="29">
        <f>IFERROR(INDEX($Q$4:$Q$3183,MATCH(SMALL($V$4:$V$3183,704),$V$4:$V$3183,0)),"")</f>
        <v/>
      </c>
      <c r="E707" s="29">
        <f>IFERROR(INDEX($R$4:$R$3183,MATCH(SMALL($V$4:$V$3183,704),$V$4:$V$3183,0)),"")</f>
        <v/>
      </c>
      <c r="F707">
        <f>IFERROR(INDEX($S$4:$S$3183,MATCH(SMALL($V$4:$V$3183,704),$V$4:$V$3183,0)),"")</f>
        <v/>
      </c>
      <c r="I707" s="29">
        <f>IF($B707="","",IFERROR(INDEX($U$4:$U$3183,MATCH(SMALL($V$4:$V$3183,704),$V$4:$V$3183,0)),""))</f>
        <v/>
      </c>
      <c r="J707">
        <f>IF($B707="","",IF($D707&gt;$F$2,"À venir",IF($E707&lt;$D$2,"Passé","Dans la période")))</f>
        <v/>
      </c>
      <c r="K707">
        <f>IF(OR($B707="",NOT(ISNUMBER($D707))),"",IF(AND($E707&lt;$D$2,$G707&lt;&gt;"X",$F707&lt;&gt;"Réalisé",$F707&lt;&gt;"Clôturé"),"RETARD",""))</f>
        <v/>
      </c>
      <c r="L707">
        <f>IF(OR($B707="",NOT(ISNUMBER($D707))),"",IF(AND($D707&gt;=$D$2,$D707&lt;=$H$2,$G707&lt;&gt;"X",$F707&lt;&gt;"Réalisé",$F707&lt;&gt;"Clôturé"),"≤ 7 j",""))</f>
        <v/>
      </c>
      <c r="M707" s="29">
        <f>IF($B707="","",IFERROR(INDEX($T$4:$T$3183,MATCH(SMALL($V$4:$V$3183,704),$V$4:$V$3183,0)),""))</f>
        <v/>
      </c>
      <c r="O707">
        <f>IF(INDEX(Suivi!$B:$B,721)="","",INDEX(Suivi!$B:$B,721))</f>
        <v/>
      </c>
      <c r="P707">
        <f>IF($O707="","",IF(INDEX(Suivi!$D:$D,721)="",INDEX(Suivi!$C:$C,721),INDEX(Suivi!$D:$D,721)))</f>
        <v/>
      </c>
      <c r="Q707">
        <f>IF($O707="","",INDEX(Suivi!$E:$E,721))</f>
        <v/>
      </c>
      <c r="R707">
        <f>IF($O707="","",INDEX(Suivi!$F:$F,721))</f>
        <v/>
      </c>
      <c r="S707">
        <f>IF($O707="","",INDEX(Suivi!$G:$G,721))</f>
        <v/>
      </c>
      <c r="T707">
        <f>IF($O707="","",IF(INDEX(Dossiers!$F$4:$F$63,14)="","",INDEX(Dossiers!$F$4:$F$63,14)))</f>
        <v/>
      </c>
      <c r="U707">
        <f>IF($O707="","",IF(INDEX(Dossiers!$G$4:$G$63,14)="","",INDEX(Dossiers!$G$4:$G$63,14)))</f>
        <v/>
      </c>
      <c r="V707">
        <f>IF(OR($O707="",NOT(ISNUMBER($Q707))),"",$Q707*1000000+707)</f>
        <v/>
      </c>
      <c r="W707" s="29">
        <f>IF($B707="","",IFERROR(INDEX($U$4:$U$3183,MATCH(SMALL($V$4:$V$3183,704),$V$4:$V$3183,0)),""))</f>
        <v/>
      </c>
    </row>
    <row r="708">
      <c r="A708">
        <f>IFERROR(INDEX($N$4:$N$3183,MATCH(SMALL($V$4:$V$3183,705),$V$4:$V$3183,0)),"")</f>
        <v/>
      </c>
      <c r="B708">
        <f>IFERROR(INDEX($O$4:$O$3183,MATCH(SMALL($V$4:$V$3183,705),$V$4:$V$3183,0)),"")</f>
        <v/>
      </c>
      <c r="C708">
        <f>IFERROR(INDEX($P$4:$P$3183,MATCH(SMALL($V$4:$V$3183,705),$V$4:$V$3183,0)),"")</f>
        <v/>
      </c>
      <c r="D708" s="29">
        <f>IFERROR(INDEX($Q$4:$Q$3183,MATCH(SMALL($V$4:$V$3183,705),$V$4:$V$3183,0)),"")</f>
        <v/>
      </c>
      <c r="E708" s="29">
        <f>IFERROR(INDEX($R$4:$R$3183,MATCH(SMALL($V$4:$V$3183,705),$V$4:$V$3183,0)),"")</f>
        <v/>
      </c>
      <c r="F708">
        <f>IFERROR(INDEX($S$4:$S$3183,MATCH(SMALL($V$4:$V$3183,705),$V$4:$V$3183,0)),"")</f>
        <v/>
      </c>
      <c r="I708" s="29">
        <f>IF($B708="","",IFERROR(INDEX($U$4:$U$3183,MATCH(SMALL($V$4:$V$3183,705),$V$4:$V$3183,0)),""))</f>
        <v/>
      </c>
      <c r="J708">
        <f>IF($B708="","",IF($D708&gt;$F$2,"À venir",IF($E708&lt;$D$2,"Passé","Dans la période")))</f>
        <v/>
      </c>
      <c r="K708">
        <f>IF(OR($B708="",NOT(ISNUMBER($D708))),"",IF(AND($E708&lt;$D$2,$G708&lt;&gt;"X",$F708&lt;&gt;"Réalisé",$F708&lt;&gt;"Clôturé"),"RETARD",""))</f>
        <v/>
      </c>
      <c r="L708">
        <f>IF(OR($B708="",NOT(ISNUMBER($D708))),"",IF(AND($D708&gt;=$D$2,$D708&lt;=$H$2,$G708&lt;&gt;"X",$F708&lt;&gt;"Réalisé",$F708&lt;&gt;"Clôturé"),"≤ 7 j",""))</f>
        <v/>
      </c>
      <c r="M708" s="29">
        <f>IF($B708="","",IFERROR(INDEX($T$4:$T$3183,MATCH(SMALL($V$4:$V$3183,705),$V$4:$V$3183,0)),""))</f>
        <v/>
      </c>
      <c r="O708">
        <f>IF(INDEX(Suivi!$B:$B,722)="","",INDEX(Suivi!$B:$B,722))</f>
        <v/>
      </c>
      <c r="P708">
        <f>IF($O708="","",IF(INDEX(Suivi!$D:$D,722)="",INDEX(Suivi!$C:$C,722),INDEX(Suivi!$D:$D,722)))</f>
        <v/>
      </c>
      <c r="Q708">
        <f>IF($O708="","",INDEX(Suivi!$E:$E,722))</f>
        <v/>
      </c>
      <c r="R708">
        <f>IF($O708="","",INDEX(Suivi!$F:$F,722))</f>
        <v/>
      </c>
      <c r="S708">
        <f>IF($O708="","",INDEX(Suivi!$G:$G,722))</f>
        <v/>
      </c>
      <c r="T708">
        <f>IF($O708="","",IF(INDEX(Dossiers!$F$4:$F$63,14)="","",INDEX(Dossiers!$F$4:$F$63,14)))</f>
        <v/>
      </c>
      <c r="U708">
        <f>IF($O708="","",IF(INDEX(Dossiers!$G$4:$G$63,14)="","",INDEX(Dossiers!$G$4:$G$63,14)))</f>
        <v/>
      </c>
      <c r="V708">
        <f>IF(OR($O708="",NOT(ISNUMBER($Q708))),"",$Q708*1000000+708)</f>
        <v/>
      </c>
      <c r="W708" s="29">
        <f>IF($B708="","",IFERROR(INDEX($U$4:$U$3183,MATCH(SMALL($V$4:$V$3183,705),$V$4:$V$3183,0)),""))</f>
        <v/>
      </c>
    </row>
    <row r="709">
      <c r="A709">
        <f>IFERROR(INDEX($N$4:$N$3183,MATCH(SMALL($V$4:$V$3183,706),$V$4:$V$3183,0)),"")</f>
        <v/>
      </c>
      <c r="B709">
        <f>IFERROR(INDEX($O$4:$O$3183,MATCH(SMALL($V$4:$V$3183,706),$V$4:$V$3183,0)),"")</f>
        <v/>
      </c>
      <c r="C709">
        <f>IFERROR(INDEX($P$4:$P$3183,MATCH(SMALL($V$4:$V$3183,706),$V$4:$V$3183,0)),"")</f>
        <v/>
      </c>
      <c r="D709" s="29">
        <f>IFERROR(INDEX($Q$4:$Q$3183,MATCH(SMALL($V$4:$V$3183,706),$V$4:$V$3183,0)),"")</f>
        <v/>
      </c>
      <c r="E709" s="29">
        <f>IFERROR(INDEX($R$4:$R$3183,MATCH(SMALL($V$4:$V$3183,706),$V$4:$V$3183,0)),"")</f>
        <v/>
      </c>
      <c r="F709">
        <f>IFERROR(INDEX($S$4:$S$3183,MATCH(SMALL($V$4:$V$3183,706),$V$4:$V$3183,0)),"")</f>
        <v/>
      </c>
      <c r="I709" s="29">
        <f>IF($B709="","",IFERROR(INDEX($U$4:$U$3183,MATCH(SMALL($V$4:$V$3183,706),$V$4:$V$3183,0)),""))</f>
        <v/>
      </c>
      <c r="J709">
        <f>IF($B709="","",IF($D709&gt;$F$2,"À venir",IF($E709&lt;$D$2,"Passé","Dans la période")))</f>
        <v/>
      </c>
      <c r="K709">
        <f>IF(OR($B709="",NOT(ISNUMBER($D709))),"",IF(AND($E709&lt;$D$2,$G709&lt;&gt;"X",$F709&lt;&gt;"Réalisé",$F709&lt;&gt;"Clôturé"),"RETARD",""))</f>
        <v/>
      </c>
      <c r="L709">
        <f>IF(OR($B709="",NOT(ISNUMBER($D709))),"",IF(AND($D709&gt;=$D$2,$D709&lt;=$H$2,$G709&lt;&gt;"X",$F709&lt;&gt;"Réalisé",$F709&lt;&gt;"Clôturé"),"≤ 7 j",""))</f>
        <v/>
      </c>
      <c r="M709" s="29">
        <f>IF($B709="","",IFERROR(INDEX($T$4:$T$3183,MATCH(SMALL($V$4:$V$3183,706),$V$4:$V$3183,0)),""))</f>
        <v/>
      </c>
      <c r="O709">
        <f>IF(INDEX(Suivi!$B:$B,723)="","",INDEX(Suivi!$B:$B,723))</f>
        <v/>
      </c>
      <c r="P709">
        <f>IF($O709="","",IF(INDEX(Suivi!$D:$D,723)="",INDEX(Suivi!$C:$C,723),INDEX(Suivi!$D:$D,723)))</f>
        <v/>
      </c>
      <c r="Q709">
        <f>IF($O709="","",INDEX(Suivi!$E:$E,723))</f>
        <v/>
      </c>
      <c r="R709">
        <f>IF($O709="","",INDEX(Suivi!$F:$F,723))</f>
        <v/>
      </c>
      <c r="S709">
        <f>IF($O709="","",INDEX(Suivi!$G:$G,723))</f>
        <v/>
      </c>
      <c r="T709">
        <f>IF($O709="","",IF(INDEX(Dossiers!$F$4:$F$63,14)="","",INDEX(Dossiers!$F$4:$F$63,14)))</f>
        <v/>
      </c>
      <c r="U709">
        <f>IF($O709="","",IF(INDEX(Dossiers!$G$4:$G$63,14)="","",INDEX(Dossiers!$G$4:$G$63,14)))</f>
        <v/>
      </c>
      <c r="V709">
        <f>IF(OR($O709="",NOT(ISNUMBER($Q709))),"",$Q709*1000000+709)</f>
        <v/>
      </c>
      <c r="W709" s="29">
        <f>IF($B709="","",IFERROR(INDEX($U$4:$U$3183,MATCH(SMALL($V$4:$V$3183,706),$V$4:$V$3183,0)),""))</f>
        <v/>
      </c>
    </row>
    <row r="710">
      <c r="A710">
        <f>IFERROR(INDEX($N$4:$N$3183,MATCH(SMALL($V$4:$V$3183,707),$V$4:$V$3183,0)),"")</f>
        <v/>
      </c>
      <c r="B710">
        <f>IFERROR(INDEX($O$4:$O$3183,MATCH(SMALL($V$4:$V$3183,707),$V$4:$V$3183,0)),"")</f>
        <v/>
      </c>
      <c r="C710">
        <f>IFERROR(INDEX($P$4:$P$3183,MATCH(SMALL($V$4:$V$3183,707),$V$4:$V$3183,0)),"")</f>
        <v/>
      </c>
      <c r="D710" s="29">
        <f>IFERROR(INDEX($Q$4:$Q$3183,MATCH(SMALL($V$4:$V$3183,707),$V$4:$V$3183,0)),"")</f>
        <v/>
      </c>
      <c r="E710" s="29">
        <f>IFERROR(INDEX($R$4:$R$3183,MATCH(SMALL($V$4:$V$3183,707),$V$4:$V$3183,0)),"")</f>
        <v/>
      </c>
      <c r="F710">
        <f>IFERROR(INDEX($S$4:$S$3183,MATCH(SMALL($V$4:$V$3183,707),$V$4:$V$3183,0)),"")</f>
        <v/>
      </c>
      <c r="I710" s="29">
        <f>IF($B710="","",IFERROR(INDEX($U$4:$U$3183,MATCH(SMALL($V$4:$V$3183,707),$V$4:$V$3183,0)),""))</f>
        <v/>
      </c>
      <c r="J710">
        <f>IF($B710="","",IF($D710&gt;$F$2,"À venir",IF($E710&lt;$D$2,"Passé","Dans la période")))</f>
        <v/>
      </c>
      <c r="K710">
        <f>IF(OR($B710="",NOT(ISNUMBER($D710))),"",IF(AND($E710&lt;$D$2,$G710&lt;&gt;"X",$F710&lt;&gt;"Réalisé",$F710&lt;&gt;"Clôturé"),"RETARD",""))</f>
        <v/>
      </c>
      <c r="L710">
        <f>IF(OR($B710="",NOT(ISNUMBER($D710))),"",IF(AND($D710&gt;=$D$2,$D710&lt;=$H$2,$G710&lt;&gt;"X",$F710&lt;&gt;"Réalisé",$F710&lt;&gt;"Clôturé"),"≤ 7 j",""))</f>
        <v/>
      </c>
      <c r="M710" s="29">
        <f>IF($B710="","",IFERROR(INDEX($T$4:$T$3183,MATCH(SMALL($V$4:$V$3183,707),$V$4:$V$3183,0)),""))</f>
        <v/>
      </c>
      <c r="O710">
        <f>IF(INDEX(Suivi!$B:$B,724)="","",INDEX(Suivi!$B:$B,724))</f>
        <v/>
      </c>
      <c r="P710">
        <f>IF($O710="","",IF(INDEX(Suivi!$D:$D,724)="",INDEX(Suivi!$C:$C,724),INDEX(Suivi!$D:$D,724)))</f>
        <v/>
      </c>
      <c r="Q710">
        <f>IF($O710="","",INDEX(Suivi!$E:$E,724))</f>
        <v/>
      </c>
      <c r="R710">
        <f>IF($O710="","",INDEX(Suivi!$F:$F,724))</f>
        <v/>
      </c>
      <c r="S710">
        <f>IF($O710="","",INDEX(Suivi!$G:$G,724))</f>
        <v/>
      </c>
      <c r="T710">
        <f>IF($O710="","",IF(INDEX(Dossiers!$F$4:$F$63,14)="","",INDEX(Dossiers!$F$4:$F$63,14)))</f>
        <v/>
      </c>
      <c r="U710">
        <f>IF($O710="","",IF(INDEX(Dossiers!$G$4:$G$63,14)="","",INDEX(Dossiers!$G$4:$G$63,14)))</f>
        <v/>
      </c>
      <c r="V710">
        <f>IF(OR($O710="",NOT(ISNUMBER($Q710))),"",$Q710*1000000+710)</f>
        <v/>
      </c>
      <c r="W710" s="29">
        <f>IF($B710="","",IFERROR(INDEX($U$4:$U$3183,MATCH(SMALL($V$4:$V$3183,707),$V$4:$V$3183,0)),""))</f>
        <v/>
      </c>
    </row>
    <row r="711">
      <c r="A711">
        <f>IFERROR(INDEX($N$4:$N$3183,MATCH(SMALL($V$4:$V$3183,708),$V$4:$V$3183,0)),"")</f>
        <v/>
      </c>
      <c r="B711">
        <f>IFERROR(INDEX($O$4:$O$3183,MATCH(SMALL($V$4:$V$3183,708),$V$4:$V$3183,0)),"")</f>
        <v/>
      </c>
      <c r="C711">
        <f>IFERROR(INDEX($P$4:$P$3183,MATCH(SMALL($V$4:$V$3183,708),$V$4:$V$3183,0)),"")</f>
        <v/>
      </c>
      <c r="D711" s="29">
        <f>IFERROR(INDEX($Q$4:$Q$3183,MATCH(SMALL($V$4:$V$3183,708),$V$4:$V$3183,0)),"")</f>
        <v/>
      </c>
      <c r="E711" s="29">
        <f>IFERROR(INDEX($R$4:$R$3183,MATCH(SMALL($V$4:$V$3183,708),$V$4:$V$3183,0)),"")</f>
        <v/>
      </c>
      <c r="F711">
        <f>IFERROR(INDEX($S$4:$S$3183,MATCH(SMALL($V$4:$V$3183,708),$V$4:$V$3183,0)),"")</f>
        <v/>
      </c>
      <c r="I711" s="29">
        <f>IF($B711="","",IFERROR(INDEX($U$4:$U$3183,MATCH(SMALL($V$4:$V$3183,708),$V$4:$V$3183,0)),""))</f>
        <v/>
      </c>
      <c r="J711">
        <f>IF($B711="","",IF($D711&gt;$F$2,"À venir",IF($E711&lt;$D$2,"Passé","Dans la période")))</f>
        <v/>
      </c>
      <c r="K711">
        <f>IF(OR($B711="",NOT(ISNUMBER($D711))),"",IF(AND($E711&lt;$D$2,$G711&lt;&gt;"X",$F711&lt;&gt;"Réalisé",$F711&lt;&gt;"Clôturé"),"RETARD",""))</f>
        <v/>
      </c>
      <c r="L711">
        <f>IF(OR($B711="",NOT(ISNUMBER($D711))),"",IF(AND($D711&gt;=$D$2,$D711&lt;=$H$2,$G711&lt;&gt;"X",$F711&lt;&gt;"Réalisé",$F711&lt;&gt;"Clôturé"),"≤ 7 j",""))</f>
        <v/>
      </c>
      <c r="M711" s="29">
        <f>IF($B711="","",IFERROR(INDEX($T$4:$T$3183,MATCH(SMALL($V$4:$V$3183,708),$V$4:$V$3183,0)),""))</f>
        <v/>
      </c>
      <c r="O711">
        <f>IF(INDEX(Suivi!$B:$B,725)="","",INDEX(Suivi!$B:$B,725))</f>
        <v/>
      </c>
      <c r="P711">
        <f>IF($O711="","",IF(INDEX(Suivi!$D:$D,725)="",INDEX(Suivi!$C:$C,725),INDEX(Suivi!$D:$D,725)))</f>
        <v/>
      </c>
      <c r="Q711">
        <f>IF($O711="","",INDEX(Suivi!$E:$E,725))</f>
        <v/>
      </c>
      <c r="R711">
        <f>IF($O711="","",INDEX(Suivi!$F:$F,725))</f>
        <v/>
      </c>
      <c r="S711">
        <f>IF($O711="","",INDEX(Suivi!$G:$G,725))</f>
        <v/>
      </c>
      <c r="T711">
        <f>IF($O711="","",IF(INDEX(Dossiers!$F$4:$F$63,14)="","",INDEX(Dossiers!$F$4:$F$63,14)))</f>
        <v/>
      </c>
      <c r="U711">
        <f>IF($O711="","",IF(INDEX(Dossiers!$G$4:$G$63,14)="","",INDEX(Dossiers!$G$4:$G$63,14)))</f>
        <v/>
      </c>
      <c r="V711">
        <f>IF(OR($O711="",NOT(ISNUMBER($Q711))),"",$Q711*1000000+711)</f>
        <v/>
      </c>
      <c r="W711" s="29">
        <f>IF($B711="","",IFERROR(INDEX($U$4:$U$3183,MATCH(SMALL($V$4:$V$3183,708),$V$4:$V$3183,0)),""))</f>
        <v/>
      </c>
    </row>
    <row r="712">
      <c r="A712">
        <f>IFERROR(INDEX($N$4:$N$3183,MATCH(SMALL($V$4:$V$3183,709),$V$4:$V$3183,0)),"")</f>
        <v/>
      </c>
      <c r="B712">
        <f>IFERROR(INDEX($O$4:$O$3183,MATCH(SMALL($V$4:$V$3183,709),$V$4:$V$3183,0)),"")</f>
        <v/>
      </c>
      <c r="C712">
        <f>IFERROR(INDEX($P$4:$P$3183,MATCH(SMALL($V$4:$V$3183,709),$V$4:$V$3183,0)),"")</f>
        <v/>
      </c>
      <c r="D712" s="29">
        <f>IFERROR(INDEX($Q$4:$Q$3183,MATCH(SMALL($V$4:$V$3183,709),$V$4:$V$3183,0)),"")</f>
        <v/>
      </c>
      <c r="E712" s="29">
        <f>IFERROR(INDEX($R$4:$R$3183,MATCH(SMALL($V$4:$V$3183,709),$V$4:$V$3183,0)),"")</f>
        <v/>
      </c>
      <c r="F712">
        <f>IFERROR(INDEX($S$4:$S$3183,MATCH(SMALL($V$4:$V$3183,709),$V$4:$V$3183,0)),"")</f>
        <v/>
      </c>
      <c r="I712" s="29">
        <f>IF($B712="","",IFERROR(INDEX($U$4:$U$3183,MATCH(SMALL($V$4:$V$3183,709),$V$4:$V$3183,0)),""))</f>
        <v/>
      </c>
      <c r="J712">
        <f>IF($B712="","",IF($D712&gt;$F$2,"À venir",IF($E712&lt;$D$2,"Passé","Dans la période")))</f>
        <v/>
      </c>
      <c r="K712">
        <f>IF(OR($B712="",NOT(ISNUMBER($D712))),"",IF(AND($E712&lt;$D$2,$G712&lt;&gt;"X",$F712&lt;&gt;"Réalisé",$F712&lt;&gt;"Clôturé"),"RETARD",""))</f>
        <v/>
      </c>
      <c r="L712">
        <f>IF(OR($B712="",NOT(ISNUMBER($D712))),"",IF(AND($D712&gt;=$D$2,$D712&lt;=$H$2,$G712&lt;&gt;"X",$F712&lt;&gt;"Réalisé",$F712&lt;&gt;"Clôturé"),"≤ 7 j",""))</f>
        <v/>
      </c>
      <c r="M712" s="29">
        <f>IF($B712="","",IFERROR(INDEX($T$4:$T$3183,MATCH(SMALL($V$4:$V$3183,709),$V$4:$V$3183,0)),""))</f>
        <v/>
      </c>
      <c r="O712">
        <f>IF(INDEX(Suivi!$B:$B,726)="","",INDEX(Suivi!$B:$B,726))</f>
        <v/>
      </c>
      <c r="P712">
        <f>IF($O712="","",IF(INDEX(Suivi!$D:$D,726)="",INDEX(Suivi!$C:$C,726),INDEX(Suivi!$D:$D,726)))</f>
        <v/>
      </c>
      <c r="Q712">
        <f>IF($O712="","",INDEX(Suivi!$E:$E,726))</f>
        <v/>
      </c>
      <c r="R712">
        <f>IF($O712="","",INDEX(Suivi!$F:$F,726))</f>
        <v/>
      </c>
      <c r="S712">
        <f>IF($O712="","",INDEX(Suivi!$G:$G,726))</f>
        <v/>
      </c>
      <c r="T712">
        <f>IF($O712="","",IF(INDEX(Dossiers!$F$4:$F$63,14)="","",INDEX(Dossiers!$F$4:$F$63,14)))</f>
        <v/>
      </c>
      <c r="U712">
        <f>IF($O712="","",IF(INDEX(Dossiers!$G$4:$G$63,14)="","",INDEX(Dossiers!$G$4:$G$63,14)))</f>
        <v/>
      </c>
      <c r="V712">
        <f>IF(OR($O712="",NOT(ISNUMBER($Q712))),"",$Q712*1000000+712)</f>
        <v/>
      </c>
      <c r="W712" s="29">
        <f>IF($B712="","",IFERROR(INDEX($U$4:$U$3183,MATCH(SMALL($V$4:$V$3183,709),$V$4:$V$3183,0)),""))</f>
        <v/>
      </c>
    </row>
    <row r="713">
      <c r="A713">
        <f>IFERROR(INDEX($N$4:$N$3183,MATCH(SMALL($V$4:$V$3183,710),$V$4:$V$3183,0)),"")</f>
        <v/>
      </c>
      <c r="B713">
        <f>IFERROR(INDEX($O$4:$O$3183,MATCH(SMALL($V$4:$V$3183,710),$V$4:$V$3183,0)),"")</f>
        <v/>
      </c>
      <c r="C713">
        <f>IFERROR(INDEX($P$4:$P$3183,MATCH(SMALL($V$4:$V$3183,710),$V$4:$V$3183,0)),"")</f>
        <v/>
      </c>
      <c r="D713" s="29">
        <f>IFERROR(INDEX($Q$4:$Q$3183,MATCH(SMALL($V$4:$V$3183,710),$V$4:$V$3183,0)),"")</f>
        <v/>
      </c>
      <c r="E713" s="29">
        <f>IFERROR(INDEX($R$4:$R$3183,MATCH(SMALL($V$4:$V$3183,710),$V$4:$V$3183,0)),"")</f>
        <v/>
      </c>
      <c r="F713">
        <f>IFERROR(INDEX($S$4:$S$3183,MATCH(SMALL($V$4:$V$3183,710),$V$4:$V$3183,0)),"")</f>
        <v/>
      </c>
      <c r="I713" s="29">
        <f>IF($B713="","",IFERROR(INDEX($U$4:$U$3183,MATCH(SMALL($V$4:$V$3183,710),$V$4:$V$3183,0)),""))</f>
        <v/>
      </c>
      <c r="J713">
        <f>IF($B713="","",IF($D713&gt;$F$2,"À venir",IF($E713&lt;$D$2,"Passé","Dans la période")))</f>
        <v/>
      </c>
      <c r="K713">
        <f>IF(OR($B713="",NOT(ISNUMBER($D713))),"",IF(AND($E713&lt;$D$2,$G713&lt;&gt;"X",$F713&lt;&gt;"Réalisé",$F713&lt;&gt;"Clôturé"),"RETARD",""))</f>
        <v/>
      </c>
      <c r="L713">
        <f>IF(OR($B713="",NOT(ISNUMBER($D713))),"",IF(AND($D713&gt;=$D$2,$D713&lt;=$H$2,$G713&lt;&gt;"X",$F713&lt;&gt;"Réalisé",$F713&lt;&gt;"Clôturé"),"≤ 7 j",""))</f>
        <v/>
      </c>
      <c r="M713" s="29">
        <f>IF($B713="","",IFERROR(INDEX($T$4:$T$3183,MATCH(SMALL($V$4:$V$3183,710),$V$4:$V$3183,0)),""))</f>
        <v/>
      </c>
      <c r="O713">
        <f>IF(INDEX(Suivi!$B:$B,727)="","",INDEX(Suivi!$B:$B,727))</f>
        <v/>
      </c>
      <c r="P713">
        <f>IF($O713="","",IF(INDEX(Suivi!$D:$D,727)="",INDEX(Suivi!$C:$C,727),INDEX(Suivi!$D:$D,727)))</f>
        <v/>
      </c>
      <c r="Q713">
        <f>IF($O713="","",INDEX(Suivi!$E:$E,727))</f>
        <v/>
      </c>
      <c r="R713">
        <f>IF($O713="","",INDEX(Suivi!$F:$F,727))</f>
        <v/>
      </c>
      <c r="S713">
        <f>IF($O713="","",INDEX(Suivi!$G:$G,727))</f>
        <v/>
      </c>
      <c r="T713">
        <f>IF($O713="","",IF(INDEX(Dossiers!$F$4:$F$63,14)="","",INDEX(Dossiers!$F$4:$F$63,14)))</f>
        <v/>
      </c>
      <c r="U713">
        <f>IF($O713="","",IF(INDEX(Dossiers!$G$4:$G$63,14)="","",INDEX(Dossiers!$G$4:$G$63,14)))</f>
        <v/>
      </c>
      <c r="V713">
        <f>IF(OR($O713="",NOT(ISNUMBER($Q713))),"",$Q713*1000000+713)</f>
        <v/>
      </c>
      <c r="W713" s="29">
        <f>IF($B713="","",IFERROR(INDEX($U$4:$U$3183,MATCH(SMALL($V$4:$V$3183,710),$V$4:$V$3183,0)),""))</f>
        <v/>
      </c>
    </row>
    <row r="714">
      <c r="A714">
        <f>IFERROR(INDEX($N$4:$N$3183,MATCH(SMALL($V$4:$V$3183,711),$V$4:$V$3183,0)),"")</f>
        <v/>
      </c>
      <c r="B714">
        <f>IFERROR(INDEX($O$4:$O$3183,MATCH(SMALL($V$4:$V$3183,711),$V$4:$V$3183,0)),"")</f>
        <v/>
      </c>
      <c r="C714">
        <f>IFERROR(INDEX($P$4:$P$3183,MATCH(SMALL($V$4:$V$3183,711),$V$4:$V$3183,0)),"")</f>
        <v/>
      </c>
      <c r="D714" s="29">
        <f>IFERROR(INDEX($Q$4:$Q$3183,MATCH(SMALL($V$4:$V$3183,711),$V$4:$V$3183,0)),"")</f>
        <v/>
      </c>
      <c r="E714" s="29">
        <f>IFERROR(INDEX($R$4:$R$3183,MATCH(SMALL($V$4:$V$3183,711),$V$4:$V$3183,0)),"")</f>
        <v/>
      </c>
      <c r="F714">
        <f>IFERROR(INDEX($S$4:$S$3183,MATCH(SMALL($V$4:$V$3183,711),$V$4:$V$3183,0)),"")</f>
        <v/>
      </c>
      <c r="I714" s="29">
        <f>IF($B714="","",IFERROR(INDEX($U$4:$U$3183,MATCH(SMALL($V$4:$V$3183,711),$V$4:$V$3183,0)),""))</f>
        <v/>
      </c>
      <c r="J714">
        <f>IF($B714="","",IF($D714&gt;$F$2,"À venir",IF($E714&lt;$D$2,"Passé","Dans la période")))</f>
        <v/>
      </c>
      <c r="K714">
        <f>IF(OR($B714="",NOT(ISNUMBER($D714))),"",IF(AND($E714&lt;$D$2,$G714&lt;&gt;"X",$F714&lt;&gt;"Réalisé",$F714&lt;&gt;"Clôturé"),"RETARD",""))</f>
        <v/>
      </c>
      <c r="L714">
        <f>IF(OR($B714="",NOT(ISNUMBER($D714))),"",IF(AND($D714&gt;=$D$2,$D714&lt;=$H$2,$G714&lt;&gt;"X",$F714&lt;&gt;"Réalisé",$F714&lt;&gt;"Clôturé"),"≤ 7 j",""))</f>
        <v/>
      </c>
      <c r="M714" s="29">
        <f>IF($B714="","",IFERROR(INDEX($T$4:$T$3183,MATCH(SMALL($V$4:$V$3183,711),$V$4:$V$3183,0)),""))</f>
        <v/>
      </c>
      <c r="O714">
        <f>IF(INDEX(Suivi!$B:$B,728)="","",INDEX(Suivi!$B:$B,728))</f>
        <v/>
      </c>
      <c r="P714">
        <f>IF($O714="","",IF(INDEX(Suivi!$D:$D,728)="",INDEX(Suivi!$C:$C,728),INDEX(Suivi!$D:$D,728)))</f>
        <v/>
      </c>
      <c r="Q714">
        <f>IF($O714="","",INDEX(Suivi!$E:$E,728))</f>
        <v/>
      </c>
      <c r="R714">
        <f>IF($O714="","",INDEX(Suivi!$F:$F,728))</f>
        <v/>
      </c>
      <c r="S714">
        <f>IF($O714="","",INDEX(Suivi!$G:$G,728))</f>
        <v/>
      </c>
      <c r="T714">
        <f>IF($O714="","",IF(INDEX(Dossiers!$F$4:$F$63,14)="","",INDEX(Dossiers!$F$4:$F$63,14)))</f>
        <v/>
      </c>
      <c r="U714">
        <f>IF($O714="","",IF(INDEX(Dossiers!$G$4:$G$63,14)="","",INDEX(Dossiers!$G$4:$G$63,14)))</f>
        <v/>
      </c>
      <c r="V714">
        <f>IF(OR($O714="",NOT(ISNUMBER($Q714))),"",$Q714*1000000+714)</f>
        <v/>
      </c>
      <c r="W714" s="29">
        <f>IF($B714="","",IFERROR(INDEX($U$4:$U$3183,MATCH(SMALL($V$4:$V$3183,711),$V$4:$V$3183,0)),""))</f>
        <v/>
      </c>
    </row>
    <row r="715">
      <c r="A715">
        <f>IFERROR(INDEX($N$4:$N$3183,MATCH(SMALL($V$4:$V$3183,712),$V$4:$V$3183,0)),"")</f>
        <v/>
      </c>
      <c r="B715">
        <f>IFERROR(INDEX($O$4:$O$3183,MATCH(SMALL($V$4:$V$3183,712),$V$4:$V$3183,0)),"")</f>
        <v/>
      </c>
      <c r="C715">
        <f>IFERROR(INDEX($P$4:$P$3183,MATCH(SMALL($V$4:$V$3183,712),$V$4:$V$3183,0)),"")</f>
        <v/>
      </c>
      <c r="D715" s="29">
        <f>IFERROR(INDEX($Q$4:$Q$3183,MATCH(SMALL($V$4:$V$3183,712),$V$4:$V$3183,0)),"")</f>
        <v/>
      </c>
      <c r="E715" s="29">
        <f>IFERROR(INDEX($R$4:$R$3183,MATCH(SMALL($V$4:$V$3183,712),$V$4:$V$3183,0)),"")</f>
        <v/>
      </c>
      <c r="F715">
        <f>IFERROR(INDEX($S$4:$S$3183,MATCH(SMALL($V$4:$V$3183,712),$V$4:$V$3183,0)),"")</f>
        <v/>
      </c>
      <c r="I715" s="29">
        <f>IF($B715="","",IFERROR(INDEX($U$4:$U$3183,MATCH(SMALL($V$4:$V$3183,712),$V$4:$V$3183,0)),""))</f>
        <v/>
      </c>
      <c r="J715">
        <f>IF($B715="","",IF($D715&gt;$F$2,"À venir",IF($E715&lt;$D$2,"Passé","Dans la période")))</f>
        <v/>
      </c>
      <c r="K715">
        <f>IF(OR($B715="",NOT(ISNUMBER($D715))),"",IF(AND($E715&lt;$D$2,$G715&lt;&gt;"X",$F715&lt;&gt;"Réalisé",$F715&lt;&gt;"Clôturé"),"RETARD",""))</f>
        <v/>
      </c>
      <c r="L715">
        <f>IF(OR($B715="",NOT(ISNUMBER($D715))),"",IF(AND($D715&gt;=$D$2,$D715&lt;=$H$2,$G715&lt;&gt;"X",$F715&lt;&gt;"Réalisé",$F715&lt;&gt;"Clôturé"),"≤ 7 j",""))</f>
        <v/>
      </c>
      <c r="M715" s="29">
        <f>IF($B715="","",IFERROR(INDEX($T$4:$T$3183,MATCH(SMALL($V$4:$V$3183,712),$V$4:$V$3183,0)),""))</f>
        <v/>
      </c>
      <c r="O715">
        <f>IF(INDEX(Suivi!$B:$B,729)="","",INDEX(Suivi!$B:$B,729))</f>
        <v/>
      </c>
      <c r="P715">
        <f>IF($O715="","",IF(INDEX(Suivi!$D:$D,729)="",INDEX(Suivi!$C:$C,729),INDEX(Suivi!$D:$D,729)))</f>
        <v/>
      </c>
      <c r="Q715">
        <f>IF($O715="","",INDEX(Suivi!$E:$E,729))</f>
        <v/>
      </c>
      <c r="R715">
        <f>IF($O715="","",INDEX(Suivi!$F:$F,729))</f>
        <v/>
      </c>
      <c r="S715">
        <f>IF($O715="","",INDEX(Suivi!$G:$G,729))</f>
        <v/>
      </c>
      <c r="T715">
        <f>IF($O715="","",IF(INDEX(Dossiers!$F$4:$F$63,14)="","",INDEX(Dossiers!$F$4:$F$63,14)))</f>
        <v/>
      </c>
      <c r="U715">
        <f>IF($O715="","",IF(INDEX(Dossiers!$G$4:$G$63,14)="","",INDEX(Dossiers!$G$4:$G$63,14)))</f>
        <v/>
      </c>
      <c r="V715">
        <f>IF(OR($O715="",NOT(ISNUMBER($Q715))),"",$Q715*1000000+715)</f>
        <v/>
      </c>
      <c r="W715" s="29">
        <f>IF($B715="","",IFERROR(INDEX($U$4:$U$3183,MATCH(SMALL($V$4:$V$3183,712),$V$4:$V$3183,0)),""))</f>
        <v/>
      </c>
    </row>
    <row r="716">
      <c r="A716">
        <f>IFERROR(INDEX($N$4:$N$3183,MATCH(SMALL($V$4:$V$3183,713),$V$4:$V$3183,0)),"")</f>
        <v/>
      </c>
      <c r="B716">
        <f>IFERROR(INDEX($O$4:$O$3183,MATCH(SMALL($V$4:$V$3183,713),$V$4:$V$3183,0)),"")</f>
        <v/>
      </c>
      <c r="C716">
        <f>IFERROR(INDEX($P$4:$P$3183,MATCH(SMALL($V$4:$V$3183,713),$V$4:$V$3183,0)),"")</f>
        <v/>
      </c>
      <c r="D716" s="29">
        <f>IFERROR(INDEX($Q$4:$Q$3183,MATCH(SMALL($V$4:$V$3183,713),$V$4:$V$3183,0)),"")</f>
        <v/>
      </c>
      <c r="E716" s="29">
        <f>IFERROR(INDEX($R$4:$R$3183,MATCH(SMALL($V$4:$V$3183,713),$V$4:$V$3183,0)),"")</f>
        <v/>
      </c>
      <c r="F716">
        <f>IFERROR(INDEX($S$4:$S$3183,MATCH(SMALL($V$4:$V$3183,713),$V$4:$V$3183,0)),"")</f>
        <v/>
      </c>
      <c r="I716" s="29">
        <f>IF($B716="","",IFERROR(INDEX($U$4:$U$3183,MATCH(SMALL($V$4:$V$3183,713),$V$4:$V$3183,0)),""))</f>
        <v/>
      </c>
      <c r="J716">
        <f>IF($B716="","",IF($D716&gt;$F$2,"À venir",IF($E716&lt;$D$2,"Passé","Dans la période")))</f>
        <v/>
      </c>
      <c r="K716">
        <f>IF(OR($B716="",NOT(ISNUMBER($D716))),"",IF(AND($E716&lt;$D$2,$G716&lt;&gt;"X",$F716&lt;&gt;"Réalisé",$F716&lt;&gt;"Clôturé"),"RETARD",""))</f>
        <v/>
      </c>
      <c r="L716">
        <f>IF(OR($B716="",NOT(ISNUMBER($D716))),"",IF(AND($D716&gt;=$D$2,$D716&lt;=$H$2,$G716&lt;&gt;"X",$F716&lt;&gt;"Réalisé",$F716&lt;&gt;"Clôturé"),"≤ 7 j",""))</f>
        <v/>
      </c>
      <c r="M716" s="29">
        <f>IF($B716="","",IFERROR(INDEX($T$4:$T$3183,MATCH(SMALL($V$4:$V$3183,713),$V$4:$V$3183,0)),""))</f>
        <v/>
      </c>
      <c r="O716">
        <f>IF(INDEX(Suivi!$B:$B,730)="","",INDEX(Suivi!$B:$B,730))</f>
        <v/>
      </c>
      <c r="P716">
        <f>IF($O716="","",IF(INDEX(Suivi!$D:$D,730)="",INDEX(Suivi!$C:$C,730),INDEX(Suivi!$D:$D,730)))</f>
        <v/>
      </c>
      <c r="Q716">
        <f>IF($O716="","",INDEX(Suivi!$E:$E,730))</f>
        <v/>
      </c>
      <c r="R716">
        <f>IF($O716="","",INDEX(Suivi!$F:$F,730))</f>
        <v/>
      </c>
      <c r="S716">
        <f>IF($O716="","",INDEX(Suivi!$G:$G,730))</f>
        <v/>
      </c>
      <c r="T716">
        <f>IF($O716="","",IF(INDEX(Dossiers!$F$4:$F$63,14)="","",INDEX(Dossiers!$F$4:$F$63,14)))</f>
        <v/>
      </c>
      <c r="U716">
        <f>IF($O716="","",IF(INDEX(Dossiers!$G$4:$G$63,14)="","",INDEX(Dossiers!$G$4:$G$63,14)))</f>
        <v/>
      </c>
      <c r="V716">
        <f>IF(OR($O716="",NOT(ISNUMBER($Q716))),"",$Q716*1000000+716)</f>
        <v/>
      </c>
      <c r="W716" s="29">
        <f>IF($B716="","",IFERROR(INDEX($U$4:$U$3183,MATCH(SMALL($V$4:$V$3183,713),$V$4:$V$3183,0)),""))</f>
        <v/>
      </c>
    </row>
    <row r="717">
      <c r="A717">
        <f>IFERROR(INDEX($N$4:$N$3183,MATCH(SMALL($V$4:$V$3183,714),$V$4:$V$3183,0)),"")</f>
        <v/>
      </c>
      <c r="B717">
        <f>IFERROR(INDEX($O$4:$O$3183,MATCH(SMALL($V$4:$V$3183,714),$V$4:$V$3183,0)),"")</f>
        <v/>
      </c>
      <c r="C717">
        <f>IFERROR(INDEX($P$4:$P$3183,MATCH(SMALL($V$4:$V$3183,714),$V$4:$V$3183,0)),"")</f>
        <v/>
      </c>
      <c r="D717" s="29">
        <f>IFERROR(INDEX($Q$4:$Q$3183,MATCH(SMALL($V$4:$V$3183,714),$V$4:$V$3183,0)),"")</f>
        <v/>
      </c>
      <c r="E717" s="29">
        <f>IFERROR(INDEX($R$4:$R$3183,MATCH(SMALL($V$4:$V$3183,714),$V$4:$V$3183,0)),"")</f>
        <v/>
      </c>
      <c r="F717">
        <f>IFERROR(INDEX($S$4:$S$3183,MATCH(SMALL($V$4:$V$3183,714),$V$4:$V$3183,0)),"")</f>
        <v/>
      </c>
      <c r="I717" s="29">
        <f>IF($B717="","",IFERROR(INDEX($U$4:$U$3183,MATCH(SMALL($V$4:$V$3183,714),$V$4:$V$3183,0)),""))</f>
        <v/>
      </c>
      <c r="J717">
        <f>IF($B717="","",IF($D717&gt;$F$2,"À venir",IF($E717&lt;$D$2,"Passé","Dans la période")))</f>
        <v/>
      </c>
      <c r="K717">
        <f>IF(OR($B717="",NOT(ISNUMBER($D717))),"",IF(AND($E717&lt;$D$2,$G717&lt;&gt;"X",$F717&lt;&gt;"Réalisé",$F717&lt;&gt;"Clôturé"),"RETARD",""))</f>
        <v/>
      </c>
      <c r="L717">
        <f>IF(OR($B717="",NOT(ISNUMBER($D717))),"",IF(AND($D717&gt;=$D$2,$D717&lt;=$H$2,$G717&lt;&gt;"X",$F717&lt;&gt;"Réalisé",$F717&lt;&gt;"Clôturé"),"≤ 7 j",""))</f>
        <v/>
      </c>
      <c r="M717" s="29">
        <f>IF($B717="","",IFERROR(INDEX($T$4:$T$3183,MATCH(SMALL($V$4:$V$3183,714),$V$4:$V$3183,0)),""))</f>
        <v/>
      </c>
      <c r="O717">
        <f>IF(INDEX(Suivi!$B:$B,731)="","",INDEX(Suivi!$B:$B,731))</f>
        <v/>
      </c>
      <c r="P717">
        <f>IF($O717="","",IF(INDEX(Suivi!$D:$D,731)="",INDEX(Suivi!$C:$C,731),INDEX(Suivi!$D:$D,731)))</f>
        <v/>
      </c>
      <c r="Q717">
        <f>IF($O717="","",INDEX(Suivi!$E:$E,731))</f>
        <v/>
      </c>
      <c r="R717">
        <f>IF($O717="","",INDEX(Suivi!$F:$F,731))</f>
        <v/>
      </c>
      <c r="S717">
        <f>IF($O717="","",INDEX(Suivi!$G:$G,731))</f>
        <v/>
      </c>
      <c r="T717">
        <f>IF($O717="","",IF(INDEX(Dossiers!$F$4:$F$63,14)="","",INDEX(Dossiers!$F$4:$F$63,14)))</f>
        <v/>
      </c>
      <c r="U717">
        <f>IF($O717="","",IF(INDEX(Dossiers!$G$4:$G$63,14)="","",INDEX(Dossiers!$G$4:$G$63,14)))</f>
        <v/>
      </c>
      <c r="V717">
        <f>IF(OR($O717="",NOT(ISNUMBER($Q717))),"",$Q717*1000000+717)</f>
        <v/>
      </c>
      <c r="W717" s="29">
        <f>IF($B717="","",IFERROR(INDEX($U$4:$U$3183,MATCH(SMALL($V$4:$V$3183,714),$V$4:$V$3183,0)),""))</f>
        <v/>
      </c>
    </row>
    <row r="718">
      <c r="A718">
        <f>IFERROR(INDEX($N$4:$N$3183,MATCH(SMALL($V$4:$V$3183,715),$V$4:$V$3183,0)),"")</f>
        <v/>
      </c>
      <c r="B718">
        <f>IFERROR(INDEX($O$4:$O$3183,MATCH(SMALL($V$4:$V$3183,715),$V$4:$V$3183,0)),"")</f>
        <v/>
      </c>
      <c r="C718">
        <f>IFERROR(INDEX($P$4:$P$3183,MATCH(SMALL($V$4:$V$3183,715),$V$4:$V$3183,0)),"")</f>
        <v/>
      </c>
      <c r="D718" s="29">
        <f>IFERROR(INDEX($Q$4:$Q$3183,MATCH(SMALL($V$4:$V$3183,715),$V$4:$V$3183,0)),"")</f>
        <v/>
      </c>
      <c r="E718" s="29">
        <f>IFERROR(INDEX($R$4:$R$3183,MATCH(SMALL($V$4:$V$3183,715),$V$4:$V$3183,0)),"")</f>
        <v/>
      </c>
      <c r="F718">
        <f>IFERROR(INDEX($S$4:$S$3183,MATCH(SMALL($V$4:$V$3183,715),$V$4:$V$3183,0)),"")</f>
        <v/>
      </c>
      <c r="I718" s="29">
        <f>IF($B718="","",IFERROR(INDEX($U$4:$U$3183,MATCH(SMALL($V$4:$V$3183,715),$V$4:$V$3183,0)),""))</f>
        <v/>
      </c>
      <c r="J718">
        <f>IF($B718="","",IF($D718&gt;$F$2,"À venir",IF($E718&lt;$D$2,"Passé","Dans la période")))</f>
        <v/>
      </c>
      <c r="K718">
        <f>IF(OR($B718="",NOT(ISNUMBER($D718))),"",IF(AND($E718&lt;$D$2,$G718&lt;&gt;"X",$F718&lt;&gt;"Réalisé",$F718&lt;&gt;"Clôturé"),"RETARD",""))</f>
        <v/>
      </c>
      <c r="L718">
        <f>IF(OR($B718="",NOT(ISNUMBER($D718))),"",IF(AND($D718&gt;=$D$2,$D718&lt;=$H$2,$G718&lt;&gt;"X",$F718&lt;&gt;"Réalisé",$F718&lt;&gt;"Clôturé"),"≤ 7 j",""))</f>
        <v/>
      </c>
      <c r="M718" s="29">
        <f>IF($B718="","",IFERROR(INDEX($T$4:$T$3183,MATCH(SMALL($V$4:$V$3183,715),$V$4:$V$3183,0)),""))</f>
        <v/>
      </c>
      <c r="O718">
        <f>IF(INDEX(Suivi!$B:$B,732)="","",INDEX(Suivi!$B:$B,732))</f>
        <v/>
      </c>
      <c r="P718">
        <f>IF($O718="","",IF(INDEX(Suivi!$D:$D,732)="",INDEX(Suivi!$C:$C,732),INDEX(Suivi!$D:$D,732)))</f>
        <v/>
      </c>
      <c r="Q718">
        <f>IF($O718="","",INDEX(Suivi!$E:$E,732))</f>
        <v/>
      </c>
      <c r="R718">
        <f>IF($O718="","",INDEX(Suivi!$F:$F,732))</f>
        <v/>
      </c>
      <c r="S718">
        <f>IF($O718="","",INDEX(Suivi!$G:$G,732))</f>
        <v/>
      </c>
      <c r="T718">
        <f>IF($O718="","",IF(INDEX(Dossiers!$F$4:$F$63,14)="","",INDEX(Dossiers!$F$4:$F$63,14)))</f>
        <v/>
      </c>
      <c r="U718">
        <f>IF($O718="","",IF(INDEX(Dossiers!$G$4:$G$63,14)="","",INDEX(Dossiers!$G$4:$G$63,14)))</f>
        <v/>
      </c>
      <c r="V718">
        <f>IF(OR($O718="",NOT(ISNUMBER($Q718))),"",$Q718*1000000+718)</f>
        <v/>
      </c>
      <c r="W718" s="29">
        <f>IF($B718="","",IFERROR(INDEX($U$4:$U$3183,MATCH(SMALL($V$4:$V$3183,715),$V$4:$V$3183,0)),""))</f>
        <v/>
      </c>
    </row>
    <row r="719">
      <c r="A719">
        <f>IFERROR(INDEX($N$4:$N$3183,MATCH(SMALL($V$4:$V$3183,716),$V$4:$V$3183,0)),"")</f>
        <v/>
      </c>
      <c r="B719">
        <f>IFERROR(INDEX($O$4:$O$3183,MATCH(SMALL($V$4:$V$3183,716),$V$4:$V$3183,0)),"")</f>
        <v/>
      </c>
      <c r="C719">
        <f>IFERROR(INDEX($P$4:$P$3183,MATCH(SMALL($V$4:$V$3183,716),$V$4:$V$3183,0)),"")</f>
        <v/>
      </c>
      <c r="D719" s="29">
        <f>IFERROR(INDEX($Q$4:$Q$3183,MATCH(SMALL($V$4:$V$3183,716),$V$4:$V$3183,0)),"")</f>
        <v/>
      </c>
      <c r="E719" s="29">
        <f>IFERROR(INDEX($R$4:$R$3183,MATCH(SMALL($V$4:$V$3183,716),$V$4:$V$3183,0)),"")</f>
        <v/>
      </c>
      <c r="F719">
        <f>IFERROR(INDEX($S$4:$S$3183,MATCH(SMALL($V$4:$V$3183,716),$V$4:$V$3183,0)),"")</f>
        <v/>
      </c>
      <c r="I719" s="29">
        <f>IF($B719="","",IFERROR(INDEX($U$4:$U$3183,MATCH(SMALL($V$4:$V$3183,716),$V$4:$V$3183,0)),""))</f>
        <v/>
      </c>
      <c r="J719">
        <f>IF($B719="","",IF($D719&gt;$F$2,"À venir",IF($E719&lt;$D$2,"Passé","Dans la période")))</f>
        <v/>
      </c>
      <c r="K719">
        <f>IF(OR($B719="",NOT(ISNUMBER($D719))),"",IF(AND($E719&lt;$D$2,$G719&lt;&gt;"X",$F719&lt;&gt;"Réalisé",$F719&lt;&gt;"Clôturé"),"RETARD",""))</f>
        <v/>
      </c>
      <c r="L719">
        <f>IF(OR($B719="",NOT(ISNUMBER($D719))),"",IF(AND($D719&gt;=$D$2,$D719&lt;=$H$2,$G719&lt;&gt;"X",$F719&lt;&gt;"Réalisé",$F719&lt;&gt;"Clôturé"),"≤ 7 j",""))</f>
        <v/>
      </c>
      <c r="M719" s="29">
        <f>IF($B719="","",IFERROR(INDEX($T$4:$T$3183,MATCH(SMALL($V$4:$V$3183,716),$V$4:$V$3183,0)),""))</f>
        <v/>
      </c>
      <c r="O719">
        <f>IF(INDEX(Suivi!$B:$B,733)="","",INDEX(Suivi!$B:$B,733))</f>
        <v/>
      </c>
      <c r="P719">
        <f>IF($O719="","",IF(INDEX(Suivi!$D:$D,733)="",INDEX(Suivi!$C:$C,733),INDEX(Suivi!$D:$D,733)))</f>
        <v/>
      </c>
      <c r="Q719">
        <f>IF($O719="","",INDEX(Suivi!$E:$E,733))</f>
        <v/>
      </c>
      <c r="R719">
        <f>IF($O719="","",INDEX(Suivi!$F:$F,733))</f>
        <v/>
      </c>
      <c r="S719">
        <f>IF($O719="","",INDEX(Suivi!$G:$G,733))</f>
        <v/>
      </c>
      <c r="T719">
        <f>IF($O719="","",IF(INDEX(Dossiers!$F$4:$F$63,14)="","",INDEX(Dossiers!$F$4:$F$63,14)))</f>
        <v/>
      </c>
      <c r="U719">
        <f>IF($O719="","",IF(INDEX(Dossiers!$G$4:$G$63,14)="","",INDEX(Dossiers!$G$4:$G$63,14)))</f>
        <v/>
      </c>
      <c r="V719">
        <f>IF(OR($O719="",NOT(ISNUMBER($Q719))),"",$Q719*1000000+719)</f>
        <v/>
      </c>
      <c r="W719" s="29">
        <f>IF($B719="","",IFERROR(INDEX($U$4:$U$3183,MATCH(SMALL($V$4:$V$3183,716),$V$4:$V$3183,0)),""))</f>
        <v/>
      </c>
    </row>
    <row r="720">
      <c r="A720">
        <f>IFERROR(INDEX($N$4:$N$3183,MATCH(SMALL($V$4:$V$3183,717),$V$4:$V$3183,0)),"")</f>
        <v/>
      </c>
      <c r="B720">
        <f>IFERROR(INDEX($O$4:$O$3183,MATCH(SMALL($V$4:$V$3183,717),$V$4:$V$3183,0)),"")</f>
        <v/>
      </c>
      <c r="C720">
        <f>IFERROR(INDEX($P$4:$P$3183,MATCH(SMALL($V$4:$V$3183,717),$V$4:$V$3183,0)),"")</f>
        <v/>
      </c>
      <c r="D720" s="29">
        <f>IFERROR(INDEX($Q$4:$Q$3183,MATCH(SMALL($V$4:$V$3183,717),$V$4:$V$3183,0)),"")</f>
        <v/>
      </c>
      <c r="E720" s="29">
        <f>IFERROR(INDEX($R$4:$R$3183,MATCH(SMALL($V$4:$V$3183,717),$V$4:$V$3183,0)),"")</f>
        <v/>
      </c>
      <c r="F720">
        <f>IFERROR(INDEX($S$4:$S$3183,MATCH(SMALL($V$4:$V$3183,717),$V$4:$V$3183,0)),"")</f>
        <v/>
      </c>
      <c r="I720" s="29">
        <f>IF($B720="","",IFERROR(INDEX($U$4:$U$3183,MATCH(SMALL($V$4:$V$3183,717),$V$4:$V$3183,0)),""))</f>
        <v/>
      </c>
      <c r="J720">
        <f>IF($B720="","",IF($D720&gt;$F$2,"À venir",IF($E720&lt;$D$2,"Passé","Dans la période")))</f>
        <v/>
      </c>
      <c r="K720">
        <f>IF(OR($B720="",NOT(ISNUMBER($D720))),"",IF(AND($E720&lt;$D$2,$G720&lt;&gt;"X",$F720&lt;&gt;"Réalisé",$F720&lt;&gt;"Clôturé"),"RETARD",""))</f>
        <v/>
      </c>
      <c r="L720">
        <f>IF(OR($B720="",NOT(ISNUMBER($D720))),"",IF(AND($D720&gt;=$D$2,$D720&lt;=$H$2,$G720&lt;&gt;"X",$F720&lt;&gt;"Réalisé",$F720&lt;&gt;"Clôturé"),"≤ 7 j",""))</f>
        <v/>
      </c>
      <c r="M720" s="29">
        <f>IF($B720="","",IFERROR(INDEX($T$4:$T$3183,MATCH(SMALL($V$4:$V$3183,717),$V$4:$V$3183,0)),""))</f>
        <v/>
      </c>
      <c r="O720">
        <f>IF(INDEX(Suivi!$B:$B,734)="","",INDEX(Suivi!$B:$B,734))</f>
        <v/>
      </c>
      <c r="P720">
        <f>IF($O720="","",IF(INDEX(Suivi!$D:$D,734)="",INDEX(Suivi!$C:$C,734),INDEX(Suivi!$D:$D,734)))</f>
        <v/>
      </c>
      <c r="Q720">
        <f>IF($O720="","",INDEX(Suivi!$E:$E,734))</f>
        <v/>
      </c>
      <c r="R720">
        <f>IF($O720="","",INDEX(Suivi!$F:$F,734))</f>
        <v/>
      </c>
      <c r="S720">
        <f>IF($O720="","",INDEX(Suivi!$G:$G,734))</f>
        <v/>
      </c>
      <c r="T720">
        <f>IF($O720="","",IF(INDEX(Dossiers!$F$4:$F$63,14)="","",INDEX(Dossiers!$F$4:$F$63,14)))</f>
        <v/>
      </c>
      <c r="U720">
        <f>IF($O720="","",IF(INDEX(Dossiers!$G$4:$G$63,14)="","",INDEX(Dossiers!$G$4:$G$63,14)))</f>
        <v/>
      </c>
      <c r="V720">
        <f>IF(OR($O720="",NOT(ISNUMBER($Q720))),"",$Q720*1000000+720)</f>
        <v/>
      </c>
      <c r="W720" s="29">
        <f>IF($B720="","",IFERROR(INDEX($U$4:$U$3183,MATCH(SMALL($V$4:$V$3183,717),$V$4:$V$3183,0)),""))</f>
        <v/>
      </c>
    </row>
    <row r="721">
      <c r="A721">
        <f>IFERROR(INDEX($N$4:$N$3183,MATCH(SMALL($V$4:$V$3183,718),$V$4:$V$3183,0)),"")</f>
        <v/>
      </c>
      <c r="B721">
        <f>IFERROR(INDEX($O$4:$O$3183,MATCH(SMALL($V$4:$V$3183,718),$V$4:$V$3183,0)),"")</f>
        <v/>
      </c>
      <c r="C721">
        <f>IFERROR(INDEX($P$4:$P$3183,MATCH(SMALL($V$4:$V$3183,718),$V$4:$V$3183,0)),"")</f>
        <v/>
      </c>
      <c r="D721" s="29">
        <f>IFERROR(INDEX($Q$4:$Q$3183,MATCH(SMALL($V$4:$V$3183,718),$V$4:$V$3183,0)),"")</f>
        <v/>
      </c>
      <c r="E721" s="29">
        <f>IFERROR(INDEX($R$4:$R$3183,MATCH(SMALL($V$4:$V$3183,718),$V$4:$V$3183,0)),"")</f>
        <v/>
      </c>
      <c r="F721">
        <f>IFERROR(INDEX($S$4:$S$3183,MATCH(SMALL($V$4:$V$3183,718),$V$4:$V$3183,0)),"")</f>
        <v/>
      </c>
      <c r="I721" s="29">
        <f>IF($B721="","",IFERROR(INDEX($U$4:$U$3183,MATCH(SMALL($V$4:$V$3183,718),$V$4:$V$3183,0)),""))</f>
        <v/>
      </c>
      <c r="J721">
        <f>IF($B721="","",IF($D721&gt;$F$2,"À venir",IF($E721&lt;$D$2,"Passé","Dans la période")))</f>
        <v/>
      </c>
      <c r="K721">
        <f>IF(OR($B721="",NOT(ISNUMBER($D721))),"",IF(AND($E721&lt;$D$2,$G721&lt;&gt;"X",$F721&lt;&gt;"Réalisé",$F721&lt;&gt;"Clôturé"),"RETARD",""))</f>
        <v/>
      </c>
      <c r="L721">
        <f>IF(OR($B721="",NOT(ISNUMBER($D721))),"",IF(AND($D721&gt;=$D$2,$D721&lt;=$H$2,$G721&lt;&gt;"X",$F721&lt;&gt;"Réalisé",$F721&lt;&gt;"Clôturé"),"≤ 7 j",""))</f>
        <v/>
      </c>
      <c r="M721" s="29">
        <f>IF($B721="","",IFERROR(INDEX($T$4:$T$3183,MATCH(SMALL($V$4:$V$3183,718),$V$4:$V$3183,0)),""))</f>
        <v/>
      </c>
      <c r="O721">
        <f>IF(INDEX(Suivi!$B:$B,735)="","",INDEX(Suivi!$B:$B,735))</f>
        <v/>
      </c>
      <c r="P721">
        <f>IF($O721="","",IF(INDEX(Suivi!$D:$D,735)="",INDEX(Suivi!$C:$C,735),INDEX(Suivi!$D:$D,735)))</f>
        <v/>
      </c>
      <c r="Q721">
        <f>IF($O721="","",INDEX(Suivi!$E:$E,735))</f>
        <v/>
      </c>
      <c r="R721">
        <f>IF($O721="","",INDEX(Suivi!$F:$F,735))</f>
        <v/>
      </c>
      <c r="S721">
        <f>IF($O721="","",INDEX(Suivi!$G:$G,735))</f>
        <v/>
      </c>
      <c r="T721">
        <f>IF($O721="","",IF(INDEX(Dossiers!$F$4:$F$63,14)="","",INDEX(Dossiers!$F$4:$F$63,14)))</f>
        <v/>
      </c>
      <c r="U721">
        <f>IF($O721="","",IF(INDEX(Dossiers!$G$4:$G$63,14)="","",INDEX(Dossiers!$G$4:$G$63,14)))</f>
        <v/>
      </c>
      <c r="V721">
        <f>IF(OR($O721="",NOT(ISNUMBER($Q721))),"",$Q721*1000000+721)</f>
        <v/>
      </c>
      <c r="W721" s="29">
        <f>IF($B721="","",IFERROR(INDEX($U$4:$U$3183,MATCH(SMALL($V$4:$V$3183,718),$V$4:$V$3183,0)),""))</f>
        <v/>
      </c>
    </row>
    <row r="722">
      <c r="A722">
        <f>IFERROR(INDEX($N$4:$N$3183,MATCH(SMALL($V$4:$V$3183,719),$V$4:$V$3183,0)),"")</f>
        <v/>
      </c>
      <c r="B722">
        <f>IFERROR(INDEX($O$4:$O$3183,MATCH(SMALL($V$4:$V$3183,719),$V$4:$V$3183,0)),"")</f>
        <v/>
      </c>
      <c r="C722">
        <f>IFERROR(INDEX($P$4:$P$3183,MATCH(SMALL($V$4:$V$3183,719),$V$4:$V$3183,0)),"")</f>
        <v/>
      </c>
      <c r="D722" s="29">
        <f>IFERROR(INDEX($Q$4:$Q$3183,MATCH(SMALL($V$4:$V$3183,719),$V$4:$V$3183,0)),"")</f>
        <v/>
      </c>
      <c r="E722" s="29">
        <f>IFERROR(INDEX($R$4:$R$3183,MATCH(SMALL($V$4:$V$3183,719),$V$4:$V$3183,0)),"")</f>
        <v/>
      </c>
      <c r="F722">
        <f>IFERROR(INDEX($S$4:$S$3183,MATCH(SMALL($V$4:$V$3183,719),$V$4:$V$3183,0)),"")</f>
        <v/>
      </c>
      <c r="I722" s="29">
        <f>IF($B722="","",IFERROR(INDEX($U$4:$U$3183,MATCH(SMALL($V$4:$V$3183,719),$V$4:$V$3183,0)),""))</f>
        <v/>
      </c>
      <c r="J722">
        <f>IF($B722="","",IF($D722&gt;$F$2,"À venir",IF($E722&lt;$D$2,"Passé","Dans la période")))</f>
        <v/>
      </c>
      <c r="K722">
        <f>IF(OR($B722="",NOT(ISNUMBER($D722))),"",IF(AND($E722&lt;$D$2,$G722&lt;&gt;"X",$F722&lt;&gt;"Réalisé",$F722&lt;&gt;"Clôturé"),"RETARD",""))</f>
        <v/>
      </c>
      <c r="L722">
        <f>IF(OR($B722="",NOT(ISNUMBER($D722))),"",IF(AND($D722&gt;=$D$2,$D722&lt;=$H$2,$G722&lt;&gt;"X",$F722&lt;&gt;"Réalisé",$F722&lt;&gt;"Clôturé"),"≤ 7 j",""))</f>
        <v/>
      </c>
      <c r="M722" s="29">
        <f>IF($B722="","",IFERROR(INDEX($T$4:$T$3183,MATCH(SMALL($V$4:$V$3183,719),$V$4:$V$3183,0)),""))</f>
        <v/>
      </c>
      <c r="O722">
        <f>IF(INDEX(Suivi!$B:$B,736)="","",INDEX(Suivi!$B:$B,736))</f>
        <v/>
      </c>
      <c r="P722">
        <f>IF($O722="","",IF(INDEX(Suivi!$D:$D,736)="",INDEX(Suivi!$C:$C,736),INDEX(Suivi!$D:$D,736)))</f>
        <v/>
      </c>
      <c r="Q722">
        <f>IF($O722="","",INDEX(Suivi!$E:$E,736))</f>
        <v/>
      </c>
      <c r="R722">
        <f>IF($O722="","",INDEX(Suivi!$F:$F,736))</f>
        <v/>
      </c>
      <c r="S722">
        <f>IF($O722="","",INDEX(Suivi!$G:$G,736))</f>
        <v/>
      </c>
      <c r="T722">
        <f>IF($O722="","",IF(INDEX(Dossiers!$F$4:$F$63,14)="","",INDEX(Dossiers!$F$4:$F$63,14)))</f>
        <v/>
      </c>
      <c r="U722">
        <f>IF($O722="","",IF(INDEX(Dossiers!$G$4:$G$63,14)="","",INDEX(Dossiers!$G$4:$G$63,14)))</f>
        <v/>
      </c>
      <c r="V722">
        <f>IF(OR($O722="",NOT(ISNUMBER($Q722))),"",$Q722*1000000+722)</f>
        <v/>
      </c>
      <c r="W722" s="29">
        <f>IF($B722="","",IFERROR(INDEX($U$4:$U$3183,MATCH(SMALL($V$4:$V$3183,719),$V$4:$V$3183,0)),""))</f>
        <v/>
      </c>
    </row>
    <row r="723">
      <c r="A723">
        <f>IFERROR(INDEX($N$4:$N$3183,MATCH(SMALL($V$4:$V$3183,720),$V$4:$V$3183,0)),"")</f>
        <v/>
      </c>
      <c r="B723">
        <f>IFERROR(INDEX($O$4:$O$3183,MATCH(SMALL($V$4:$V$3183,720),$V$4:$V$3183,0)),"")</f>
        <v/>
      </c>
      <c r="C723">
        <f>IFERROR(INDEX($P$4:$P$3183,MATCH(SMALL($V$4:$V$3183,720),$V$4:$V$3183,0)),"")</f>
        <v/>
      </c>
      <c r="D723" s="29">
        <f>IFERROR(INDEX($Q$4:$Q$3183,MATCH(SMALL($V$4:$V$3183,720),$V$4:$V$3183,0)),"")</f>
        <v/>
      </c>
      <c r="E723" s="29">
        <f>IFERROR(INDEX($R$4:$R$3183,MATCH(SMALL($V$4:$V$3183,720),$V$4:$V$3183,0)),"")</f>
        <v/>
      </c>
      <c r="F723">
        <f>IFERROR(INDEX($S$4:$S$3183,MATCH(SMALL($V$4:$V$3183,720),$V$4:$V$3183,0)),"")</f>
        <v/>
      </c>
      <c r="I723" s="29">
        <f>IF($B723="","",IFERROR(INDEX($U$4:$U$3183,MATCH(SMALL($V$4:$V$3183,720),$V$4:$V$3183,0)),""))</f>
        <v/>
      </c>
      <c r="J723">
        <f>IF($B723="","",IF($D723&gt;$F$2,"À venir",IF($E723&lt;$D$2,"Passé","Dans la période")))</f>
        <v/>
      </c>
      <c r="K723">
        <f>IF(OR($B723="",NOT(ISNUMBER($D723))),"",IF(AND($E723&lt;$D$2,$G723&lt;&gt;"X",$F723&lt;&gt;"Réalisé",$F723&lt;&gt;"Clôturé"),"RETARD",""))</f>
        <v/>
      </c>
      <c r="L723">
        <f>IF(OR($B723="",NOT(ISNUMBER($D723))),"",IF(AND($D723&gt;=$D$2,$D723&lt;=$H$2,$G723&lt;&gt;"X",$F723&lt;&gt;"Réalisé",$F723&lt;&gt;"Clôturé"),"≤ 7 j",""))</f>
        <v/>
      </c>
      <c r="M723" s="29">
        <f>IF($B723="","",IFERROR(INDEX($T$4:$T$3183,MATCH(SMALL($V$4:$V$3183,720),$V$4:$V$3183,0)),""))</f>
        <v/>
      </c>
      <c r="O723">
        <f>IF(INDEX(Suivi!$B:$B,737)="","",INDEX(Suivi!$B:$B,737))</f>
        <v/>
      </c>
      <c r="P723">
        <f>IF($O723="","",IF(INDEX(Suivi!$D:$D,737)="",INDEX(Suivi!$C:$C,737),INDEX(Suivi!$D:$D,737)))</f>
        <v/>
      </c>
      <c r="Q723">
        <f>IF($O723="","",INDEX(Suivi!$E:$E,737))</f>
        <v/>
      </c>
      <c r="R723">
        <f>IF($O723="","",INDEX(Suivi!$F:$F,737))</f>
        <v/>
      </c>
      <c r="S723">
        <f>IF($O723="","",INDEX(Suivi!$G:$G,737))</f>
        <v/>
      </c>
      <c r="T723">
        <f>IF($O723="","",IF(INDEX(Dossiers!$F$4:$F$63,14)="","",INDEX(Dossiers!$F$4:$F$63,14)))</f>
        <v/>
      </c>
      <c r="U723">
        <f>IF($O723="","",IF(INDEX(Dossiers!$G$4:$G$63,14)="","",INDEX(Dossiers!$G$4:$G$63,14)))</f>
        <v/>
      </c>
      <c r="V723">
        <f>IF(OR($O723="",NOT(ISNUMBER($Q723))),"",$Q723*1000000+723)</f>
        <v/>
      </c>
      <c r="W723" s="29">
        <f>IF($B723="","",IFERROR(INDEX($U$4:$U$3183,MATCH(SMALL($V$4:$V$3183,720),$V$4:$V$3183,0)),""))</f>
        <v/>
      </c>
    </row>
    <row r="724">
      <c r="A724">
        <f>IFERROR(INDEX($N$4:$N$3183,MATCH(SMALL($V$4:$V$3183,721),$V$4:$V$3183,0)),"")</f>
        <v/>
      </c>
      <c r="B724">
        <f>IFERROR(INDEX($O$4:$O$3183,MATCH(SMALL($V$4:$V$3183,721),$V$4:$V$3183,0)),"")</f>
        <v/>
      </c>
      <c r="C724">
        <f>IFERROR(INDEX($P$4:$P$3183,MATCH(SMALL($V$4:$V$3183,721),$V$4:$V$3183,0)),"")</f>
        <v/>
      </c>
      <c r="D724" s="29">
        <f>IFERROR(INDEX($Q$4:$Q$3183,MATCH(SMALL($V$4:$V$3183,721),$V$4:$V$3183,0)),"")</f>
        <v/>
      </c>
      <c r="E724" s="29">
        <f>IFERROR(INDEX($R$4:$R$3183,MATCH(SMALL($V$4:$V$3183,721),$V$4:$V$3183,0)),"")</f>
        <v/>
      </c>
      <c r="F724">
        <f>IFERROR(INDEX($S$4:$S$3183,MATCH(SMALL($V$4:$V$3183,721),$V$4:$V$3183,0)),"")</f>
        <v/>
      </c>
      <c r="I724" s="29">
        <f>IF($B724="","",IFERROR(INDEX($U$4:$U$3183,MATCH(SMALL($V$4:$V$3183,721),$V$4:$V$3183,0)),""))</f>
        <v/>
      </c>
      <c r="J724">
        <f>IF($B724="","",IF($D724&gt;$F$2,"À venir",IF($E724&lt;$D$2,"Passé","Dans la période")))</f>
        <v/>
      </c>
      <c r="K724">
        <f>IF(OR($B724="",NOT(ISNUMBER($D724))),"",IF(AND($E724&lt;$D$2,$G724&lt;&gt;"X",$F724&lt;&gt;"Réalisé",$F724&lt;&gt;"Clôturé"),"RETARD",""))</f>
        <v/>
      </c>
      <c r="L724">
        <f>IF(OR($B724="",NOT(ISNUMBER($D724))),"",IF(AND($D724&gt;=$D$2,$D724&lt;=$H$2,$G724&lt;&gt;"X",$F724&lt;&gt;"Réalisé",$F724&lt;&gt;"Clôturé"),"≤ 7 j",""))</f>
        <v/>
      </c>
      <c r="M724" s="29">
        <f>IF($B724="","",IFERROR(INDEX($T$4:$T$3183,MATCH(SMALL($V$4:$V$3183,721),$V$4:$V$3183,0)),""))</f>
        <v/>
      </c>
      <c r="O724">
        <f>IF(INDEX(Suivi!$B:$B,738)="","",INDEX(Suivi!$B:$B,738))</f>
        <v/>
      </c>
      <c r="P724">
        <f>IF($O724="","",IF(INDEX(Suivi!$D:$D,738)="",INDEX(Suivi!$C:$C,738),INDEX(Suivi!$D:$D,738)))</f>
        <v/>
      </c>
      <c r="Q724">
        <f>IF($O724="","",INDEX(Suivi!$E:$E,738))</f>
        <v/>
      </c>
      <c r="R724">
        <f>IF($O724="","",INDEX(Suivi!$F:$F,738))</f>
        <v/>
      </c>
      <c r="S724">
        <f>IF($O724="","",INDEX(Suivi!$G:$G,738))</f>
        <v/>
      </c>
      <c r="T724">
        <f>IF($O724="","",IF(INDEX(Dossiers!$F$4:$F$63,14)="","",INDEX(Dossiers!$F$4:$F$63,14)))</f>
        <v/>
      </c>
      <c r="U724">
        <f>IF($O724="","",IF(INDEX(Dossiers!$G$4:$G$63,14)="","",INDEX(Dossiers!$G$4:$G$63,14)))</f>
        <v/>
      </c>
      <c r="V724">
        <f>IF(OR($O724="",NOT(ISNUMBER($Q724))),"",$Q724*1000000+724)</f>
        <v/>
      </c>
      <c r="W724" s="29">
        <f>IF($B724="","",IFERROR(INDEX($U$4:$U$3183,MATCH(SMALL($V$4:$V$3183,721),$V$4:$V$3183,0)),""))</f>
        <v/>
      </c>
    </row>
    <row r="725">
      <c r="A725">
        <f>IFERROR(INDEX($N$4:$N$3183,MATCH(SMALL($V$4:$V$3183,722),$V$4:$V$3183,0)),"")</f>
        <v/>
      </c>
      <c r="B725">
        <f>IFERROR(INDEX($O$4:$O$3183,MATCH(SMALL($V$4:$V$3183,722),$V$4:$V$3183,0)),"")</f>
        <v/>
      </c>
      <c r="C725">
        <f>IFERROR(INDEX($P$4:$P$3183,MATCH(SMALL($V$4:$V$3183,722),$V$4:$V$3183,0)),"")</f>
        <v/>
      </c>
      <c r="D725" s="29">
        <f>IFERROR(INDEX($Q$4:$Q$3183,MATCH(SMALL($V$4:$V$3183,722),$V$4:$V$3183,0)),"")</f>
        <v/>
      </c>
      <c r="E725" s="29">
        <f>IFERROR(INDEX($R$4:$R$3183,MATCH(SMALL($V$4:$V$3183,722),$V$4:$V$3183,0)),"")</f>
        <v/>
      </c>
      <c r="F725">
        <f>IFERROR(INDEX($S$4:$S$3183,MATCH(SMALL($V$4:$V$3183,722),$V$4:$V$3183,0)),"")</f>
        <v/>
      </c>
      <c r="I725" s="29">
        <f>IF($B725="","",IFERROR(INDEX($U$4:$U$3183,MATCH(SMALL($V$4:$V$3183,722),$V$4:$V$3183,0)),""))</f>
        <v/>
      </c>
      <c r="J725">
        <f>IF($B725="","",IF($D725&gt;$F$2,"À venir",IF($E725&lt;$D$2,"Passé","Dans la période")))</f>
        <v/>
      </c>
      <c r="K725">
        <f>IF(OR($B725="",NOT(ISNUMBER($D725))),"",IF(AND($E725&lt;$D$2,$G725&lt;&gt;"X",$F725&lt;&gt;"Réalisé",$F725&lt;&gt;"Clôturé"),"RETARD",""))</f>
        <v/>
      </c>
      <c r="L725">
        <f>IF(OR($B725="",NOT(ISNUMBER($D725))),"",IF(AND($D725&gt;=$D$2,$D725&lt;=$H$2,$G725&lt;&gt;"X",$F725&lt;&gt;"Réalisé",$F725&lt;&gt;"Clôturé"),"≤ 7 j",""))</f>
        <v/>
      </c>
      <c r="M725" s="29">
        <f>IF($B725="","",IFERROR(INDEX($T$4:$T$3183,MATCH(SMALL($V$4:$V$3183,722),$V$4:$V$3183,0)),""))</f>
        <v/>
      </c>
      <c r="O725">
        <f>IF(INDEX(Suivi!$B:$B,739)="","",INDEX(Suivi!$B:$B,739))</f>
        <v/>
      </c>
      <c r="P725">
        <f>IF($O725="","",IF(INDEX(Suivi!$D:$D,739)="",INDEX(Suivi!$C:$C,739),INDEX(Suivi!$D:$D,739)))</f>
        <v/>
      </c>
      <c r="Q725">
        <f>IF($O725="","",INDEX(Suivi!$E:$E,739))</f>
        <v/>
      </c>
      <c r="R725">
        <f>IF($O725="","",INDEX(Suivi!$F:$F,739))</f>
        <v/>
      </c>
      <c r="S725">
        <f>IF($O725="","",INDEX(Suivi!$G:$G,739))</f>
        <v/>
      </c>
      <c r="T725">
        <f>IF($O725="","",IF(INDEX(Dossiers!$F$4:$F$63,14)="","",INDEX(Dossiers!$F$4:$F$63,14)))</f>
        <v/>
      </c>
      <c r="U725">
        <f>IF($O725="","",IF(INDEX(Dossiers!$G$4:$G$63,14)="","",INDEX(Dossiers!$G$4:$G$63,14)))</f>
        <v/>
      </c>
      <c r="V725">
        <f>IF(OR($O725="",NOT(ISNUMBER($Q725))),"",$Q725*1000000+725)</f>
        <v/>
      </c>
      <c r="W725" s="29">
        <f>IF($B725="","",IFERROR(INDEX($U$4:$U$3183,MATCH(SMALL($V$4:$V$3183,722),$V$4:$V$3183,0)),""))</f>
        <v/>
      </c>
    </row>
    <row r="726">
      <c r="A726">
        <f>IFERROR(INDEX($N$4:$N$3183,MATCH(SMALL($V$4:$V$3183,723),$V$4:$V$3183,0)),"")</f>
        <v/>
      </c>
      <c r="B726">
        <f>IFERROR(INDEX($O$4:$O$3183,MATCH(SMALL($V$4:$V$3183,723),$V$4:$V$3183,0)),"")</f>
        <v/>
      </c>
      <c r="C726">
        <f>IFERROR(INDEX($P$4:$P$3183,MATCH(SMALL($V$4:$V$3183,723),$V$4:$V$3183,0)),"")</f>
        <v/>
      </c>
      <c r="D726" s="29">
        <f>IFERROR(INDEX($Q$4:$Q$3183,MATCH(SMALL($V$4:$V$3183,723),$V$4:$V$3183,0)),"")</f>
        <v/>
      </c>
      <c r="E726" s="29">
        <f>IFERROR(INDEX($R$4:$R$3183,MATCH(SMALL($V$4:$V$3183,723),$V$4:$V$3183,0)),"")</f>
        <v/>
      </c>
      <c r="F726">
        <f>IFERROR(INDEX($S$4:$S$3183,MATCH(SMALL($V$4:$V$3183,723),$V$4:$V$3183,0)),"")</f>
        <v/>
      </c>
      <c r="I726" s="29">
        <f>IF($B726="","",IFERROR(INDEX($U$4:$U$3183,MATCH(SMALL($V$4:$V$3183,723),$V$4:$V$3183,0)),""))</f>
        <v/>
      </c>
      <c r="J726">
        <f>IF($B726="","",IF($D726&gt;$F$2,"À venir",IF($E726&lt;$D$2,"Passé","Dans la période")))</f>
        <v/>
      </c>
      <c r="K726">
        <f>IF(OR($B726="",NOT(ISNUMBER($D726))),"",IF(AND($E726&lt;$D$2,$G726&lt;&gt;"X",$F726&lt;&gt;"Réalisé",$F726&lt;&gt;"Clôturé"),"RETARD",""))</f>
        <v/>
      </c>
      <c r="L726">
        <f>IF(OR($B726="",NOT(ISNUMBER($D726))),"",IF(AND($D726&gt;=$D$2,$D726&lt;=$H$2,$G726&lt;&gt;"X",$F726&lt;&gt;"Réalisé",$F726&lt;&gt;"Clôturé"),"≤ 7 j",""))</f>
        <v/>
      </c>
      <c r="M726" s="29">
        <f>IF($B726="","",IFERROR(INDEX($T$4:$T$3183,MATCH(SMALL($V$4:$V$3183,723),$V$4:$V$3183,0)),""))</f>
        <v/>
      </c>
      <c r="O726">
        <f>IF(INDEX(Suivi!$B:$B,740)="","",INDEX(Suivi!$B:$B,740))</f>
        <v/>
      </c>
      <c r="P726">
        <f>IF($O726="","",IF(INDEX(Suivi!$D:$D,740)="",INDEX(Suivi!$C:$C,740),INDEX(Suivi!$D:$D,740)))</f>
        <v/>
      </c>
      <c r="Q726">
        <f>IF($O726="","",INDEX(Suivi!$E:$E,740))</f>
        <v/>
      </c>
      <c r="R726">
        <f>IF($O726="","",INDEX(Suivi!$F:$F,740))</f>
        <v/>
      </c>
      <c r="S726">
        <f>IF($O726="","",INDEX(Suivi!$G:$G,740))</f>
        <v/>
      </c>
      <c r="T726">
        <f>IF($O726="","",IF(INDEX(Dossiers!$F$4:$F$63,14)="","",INDEX(Dossiers!$F$4:$F$63,14)))</f>
        <v/>
      </c>
      <c r="U726">
        <f>IF($O726="","",IF(INDEX(Dossiers!$G$4:$G$63,14)="","",INDEX(Dossiers!$G$4:$G$63,14)))</f>
        <v/>
      </c>
      <c r="V726">
        <f>IF(OR($O726="",NOT(ISNUMBER($Q726))),"",$Q726*1000000+726)</f>
        <v/>
      </c>
      <c r="W726" s="29">
        <f>IF($B726="","",IFERROR(INDEX($U$4:$U$3183,MATCH(SMALL($V$4:$V$3183,723),$V$4:$V$3183,0)),""))</f>
        <v/>
      </c>
    </row>
    <row r="727">
      <c r="A727">
        <f>IFERROR(INDEX($N$4:$N$3183,MATCH(SMALL($V$4:$V$3183,724),$V$4:$V$3183,0)),"")</f>
        <v/>
      </c>
      <c r="B727">
        <f>IFERROR(INDEX($O$4:$O$3183,MATCH(SMALL($V$4:$V$3183,724),$V$4:$V$3183,0)),"")</f>
        <v/>
      </c>
      <c r="C727">
        <f>IFERROR(INDEX($P$4:$P$3183,MATCH(SMALL($V$4:$V$3183,724),$V$4:$V$3183,0)),"")</f>
        <v/>
      </c>
      <c r="D727" s="29">
        <f>IFERROR(INDEX($Q$4:$Q$3183,MATCH(SMALL($V$4:$V$3183,724),$V$4:$V$3183,0)),"")</f>
        <v/>
      </c>
      <c r="E727" s="29">
        <f>IFERROR(INDEX($R$4:$R$3183,MATCH(SMALL($V$4:$V$3183,724),$V$4:$V$3183,0)),"")</f>
        <v/>
      </c>
      <c r="F727">
        <f>IFERROR(INDEX($S$4:$S$3183,MATCH(SMALL($V$4:$V$3183,724),$V$4:$V$3183,0)),"")</f>
        <v/>
      </c>
      <c r="I727" s="29">
        <f>IF($B727="","",IFERROR(INDEX($U$4:$U$3183,MATCH(SMALL($V$4:$V$3183,724),$V$4:$V$3183,0)),""))</f>
        <v/>
      </c>
      <c r="J727">
        <f>IF($B727="","",IF($D727&gt;$F$2,"À venir",IF($E727&lt;$D$2,"Passé","Dans la période")))</f>
        <v/>
      </c>
      <c r="K727">
        <f>IF(OR($B727="",NOT(ISNUMBER($D727))),"",IF(AND($E727&lt;$D$2,$G727&lt;&gt;"X",$F727&lt;&gt;"Réalisé",$F727&lt;&gt;"Clôturé"),"RETARD",""))</f>
        <v/>
      </c>
      <c r="L727">
        <f>IF(OR($B727="",NOT(ISNUMBER($D727))),"",IF(AND($D727&gt;=$D$2,$D727&lt;=$H$2,$G727&lt;&gt;"X",$F727&lt;&gt;"Réalisé",$F727&lt;&gt;"Clôturé"),"≤ 7 j",""))</f>
        <v/>
      </c>
      <c r="M727" s="29">
        <f>IF($B727="","",IFERROR(INDEX($T$4:$T$3183,MATCH(SMALL($V$4:$V$3183,724),$V$4:$V$3183,0)),""))</f>
        <v/>
      </c>
      <c r="O727">
        <f>IF(INDEX(Suivi!$B:$B,741)="","",INDEX(Suivi!$B:$B,741))</f>
        <v/>
      </c>
      <c r="P727">
        <f>IF($O727="","",IF(INDEX(Suivi!$D:$D,741)="",INDEX(Suivi!$C:$C,741),INDEX(Suivi!$D:$D,741)))</f>
        <v/>
      </c>
      <c r="Q727">
        <f>IF($O727="","",INDEX(Suivi!$E:$E,741))</f>
        <v/>
      </c>
      <c r="R727">
        <f>IF($O727="","",INDEX(Suivi!$F:$F,741))</f>
        <v/>
      </c>
      <c r="S727">
        <f>IF($O727="","",INDEX(Suivi!$G:$G,741))</f>
        <v/>
      </c>
      <c r="T727">
        <f>IF($O727="","",IF(INDEX(Dossiers!$F$4:$F$63,14)="","",INDEX(Dossiers!$F$4:$F$63,14)))</f>
        <v/>
      </c>
      <c r="U727">
        <f>IF($O727="","",IF(INDEX(Dossiers!$G$4:$G$63,14)="","",INDEX(Dossiers!$G$4:$G$63,14)))</f>
        <v/>
      </c>
      <c r="V727">
        <f>IF(OR($O727="",NOT(ISNUMBER($Q727))),"",$Q727*1000000+727)</f>
        <v/>
      </c>
      <c r="W727" s="29">
        <f>IF($B727="","",IFERROR(INDEX($U$4:$U$3183,MATCH(SMALL($V$4:$V$3183,724),$V$4:$V$3183,0)),""))</f>
        <v/>
      </c>
    </row>
    <row r="728">
      <c r="A728">
        <f>IFERROR(INDEX($N$4:$N$3183,MATCH(SMALL($V$4:$V$3183,725),$V$4:$V$3183,0)),"")</f>
        <v/>
      </c>
      <c r="B728">
        <f>IFERROR(INDEX($O$4:$O$3183,MATCH(SMALL($V$4:$V$3183,725),$V$4:$V$3183,0)),"")</f>
        <v/>
      </c>
      <c r="C728">
        <f>IFERROR(INDEX($P$4:$P$3183,MATCH(SMALL($V$4:$V$3183,725),$V$4:$V$3183,0)),"")</f>
        <v/>
      </c>
      <c r="D728" s="29">
        <f>IFERROR(INDEX($Q$4:$Q$3183,MATCH(SMALL($V$4:$V$3183,725),$V$4:$V$3183,0)),"")</f>
        <v/>
      </c>
      <c r="E728" s="29">
        <f>IFERROR(INDEX($R$4:$R$3183,MATCH(SMALL($V$4:$V$3183,725),$V$4:$V$3183,0)),"")</f>
        <v/>
      </c>
      <c r="F728">
        <f>IFERROR(INDEX($S$4:$S$3183,MATCH(SMALL($V$4:$V$3183,725),$V$4:$V$3183,0)),"")</f>
        <v/>
      </c>
      <c r="I728" s="29">
        <f>IF($B728="","",IFERROR(INDEX($U$4:$U$3183,MATCH(SMALL($V$4:$V$3183,725),$V$4:$V$3183,0)),""))</f>
        <v/>
      </c>
      <c r="J728">
        <f>IF($B728="","",IF($D728&gt;$F$2,"À venir",IF($E728&lt;$D$2,"Passé","Dans la période")))</f>
        <v/>
      </c>
      <c r="K728">
        <f>IF(OR($B728="",NOT(ISNUMBER($D728))),"",IF(AND($E728&lt;$D$2,$G728&lt;&gt;"X",$F728&lt;&gt;"Réalisé",$F728&lt;&gt;"Clôturé"),"RETARD",""))</f>
        <v/>
      </c>
      <c r="L728">
        <f>IF(OR($B728="",NOT(ISNUMBER($D728))),"",IF(AND($D728&gt;=$D$2,$D728&lt;=$H$2,$G728&lt;&gt;"X",$F728&lt;&gt;"Réalisé",$F728&lt;&gt;"Clôturé"),"≤ 7 j",""))</f>
        <v/>
      </c>
      <c r="M728" s="29">
        <f>IF($B728="","",IFERROR(INDEX($T$4:$T$3183,MATCH(SMALL($V$4:$V$3183,725),$V$4:$V$3183,0)),""))</f>
        <v/>
      </c>
      <c r="O728">
        <f>IF(INDEX(Suivi!$B:$B,742)="","",INDEX(Suivi!$B:$B,742))</f>
        <v/>
      </c>
      <c r="P728">
        <f>IF($O728="","",IF(INDEX(Suivi!$D:$D,742)="",INDEX(Suivi!$C:$C,742),INDEX(Suivi!$D:$D,742)))</f>
        <v/>
      </c>
      <c r="Q728">
        <f>IF($O728="","",INDEX(Suivi!$E:$E,742))</f>
        <v/>
      </c>
      <c r="R728">
        <f>IF($O728="","",INDEX(Suivi!$F:$F,742))</f>
        <v/>
      </c>
      <c r="S728">
        <f>IF($O728="","",INDEX(Suivi!$G:$G,742))</f>
        <v/>
      </c>
      <c r="T728">
        <f>IF($O728="","",IF(INDEX(Dossiers!$F$4:$F$63,14)="","",INDEX(Dossiers!$F$4:$F$63,14)))</f>
        <v/>
      </c>
      <c r="U728">
        <f>IF($O728="","",IF(INDEX(Dossiers!$G$4:$G$63,14)="","",INDEX(Dossiers!$G$4:$G$63,14)))</f>
        <v/>
      </c>
      <c r="V728">
        <f>IF(OR($O728="",NOT(ISNUMBER($Q728))),"",$Q728*1000000+728)</f>
        <v/>
      </c>
      <c r="W728" s="29">
        <f>IF($B728="","",IFERROR(INDEX($U$4:$U$3183,MATCH(SMALL($V$4:$V$3183,725),$V$4:$V$3183,0)),""))</f>
        <v/>
      </c>
    </row>
    <row r="729">
      <c r="A729">
        <f>IFERROR(INDEX($N$4:$N$3183,MATCH(SMALL($V$4:$V$3183,726),$V$4:$V$3183,0)),"")</f>
        <v/>
      </c>
      <c r="B729">
        <f>IFERROR(INDEX($O$4:$O$3183,MATCH(SMALL($V$4:$V$3183,726),$V$4:$V$3183,0)),"")</f>
        <v/>
      </c>
      <c r="C729">
        <f>IFERROR(INDEX($P$4:$P$3183,MATCH(SMALL($V$4:$V$3183,726),$V$4:$V$3183,0)),"")</f>
        <v/>
      </c>
      <c r="D729" s="29">
        <f>IFERROR(INDEX($Q$4:$Q$3183,MATCH(SMALL($V$4:$V$3183,726),$V$4:$V$3183,0)),"")</f>
        <v/>
      </c>
      <c r="E729" s="29">
        <f>IFERROR(INDEX($R$4:$R$3183,MATCH(SMALL($V$4:$V$3183,726),$V$4:$V$3183,0)),"")</f>
        <v/>
      </c>
      <c r="F729">
        <f>IFERROR(INDEX($S$4:$S$3183,MATCH(SMALL($V$4:$V$3183,726),$V$4:$V$3183,0)),"")</f>
        <v/>
      </c>
      <c r="I729" s="29">
        <f>IF($B729="","",IFERROR(INDEX($U$4:$U$3183,MATCH(SMALL($V$4:$V$3183,726),$V$4:$V$3183,0)),""))</f>
        <v/>
      </c>
      <c r="J729">
        <f>IF($B729="","",IF($D729&gt;$F$2,"À venir",IF($E729&lt;$D$2,"Passé","Dans la période")))</f>
        <v/>
      </c>
      <c r="K729">
        <f>IF(OR($B729="",NOT(ISNUMBER($D729))),"",IF(AND($E729&lt;$D$2,$G729&lt;&gt;"X",$F729&lt;&gt;"Réalisé",$F729&lt;&gt;"Clôturé"),"RETARD",""))</f>
        <v/>
      </c>
      <c r="L729">
        <f>IF(OR($B729="",NOT(ISNUMBER($D729))),"",IF(AND($D729&gt;=$D$2,$D729&lt;=$H$2,$G729&lt;&gt;"X",$F729&lt;&gt;"Réalisé",$F729&lt;&gt;"Clôturé"),"≤ 7 j",""))</f>
        <v/>
      </c>
      <c r="M729" s="29">
        <f>IF($B729="","",IFERROR(INDEX($T$4:$T$3183,MATCH(SMALL($V$4:$V$3183,726),$V$4:$V$3183,0)),""))</f>
        <v/>
      </c>
      <c r="O729">
        <f>IF(INDEX(Suivi!$B:$B,743)="","",INDEX(Suivi!$B:$B,743))</f>
        <v/>
      </c>
      <c r="P729">
        <f>IF($O729="","",IF(INDEX(Suivi!$D:$D,743)="",INDEX(Suivi!$C:$C,743),INDEX(Suivi!$D:$D,743)))</f>
        <v/>
      </c>
      <c r="Q729">
        <f>IF($O729="","",INDEX(Suivi!$E:$E,743))</f>
        <v/>
      </c>
      <c r="R729">
        <f>IF($O729="","",INDEX(Suivi!$F:$F,743))</f>
        <v/>
      </c>
      <c r="S729">
        <f>IF($O729="","",INDEX(Suivi!$G:$G,743))</f>
        <v/>
      </c>
      <c r="T729">
        <f>IF($O729="","",IF(INDEX(Dossiers!$F$4:$F$63,14)="","",INDEX(Dossiers!$F$4:$F$63,14)))</f>
        <v/>
      </c>
      <c r="U729">
        <f>IF($O729="","",IF(INDEX(Dossiers!$G$4:$G$63,14)="","",INDEX(Dossiers!$G$4:$G$63,14)))</f>
        <v/>
      </c>
      <c r="V729">
        <f>IF(OR($O729="",NOT(ISNUMBER($Q729))),"",$Q729*1000000+729)</f>
        <v/>
      </c>
      <c r="W729" s="29">
        <f>IF($B729="","",IFERROR(INDEX($U$4:$U$3183,MATCH(SMALL($V$4:$V$3183,726),$V$4:$V$3183,0)),""))</f>
        <v/>
      </c>
    </row>
    <row r="730">
      <c r="A730">
        <f>IFERROR(INDEX($N$4:$N$3183,MATCH(SMALL($V$4:$V$3183,727),$V$4:$V$3183,0)),"")</f>
        <v/>
      </c>
      <c r="B730">
        <f>IFERROR(INDEX($O$4:$O$3183,MATCH(SMALL($V$4:$V$3183,727),$V$4:$V$3183,0)),"")</f>
        <v/>
      </c>
      <c r="C730">
        <f>IFERROR(INDEX($P$4:$P$3183,MATCH(SMALL($V$4:$V$3183,727),$V$4:$V$3183,0)),"")</f>
        <v/>
      </c>
      <c r="D730" s="29">
        <f>IFERROR(INDEX($Q$4:$Q$3183,MATCH(SMALL($V$4:$V$3183,727),$V$4:$V$3183,0)),"")</f>
        <v/>
      </c>
      <c r="E730" s="29">
        <f>IFERROR(INDEX($R$4:$R$3183,MATCH(SMALL($V$4:$V$3183,727),$V$4:$V$3183,0)),"")</f>
        <v/>
      </c>
      <c r="F730">
        <f>IFERROR(INDEX($S$4:$S$3183,MATCH(SMALL($V$4:$V$3183,727),$V$4:$V$3183,0)),"")</f>
        <v/>
      </c>
      <c r="I730" s="29">
        <f>IF($B730="","",IFERROR(INDEX($U$4:$U$3183,MATCH(SMALL($V$4:$V$3183,727),$V$4:$V$3183,0)),""))</f>
        <v/>
      </c>
      <c r="J730">
        <f>IF($B730="","",IF($D730&gt;$F$2,"À venir",IF($E730&lt;$D$2,"Passé","Dans la période")))</f>
        <v/>
      </c>
      <c r="K730">
        <f>IF(OR($B730="",NOT(ISNUMBER($D730))),"",IF(AND($E730&lt;$D$2,$G730&lt;&gt;"X",$F730&lt;&gt;"Réalisé",$F730&lt;&gt;"Clôturé"),"RETARD",""))</f>
        <v/>
      </c>
      <c r="L730">
        <f>IF(OR($B730="",NOT(ISNUMBER($D730))),"",IF(AND($D730&gt;=$D$2,$D730&lt;=$H$2,$G730&lt;&gt;"X",$F730&lt;&gt;"Réalisé",$F730&lt;&gt;"Clôturé"),"≤ 7 j",""))</f>
        <v/>
      </c>
      <c r="M730" s="29">
        <f>IF($B730="","",IFERROR(INDEX($T$4:$T$3183,MATCH(SMALL($V$4:$V$3183,727),$V$4:$V$3183,0)),""))</f>
        <v/>
      </c>
      <c r="O730">
        <f>IF(INDEX(Suivi!$B:$B,744)="","",INDEX(Suivi!$B:$B,744))</f>
        <v/>
      </c>
      <c r="P730">
        <f>IF($O730="","",IF(INDEX(Suivi!$D:$D,744)="",INDEX(Suivi!$C:$C,744),INDEX(Suivi!$D:$D,744)))</f>
        <v/>
      </c>
      <c r="Q730">
        <f>IF($O730="","",INDEX(Suivi!$E:$E,744))</f>
        <v/>
      </c>
      <c r="R730">
        <f>IF($O730="","",INDEX(Suivi!$F:$F,744))</f>
        <v/>
      </c>
      <c r="S730">
        <f>IF($O730="","",INDEX(Suivi!$G:$G,744))</f>
        <v/>
      </c>
      <c r="T730">
        <f>IF($O730="","",IF(INDEX(Dossiers!$F$4:$F$63,14)="","",INDEX(Dossiers!$F$4:$F$63,14)))</f>
        <v/>
      </c>
      <c r="U730">
        <f>IF($O730="","",IF(INDEX(Dossiers!$G$4:$G$63,14)="","",INDEX(Dossiers!$G$4:$G$63,14)))</f>
        <v/>
      </c>
      <c r="V730">
        <f>IF(OR($O730="",NOT(ISNUMBER($Q730))),"",$Q730*1000000+730)</f>
        <v/>
      </c>
      <c r="W730" s="29">
        <f>IF($B730="","",IFERROR(INDEX($U$4:$U$3183,MATCH(SMALL($V$4:$V$3183,727),$V$4:$V$3183,0)),""))</f>
        <v/>
      </c>
    </row>
    <row r="731">
      <c r="A731">
        <f>IFERROR(INDEX($N$4:$N$3183,MATCH(SMALL($V$4:$V$3183,728),$V$4:$V$3183,0)),"")</f>
        <v/>
      </c>
      <c r="B731">
        <f>IFERROR(INDEX($O$4:$O$3183,MATCH(SMALL($V$4:$V$3183,728),$V$4:$V$3183,0)),"")</f>
        <v/>
      </c>
      <c r="C731">
        <f>IFERROR(INDEX($P$4:$P$3183,MATCH(SMALL($V$4:$V$3183,728),$V$4:$V$3183,0)),"")</f>
        <v/>
      </c>
      <c r="D731" s="29">
        <f>IFERROR(INDEX($Q$4:$Q$3183,MATCH(SMALL($V$4:$V$3183,728),$V$4:$V$3183,0)),"")</f>
        <v/>
      </c>
      <c r="E731" s="29">
        <f>IFERROR(INDEX($R$4:$R$3183,MATCH(SMALL($V$4:$V$3183,728),$V$4:$V$3183,0)),"")</f>
        <v/>
      </c>
      <c r="F731">
        <f>IFERROR(INDEX($S$4:$S$3183,MATCH(SMALL($V$4:$V$3183,728),$V$4:$V$3183,0)),"")</f>
        <v/>
      </c>
      <c r="I731" s="29">
        <f>IF($B731="","",IFERROR(INDEX($U$4:$U$3183,MATCH(SMALL($V$4:$V$3183,728),$V$4:$V$3183,0)),""))</f>
        <v/>
      </c>
      <c r="J731">
        <f>IF($B731="","",IF($D731&gt;$F$2,"À venir",IF($E731&lt;$D$2,"Passé","Dans la période")))</f>
        <v/>
      </c>
      <c r="K731">
        <f>IF(OR($B731="",NOT(ISNUMBER($D731))),"",IF(AND($E731&lt;$D$2,$G731&lt;&gt;"X",$F731&lt;&gt;"Réalisé",$F731&lt;&gt;"Clôturé"),"RETARD",""))</f>
        <v/>
      </c>
      <c r="L731">
        <f>IF(OR($B731="",NOT(ISNUMBER($D731))),"",IF(AND($D731&gt;=$D$2,$D731&lt;=$H$2,$G731&lt;&gt;"X",$F731&lt;&gt;"Réalisé",$F731&lt;&gt;"Clôturé"),"≤ 7 j",""))</f>
        <v/>
      </c>
      <c r="M731" s="29">
        <f>IF($B731="","",IFERROR(INDEX($T$4:$T$3183,MATCH(SMALL($V$4:$V$3183,728),$V$4:$V$3183,0)),""))</f>
        <v/>
      </c>
      <c r="O731">
        <f>IF(INDEX(Suivi!$B:$B,745)="","",INDEX(Suivi!$B:$B,745))</f>
        <v/>
      </c>
      <c r="P731">
        <f>IF($O731="","",IF(INDEX(Suivi!$D:$D,745)="",INDEX(Suivi!$C:$C,745),INDEX(Suivi!$D:$D,745)))</f>
        <v/>
      </c>
      <c r="Q731">
        <f>IF($O731="","",INDEX(Suivi!$E:$E,745))</f>
        <v/>
      </c>
      <c r="R731">
        <f>IF($O731="","",INDEX(Suivi!$F:$F,745))</f>
        <v/>
      </c>
      <c r="S731">
        <f>IF($O731="","",INDEX(Suivi!$G:$G,745))</f>
        <v/>
      </c>
      <c r="T731">
        <f>IF($O731="","",IF(INDEX(Dossiers!$F$4:$F$63,14)="","",INDEX(Dossiers!$F$4:$F$63,14)))</f>
        <v/>
      </c>
      <c r="U731">
        <f>IF($O731="","",IF(INDEX(Dossiers!$G$4:$G$63,14)="","",INDEX(Dossiers!$G$4:$G$63,14)))</f>
        <v/>
      </c>
      <c r="V731">
        <f>IF(OR($O731="",NOT(ISNUMBER($Q731))),"",$Q731*1000000+731)</f>
        <v/>
      </c>
      <c r="W731" s="29">
        <f>IF($B731="","",IFERROR(INDEX($U$4:$U$3183,MATCH(SMALL($V$4:$V$3183,728),$V$4:$V$3183,0)),""))</f>
        <v/>
      </c>
    </row>
    <row r="732">
      <c r="A732">
        <f>IFERROR(INDEX($N$4:$N$3183,MATCH(SMALL($V$4:$V$3183,729),$V$4:$V$3183,0)),"")</f>
        <v/>
      </c>
      <c r="B732">
        <f>IFERROR(INDEX($O$4:$O$3183,MATCH(SMALL($V$4:$V$3183,729),$V$4:$V$3183,0)),"")</f>
        <v/>
      </c>
      <c r="C732">
        <f>IFERROR(INDEX($P$4:$P$3183,MATCH(SMALL($V$4:$V$3183,729),$V$4:$V$3183,0)),"")</f>
        <v/>
      </c>
      <c r="D732" s="29">
        <f>IFERROR(INDEX($Q$4:$Q$3183,MATCH(SMALL($V$4:$V$3183,729),$V$4:$V$3183,0)),"")</f>
        <v/>
      </c>
      <c r="E732" s="29">
        <f>IFERROR(INDEX($R$4:$R$3183,MATCH(SMALL($V$4:$V$3183,729),$V$4:$V$3183,0)),"")</f>
        <v/>
      </c>
      <c r="F732">
        <f>IFERROR(INDEX($S$4:$S$3183,MATCH(SMALL($V$4:$V$3183,729),$V$4:$V$3183,0)),"")</f>
        <v/>
      </c>
      <c r="I732" s="29">
        <f>IF($B732="","",IFERROR(INDEX($U$4:$U$3183,MATCH(SMALL($V$4:$V$3183,729),$V$4:$V$3183,0)),""))</f>
        <v/>
      </c>
      <c r="J732">
        <f>IF($B732="","",IF($D732&gt;$F$2,"À venir",IF($E732&lt;$D$2,"Passé","Dans la période")))</f>
        <v/>
      </c>
      <c r="K732">
        <f>IF(OR($B732="",NOT(ISNUMBER($D732))),"",IF(AND($E732&lt;$D$2,$G732&lt;&gt;"X",$F732&lt;&gt;"Réalisé",$F732&lt;&gt;"Clôturé"),"RETARD",""))</f>
        <v/>
      </c>
      <c r="L732">
        <f>IF(OR($B732="",NOT(ISNUMBER($D732))),"",IF(AND($D732&gt;=$D$2,$D732&lt;=$H$2,$G732&lt;&gt;"X",$F732&lt;&gt;"Réalisé",$F732&lt;&gt;"Clôturé"),"≤ 7 j",""))</f>
        <v/>
      </c>
      <c r="M732" s="29">
        <f>IF($B732="","",IFERROR(INDEX($T$4:$T$3183,MATCH(SMALL($V$4:$V$3183,729),$V$4:$V$3183,0)),""))</f>
        <v/>
      </c>
      <c r="O732">
        <f>IF(INDEX(Suivi!$B:$B,746)="","",INDEX(Suivi!$B:$B,746))</f>
        <v/>
      </c>
      <c r="P732">
        <f>IF($O732="","",IF(INDEX(Suivi!$D:$D,746)="",INDEX(Suivi!$C:$C,746),INDEX(Suivi!$D:$D,746)))</f>
        <v/>
      </c>
      <c r="Q732">
        <f>IF($O732="","",INDEX(Suivi!$E:$E,746))</f>
        <v/>
      </c>
      <c r="R732">
        <f>IF($O732="","",INDEX(Suivi!$F:$F,746))</f>
        <v/>
      </c>
      <c r="S732">
        <f>IF($O732="","",INDEX(Suivi!$G:$G,746))</f>
        <v/>
      </c>
      <c r="T732">
        <f>IF($O732="","",IF(INDEX(Dossiers!$F$4:$F$63,14)="","",INDEX(Dossiers!$F$4:$F$63,14)))</f>
        <v/>
      </c>
      <c r="U732">
        <f>IF($O732="","",IF(INDEX(Dossiers!$G$4:$G$63,14)="","",INDEX(Dossiers!$G$4:$G$63,14)))</f>
        <v/>
      </c>
      <c r="V732">
        <f>IF(OR($O732="",NOT(ISNUMBER($Q732))),"",$Q732*1000000+732)</f>
        <v/>
      </c>
      <c r="W732" s="29">
        <f>IF($B732="","",IFERROR(INDEX($U$4:$U$3183,MATCH(SMALL($V$4:$V$3183,729),$V$4:$V$3183,0)),""))</f>
        <v/>
      </c>
    </row>
    <row r="733">
      <c r="A733">
        <f>IFERROR(INDEX($N$4:$N$3183,MATCH(SMALL($V$4:$V$3183,730),$V$4:$V$3183,0)),"")</f>
        <v/>
      </c>
      <c r="B733">
        <f>IFERROR(INDEX($O$4:$O$3183,MATCH(SMALL($V$4:$V$3183,730),$V$4:$V$3183,0)),"")</f>
        <v/>
      </c>
      <c r="C733">
        <f>IFERROR(INDEX($P$4:$P$3183,MATCH(SMALL($V$4:$V$3183,730),$V$4:$V$3183,0)),"")</f>
        <v/>
      </c>
      <c r="D733" s="29">
        <f>IFERROR(INDEX($Q$4:$Q$3183,MATCH(SMALL($V$4:$V$3183,730),$V$4:$V$3183,0)),"")</f>
        <v/>
      </c>
      <c r="E733" s="29">
        <f>IFERROR(INDEX($R$4:$R$3183,MATCH(SMALL($V$4:$V$3183,730),$V$4:$V$3183,0)),"")</f>
        <v/>
      </c>
      <c r="F733">
        <f>IFERROR(INDEX($S$4:$S$3183,MATCH(SMALL($V$4:$V$3183,730),$V$4:$V$3183,0)),"")</f>
        <v/>
      </c>
      <c r="I733" s="29">
        <f>IF($B733="","",IFERROR(INDEX($U$4:$U$3183,MATCH(SMALL($V$4:$V$3183,730),$V$4:$V$3183,0)),""))</f>
        <v/>
      </c>
      <c r="J733">
        <f>IF($B733="","",IF($D733&gt;$F$2,"À venir",IF($E733&lt;$D$2,"Passé","Dans la période")))</f>
        <v/>
      </c>
      <c r="K733">
        <f>IF(OR($B733="",NOT(ISNUMBER($D733))),"",IF(AND($E733&lt;$D$2,$G733&lt;&gt;"X",$F733&lt;&gt;"Réalisé",$F733&lt;&gt;"Clôturé"),"RETARD",""))</f>
        <v/>
      </c>
      <c r="L733">
        <f>IF(OR($B733="",NOT(ISNUMBER($D733))),"",IF(AND($D733&gt;=$D$2,$D733&lt;=$H$2,$G733&lt;&gt;"X",$F733&lt;&gt;"Réalisé",$F733&lt;&gt;"Clôturé"),"≤ 7 j",""))</f>
        <v/>
      </c>
      <c r="M733" s="29">
        <f>IF($B733="","",IFERROR(INDEX($T$4:$T$3183,MATCH(SMALL($V$4:$V$3183,730),$V$4:$V$3183,0)),""))</f>
        <v/>
      </c>
      <c r="O733">
        <f>IF(INDEX(Suivi!$B:$B,747)="","",INDEX(Suivi!$B:$B,747))</f>
        <v/>
      </c>
      <c r="P733">
        <f>IF($O733="","",IF(INDEX(Suivi!$D:$D,747)="",INDEX(Suivi!$C:$C,747),INDEX(Suivi!$D:$D,747)))</f>
        <v/>
      </c>
      <c r="Q733">
        <f>IF($O733="","",INDEX(Suivi!$E:$E,747))</f>
        <v/>
      </c>
      <c r="R733">
        <f>IF($O733="","",INDEX(Suivi!$F:$F,747))</f>
        <v/>
      </c>
      <c r="S733">
        <f>IF($O733="","",INDEX(Suivi!$G:$G,747))</f>
        <v/>
      </c>
      <c r="T733">
        <f>IF($O733="","",IF(INDEX(Dossiers!$F$4:$F$63,14)="","",INDEX(Dossiers!$F$4:$F$63,14)))</f>
        <v/>
      </c>
      <c r="U733">
        <f>IF($O733="","",IF(INDEX(Dossiers!$G$4:$G$63,14)="","",INDEX(Dossiers!$G$4:$G$63,14)))</f>
        <v/>
      </c>
      <c r="V733">
        <f>IF(OR($O733="",NOT(ISNUMBER($Q733))),"",$Q733*1000000+733)</f>
        <v/>
      </c>
      <c r="W733" s="29">
        <f>IF($B733="","",IFERROR(INDEX($U$4:$U$3183,MATCH(SMALL($V$4:$V$3183,730),$V$4:$V$3183,0)),""))</f>
        <v/>
      </c>
    </row>
    <row r="734">
      <c r="A734">
        <f>IFERROR(INDEX($N$4:$N$3183,MATCH(SMALL($V$4:$V$3183,731),$V$4:$V$3183,0)),"")</f>
        <v/>
      </c>
      <c r="B734">
        <f>IFERROR(INDEX($O$4:$O$3183,MATCH(SMALL($V$4:$V$3183,731),$V$4:$V$3183,0)),"")</f>
        <v/>
      </c>
      <c r="C734">
        <f>IFERROR(INDEX($P$4:$P$3183,MATCH(SMALL($V$4:$V$3183,731),$V$4:$V$3183,0)),"")</f>
        <v/>
      </c>
      <c r="D734" s="29">
        <f>IFERROR(INDEX($Q$4:$Q$3183,MATCH(SMALL($V$4:$V$3183,731),$V$4:$V$3183,0)),"")</f>
        <v/>
      </c>
      <c r="E734" s="29">
        <f>IFERROR(INDEX($R$4:$R$3183,MATCH(SMALL($V$4:$V$3183,731),$V$4:$V$3183,0)),"")</f>
        <v/>
      </c>
      <c r="F734">
        <f>IFERROR(INDEX($S$4:$S$3183,MATCH(SMALL($V$4:$V$3183,731),$V$4:$V$3183,0)),"")</f>
        <v/>
      </c>
      <c r="I734" s="29">
        <f>IF($B734="","",IFERROR(INDEX($U$4:$U$3183,MATCH(SMALL($V$4:$V$3183,731),$V$4:$V$3183,0)),""))</f>
        <v/>
      </c>
      <c r="J734">
        <f>IF($B734="","",IF($D734&gt;$F$2,"À venir",IF($E734&lt;$D$2,"Passé","Dans la période")))</f>
        <v/>
      </c>
      <c r="K734">
        <f>IF(OR($B734="",NOT(ISNUMBER($D734))),"",IF(AND($E734&lt;$D$2,$G734&lt;&gt;"X",$F734&lt;&gt;"Réalisé",$F734&lt;&gt;"Clôturé"),"RETARD",""))</f>
        <v/>
      </c>
      <c r="L734">
        <f>IF(OR($B734="",NOT(ISNUMBER($D734))),"",IF(AND($D734&gt;=$D$2,$D734&lt;=$H$2,$G734&lt;&gt;"X",$F734&lt;&gt;"Réalisé",$F734&lt;&gt;"Clôturé"),"≤ 7 j",""))</f>
        <v/>
      </c>
      <c r="M734" s="29">
        <f>IF($B734="","",IFERROR(INDEX($T$4:$T$3183,MATCH(SMALL($V$4:$V$3183,731),$V$4:$V$3183,0)),""))</f>
        <v/>
      </c>
      <c r="O734">
        <f>IF(INDEX(Suivi!$B:$B,748)="","",INDEX(Suivi!$B:$B,748))</f>
        <v/>
      </c>
      <c r="P734">
        <f>IF($O734="","",IF(INDEX(Suivi!$D:$D,748)="",INDEX(Suivi!$C:$C,748),INDEX(Suivi!$D:$D,748)))</f>
        <v/>
      </c>
      <c r="Q734">
        <f>IF($O734="","",INDEX(Suivi!$E:$E,748))</f>
        <v/>
      </c>
      <c r="R734">
        <f>IF($O734="","",INDEX(Suivi!$F:$F,748))</f>
        <v/>
      </c>
      <c r="S734">
        <f>IF($O734="","",INDEX(Suivi!$G:$G,748))</f>
        <v/>
      </c>
      <c r="T734">
        <f>IF($O734="","",IF(INDEX(Dossiers!$F$4:$F$63,14)="","",INDEX(Dossiers!$F$4:$F$63,14)))</f>
        <v/>
      </c>
      <c r="U734">
        <f>IF($O734="","",IF(INDEX(Dossiers!$G$4:$G$63,14)="","",INDEX(Dossiers!$G$4:$G$63,14)))</f>
        <v/>
      </c>
      <c r="V734">
        <f>IF(OR($O734="",NOT(ISNUMBER($Q734))),"",$Q734*1000000+734)</f>
        <v/>
      </c>
      <c r="W734" s="29">
        <f>IF($B734="","",IFERROR(INDEX($U$4:$U$3183,MATCH(SMALL($V$4:$V$3183,731),$V$4:$V$3183,0)),""))</f>
        <v/>
      </c>
    </row>
    <row r="735">
      <c r="A735">
        <f>IFERROR(INDEX($N$4:$N$3183,MATCH(SMALL($V$4:$V$3183,732),$V$4:$V$3183,0)),"")</f>
        <v/>
      </c>
      <c r="B735">
        <f>IFERROR(INDEX($O$4:$O$3183,MATCH(SMALL($V$4:$V$3183,732),$V$4:$V$3183,0)),"")</f>
        <v/>
      </c>
      <c r="C735">
        <f>IFERROR(INDEX($P$4:$P$3183,MATCH(SMALL($V$4:$V$3183,732),$V$4:$V$3183,0)),"")</f>
        <v/>
      </c>
      <c r="D735" s="29">
        <f>IFERROR(INDEX($Q$4:$Q$3183,MATCH(SMALL($V$4:$V$3183,732),$V$4:$V$3183,0)),"")</f>
        <v/>
      </c>
      <c r="E735" s="29">
        <f>IFERROR(INDEX($R$4:$R$3183,MATCH(SMALL($V$4:$V$3183,732),$V$4:$V$3183,0)),"")</f>
        <v/>
      </c>
      <c r="F735">
        <f>IFERROR(INDEX($S$4:$S$3183,MATCH(SMALL($V$4:$V$3183,732),$V$4:$V$3183,0)),"")</f>
        <v/>
      </c>
      <c r="I735" s="29">
        <f>IF($B735="","",IFERROR(INDEX($U$4:$U$3183,MATCH(SMALL($V$4:$V$3183,732),$V$4:$V$3183,0)),""))</f>
        <v/>
      </c>
      <c r="J735">
        <f>IF($B735="","",IF($D735&gt;$F$2,"À venir",IF($E735&lt;$D$2,"Passé","Dans la période")))</f>
        <v/>
      </c>
      <c r="K735">
        <f>IF(OR($B735="",NOT(ISNUMBER($D735))),"",IF(AND($E735&lt;$D$2,$G735&lt;&gt;"X",$F735&lt;&gt;"Réalisé",$F735&lt;&gt;"Clôturé"),"RETARD",""))</f>
        <v/>
      </c>
      <c r="L735">
        <f>IF(OR($B735="",NOT(ISNUMBER($D735))),"",IF(AND($D735&gt;=$D$2,$D735&lt;=$H$2,$G735&lt;&gt;"X",$F735&lt;&gt;"Réalisé",$F735&lt;&gt;"Clôturé"),"≤ 7 j",""))</f>
        <v/>
      </c>
      <c r="M735" s="29">
        <f>IF($B735="","",IFERROR(INDEX($T$4:$T$3183,MATCH(SMALL($V$4:$V$3183,732),$V$4:$V$3183,0)),""))</f>
        <v/>
      </c>
      <c r="O735">
        <f>IF(INDEX(Suivi!$B:$B,749)="","",INDEX(Suivi!$B:$B,749))</f>
        <v/>
      </c>
      <c r="P735">
        <f>IF($O735="","",IF(INDEX(Suivi!$D:$D,749)="",INDEX(Suivi!$C:$C,749),INDEX(Suivi!$D:$D,749)))</f>
        <v/>
      </c>
      <c r="Q735">
        <f>IF($O735="","",INDEX(Suivi!$E:$E,749))</f>
        <v/>
      </c>
      <c r="R735">
        <f>IF($O735="","",INDEX(Suivi!$F:$F,749))</f>
        <v/>
      </c>
      <c r="S735">
        <f>IF($O735="","",INDEX(Suivi!$G:$G,749))</f>
        <v/>
      </c>
      <c r="T735">
        <f>IF($O735="","",IF(INDEX(Dossiers!$F$4:$F$63,14)="","",INDEX(Dossiers!$F$4:$F$63,14)))</f>
        <v/>
      </c>
      <c r="U735">
        <f>IF($O735="","",IF(INDEX(Dossiers!$G$4:$G$63,14)="","",INDEX(Dossiers!$G$4:$G$63,14)))</f>
        <v/>
      </c>
      <c r="V735">
        <f>IF(OR($O735="",NOT(ISNUMBER($Q735))),"",$Q735*1000000+735)</f>
        <v/>
      </c>
      <c r="W735" s="29">
        <f>IF($B735="","",IFERROR(INDEX($U$4:$U$3183,MATCH(SMALL($V$4:$V$3183,732),$V$4:$V$3183,0)),""))</f>
        <v/>
      </c>
    </row>
    <row r="736">
      <c r="A736">
        <f>IFERROR(INDEX($N$4:$N$3183,MATCH(SMALL($V$4:$V$3183,733),$V$4:$V$3183,0)),"")</f>
        <v/>
      </c>
      <c r="B736">
        <f>IFERROR(INDEX($O$4:$O$3183,MATCH(SMALL($V$4:$V$3183,733),$V$4:$V$3183,0)),"")</f>
        <v/>
      </c>
      <c r="C736">
        <f>IFERROR(INDEX($P$4:$P$3183,MATCH(SMALL($V$4:$V$3183,733),$V$4:$V$3183,0)),"")</f>
        <v/>
      </c>
      <c r="D736" s="29">
        <f>IFERROR(INDEX($Q$4:$Q$3183,MATCH(SMALL($V$4:$V$3183,733),$V$4:$V$3183,0)),"")</f>
        <v/>
      </c>
      <c r="E736" s="29">
        <f>IFERROR(INDEX($R$4:$R$3183,MATCH(SMALL($V$4:$V$3183,733),$V$4:$V$3183,0)),"")</f>
        <v/>
      </c>
      <c r="F736">
        <f>IFERROR(INDEX($S$4:$S$3183,MATCH(SMALL($V$4:$V$3183,733),$V$4:$V$3183,0)),"")</f>
        <v/>
      </c>
      <c r="I736" s="29">
        <f>IF($B736="","",IFERROR(INDEX($U$4:$U$3183,MATCH(SMALL($V$4:$V$3183,733),$V$4:$V$3183,0)),""))</f>
        <v/>
      </c>
      <c r="J736">
        <f>IF($B736="","",IF($D736&gt;$F$2,"À venir",IF($E736&lt;$D$2,"Passé","Dans la période")))</f>
        <v/>
      </c>
      <c r="K736">
        <f>IF(OR($B736="",NOT(ISNUMBER($D736))),"",IF(AND($E736&lt;$D$2,$G736&lt;&gt;"X",$F736&lt;&gt;"Réalisé",$F736&lt;&gt;"Clôturé"),"RETARD",""))</f>
        <v/>
      </c>
      <c r="L736">
        <f>IF(OR($B736="",NOT(ISNUMBER($D736))),"",IF(AND($D736&gt;=$D$2,$D736&lt;=$H$2,$G736&lt;&gt;"X",$F736&lt;&gt;"Réalisé",$F736&lt;&gt;"Clôturé"),"≤ 7 j",""))</f>
        <v/>
      </c>
      <c r="M736" s="29">
        <f>IF($B736="","",IFERROR(INDEX($T$4:$T$3183,MATCH(SMALL($V$4:$V$3183,733),$V$4:$V$3183,0)),""))</f>
        <v/>
      </c>
      <c r="O736">
        <f>IF(INDEX(Suivi!$B:$B,750)="","",INDEX(Suivi!$B:$B,750))</f>
        <v/>
      </c>
      <c r="P736">
        <f>IF($O736="","",IF(INDEX(Suivi!$D:$D,750)="",INDEX(Suivi!$C:$C,750),INDEX(Suivi!$D:$D,750)))</f>
        <v/>
      </c>
      <c r="Q736">
        <f>IF($O736="","",INDEX(Suivi!$E:$E,750))</f>
        <v/>
      </c>
      <c r="R736">
        <f>IF($O736="","",INDEX(Suivi!$F:$F,750))</f>
        <v/>
      </c>
      <c r="S736">
        <f>IF($O736="","",INDEX(Suivi!$G:$G,750))</f>
        <v/>
      </c>
      <c r="T736">
        <f>IF($O736="","",IF(INDEX(Dossiers!$F$4:$F$63,14)="","",INDEX(Dossiers!$F$4:$F$63,14)))</f>
        <v/>
      </c>
      <c r="U736">
        <f>IF($O736="","",IF(INDEX(Dossiers!$G$4:$G$63,14)="","",INDEX(Dossiers!$G$4:$G$63,14)))</f>
        <v/>
      </c>
      <c r="V736">
        <f>IF(OR($O736="",NOT(ISNUMBER($Q736))),"",$Q736*1000000+736)</f>
        <v/>
      </c>
      <c r="W736" s="29">
        <f>IF($B736="","",IFERROR(INDEX($U$4:$U$3183,MATCH(SMALL($V$4:$V$3183,733),$V$4:$V$3183,0)),""))</f>
        <v/>
      </c>
    </row>
    <row r="737">
      <c r="A737">
        <f>IFERROR(INDEX($N$4:$N$3183,MATCH(SMALL($V$4:$V$3183,734),$V$4:$V$3183,0)),"")</f>
        <v/>
      </c>
      <c r="B737">
        <f>IFERROR(INDEX($O$4:$O$3183,MATCH(SMALL($V$4:$V$3183,734),$V$4:$V$3183,0)),"")</f>
        <v/>
      </c>
      <c r="C737">
        <f>IFERROR(INDEX($P$4:$P$3183,MATCH(SMALL($V$4:$V$3183,734),$V$4:$V$3183,0)),"")</f>
        <v/>
      </c>
      <c r="D737" s="29">
        <f>IFERROR(INDEX($Q$4:$Q$3183,MATCH(SMALL($V$4:$V$3183,734),$V$4:$V$3183,0)),"")</f>
        <v/>
      </c>
      <c r="E737" s="29">
        <f>IFERROR(INDEX($R$4:$R$3183,MATCH(SMALL($V$4:$V$3183,734),$V$4:$V$3183,0)),"")</f>
        <v/>
      </c>
      <c r="F737">
        <f>IFERROR(INDEX($S$4:$S$3183,MATCH(SMALL($V$4:$V$3183,734),$V$4:$V$3183,0)),"")</f>
        <v/>
      </c>
      <c r="I737" s="29">
        <f>IF($B737="","",IFERROR(INDEX($U$4:$U$3183,MATCH(SMALL($V$4:$V$3183,734),$V$4:$V$3183,0)),""))</f>
        <v/>
      </c>
      <c r="J737">
        <f>IF($B737="","",IF($D737&gt;$F$2,"À venir",IF($E737&lt;$D$2,"Passé","Dans la période")))</f>
        <v/>
      </c>
      <c r="K737">
        <f>IF(OR($B737="",NOT(ISNUMBER($D737))),"",IF(AND($E737&lt;$D$2,$G737&lt;&gt;"X",$F737&lt;&gt;"Réalisé",$F737&lt;&gt;"Clôturé"),"RETARD",""))</f>
        <v/>
      </c>
      <c r="L737">
        <f>IF(OR($B737="",NOT(ISNUMBER($D737))),"",IF(AND($D737&gt;=$D$2,$D737&lt;=$H$2,$G737&lt;&gt;"X",$F737&lt;&gt;"Réalisé",$F737&lt;&gt;"Clôturé"),"≤ 7 j",""))</f>
        <v/>
      </c>
      <c r="M737" s="29">
        <f>IF($B737="","",IFERROR(INDEX($T$4:$T$3183,MATCH(SMALL($V$4:$V$3183,734),$V$4:$V$3183,0)),""))</f>
        <v/>
      </c>
      <c r="O737">
        <f>IF(INDEX(Suivi!$B:$B,751)="","",INDEX(Suivi!$B:$B,751))</f>
        <v/>
      </c>
      <c r="P737">
        <f>IF($O737="","",IF(INDEX(Suivi!$D:$D,751)="",INDEX(Suivi!$C:$C,751),INDEX(Suivi!$D:$D,751)))</f>
        <v/>
      </c>
      <c r="Q737">
        <f>IF($O737="","",INDEX(Suivi!$E:$E,751))</f>
        <v/>
      </c>
      <c r="R737">
        <f>IF($O737="","",INDEX(Suivi!$F:$F,751))</f>
        <v/>
      </c>
      <c r="S737">
        <f>IF($O737="","",INDEX(Suivi!$G:$G,751))</f>
        <v/>
      </c>
      <c r="T737">
        <f>IF($O737="","",IF(INDEX(Dossiers!$F$4:$F$63,14)="","",INDEX(Dossiers!$F$4:$F$63,14)))</f>
        <v/>
      </c>
      <c r="U737">
        <f>IF($O737="","",IF(INDEX(Dossiers!$G$4:$G$63,14)="","",INDEX(Dossiers!$G$4:$G$63,14)))</f>
        <v/>
      </c>
      <c r="V737">
        <f>IF(OR($O737="",NOT(ISNUMBER($Q737))),"",$Q737*1000000+737)</f>
        <v/>
      </c>
      <c r="W737" s="29">
        <f>IF($B737="","",IFERROR(INDEX($U$4:$U$3183,MATCH(SMALL($V$4:$V$3183,734),$V$4:$V$3183,0)),""))</f>
        <v/>
      </c>
    </row>
    <row r="738">
      <c r="A738">
        <f>IFERROR(INDEX($N$4:$N$3183,MATCH(SMALL($V$4:$V$3183,735),$V$4:$V$3183,0)),"")</f>
        <v/>
      </c>
      <c r="B738">
        <f>IFERROR(INDEX($O$4:$O$3183,MATCH(SMALL($V$4:$V$3183,735),$V$4:$V$3183,0)),"")</f>
        <v/>
      </c>
      <c r="C738">
        <f>IFERROR(INDEX($P$4:$P$3183,MATCH(SMALL($V$4:$V$3183,735),$V$4:$V$3183,0)),"")</f>
        <v/>
      </c>
      <c r="D738" s="29">
        <f>IFERROR(INDEX($Q$4:$Q$3183,MATCH(SMALL($V$4:$V$3183,735),$V$4:$V$3183,0)),"")</f>
        <v/>
      </c>
      <c r="E738" s="29">
        <f>IFERROR(INDEX($R$4:$R$3183,MATCH(SMALL($V$4:$V$3183,735),$V$4:$V$3183,0)),"")</f>
        <v/>
      </c>
      <c r="F738">
        <f>IFERROR(INDEX($S$4:$S$3183,MATCH(SMALL($V$4:$V$3183,735),$V$4:$V$3183,0)),"")</f>
        <v/>
      </c>
      <c r="I738" s="29">
        <f>IF($B738="","",IFERROR(INDEX($U$4:$U$3183,MATCH(SMALL($V$4:$V$3183,735),$V$4:$V$3183,0)),""))</f>
        <v/>
      </c>
      <c r="J738">
        <f>IF($B738="","",IF($D738&gt;$F$2,"À venir",IF($E738&lt;$D$2,"Passé","Dans la période")))</f>
        <v/>
      </c>
      <c r="K738">
        <f>IF(OR($B738="",NOT(ISNUMBER($D738))),"",IF(AND($E738&lt;$D$2,$G738&lt;&gt;"X",$F738&lt;&gt;"Réalisé",$F738&lt;&gt;"Clôturé"),"RETARD",""))</f>
        <v/>
      </c>
      <c r="L738">
        <f>IF(OR($B738="",NOT(ISNUMBER($D738))),"",IF(AND($D738&gt;=$D$2,$D738&lt;=$H$2,$G738&lt;&gt;"X",$F738&lt;&gt;"Réalisé",$F738&lt;&gt;"Clôturé"),"≤ 7 j",""))</f>
        <v/>
      </c>
      <c r="M738" s="29">
        <f>IF($B738="","",IFERROR(INDEX($T$4:$T$3183,MATCH(SMALL($V$4:$V$3183,735),$V$4:$V$3183,0)),""))</f>
        <v/>
      </c>
      <c r="O738">
        <f>IF(INDEX(Suivi!$B:$B,752)="","",INDEX(Suivi!$B:$B,752))</f>
        <v/>
      </c>
      <c r="P738">
        <f>IF($O738="","",IF(INDEX(Suivi!$D:$D,752)="",INDEX(Suivi!$C:$C,752),INDEX(Suivi!$D:$D,752)))</f>
        <v/>
      </c>
      <c r="Q738">
        <f>IF($O738="","",INDEX(Suivi!$E:$E,752))</f>
        <v/>
      </c>
      <c r="R738">
        <f>IF($O738="","",INDEX(Suivi!$F:$F,752))</f>
        <v/>
      </c>
      <c r="S738">
        <f>IF($O738="","",INDEX(Suivi!$G:$G,752))</f>
        <v/>
      </c>
      <c r="T738">
        <f>IF($O738="","",IF(INDEX(Dossiers!$F$4:$F$63,14)="","",INDEX(Dossiers!$F$4:$F$63,14)))</f>
        <v/>
      </c>
      <c r="U738">
        <f>IF($O738="","",IF(INDEX(Dossiers!$G$4:$G$63,14)="","",INDEX(Dossiers!$G$4:$G$63,14)))</f>
        <v/>
      </c>
      <c r="V738">
        <f>IF(OR($O738="",NOT(ISNUMBER($Q738))),"",$Q738*1000000+738)</f>
        <v/>
      </c>
      <c r="W738" s="29">
        <f>IF($B738="","",IFERROR(INDEX($U$4:$U$3183,MATCH(SMALL($V$4:$V$3183,735),$V$4:$V$3183,0)),""))</f>
        <v/>
      </c>
    </row>
    <row r="739">
      <c r="A739">
        <f>IFERROR(INDEX($N$4:$N$3183,MATCH(SMALL($V$4:$V$3183,736),$V$4:$V$3183,0)),"")</f>
        <v/>
      </c>
      <c r="B739">
        <f>IFERROR(INDEX($O$4:$O$3183,MATCH(SMALL($V$4:$V$3183,736),$V$4:$V$3183,0)),"")</f>
        <v/>
      </c>
      <c r="C739">
        <f>IFERROR(INDEX($P$4:$P$3183,MATCH(SMALL($V$4:$V$3183,736),$V$4:$V$3183,0)),"")</f>
        <v/>
      </c>
      <c r="D739" s="29">
        <f>IFERROR(INDEX($Q$4:$Q$3183,MATCH(SMALL($V$4:$V$3183,736),$V$4:$V$3183,0)),"")</f>
        <v/>
      </c>
      <c r="E739" s="29">
        <f>IFERROR(INDEX($R$4:$R$3183,MATCH(SMALL($V$4:$V$3183,736),$V$4:$V$3183,0)),"")</f>
        <v/>
      </c>
      <c r="F739">
        <f>IFERROR(INDEX($S$4:$S$3183,MATCH(SMALL($V$4:$V$3183,736),$V$4:$V$3183,0)),"")</f>
        <v/>
      </c>
      <c r="I739" s="29">
        <f>IF($B739="","",IFERROR(INDEX($U$4:$U$3183,MATCH(SMALL($V$4:$V$3183,736),$V$4:$V$3183,0)),""))</f>
        <v/>
      </c>
      <c r="J739">
        <f>IF($B739="","",IF($D739&gt;$F$2,"À venir",IF($E739&lt;$D$2,"Passé","Dans la période")))</f>
        <v/>
      </c>
      <c r="K739">
        <f>IF(OR($B739="",NOT(ISNUMBER($D739))),"",IF(AND($E739&lt;$D$2,$G739&lt;&gt;"X",$F739&lt;&gt;"Réalisé",$F739&lt;&gt;"Clôturé"),"RETARD",""))</f>
        <v/>
      </c>
      <c r="L739">
        <f>IF(OR($B739="",NOT(ISNUMBER($D739))),"",IF(AND($D739&gt;=$D$2,$D739&lt;=$H$2,$G739&lt;&gt;"X",$F739&lt;&gt;"Réalisé",$F739&lt;&gt;"Clôturé"),"≤ 7 j",""))</f>
        <v/>
      </c>
      <c r="M739" s="29">
        <f>IF($B739="","",IFERROR(INDEX($T$4:$T$3183,MATCH(SMALL($V$4:$V$3183,736),$V$4:$V$3183,0)),""))</f>
        <v/>
      </c>
      <c r="O739">
        <f>IF(INDEX(Suivi!$B:$B,753)="","",INDEX(Suivi!$B:$B,753))</f>
        <v/>
      </c>
      <c r="P739">
        <f>IF($O739="","",IF(INDEX(Suivi!$D:$D,753)="",INDEX(Suivi!$C:$C,753),INDEX(Suivi!$D:$D,753)))</f>
        <v/>
      </c>
      <c r="Q739">
        <f>IF($O739="","",INDEX(Suivi!$E:$E,753))</f>
        <v/>
      </c>
      <c r="R739">
        <f>IF($O739="","",INDEX(Suivi!$F:$F,753))</f>
        <v/>
      </c>
      <c r="S739">
        <f>IF($O739="","",INDEX(Suivi!$G:$G,753))</f>
        <v/>
      </c>
      <c r="T739">
        <f>IF($O739="","",IF(INDEX(Dossiers!$F$4:$F$63,14)="","",INDEX(Dossiers!$F$4:$F$63,14)))</f>
        <v/>
      </c>
      <c r="U739">
        <f>IF($O739="","",IF(INDEX(Dossiers!$G$4:$G$63,14)="","",INDEX(Dossiers!$G$4:$G$63,14)))</f>
        <v/>
      </c>
      <c r="V739">
        <f>IF(OR($O739="",NOT(ISNUMBER($Q739))),"",$Q739*1000000+739)</f>
        <v/>
      </c>
      <c r="W739" s="29">
        <f>IF($B739="","",IFERROR(INDEX($U$4:$U$3183,MATCH(SMALL($V$4:$V$3183,736),$V$4:$V$3183,0)),""))</f>
        <v/>
      </c>
    </row>
    <row r="740">
      <c r="A740">
        <f>IFERROR(INDEX($N$4:$N$3183,MATCH(SMALL($V$4:$V$3183,737),$V$4:$V$3183,0)),"")</f>
        <v/>
      </c>
      <c r="B740">
        <f>IFERROR(INDEX($O$4:$O$3183,MATCH(SMALL($V$4:$V$3183,737),$V$4:$V$3183,0)),"")</f>
        <v/>
      </c>
      <c r="C740">
        <f>IFERROR(INDEX($P$4:$P$3183,MATCH(SMALL($V$4:$V$3183,737),$V$4:$V$3183,0)),"")</f>
        <v/>
      </c>
      <c r="D740" s="29">
        <f>IFERROR(INDEX($Q$4:$Q$3183,MATCH(SMALL($V$4:$V$3183,737),$V$4:$V$3183,0)),"")</f>
        <v/>
      </c>
      <c r="E740" s="29">
        <f>IFERROR(INDEX($R$4:$R$3183,MATCH(SMALL($V$4:$V$3183,737),$V$4:$V$3183,0)),"")</f>
        <v/>
      </c>
      <c r="F740">
        <f>IFERROR(INDEX($S$4:$S$3183,MATCH(SMALL($V$4:$V$3183,737),$V$4:$V$3183,0)),"")</f>
        <v/>
      </c>
      <c r="I740" s="29">
        <f>IF($B740="","",IFERROR(INDEX($U$4:$U$3183,MATCH(SMALL($V$4:$V$3183,737),$V$4:$V$3183,0)),""))</f>
        <v/>
      </c>
      <c r="J740">
        <f>IF($B740="","",IF($D740&gt;$F$2,"À venir",IF($E740&lt;$D$2,"Passé","Dans la période")))</f>
        <v/>
      </c>
      <c r="K740">
        <f>IF(OR($B740="",NOT(ISNUMBER($D740))),"",IF(AND($E740&lt;$D$2,$G740&lt;&gt;"X",$F740&lt;&gt;"Réalisé",$F740&lt;&gt;"Clôturé"),"RETARD",""))</f>
        <v/>
      </c>
      <c r="L740">
        <f>IF(OR($B740="",NOT(ISNUMBER($D740))),"",IF(AND($D740&gt;=$D$2,$D740&lt;=$H$2,$G740&lt;&gt;"X",$F740&lt;&gt;"Réalisé",$F740&lt;&gt;"Clôturé"),"≤ 7 j",""))</f>
        <v/>
      </c>
      <c r="M740" s="29">
        <f>IF($B740="","",IFERROR(INDEX($T$4:$T$3183,MATCH(SMALL($V$4:$V$3183,737),$V$4:$V$3183,0)),""))</f>
        <v/>
      </c>
      <c r="O740">
        <f>IF(INDEX(Suivi!$B:$B,754)="","",INDEX(Suivi!$B:$B,754))</f>
        <v/>
      </c>
      <c r="P740">
        <f>IF($O740="","",IF(INDEX(Suivi!$D:$D,754)="",INDEX(Suivi!$C:$C,754),INDEX(Suivi!$D:$D,754)))</f>
        <v/>
      </c>
      <c r="Q740">
        <f>IF($O740="","",INDEX(Suivi!$E:$E,754))</f>
        <v/>
      </c>
      <c r="R740">
        <f>IF($O740="","",INDEX(Suivi!$F:$F,754))</f>
        <v/>
      </c>
      <c r="S740">
        <f>IF($O740="","",INDEX(Suivi!$G:$G,754))</f>
        <v/>
      </c>
      <c r="T740">
        <f>IF($O740="","",IF(INDEX(Dossiers!$F$4:$F$63,14)="","",INDEX(Dossiers!$F$4:$F$63,14)))</f>
        <v/>
      </c>
      <c r="U740">
        <f>IF($O740="","",IF(INDEX(Dossiers!$G$4:$G$63,14)="","",INDEX(Dossiers!$G$4:$G$63,14)))</f>
        <v/>
      </c>
      <c r="V740">
        <f>IF(OR($O740="",NOT(ISNUMBER($Q740))),"",$Q740*1000000+740)</f>
        <v/>
      </c>
      <c r="W740" s="29">
        <f>IF($B740="","",IFERROR(INDEX($U$4:$U$3183,MATCH(SMALL($V$4:$V$3183,737),$V$4:$V$3183,0)),""))</f>
        <v/>
      </c>
    </row>
    <row r="741">
      <c r="A741">
        <f>IFERROR(INDEX($N$4:$N$3183,MATCH(SMALL($V$4:$V$3183,738),$V$4:$V$3183,0)),"")</f>
        <v/>
      </c>
      <c r="B741">
        <f>IFERROR(INDEX($O$4:$O$3183,MATCH(SMALL($V$4:$V$3183,738),$V$4:$V$3183,0)),"")</f>
        <v/>
      </c>
      <c r="C741">
        <f>IFERROR(INDEX($P$4:$P$3183,MATCH(SMALL($V$4:$V$3183,738),$V$4:$V$3183,0)),"")</f>
        <v/>
      </c>
      <c r="D741" s="29">
        <f>IFERROR(INDEX($Q$4:$Q$3183,MATCH(SMALL($V$4:$V$3183,738),$V$4:$V$3183,0)),"")</f>
        <v/>
      </c>
      <c r="E741" s="29">
        <f>IFERROR(INDEX($R$4:$R$3183,MATCH(SMALL($V$4:$V$3183,738),$V$4:$V$3183,0)),"")</f>
        <v/>
      </c>
      <c r="F741">
        <f>IFERROR(INDEX($S$4:$S$3183,MATCH(SMALL($V$4:$V$3183,738),$V$4:$V$3183,0)),"")</f>
        <v/>
      </c>
      <c r="I741" s="29">
        <f>IF($B741="","",IFERROR(INDEX($U$4:$U$3183,MATCH(SMALL($V$4:$V$3183,738),$V$4:$V$3183,0)),""))</f>
        <v/>
      </c>
      <c r="J741">
        <f>IF($B741="","",IF($D741&gt;$F$2,"À venir",IF($E741&lt;$D$2,"Passé","Dans la période")))</f>
        <v/>
      </c>
      <c r="K741">
        <f>IF(OR($B741="",NOT(ISNUMBER($D741))),"",IF(AND($E741&lt;$D$2,$G741&lt;&gt;"X",$F741&lt;&gt;"Réalisé",$F741&lt;&gt;"Clôturé"),"RETARD",""))</f>
        <v/>
      </c>
      <c r="L741">
        <f>IF(OR($B741="",NOT(ISNUMBER($D741))),"",IF(AND($D741&gt;=$D$2,$D741&lt;=$H$2,$G741&lt;&gt;"X",$F741&lt;&gt;"Réalisé",$F741&lt;&gt;"Clôturé"),"≤ 7 j",""))</f>
        <v/>
      </c>
      <c r="M741" s="29">
        <f>IF($B741="","",IFERROR(INDEX($T$4:$T$3183,MATCH(SMALL($V$4:$V$3183,738),$V$4:$V$3183,0)),""))</f>
        <v/>
      </c>
      <c r="O741">
        <f>IF(INDEX(Suivi!$B:$B,755)="","",INDEX(Suivi!$B:$B,755))</f>
        <v/>
      </c>
      <c r="P741">
        <f>IF($O741="","",IF(INDEX(Suivi!$D:$D,755)="",INDEX(Suivi!$C:$C,755),INDEX(Suivi!$D:$D,755)))</f>
        <v/>
      </c>
      <c r="Q741">
        <f>IF($O741="","",INDEX(Suivi!$E:$E,755))</f>
        <v/>
      </c>
      <c r="R741">
        <f>IF($O741="","",INDEX(Suivi!$F:$F,755))</f>
        <v/>
      </c>
      <c r="S741">
        <f>IF($O741="","",INDEX(Suivi!$G:$G,755))</f>
        <v/>
      </c>
      <c r="T741">
        <f>IF($O741="","",IF(INDEX(Dossiers!$F$4:$F$63,14)="","",INDEX(Dossiers!$F$4:$F$63,14)))</f>
        <v/>
      </c>
      <c r="U741">
        <f>IF($O741="","",IF(INDEX(Dossiers!$G$4:$G$63,14)="","",INDEX(Dossiers!$G$4:$G$63,14)))</f>
        <v/>
      </c>
      <c r="V741">
        <f>IF(OR($O741="",NOT(ISNUMBER($Q741))),"",$Q741*1000000+741)</f>
        <v/>
      </c>
      <c r="W741" s="29">
        <f>IF($B741="","",IFERROR(INDEX($U$4:$U$3183,MATCH(SMALL($V$4:$V$3183,738),$V$4:$V$3183,0)),""))</f>
        <v/>
      </c>
    </row>
    <row r="742">
      <c r="A742">
        <f>IFERROR(INDEX($N$4:$N$3183,MATCH(SMALL($V$4:$V$3183,739),$V$4:$V$3183,0)),"")</f>
        <v/>
      </c>
      <c r="B742">
        <f>IFERROR(INDEX($O$4:$O$3183,MATCH(SMALL($V$4:$V$3183,739),$V$4:$V$3183,0)),"")</f>
        <v/>
      </c>
      <c r="C742">
        <f>IFERROR(INDEX($P$4:$P$3183,MATCH(SMALL($V$4:$V$3183,739),$V$4:$V$3183,0)),"")</f>
        <v/>
      </c>
      <c r="D742" s="29">
        <f>IFERROR(INDEX($Q$4:$Q$3183,MATCH(SMALL($V$4:$V$3183,739),$V$4:$V$3183,0)),"")</f>
        <v/>
      </c>
      <c r="E742" s="29">
        <f>IFERROR(INDEX($R$4:$R$3183,MATCH(SMALL($V$4:$V$3183,739),$V$4:$V$3183,0)),"")</f>
        <v/>
      </c>
      <c r="F742">
        <f>IFERROR(INDEX($S$4:$S$3183,MATCH(SMALL($V$4:$V$3183,739),$V$4:$V$3183,0)),"")</f>
        <v/>
      </c>
      <c r="I742" s="29">
        <f>IF($B742="","",IFERROR(INDEX($U$4:$U$3183,MATCH(SMALL($V$4:$V$3183,739),$V$4:$V$3183,0)),""))</f>
        <v/>
      </c>
      <c r="J742">
        <f>IF($B742="","",IF($D742&gt;$F$2,"À venir",IF($E742&lt;$D$2,"Passé","Dans la période")))</f>
        <v/>
      </c>
      <c r="K742">
        <f>IF(OR($B742="",NOT(ISNUMBER($D742))),"",IF(AND($E742&lt;$D$2,$G742&lt;&gt;"X",$F742&lt;&gt;"Réalisé",$F742&lt;&gt;"Clôturé"),"RETARD",""))</f>
        <v/>
      </c>
      <c r="L742">
        <f>IF(OR($B742="",NOT(ISNUMBER($D742))),"",IF(AND($D742&gt;=$D$2,$D742&lt;=$H$2,$G742&lt;&gt;"X",$F742&lt;&gt;"Réalisé",$F742&lt;&gt;"Clôturé"),"≤ 7 j",""))</f>
        <v/>
      </c>
      <c r="M742" s="29">
        <f>IF($B742="","",IFERROR(INDEX($T$4:$T$3183,MATCH(SMALL($V$4:$V$3183,739),$V$4:$V$3183,0)),""))</f>
        <v/>
      </c>
      <c r="O742">
        <f>IF(INDEX(Suivi!$B:$B,756)="","",INDEX(Suivi!$B:$B,756))</f>
        <v/>
      </c>
      <c r="P742">
        <f>IF($O742="","",IF(INDEX(Suivi!$D:$D,756)="",INDEX(Suivi!$C:$C,756),INDEX(Suivi!$D:$D,756)))</f>
        <v/>
      </c>
      <c r="Q742">
        <f>IF($O742="","",INDEX(Suivi!$E:$E,756))</f>
        <v/>
      </c>
      <c r="R742">
        <f>IF($O742="","",INDEX(Suivi!$F:$F,756))</f>
        <v/>
      </c>
      <c r="S742">
        <f>IF($O742="","",INDEX(Suivi!$G:$G,756))</f>
        <v/>
      </c>
      <c r="T742">
        <f>IF($O742="","",IF(INDEX(Dossiers!$F$4:$F$63,14)="","",INDEX(Dossiers!$F$4:$F$63,14)))</f>
        <v/>
      </c>
      <c r="U742">
        <f>IF($O742="","",IF(INDEX(Dossiers!$G$4:$G$63,14)="","",INDEX(Dossiers!$G$4:$G$63,14)))</f>
        <v/>
      </c>
      <c r="V742">
        <f>IF(OR($O742="",NOT(ISNUMBER($Q742))),"",$Q742*1000000+742)</f>
        <v/>
      </c>
      <c r="W742" s="29">
        <f>IF($B742="","",IFERROR(INDEX($U$4:$U$3183,MATCH(SMALL($V$4:$V$3183,739),$V$4:$V$3183,0)),""))</f>
        <v/>
      </c>
    </row>
    <row r="743">
      <c r="A743">
        <f>IFERROR(INDEX($N$4:$N$3183,MATCH(SMALL($V$4:$V$3183,740),$V$4:$V$3183,0)),"")</f>
        <v/>
      </c>
      <c r="B743">
        <f>IFERROR(INDEX($O$4:$O$3183,MATCH(SMALL($V$4:$V$3183,740),$V$4:$V$3183,0)),"")</f>
        <v/>
      </c>
      <c r="C743">
        <f>IFERROR(INDEX($P$4:$P$3183,MATCH(SMALL($V$4:$V$3183,740),$V$4:$V$3183,0)),"")</f>
        <v/>
      </c>
      <c r="D743" s="29">
        <f>IFERROR(INDEX($Q$4:$Q$3183,MATCH(SMALL($V$4:$V$3183,740),$V$4:$V$3183,0)),"")</f>
        <v/>
      </c>
      <c r="E743" s="29">
        <f>IFERROR(INDEX($R$4:$R$3183,MATCH(SMALL($V$4:$V$3183,740),$V$4:$V$3183,0)),"")</f>
        <v/>
      </c>
      <c r="F743">
        <f>IFERROR(INDEX($S$4:$S$3183,MATCH(SMALL($V$4:$V$3183,740),$V$4:$V$3183,0)),"")</f>
        <v/>
      </c>
      <c r="I743" s="29">
        <f>IF($B743="","",IFERROR(INDEX($U$4:$U$3183,MATCH(SMALL($V$4:$V$3183,740),$V$4:$V$3183,0)),""))</f>
        <v/>
      </c>
      <c r="J743">
        <f>IF($B743="","",IF($D743&gt;$F$2,"À venir",IF($E743&lt;$D$2,"Passé","Dans la période")))</f>
        <v/>
      </c>
      <c r="K743">
        <f>IF(OR($B743="",NOT(ISNUMBER($D743))),"",IF(AND($E743&lt;$D$2,$G743&lt;&gt;"X",$F743&lt;&gt;"Réalisé",$F743&lt;&gt;"Clôturé"),"RETARD",""))</f>
        <v/>
      </c>
      <c r="L743">
        <f>IF(OR($B743="",NOT(ISNUMBER($D743))),"",IF(AND($D743&gt;=$D$2,$D743&lt;=$H$2,$G743&lt;&gt;"X",$F743&lt;&gt;"Réalisé",$F743&lt;&gt;"Clôturé"),"≤ 7 j",""))</f>
        <v/>
      </c>
      <c r="M743" s="29">
        <f>IF($B743="","",IFERROR(INDEX($T$4:$T$3183,MATCH(SMALL($V$4:$V$3183,740),$V$4:$V$3183,0)),""))</f>
        <v/>
      </c>
      <c r="O743">
        <f>IF(INDEX(Suivi!$B:$B,757)="","",INDEX(Suivi!$B:$B,757))</f>
        <v/>
      </c>
      <c r="P743">
        <f>IF($O743="","",IF(INDEX(Suivi!$D:$D,757)="",INDEX(Suivi!$C:$C,757),INDEX(Suivi!$D:$D,757)))</f>
        <v/>
      </c>
      <c r="Q743">
        <f>IF($O743="","",INDEX(Suivi!$E:$E,757))</f>
        <v/>
      </c>
      <c r="R743">
        <f>IF($O743="","",INDEX(Suivi!$F:$F,757))</f>
        <v/>
      </c>
      <c r="S743">
        <f>IF($O743="","",INDEX(Suivi!$G:$G,757))</f>
        <v/>
      </c>
      <c r="T743">
        <f>IF($O743="","",IF(INDEX(Dossiers!$F$4:$F$63,14)="","",INDEX(Dossiers!$F$4:$F$63,14)))</f>
        <v/>
      </c>
      <c r="U743">
        <f>IF($O743="","",IF(INDEX(Dossiers!$G$4:$G$63,14)="","",INDEX(Dossiers!$G$4:$G$63,14)))</f>
        <v/>
      </c>
      <c r="V743">
        <f>IF(OR($O743="",NOT(ISNUMBER($Q743))),"",$Q743*1000000+743)</f>
        <v/>
      </c>
      <c r="W743" s="29">
        <f>IF($B743="","",IFERROR(INDEX($U$4:$U$3183,MATCH(SMALL($V$4:$V$3183,740),$V$4:$V$3183,0)),""))</f>
        <v/>
      </c>
    </row>
    <row r="744">
      <c r="A744">
        <f>IFERROR(INDEX($N$4:$N$3183,MATCH(SMALL($V$4:$V$3183,741),$V$4:$V$3183,0)),"")</f>
        <v/>
      </c>
      <c r="B744">
        <f>IFERROR(INDEX($O$4:$O$3183,MATCH(SMALL($V$4:$V$3183,741),$V$4:$V$3183,0)),"")</f>
        <v/>
      </c>
      <c r="C744">
        <f>IFERROR(INDEX($P$4:$P$3183,MATCH(SMALL($V$4:$V$3183,741),$V$4:$V$3183,0)),"")</f>
        <v/>
      </c>
      <c r="D744" s="29">
        <f>IFERROR(INDEX($Q$4:$Q$3183,MATCH(SMALL($V$4:$V$3183,741),$V$4:$V$3183,0)),"")</f>
        <v/>
      </c>
      <c r="E744" s="29">
        <f>IFERROR(INDEX($R$4:$R$3183,MATCH(SMALL($V$4:$V$3183,741),$V$4:$V$3183,0)),"")</f>
        <v/>
      </c>
      <c r="F744">
        <f>IFERROR(INDEX($S$4:$S$3183,MATCH(SMALL($V$4:$V$3183,741),$V$4:$V$3183,0)),"")</f>
        <v/>
      </c>
      <c r="I744" s="29">
        <f>IF($B744="","",IFERROR(INDEX($U$4:$U$3183,MATCH(SMALL($V$4:$V$3183,741),$V$4:$V$3183,0)),""))</f>
        <v/>
      </c>
      <c r="J744">
        <f>IF($B744="","",IF($D744&gt;$F$2,"À venir",IF($E744&lt;$D$2,"Passé","Dans la période")))</f>
        <v/>
      </c>
      <c r="K744">
        <f>IF(OR($B744="",NOT(ISNUMBER($D744))),"",IF(AND($E744&lt;$D$2,$G744&lt;&gt;"X",$F744&lt;&gt;"Réalisé",$F744&lt;&gt;"Clôturé"),"RETARD",""))</f>
        <v/>
      </c>
      <c r="L744">
        <f>IF(OR($B744="",NOT(ISNUMBER($D744))),"",IF(AND($D744&gt;=$D$2,$D744&lt;=$H$2,$G744&lt;&gt;"X",$F744&lt;&gt;"Réalisé",$F744&lt;&gt;"Clôturé"),"≤ 7 j",""))</f>
        <v/>
      </c>
      <c r="M744" s="29">
        <f>IF($B744="","",IFERROR(INDEX($T$4:$T$3183,MATCH(SMALL($V$4:$V$3183,741),$V$4:$V$3183,0)),""))</f>
        <v/>
      </c>
      <c r="O744">
        <f>IF(INDEX(Suivi!$B:$B,758)="","",INDEX(Suivi!$B:$B,758))</f>
        <v/>
      </c>
      <c r="P744">
        <f>IF($O744="","",IF(INDEX(Suivi!$D:$D,758)="",INDEX(Suivi!$C:$C,758),INDEX(Suivi!$D:$D,758)))</f>
        <v/>
      </c>
      <c r="Q744">
        <f>IF($O744="","",INDEX(Suivi!$E:$E,758))</f>
        <v/>
      </c>
      <c r="R744">
        <f>IF($O744="","",INDEX(Suivi!$F:$F,758))</f>
        <v/>
      </c>
      <c r="S744">
        <f>IF($O744="","",INDEX(Suivi!$G:$G,758))</f>
        <v/>
      </c>
      <c r="T744">
        <f>IF($O744="","",IF(INDEX(Dossiers!$F$4:$F$63,14)="","",INDEX(Dossiers!$F$4:$F$63,14)))</f>
        <v/>
      </c>
      <c r="U744">
        <f>IF($O744="","",IF(INDEX(Dossiers!$G$4:$G$63,14)="","",INDEX(Dossiers!$G$4:$G$63,14)))</f>
        <v/>
      </c>
      <c r="V744">
        <f>IF(OR($O744="",NOT(ISNUMBER($Q744))),"",$Q744*1000000+744)</f>
        <v/>
      </c>
      <c r="W744" s="29">
        <f>IF($B744="","",IFERROR(INDEX($U$4:$U$3183,MATCH(SMALL($V$4:$V$3183,741),$V$4:$V$3183,0)),""))</f>
        <v/>
      </c>
    </row>
    <row r="745">
      <c r="A745">
        <f>IFERROR(INDEX($N$4:$N$3183,MATCH(SMALL($V$4:$V$3183,742),$V$4:$V$3183,0)),"")</f>
        <v/>
      </c>
      <c r="B745">
        <f>IFERROR(INDEX($O$4:$O$3183,MATCH(SMALL($V$4:$V$3183,742),$V$4:$V$3183,0)),"")</f>
        <v/>
      </c>
      <c r="C745">
        <f>IFERROR(INDEX($P$4:$P$3183,MATCH(SMALL($V$4:$V$3183,742),$V$4:$V$3183,0)),"")</f>
        <v/>
      </c>
      <c r="D745" s="29">
        <f>IFERROR(INDEX($Q$4:$Q$3183,MATCH(SMALL($V$4:$V$3183,742),$V$4:$V$3183,0)),"")</f>
        <v/>
      </c>
      <c r="E745" s="29">
        <f>IFERROR(INDEX($R$4:$R$3183,MATCH(SMALL($V$4:$V$3183,742),$V$4:$V$3183,0)),"")</f>
        <v/>
      </c>
      <c r="F745">
        <f>IFERROR(INDEX($S$4:$S$3183,MATCH(SMALL($V$4:$V$3183,742),$V$4:$V$3183,0)),"")</f>
        <v/>
      </c>
      <c r="I745" s="29">
        <f>IF($B745="","",IFERROR(INDEX($U$4:$U$3183,MATCH(SMALL($V$4:$V$3183,742),$V$4:$V$3183,0)),""))</f>
        <v/>
      </c>
      <c r="J745">
        <f>IF($B745="","",IF($D745&gt;$F$2,"À venir",IF($E745&lt;$D$2,"Passé","Dans la période")))</f>
        <v/>
      </c>
      <c r="K745">
        <f>IF(OR($B745="",NOT(ISNUMBER($D745))),"",IF(AND($E745&lt;$D$2,$G745&lt;&gt;"X",$F745&lt;&gt;"Réalisé",$F745&lt;&gt;"Clôturé"),"RETARD",""))</f>
        <v/>
      </c>
      <c r="L745">
        <f>IF(OR($B745="",NOT(ISNUMBER($D745))),"",IF(AND($D745&gt;=$D$2,$D745&lt;=$H$2,$G745&lt;&gt;"X",$F745&lt;&gt;"Réalisé",$F745&lt;&gt;"Clôturé"),"≤ 7 j",""))</f>
        <v/>
      </c>
      <c r="M745" s="29">
        <f>IF($B745="","",IFERROR(INDEX($T$4:$T$3183,MATCH(SMALL($V$4:$V$3183,742),$V$4:$V$3183,0)),""))</f>
        <v/>
      </c>
      <c r="O745">
        <f>IF(INDEX(Suivi!$B:$B,759)="","",INDEX(Suivi!$B:$B,759))</f>
        <v/>
      </c>
      <c r="P745">
        <f>IF($O745="","",IF(INDEX(Suivi!$D:$D,759)="",INDEX(Suivi!$C:$C,759),INDEX(Suivi!$D:$D,759)))</f>
        <v/>
      </c>
      <c r="Q745">
        <f>IF($O745="","",INDEX(Suivi!$E:$E,759))</f>
        <v/>
      </c>
      <c r="R745">
        <f>IF($O745="","",INDEX(Suivi!$F:$F,759))</f>
        <v/>
      </c>
      <c r="S745">
        <f>IF($O745="","",INDEX(Suivi!$G:$G,759))</f>
        <v/>
      </c>
      <c r="T745">
        <f>IF($O745="","",IF(INDEX(Dossiers!$F$4:$F$63,14)="","",INDEX(Dossiers!$F$4:$F$63,14)))</f>
        <v/>
      </c>
      <c r="U745">
        <f>IF($O745="","",IF(INDEX(Dossiers!$G$4:$G$63,14)="","",INDEX(Dossiers!$G$4:$G$63,14)))</f>
        <v/>
      </c>
      <c r="V745">
        <f>IF(OR($O745="",NOT(ISNUMBER($Q745))),"",$Q745*1000000+745)</f>
        <v/>
      </c>
      <c r="W745" s="29">
        <f>IF($B745="","",IFERROR(INDEX($U$4:$U$3183,MATCH(SMALL($V$4:$V$3183,742),$V$4:$V$3183,0)),""))</f>
        <v/>
      </c>
    </row>
    <row r="746">
      <c r="A746">
        <f>IFERROR(INDEX($N$4:$N$3183,MATCH(SMALL($V$4:$V$3183,743),$V$4:$V$3183,0)),"")</f>
        <v/>
      </c>
      <c r="B746">
        <f>IFERROR(INDEX($O$4:$O$3183,MATCH(SMALL($V$4:$V$3183,743),$V$4:$V$3183,0)),"")</f>
        <v/>
      </c>
      <c r="C746">
        <f>IFERROR(INDEX($P$4:$P$3183,MATCH(SMALL($V$4:$V$3183,743),$V$4:$V$3183,0)),"")</f>
        <v/>
      </c>
      <c r="D746" s="29">
        <f>IFERROR(INDEX($Q$4:$Q$3183,MATCH(SMALL($V$4:$V$3183,743),$V$4:$V$3183,0)),"")</f>
        <v/>
      </c>
      <c r="E746" s="29">
        <f>IFERROR(INDEX($R$4:$R$3183,MATCH(SMALL($V$4:$V$3183,743),$V$4:$V$3183,0)),"")</f>
        <v/>
      </c>
      <c r="F746">
        <f>IFERROR(INDEX($S$4:$S$3183,MATCH(SMALL($V$4:$V$3183,743),$V$4:$V$3183,0)),"")</f>
        <v/>
      </c>
      <c r="I746" s="29">
        <f>IF($B746="","",IFERROR(INDEX($U$4:$U$3183,MATCH(SMALL($V$4:$V$3183,743),$V$4:$V$3183,0)),""))</f>
        <v/>
      </c>
      <c r="J746">
        <f>IF($B746="","",IF($D746&gt;$F$2,"À venir",IF($E746&lt;$D$2,"Passé","Dans la période")))</f>
        <v/>
      </c>
      <c r="K746">
        <f>IF(OR($B746="",NOT(ISNUMBER($D746))),"",IF(AND($E746&lt;$D$2,$G746&lt;&gt;"X",$F746&lt;&gt;"Réalisé",$F746&lt;&gt;"Clôturé"),"RETARD",""))</f>
        <v/>
      </c>
      <c r="L746">
        <f>IF(OR($B746="",NOT(ISNUMBER($D746))),"",IF(AND($D746&gt;=$D$2,$D746&lt;=$H$2,$G746&lt;&gt;"X",$F746&lt;&gt;"Réalisé",$F746&lt;&gt;"Clôturé"),"≤ 7 j",""))</f>
        <v/>
      </c>
      <c r="M746" s="29">
        <f>IF($B746="","",IFERROR(INDEX($T$4:$T$3183,MATCH(SMALL($V$4:$V$3183,743),$V$4:$V$3183,0)),""))</f>
        <v/>
      </c>
      <c r="O746">
        <f>IF(INDEX(Suivi!$B:$B,761)="","",INDEX(Suivi!$B:$B,761))</f>
        <v/>
      </c>
      <c r="P746">
        <f>IF($O746="","",IF(INDEX(Suivi!$D:$D,761)="",INDEX(Suivi!$C:$C,761),INDEX(Suivi!$D:$D,761)))</f>
        <v/>
      </c>
      <c r="Q746">
        <f>IF($O746="","",INDEX(Suivi!$E:$E,761))</f>
        <v/>
      </c>
      <c r="R746">
        <f>IF($O746="","",INDEX(Suivi!$F:$F,761))</f>
        <v/>
      </c>
      <c r="S746">
        <f>IF($O746="","",INDEX(Suivi!$G:$G,761))</f>
        <v/>
      </c>
      <c r="T746">
        <f>IF($O746="","",IF(INDEX(Dossiers!$F$4:$F$63,15)="","",INDEX(Dossiers!$F$4:$F$63,15)))</f>
        <v/>
      </c>
      <c r="U746">
        <f>IF($O746="","",IF(INDEX(Dossiers!$G$4:$G$63,15)="","",INDEX(Dossiers!$G$4:$G$63,15)))</f>
        <v/>
      </c>
      <c r="V746">
        <f>IF(OR($O746="",NOT(ISNUMBER($Q746))),"",$Q746*1000000+746)</f>
        <v/>
      </c>
      <c r="W746" s="29">
        <f>IF($B746="","",IFERROR(INDEX($U$4:$U$3183,MATCH(SMALL($V$4:$V$3183,743),$V$4:$V$3183,0)),""))</f>
        <v/>
      </c>
    </row>
    <row r="747">
      <c r="A747">
        <f>IFERROR(INDEX($N$4:$N$3183,MATCH(SMALL($V$4:$V$3183,744),$V$4:$V$3183,0)),"")</f>
        <v/>
      </c>
      <c r="B747">
        <f>IFERROR(INDEX($O$4:$O$3183,MATCH(SMALL($V$4:$V$3183,744),$V$4:$V$3183,0)),"")</f>
        <v/>
      </c>
      <c r="C747">
        <f>IFERROR(INDEX($P$4:$P$3183,MATCH(SMALL($V$4:$V$3183,744),$V$4:$V$3183,0)),"")</f>
        <v/>
      </c>
      <c r="D747" s="29">
        <f>IFERROR(INDEX($Q$4:$Q$3183,MATCH(SMALL($V$4:$V$3183,744),$V$4:$V$3183,0)),"")</f>
        <v/>
      </c>
      <c r="E747" s="29">
        <f>IFERROR(INDEX($R$4:$R$3183,MATCH(SMALL($V$4:$V$3183,744),$V$4:$V$3183,0)),"")</f>
        <v/>
      </c>
      <c r="F747">
        <f>IFERROR(INDEX($S$4:$S$3183,MATCH(SMALL($V$4:$V$3183,744),$V$4:$V$3183,0)),"")</f>
        <v/>
      </c>
      <c r="I747" s="29">
        <f>IF($B747="","",IFERROR(INDEX($U$4:$U$3183,MATCH(SMALL($V$4:$V$3183,744),$V$4:$V$3183,0)),""))</f>
        <v/>
      </c>
      <c r="J747">
        <f>IF($B747="","",IF($D747&gt;$F$2,"À venir",IF($E747&lt;$D$2,"Passé","Dans la période")))</f>
        <v/>
      </c>
      <c r="K747">
        <f>IF(OR($B747="",NOT(ISNUMBER($D747))),"",IF(AND($E747&lt;$D$2,$G747&lt;&gt;"X",$F747&lt;&gt;"Réalisé",$F747&lt;&gt;"Clôturé"),"RETARD",""))</f>
        <v/>
      </c>
      <c r="L747">
        <f>IF(OR($B747="",NOT(ISNUMBER($D747))),"",IF(AND($D747&gt;=$D$2,$D747&lt;=$H$2,$G747&lt;&gt;"X",$F747&lt;&gt;"Réalisé",$F747&lt;&gt;"Clôturé"),"≤ 7 j",""))</f>
        <v/>
      </c>
      <c r="M747" s="29">
        <f>IF($B747="","",IFERROR(INDEX($T$4:$T$3183,MATCH(SMALL($V$4:$V$3183,744),$V$4:$V$3183,0)),""))</f>
        <v/>
      </c>
      <c r="O747">
        <f>IF(INDEX(Suivi!$B:$B,762)="","",INDEX(Suivi!$B:$B,762))</f>
        <v/>
      </c>
      <c r="P747">
        <f>IF($O747="","",IF(INDEX(Suivi!$D:$D,762)="",INDEX(Suivi!$C:$C,762),INDEX(Suivi!$D:$D,762)))</f>
        <v/>
      </c>
      <c r="Q747">
        <f>IF($O747="","",INDEX(Suivi!$E:$E,762))</f>
        <v/>
      </c>
      <c r="R747">
        <f>IF($O747="","",INDEX(Suivi!$F:$F,762))</f>
        <v/>
      </c>
      <c r="S747">
        <f>IF($O747="","",INDEX(Suivi!$G:$G,762))</f>
        <v/>
      </c>
      <c r="T747">
        <f>IF($O747="","",IF(INDEX(Dossiers!$F$4:$F$63,15)="","",INDEX(Dossiers!$F$4:$F$63,15)))</f>
        <v/>
      </c>
      <c r="U747">
        <f>IF($O747="","",IF(INDEX(Dossiers!$G$4:$G$63,15)="","",INDEX(Dossiers!$G$4:$G$63,15)))</f>
        <v/>
      </c>
      <c r="V747">
        <f>IF(OR($O747="",NOT(ISNUMBER($Q747))),"",$Q747*1000000+747)</f>
        <v/>
      </c>
      <c r="W747" s="29">
        <f>IF($B747="","",IFERROR(INDEX($U$4:$U$3183,MATCH(SMALL($V$4:$V$3183,744),$V$4:$V$3183,0)),""))</f>
        <v/>
      </c>
    </row>
    <row r="748">
      <c r="A748">
        <f>IFERROR(INDEX($N$4:$N$3183,MATCH(SMALL($V$4:$V$3183,745),$V$4:$V$3183,0)),"")</f>
        <v/>
      </c>
      <c r="B748">
        <f>IFERROR(INDEX($O$4:$O$3183,MATCH(SMALL($V$4:$V$3183,745),$V$4:$V$3183,0)),"")</f>
        <v/>
      </c>
      <c r="C748">
        <f>IFERROR(INDEX($P$4:$P$3183,MATCH(SMALL($V$4:$V$3183,745),$V$4:$V$3183,0)),"")</f>
        <v/>
      </c>
      <c r="D748" s="29">
        <f>IFERROR(INDEX($Q$4:$Q$3183,MATCH(SMALL($V$4:$V$3183,745),$V$4:$V$3183,0)),"")</f>
        <v/>
      </c>
      <c r="E748" s="29">
        <f>IFERROR(INDEX($R$4:$R$3183,MATCH(SMALL($V$4:$V$3183,745),$V$4:$V$3183,0)),"")</f>
        <v/>
      </c>
      <c r="F748">
        <f>IFERROR(INDEX($S$4:$S$3183,MATCH(SMALL($V$4:$V$3183,745),$V$4:$V$3183,0)),"")</f>
        <v/>
      </c>
      <c r="I748" s="29">
        <f>IF($B748="","",IFERROR(INDEX($U$4:$U$3183,MATCH(SMALL($V$4:$V$3183,745),$V$4:$V$3183,0)),""))</f>
        <v/>
      </c>
      <c r="J748">
        <f>IF($B748="","",IF($D748&gt;$F$2,"À venir",IF($E748&lt;$D$2,"Passé","Dans la période")))</f>
        <v/>
      </c>
      <c r="K748">
        <f>IF(OR($B748="",NOT(ISNUMBER($D748))),"",IF(AND($E748&lt;$D$2,$G748&lt;&gt;"X",$F748&lt;&gt;"Réalisé",$F748&lt;&gt;"Clôturé"),"RETARD",""))</f>
        <v/>
      </c>
      <c r="L748">
        <f>IF(OR($B748="",NOT(ISNUMBER($D748))),"",IF(AND($D748&gt;=$D$2,$D748&lt;=$H$2,$G748&lt;&gt;"X",$F748&lt;&gt;"Réalisé",$F748&lt;&gt;"Clôturé"),"≤ 7 j",""))</f>
        <v/>
      </c>
      <c r="M748" s="29">
        <f>IF($B748="","",IFERROR(INDEX($T$4:$T$3183,MATCH(SMALL($V$4:$V$3183,745),$V$4:$V$3183,0)),""))</f>
        <v/>
      </c>
      <c r="O748">
        <f>IF(INDEX(Suivi!$B:$B,763)="","",INDEX(Suivi!$B:$B,763))</f>
        <v/>
      </c>
      <c r="P748">
        <f>IF($O748="","",IF(INDEX(Suivi!$D:$D,763)="",INDEX(Suivi!$C:$C,763),INDEX(Suivi!$D:$D,763)))</f>
        <v/>
      </c>
      <c r="Q748">
        <f>IF($O748="","",INDEX(Suivi!$E:$E,763))</f>
        <v/>
      </c>
      <c r="R748">
        <f>IF($O748="","",INDEX(Suivi!$F:$F,763))</f>
        <v/>
      </c>
      <c r="S748">
        <f>IF($O748="","",INDEX(Suivi!$G:$G,763))</f>
        <v/>
      </c>
      <c r="T748">
        <f>IF($O748="","",IF(INDEX(Dossiers!$F$4:$F$63,15)="","",INDEX(Dossiers!$F$4:$F$63,15)))</f>
        <v/>
      </c>
      <c r="U748">
        <f>IF($O748="","",IF(INDEX(Dossiers!$G$4:$G$63,15)="","",INDEX(Dossiers!$G$4:$G$63,15)))</f>
        <v/>
      </c>
      <c r="V748">
        <f>IF(OR($O748="",NOT(ISNUMBER($Q748))),"",$Q748*1000000+748)</f>
        <v/>
      </c>
      <c r="W748" s="29">
        <f>IF($B748="","",IFERROR(INDEX($U$4:$U$3183,MATCH(SMALL($V$4:$V$3183,745),$V$4:$V$3183,0)),""))</f>
        <v/>
      </c>
    </row>
    <row r="749">
      <c r="A749">
        <f>IFERROR(INDEX($N$4:$N$3183,MATCH(SMALL($V$4:$V$3183,746),$V$4:$V$3183,0)),"")</f>
        <v/>
      </c>
      <c r="B749">
        <f>IFERROR(INDEX($O$4:$O$3183,MATCH(SMALL($V$4:$V$3183,746),$V$4:$V$3183,0)),"")</f>
        <v/>
      </c>
      <c r="C749">
        <f>IFERROR(INDEX($P$4:$P$3183,MATCH(SMALL($V$4:$V$3183,746),$V$4:$V$3183,0)),"")</f>
        <v/>
      </c>
      <c r="D749" s="29">
        <f>IFERROR(INDEX($Q$4:$Q$3183,MATCH(SMALL($V$4:$V$3183,746),$V$4:$V$3183,0)),"")</f>
        <v/>
      </c>
      <c r="E749" s="29">
        <f>IFERROR(INDEX($R$4:$R$3183,MATCH(SMALL($V$4:$V$3183,746),$V$4:$V$3183,0)),"")</f>
        <v/>
      </c>
      <c r="F749">
        <f>IFERROR(INDEX($S$4:$S$3183,MATCH(SMALL($V$4:$V$3183,746),$V$4:$V$3183,0)),"")</f>
        <v/>
      </c>
      <c r="I749" s="29">
        <f>IF($B749="","",IFERROR(INDEX($U$4:$U$3183,MATCH(SMALL($V$4:$V$3183,746),$V$4:$V$3183,0)),""))</f>
        <v/>
      </c>
      <c r="J749">
        <f>IF($B749="","",IF($D749&gt;$F$2,"À venir",IF($E749&lt;$D$2,"Passé","Dans la période")))</f>
        <v/>
      </c>
      <c r="K749">
        <f>IF(OR($B749="",NOT(ISNUMBER($D749))),"",IF(AND($E749&lt;$D$2,$G749&lt;&gt;"X",$F749&lt;&gt;"Réalisé",$F749&lt;&gt;"Clôturé"),"RETARD",""))</f>
        <v/>
      </c>
      <c r="L749">
        <f>IF(OR($B749="",NOT(ISNUMBER($D749))),"",IF(AND($D749&gt;=$D$2,$D749&lt;=$H$2,$G749&lt;&gt;"X",$F749&lt;&gt;"Réalisé",$F749&lt;&gt;"Clôturé"),"≤ 7 j",""))</f>
        <v/>
      </c>
      <c r="M749" s="29">
        <f>IF($B749="","",IFERROR(INDEX($T$4:$T$3183,MATCH(SMALL($V$4:$V$3183,746),$V$4:$V$3183,0)),""))</f>
        <v/>
      </c>
      <c r="O749">
        <f>IF(INDEX(Suivi!$B:$B,764)="","",INDEX(Suivi!$B:$B,764))</f>
        <v/>
      </c>
      <c r="P749">
        <f>IF($O749="","",IF(INDEX(Suivi!$D:$D,764)="",INDEX(Suivi!$C:$C,764),INDEX(Suivi!$D:$D,764)))</f>
        <v/>
      </c>
      <c r="Q749">
        <f>IF($O749="","",INDEX(Suivi!$E:$E,764))</f>
        <v/>
      </c>
      <c r="R749">
        <f>IF($O749="","",INDEX(Suivi!$F:$F,764))</f>
        <v/>
      </c>
      <c r="S749">
        <f>IF($O749="","",INDEX(Suivi!$G:$G,764))</f>
        <v/>
      </c>
      <c r="T749">
        <f>IF($O749="","",IF(INDEX(Dossiers!$F$4:$F$63,15)="","",INDEX(Dossiers!$F$4:$F$63,15)))</f>
        <v/>
      </c>
      <c r="U749">
        <f>IF($O749="","",IF(INDEX(Dossiers!$G$4:$G$63,15)="","",INDEX(Dossiers!$G$4:$G$63,15)))</f>
        <v/>
      </c>
      <c r="V749">
        <f>IF(OR($O749="",NOT(ISNUMBER($Q749))),"",$Q749*1000000+749)</f>
        <v/>
      </c>
      <c r="W749" s="29">
        <f>IF($B749="","",IFERROR(INDEX($U$4:$U$3183,MATCH(SMALL($V$4:$V$3183,746),$V$4:$V$3183,0)),""))</f>
        <v/>
      </c>
    </row>
    <row r="750">
      <c r="A750">
        <f>IFERROR(INDEX($N$4:$N$3183,MATCH(SMALL($V$4:$V$3183,747),$V$4:$V$3183,0)),"")</f>
        <v/>
      </c>
      <c r="B750">
        <f>IFERROR(INDEX($O$4:$O$3183,MATCH(SMALL($V$4:$V$3183,747),$V$4:$V$3183,0)),"")</f>
        <v/>
      </c>
      <c r="C750">
        <f>IFERROR(INDEX($P$4:$P$3183,MATCH(SMALL($V$4:$V$3183,747),$V$4:$V$3183,0)),"")</f>
        <v/>
      </c>
      <c r="D750" s="29">
        <f>IFERROR(INDEX($Q$4:$Q$3183,MATCH(SMALL($V$4:$V$3183,747),$V$4:$V$3183,0)),"")</f>
        <v/>
      </c>
      <c r="E750" s="29">
        <f>IFERROR(INDEX($R$4:$R$3183,MATCH(SMALL($V$4:$V$3183,747),$V$4:$V$3183,0)),"")</f>
        <v/>
      </c>
      <c r="F750">
        <f>IFERROR(INDEX($S$4:$S$3183,MATCH(SMALL($V$4:$V$3183,747),$V$4:$V$3183,0)),"")</f>
        <v/>
      </c>
      <c r="I750" s="29">
        <f>IF($B750="","",IFERROR(INDEX($U$4:$U$3183,MATCH(SMALL($V$4:$V$3183,747),$V$4:$V$3183,0)),""))</f>
        <v/>
      </c>
      <c r="J750">
        <f>IF($B750="","",IF($D750&gt;$F$2,"À venir",IF($E750&lt;$D$2,"Passé","Dans la période")))</f>
        <v/>
      </c>
      <c r="K750">
        <f>IF(OR($B750="",NOT(ISNUMBER($D750))),"",IF(AND($E750&lt;$D$2,$G750&lt;&gt;"X",$F750&lt;&gt;"Réalisé",$F750&lt;&gt;"Clôturé"),"RETARD",""))</f>
        <v/>
      </c>
      <c r="L750">
        <f>IF(OR($B750="",NOT(ISNUMBER($D750))),"",IF(AND($D750&gt;=$D$2,$D750&lt;=$H$2,$G750&lt;&gt;"X",$F750&lt;&gt;"Réalisé",$F750&lt;&gt;"Clôturé"),"≤ 7 j",""))</f>
        <v/>
      </c>
      <c r="M750" s="29">
        <f>IF($B750="","",IFERROR(INDEX($T$4:$T$3183,MATCH(SMALL($V$4:$V$3183,747),$V$4:$V$3183,0)),""))</f>
        <v/>
      </c>
      <c r="O750">
        <f>IF(INDEX(Suivi!$B:$B,765)="","",INDEX(Suivi!$B:$B,765))</f>
        <v/>
      </c>
      <c r="P750">
        <f>IF($O750="","",IF(INDEX(Suivi!$D:$D,765)="",INDEX(Suivi!$C:$C,765),INDEX(Suivi!$D:$D,765)))</f>
        <v/>
      </c>
      <c r="Q750">
        <f>IF($O750="","",INDEX(Suivi!$E:$E,765))</f>
        <v/>
      </c>
      <c r="R750">
        <f>IF($O750="","",INDEX(Suivi!$F:$F,765))</f>
        <v/>
      </c>
      <c r="S750">
        <f>IF($O750="","",INDEX(Suivi!$G:$G,765))</f>
        <v/>
      </c>
      <c r="T750">
        <f>IF($O750="","",IF(INDEX(Dossiers!$F$4:$F$63,15)="","",INDEX(Dossiers!$F$4:$F$63,15)))</f>
        <v/>
      </c>
      <c r="U750">
        <f>IF($O750="","",IF(INDEX(Dossiers!$G$4:$G$63,15)="","",INDEX(Dossiers!$G$4:$G$63,15)))</f>
        <v/>
      </c>
      <c r="V750">
        <f>IF(OR($O750="",NOT(ISNUMBER($Q750))),"",$Q750*1000000+750)</f>
        <v/>
      </c>
      <c r="W750" s="29">
        <f>IF($B750="","",IFERROR(INDEX($U$4:$U$3183,MATCH(SMALL($V$4:$V$3183,747),$V$4:$V$3183,0)),""))</f>
        <v/>
      </c>
    </row>
    <row r="751">
      <c r="A751">
        <f>IFERROR(INDEX($N$4:$N$3183,MATCH(SMALL($V$4:$V$3183,748),$V$4:$V$3183,0)),"")</f>
        <v/>
      </c>
      <c r="B751">
        <f>IFERROR(INDEX($O$4:$O$3183,MATCH(SMALL($V$4:$V$3183,748),$V$4:$V$3183,0)),"")</f>
        <v/>
      </c>
      <c r="C751">
        <f>IFERROR(INDEX($P$4:$P$3183,MATCH(SMALL($V$4:$V$3183,748),$V$4:$V$3183,0)),"")</f>
        <v/>
      </c>
      <c r="D751" s="29">
        <f>IFERROR(INDEX($Q$4:$Q$3183,MATCH(SMALL($V$4:$V$3183,748),$V$4:$V$3183,0)),"")</f>
        <v/>
      </c>
      <c r="E751" s="29">
        <f>IFERROR(INDEX($R$4:$R$3183,MATCH(SMALL($V$4:$V$3183,748),$V$4:$V$3183,0)),"")</f>
        <v/>
      </c>
      <c r="F751">
        <f>IFERROR(INDEX($S$4:$S$3183,MATCH(SMALL($V$4:$V$3183,748),$V$4:$V$3183,0)),"")</f>
        <v/>
      </c>
      <c r="I751" s="29">
        <f>IF($B751="","",IFERROR(INDEX($U$4:$U$3183,MATCH(SMALL($V$4:$V$3183,748),$V$4:$V$3183,0)),""))</f>
        <v/>
      </c>
      <c r="J751">
        <f>IF($B751="","",IF($D751&gt;$F$2,"À venir",IF($E751&lt;$D$2,"Passé","Dans la période")))</f>
        <v/>
      </c>
      <c r="K751">
        <f>IF(OR($B751="",NOT(ISNUMBER($D751))),"",IF(AND($E751&lt;$D$2,$G751&lt;&gt;"X",$F751&lt;&gt;"Réalisé",$F751&lt;&gt;"Clôturé"),"RETARD",""))</f>
        <v/>
      </c>
      <c r="L751">
        <f>IF(OR($B751="",NOT(ISNUMBER($D751))),"",IF(AND($D751&gt;=$D$2,$D751&lt;=$H$2,$G751&lt;&gt;"X",$F751&lt;&gt;"Réalisé",$F751&lt;&gt;"Clôturé"),"≤ 7 j",""))</f>
        <v/>
      </c>
      <c r="M751" s="29">
        <f>IF($B751="","",IFERROR(INDEX($T$4:$T$3183,MATCH(SMALL($V$4:$V$3183,748),$V$4:$V$3183,0)),""))</f>
        <v/>
      </c>
      <c r="O751">
        <f>IF(INDEX(Suivi!$B:$B,766)="","",INDEX(Suivi!$B:$B,766))</f>
        <v/>
      </c>
      <c r="P751">
        <f>IF($O751="","",IF(INDEX(Suivi!$D:$D,766)="",INDEX(Suivi!$C:$C,766),INDEX(Suivi!$D:$D,766)))</f>
        <v/>
      </c>
      <c r="Q751">
        <f>IF($O751="","",INDEX(Suivi!$E:$E,766))</f>
        <v/>
      </c>
      <c r="R751">
        <f>IF($O751="","",INDEX(Suivi!$F:$F,766))</f>
        <v/>
      </c>
      <c r="S751">
        <f>IF($O751="","",INDEX(Suivi!$G:$G,766))</f>
        <v/>
      </c>
      <c r="T751">
        <f>IF($O751="","",IF(INDEX(Dossiers!$F$4:$F$63,15)="","",INDEX(Dossiers!$F$4:$F$63,15)))</f>
        <v/>
      </c>
      <c r="U751">
        <f>IF($O751="","",IF(INDEX(Dossiers!$G$4:$G$63,15)="","",INDEX(Dossiers!$G$4:$G$63,15)))</f>
        <v/>
      </c>
      <c r="V751">
        <f>IF(OR($O751="",NOT(ISNUMBER($Q751))),"",$Q751*1000000+751)</f>
        <v/>
      </c>
      <c r="W751" s="29">
        <f>IF($B751="","",IFERROR(INDEX($U$4:$U$3183,MATCH(SMALL($V$4:$V$3183,748),$V$4:$V$3183,0)),""))</f>
        <v/>
      </c>
    </row>
    <row r="752">
      <c r="A752">
        <f>IFERROR(INDEX($N$4:$N$3183,MATCH(SMALL($V$4:$V$3183,749),$V$4:$V$3183,0)),"")</f>
        <v/>
      </c>
      <c r="B752">
        <f>IFERROR(INDEX($O$4:$O$3183,MATCH(SMALL($V$4:$V$3183,749),$V$4:$V$3183,0)),"")</f>
        <v/>
      </c>
      <c r="C752">
        <f>IFERROR(INDEX($P$4:$P$3183,MATCH(SMALL($V$4:$V$3183,749),$V$4:$V$3183,0)),"")</f>
        <v/>
      </c>
      <c r="D752" s="29">
        <f>IFERROR(INDEX($Q$4:$Q$3183,MATCH(SMALL($V$4:$V$3183,749),$V$4:$V$3183,0)),"")</f>
        <v/>
      </c>
      <c r="E752" s="29">
        <f>IFERROR(INDEX($R$4:$R$3183,MATCH(SMALL($V$4:$V$3183,749),$V$4:$V$3183,0)),"")</f>
        <v/>
      </c>
      <c r="F752">
        <f>IFERROR(INDEX($S$4:$S$3183,MATCH(SMALL($V$4:$V$3183,749),$V$4:$V$3183,0)),"")</f>
        <v/>
      </c>
      <c r="I752" s="29">
        <f>IF($B752="","",IFERROR(INDEX($U$4:$U$3183,MATCH(SMALL($V$4:$V$3183,749),$V$4:$V$3183,0)),""))</f>
        <v/>
      </c>
      <c r="J752">
        <f>IF($B752="","",IF($D752&gt;$F$2,"À venir",IF($E752&lt;$D$2,"Passé","Dans la période")))</f>
        <v/>
      </c>
      <c r="K752">
        <f>IF(OR($B752="",NOT(ISNUMBER($D752))),"",IF(AND($E752&lt;$D$2,$G752&lt;&gt;"X",$F752&lt;&gt;"Réalisé",$F752&lt;&gt;"Clôturé"),"RETARD",""))</f>
        <v/>
      </c>
      <c r="L752">
        <f>IF(OR($B752="",NOT(ISNUMBER($D752))),"",IF(AND($D752&gt;=$D$2,$D752&lt;=$H$2,$G752&lt;&gt;"X",$F752&lt;&gt;"Réalisé",$F752&lt;&gt;"Clôturé"),"≤ 7 j",""))</f>
        <v/>
      </c>
      <c r="M752" s="29">
        <f>IF($B752="","",IFERROR(INDEX($T$4:$T$3183,MATCH(SMALL($V$4:$V$3183,749),$V$4:$V$3183,0)),""))</f>
        <v/>
      </c>
      <c r="O752">
        <f>IF(INDEX(Suivi!$B:$B,767)="","",INDEX(Suivi!$B:$B,767))</f>
        <v/>
      </c>
      <c r="P752">
        <f>IF($O752="","",IF(INDEX(Suivi!$D:$D,767)="",INDEX(Suivi!$C:$C,767),INDEX(Suivi!$D:$D,767)))</f>
        <v/>
      </c>
      <c r="Q752">
        <f>IF($O752="","",INDEX(Suivi!$E:$E,767))</f>
        <v/>
      </c>
      <c r="R752">
        <f>IF($O752="","",INDEX(Suivi!$F:$F,767))</f>
        <v/>
      </c>
      <c r="S752">
        <f>IF($O752="","",INDEX(Suivi!$G:$G,767))</f>
        <v/>
      </c>
      <c r="T752">
        <f>IF($O752="","",IF(INDEX(Dossiers!$F$4:$F$63,15)="","",INDEX(Dossiers!$F$4:$F$63,15)))</f>
        <v/>
      </c>
      <c r="U752">
        <f>IF($O752="","",IF(INDEX(Dossiers!$G$4:$G$63,15)="","",INDEX(Dossiers!$G$4:$G$63,15)))</f>
        <v/>
      </c>
      <c r="V752">
        <f>IF(OR($O752="",NOT(ISNUMBER($Q752))),"",$Q752*1000000+752)</f>
        <v/>
      </c>
      <c r="W752" s="29">
        <f>IF($B752="","",IFERROR(INDEX($U$4:$U$3183,MATCH(SMALL($V$4:$V$3183,749),$V$4:$V$3183,0)),""))</f>
        <v/>
      </c>
    </row>
    <row r="753">
      <c r="A753">
        <f>IFERROR(INDEX($N$4:$N$3183,MATCH(SMALL($V$4:$V$3183,750),$V$4:$V$3183,0)),"")</f>
        <v/>
      </c>
      <c r="B753">
        <f>IFERROR(INDEX($O$4:$O$3183,MATCH(SMALL($V$4:$V$3183,750),$V$4:$V$3183,0)),"")</f>
        <v/>
      </c>
      <c r="C753">
        <f>IFERROR(INDEX($P$4:$P$3183,MATCH(SMALL($V$4:$V$3183,750),$V$4:$V$3183,0)),"")</f>
        <v/>
      </c>
      <c r="D753" s="29">
        <f>IFERROR(INDEX($Q$4:$Q$3183,MATCH(SMALL($V$4:$V$3183,750),$V$4:$V$3183,0)),"")</f>
        <v/>
      </c>
      <c r="E753" s="29">
        <f>IFERROR(INDEX($R$4:$R$3183,MATCH(SMALL($V$4:$V$3183,750),$V$4:$V$3183,0)),"")</f>
        <v/>
      </c>
      <c r="F753">
        <f>IFERROR(INDEX($S$4:$S$3183,MATCH(SMALL($V$4:$V$3183,750),$V$4:$V$3183,0)),"")</f>
        <v/>
      </c>
      <c r="I753" s="29">
        <f>IF($B753="","",IFERROR(INDEX($U$4:$U$3183,MATCH(SMALL($V$4:$V$3183,750),$V$4:$V$3183,0)),""))</f>
        <v/>
      </c>
      <c r="J753">
        <f>IF($B753="","",IF($D753&gt;$F$2,"À venir",IF($E753&lt;$D$2,"Passé","Dans la période")))</f>
        <v/>
      </c>
      <c r="K753">
        <f>IF(OR($B753="",NOT(ISNUMBER($D753))),"",IF(AND($E753&lt;$D$2,$G753&lt;&gt;"X",$F753&lt;&gt;"Réalisé",$F753&lt;&gt;"Clôturé"),"RETARD",""))</f>
        <v/>
      </c>
      <c r="L753">
        <f>IF(OR($B753="",NOT(ISNUMBER($D753))),"",IF(AND($D753&gt;=$D$2,$D753&lt;=$H$2,$G753&lt;&gt;"X",$F753&lt;&gt;"Réalisé",$F753&lt;&gt;"Clôturé"),"≤ 7 j",""))</f>
        <v/>
      </c>
      <c r="M753" s="29">
        <f>IF($B753="","",IFERROR(INDEX($T$4:$T$3183,MATCH(SMALL($V$4:$V$3183,750),$V$4:$V$3183,0)),""))</f>
        <v/>
      </c>
      <c r="O753">
        <f>IF(INDEX(Suivi!$B:$B,768)="","",INDEX(Suivi!$B:$B,768))</f>
        <v/>
      </c>
      <c r="P753">
        <f>IF($O753="","",IF(INDEX(Suivi!$D:$D,768)="",INDEX(Suivi!$C:$C,768),INDEX(Suivi!$D:$D,768)))</f>
        <v/>
      </c>
      <c r="Q753">
        <f>IF($O753="","",INDEX(Suivi!$E:$E,768))</f>
        <v/>
      </c>
      <c r="R753">
        <f>IF($O753="","",INDEX(Suivi!$F:$F,768))</f>
        <v/>
      </c>
      <c r="S753">
        <f>IF($O753="","",INDEX(Suivi!$G:$G,768))</f>
        <v/>
      </c>
      <c r="T753">
        <f>IF($O753="","",IF(INDEX(Dossiers!$F$4:$F$63,15)="","",INDEX(Dossiers!$F$4:$F$63,15)))</f>
        <v/>
      </c>
      <c r="U753">
        <f>IF($O753="","",IF(INDEX(Dossiers!$G$4:$G$63,15)="","",INDEX(Dossiers!$G$4:$G$63,15)))</f>
        <v/>
      </c>
      <c r="V753">
        <f>IF(OR($O753="",NOT(ISNUMBER($Q753))),"",$Q753*1000000+753)</f>
        <v/>
      </c>
      <c r="W753" s="29">
        <f>IF($B753="","",IFERROR(INDEX($U$4:$U$3183,MATCH(SMALL($V$4:$V$3183,750),$V$4:$V$3183,0)),""))</f>
        <v/>
      </c>
    </row>
    <row r="754">
      <c r="A754">
        <f>IFERROR(INDEX($N$4:$N$3183,MATCH(SMALL($V$4:$V$3183,751),$V$4:$V$3183,0)),"")</f>
        <v/>
      </c>
      <c r="B754">
        <f>IFERROR(INDEX($O$4:$O$3183,MATCH(SMALL($V$4:$V$3183,751),$V$4:$V$3183,0)),"")</f>
        <v/>
      </c>
      <c r="C754">
        <f>IFERROR(INDEX($P$4:$P$3183,MATCH(SMALL($V$4:$V$3183,751),$V$4:$V$3183,0)),"")</f>
        <v/>
      </c>
      <c r="D754" s="29">
        <f>IFERROR(INDEX($Q$4:$Q$3183,MATCH(SMALL($V$4:$V$3183,751),$V$4:$V$3183,0)),"")</f>
        <v/>
      </c>
      <c r="E754" s="29">
        <f>IFERROR(INDEX($R$4:$R$3183,MATCH(SMALL($V$4:$V$3183,751),$V$4:$V$3183,0)),"")</f>
        <v/>
      </c>
      <c r="F754">
        <f>IFERROR(INDEX($S$4:$S$3183,MATCH(SMALL($V$4:$V$3183,751),$V$4:$V$3183,0)),"")</f>
        <v/>
      </c>
      <c r="I754" s="29">
        <f>IF($B754="","",IFERROR(INDEX($U$4:$U$3183,MATCH(SMALL($V$4:$V$3183,751),$V$4:$V$3183,0)),""))</f>
        <v/>
      </c>
      <c r="J754">
        <f>IF($B754="","",IF($D754&gt;$F$2,"À venir",IF($E754&lt;$D$2,"Passé","Dans la période")))</f>
        <v/>
      </c>
      <c r="K754">
        <f>IF(OR($B754="",NOT(ISNUMBER($D754))),"",IF(AND($E754&lt;$D$2,$G754&lt;&gt;"X",$F754&lt;&gt;"Réalisé",$F754&lt;&gt;"Clôturé"),"RETARD",""))</f>
        <v/>
      </c>
      <c r="L754">
        <f>IF(OR($B754="",NOT(ISNUMBER($D754))),"",IF(AND($D754&gt;=$D$2,$D754&lt;=$H$2,$G754&lt;&gt;"X",$F754&lt;&gt;"Réalisé",$F754&lt;&gt;"Clôturé"),"≤ 7 j",""))</f>
        <v/>
      </c>
      <c r="M754" s="29">
        <f>IF($B754="","",IFERROR(INDEX($T$4:$T$3183,MATCH(SMALL($V$4:$V$3183,751),$V$4:$V$3183,0)),""))</f>
        <v/>
      </c>
      <c r="O754">
        <f>IF(INDEX(Suivi!$B:$B,769)="","",INDEX(Suivi!$B:$B,769))</f>
        <v/>
      </c>
      <c r="P754">
        <f>IF($O754="","",IF(INDEX(Suivi!$D:$D,769)="",INDEX(Suivi!$C:$C,769),INDEX(Suivi!$D:$D,769)))</f>
        <v/>
      </c>
      <c r="Q754">
        <f>IF($O754="","",INDEX(Suivi!$E:$E,769))</f>
        <v/>
      </c>
      <c r="R754">
        <f>IF($O754="","",INDEX(Suivi!$F:$F,769))</f>
        <v/>
      </c>
      <c r="S754">
        <f>IF($O754="","",INDEX(Suivi!$G:$G,769))</f>
        <v/>
      </c>
      <c r="T754">
        <f>IF($O754="","",IF(INDEX(Dossiers!$F$4:$F$63,15)="","",INDEX(Dossiers!$F$4:$F$63,15)))</f>
        <v/>
      </c>
      <c r="U754">
        <f>IF($O754="","",IF(INDEX(Dossiers!$G$4:$G$63,15)="","",INDEX(Dossiers!$G$4:$G$63,15)))</f>
        <v/>
      </c>
      <c r="V754">
        <f>IF(OR($O754="",NOT(ISNUMBER($Q754))),"",$Q754*1000000+754)</f>
        <v/>
      </c>
      <c r="W754" s="29">
        <f>IF($B754="","",IFERROR(INDEX($U$4:$U$3183,MATCH(SMALL($V$4:$V$3183,751),$V$4:$V$3183,0)),""))</f>
        <v/>
      </c>
    </row>
    <row r="755">
      <c r="A755">
        <f>IFERROR(INDEX($N$4:$N$3183,MATCH(SMALL($V$4:$V$3183,752),$V$4:$V$3183,0)),"")</f>
        <v/>
      </c>
      <c r="B755">
        <f>IFERROR(INDEX($O$4:$O$3183,MATCH(SMALL($V$4:$V$3183,752),$V$4:$V$3183,0)),"")</f>
        <v/>
      </c>
      <c r="C755">
        <f>IFERROR(INDEX($P$4:$P$3183,MATCH(SMALL($V$4:$V$3183,752),$V$4:$V$3183,0)),"")</f>
        <v/>
      </c>
      <c r="D755" s="29">
        <f>IFERROR(INDEX($Q$4:$Q$3183,MATCH(SMALL($V$4:$V$3183,752),$V$4:$V$3183,0)),"")</f>
        <v/>
      </c>
      <c r="E755" s="29">
        <f>IFERROR(INDEX($R$4:$R$3183,MATCH(SMALL($V$4:$V$3183,752),$V$4:$V$3183,0)),"")</f>
        <v/>
      </c>
      <c r="F755">
        <f>IFERROR(INDEX($S$4:$S$3183,MATCH(SMALL($V$4:$V$3183,752),$V$4:$V$3183,0)),"")</f>
        <v/>
      </c>
      <c r="I755" s="29">
        <f>IF($B755="","",IFERROR(INDEX($U$4:$U$3183,MATCH(SMALL($V$4:$V$3183,752),$V$4:$V$3183,0)),""))</f>
        <v/>
      </c>
      <c r="J755">
        <f>IF($B755="","",IF($D755&gt;$F$2,"À venir",IF($E755&lt;$D$2,"Passé","Dans la période")))</f>
        <v/>
      </c>
      <c r="K755">
        <f>IF(OR($B755="",NOT(ISNUMBER($D755))),"",IF(AND($E755&lt;$D$2,$G755&lt;&gt;"X",$F755&lt;&gt;"Réalisé",$F755&lt;&gt;"Clôturé"),"RETARD",""))</f>
        <v/>
      </c>
      <c r="L755">
        <f>IF(OR($B755="",NOT(ISNUMBER($D755))),"",IF(AND($D755&gt;=$D$2,$D755&lt;=$H$2,$G755&lt;&gt;"X",$F755&lt;&gt;"Réalisé",$F755&lt;&gt;"Clôturé"),"≤ 7 j",""))</f>
        <v/>
      </c>
      <c r="M755" s="29">
        <f>IF($B755="","",IFERROR(INDEX($T$4:$T$3183,MATCH(SMALL($V$4:$V$3183,752),$V$4:$V$3183,0)),""))</f>
        <v/>
      </c>
      <c r="O755">
        <f>IF(INDEX(Suivi!$B:$B,770)="","",INDEX(Suivi!$B:$B,770))</f>
        <v/>
      </c>
      <c r="P755">
        <f>IF($O755="","",IF(INDEX(Suivi!$D:$D,770)="",INDEX(Suivi!$C:$C,770),INDEX(Suivi!$D:$D,770)))</f>
        <v/>
      </c>
      <c r="Q755">
        <f>IF($O755="","",INDEX(Suivi!$E:$E,770))</f>
        <v/>
      </c>
      <c r="R755">
        <f>IF($O755="","",INDEX(Suivi!$F:$F,770))</f>
        <v/>
      </c>
      <c r="S755">
        <f>IF($O755="","",INDEX(Suivi!$G:$G,770))</f>
        <v/>
      </c>
      <c r="T755">
        <f>IF($O755="","",IF(INDEX(Dossiers!$F$4:$F$63,15)="","",INDEX(Dossiers!$F$4:$F$63,15)))</f>
        <v/>
      </c>
      <c r="U755">
        <f>IF($O755="","",IF(INDEX(Dossiers!$G$4:$G$63,15)="","",INDEX(Dossiers!$G$4:$G$63,15)))</f>
        <v/>
      </c>
      <c r="V755">
        <f>IF(OR($O755="",NOT(ISNUMBER($Q755))),"",$Q755*1000000+755)</f>
        <v/>
      </c>
      <c r="W755" s="29">
        <f>IF($B755="","",IFERROR(INDEX($U$4:$U$3183,MATCH(SMALL($V$4:$V$3183,752),$V$4:$V$3183,0)),""))</f>
        <v/>
      </c>
    </row>
    <row r="756">
      <c r="A756">
        <f>IFERROR(INDEX($N$4:$N$3183,MATCH(SMALL($V$4:$V$3183,753),$V$4:$V$3183,0)),"")</f>
        <v/>
      </c>
      <c r="B756">
        <f>IFERROR(INDEX($O$4:$O$3183,MATCH(SMALL($V$4:$V$3183,753),$V$4:$V$3183,0)),"")</f>
        <v/>
      </c>
      <c r="C756">
        <f>IFERROR(INDEX($P$4:$P$3183,MATCH(SMALL($V$4:$V$3183,753),$V$4:$V$3183,0)),"")</f>
        <v/>
      </c>
      <c r="D756" s="29">
        <f>IFERROR(INDEX($Q$4:$Q$3183,MATCH(SMALL($V$4:$V$3183,753),$V$4:$V$3183,0)),"")</f>
        <v/>
      </c>
      <c r="E756" s="29">
        <f>IFERROR(INDEX($R$4:$R$3183,MATCH(SMALL($V$4:$V$3183,753),$V$4:$V$3183,0)),"")</f>
        <v/>
      </c>
      <c r="F756">
        <f>IFERROR(INDEX($S$4:$S$3183,MATCH(SMALL($V$4:$V$3183,753),$V$4:$V$3183,0)),"")</f>
        <v/>
      </c>
      <c r="I756" s="29">
        <f>IF($B756="","",IFERROR(INDEX($U$4:$U$3183,MATCH(SMALL($V$4:$V$3183,753),$V$4:$V$3183,0)),""))</f>
        <v/>
      </c>
      <c r="J756">
        <f>IF($B756="","",IF($D756&gt;$F$2,"À venir",IF($E756&lt;$D$2,"Passé","Dans la période")))</f>
        <v/>
      </c>
      <c r="K756">
        <f>IF(OR($B756="",NOT(ISNUMBER($D756))),"",IF(AND($E756&lt;$D$2,$G756&lt;&gt;"X",$F756&lt;&gt;"Réalisé",$F756&lt;&gt;"Clôturé"),"RETARD",""))</f>
        <v/>
      </c>
      <c r="L756">
        <f>IF(OR($B756="",NOT(ISNUMBER($D756))),"",IF(AND($D756&gt;=$D$2,$D756&lt;=$H$2,$G756&lt;&gt;"X",$F756&lt;&gt;"Réalisé",$F756&lt;&gt;"Clôturé"),"≤ 7 j",""))</f>
        <v/>
      </c>
      <c r="M756" s="29">
        <f>IF($B756="","",IFERROR(INDEX($T$4:$T$3183,MATCH(SMALL($V$4:$V$3183,753),$V$4:$V$3183,0)),""))</f>
        <v/>
      </c>
      <c r="O756">
        <f>IF(INDEX(Suivi!$B:$B,771)="","",INDEX(Suivi!$B:$B,771))</f>
        <v/>
      </c>
      <c r="P756">
        <f>IF($O756="","",IF(INDEX(Suivi!$D:$D,771)="",INDEX(Suivi!$C:$C,771),INDEX(Suivi!$D:$D,771)))</f>
        <v/>
      </c>
      <c r="Q756">
        <f>IF($O756="","",INDEX(Suivi!$E:$E,771))</f>
        <v/>
      </c>
      <c r="R756">
        <f>IF($O756="","",INDEX(Suivi!$F:$F,771))</f>
        <v/>
      </c>
      <c r="S756">
        <f>IF($O756="","",INDEX(Suivi!$G:$G,771))</f>
        <v/>
      </c>
      <c r="T756">
        <f>IF($O756="","",IF(INDEX(Dossiers!$F$4:$F$63,15)="","",INDEX(Dossiers!$F$4:$F$63,15)))</f>
        <v/>
      </c>
      <c r="U756">
        <f>IF($O756="","",IF(INDEX(Dossiers!$G$4:$G$63,15)="","",INDEX(Dossiers!$G$4:$G$63,15)))</f>
        <v/>
      </c>
      <c r="V756">
        <f>IF(OR($O756="",NOT(ISNUMBER($Q756))),"",$Q756*1000000+756)</f>
        <v/>
      </c>
      <c r="W756" s="29">
        <f>IF($B756="","",IFERROR(INDEX($U$4:$U$3183,MATCH(SMALL($V$4:$V$3183,753),$V$4:$V$3183,0)),""))</f>
        <v/>
      </c>
    </row>
    <row r="757">
      <c r="A757">
        <f>IFERROR(INDEX($N$4:$N$3183,MATCH(SMALL($V$4:$V$3183,754),$V$4:$V$3183,0)),"")</f>
        <v/>
      </c>
      <c r="B757">
        <f>IFERROR(INDEX($O$4:$O$3183,MATCH(SMALL($V$4:$V$3183,754),$V$4:$V$3183,0)),"")</f>
        <v/>
      </c>
      <c r="C757">
        <f>IFERROR(INDEX($P$4:$P$3183,MATCH(SMALL($V$4:$V$3183,754),$V$4:$V$3183,0)),"")</f>
        <v/>
      </c>
      <c r="D757" s="29">
        <f>IFERROR(INDEX($Q$4:$Q$3183,MATCH(SMALL($V$4:$V$3183,754),$V$4:$V$3183,0)),"")</f>
        <v/>
      </c>
      <c r="E757" s="29">
        <f>IFERROR(INDEX($R$4:$R$3183,MATCH(SMALL($V$4:$V$3183,754),$V$4:$V$3183,0)),"")</f>
        <v/>
      </c>
      <c r="F757">
        <f>IFERROR(INDEX($S$4:$S$3183,MATCH(SMALL($V$4:$V$3183,754),$V$4:$V$3183,0)),"")</f>
        <v/>
      </c>
      <c r="I757" s="29">
        <f>IF($B757="","",IFERROR(INDEX($U$4:$U$3183,MATCH(SMALL($V$4:$V$3183,754),$V$4:$V$3183,0)),""))</f>
        <v/>
      </c>
      <c r="J757">
        <f>IF($B757="","",IF($D757&gt;$F$2,"À venir",IF($E757&lt;$D$2,"Passé","Dans la période")))</f>
        <v/>
      </c>
      <c r="K757">
        <f>IF(OR($B757="",NOT(ISNUMBER($D757))),"",IF(AND($E757&lt;$D$2,$G757&lt;&gt;"X",$F757&lt;&gt;"Réalisé",$F757&lt;&gt;"Clôturé"),"RETARD",""))</f>
        <v/>
      </c>
      <c r="L757">
        <f>IF(OR($B757="",NOT(ISNUMBER($D757))),"",IF(AND($D757&gt;=$D$2,$D757&lt;=$H$2,$G757&lt;&gt;"X",$F757&lt;&gt;"Réalisé",$F757&lt;&gt;"Clôturé"),"≤ 7 j",""))</f>
        <v/>
      </c>
      <c r="M757" s="29">
        <f>IF($B757="","",IFERROR(INDEX($T$4:$T$3183,MATCH(SMALL($V$4:$V$3183,754),$V$4:$V$3183,0)),""))</f>
        <v/>
      </c>
      <c r="O757">
        <f>IF(INDEX(Suivi!$B:$B,772)="","",INDEX(Suivi!$B:$B,772))</f>
        <v/>
      </c>
      <c r="P757">
        <f>IF($O757="","",IF(INDEX(Suivi!$D:$D,772)="",INDEX(Suivi!$C:$C,772),INDEX(Suivi!$D:$D,772)))</f>
        <v/>
      </c>
      <c r="Q757">
        <f>IF($O757="","",INDEX(Suivi!$E:$E,772))</f>
        <v/>
      </c>
      <c r="R757">
        <f>IF($O757="","",INDEX(Suivi!$F:$F,772))</f>
        <v/>
      </c>
      <c r="S757">
        <f>IF($O757="","",INDEX(Suivi!$G:$G,772))</f>
        <v/>
      </c>
      <c r="T757">
        <f>IF($O757="","",IF(INDEX(Dossiers!$F$4:$F$63,15)="","",INDEX(Dossiers!$F$4:$F$63,15)))</f>
        <v/>
      </c>
      <c r="U757">
        <f>IF($O757="","",IF(INDEX(Dossiers!$G$4:$G$63,15)="","",INDEX(Dossiers!$G$4:$G$63,15)))</f>
        <v/>
      </c>
      <c r="V757">
        <f>IF(OR($O757="",NOT(ISNUMBER($Q757))),"",$Q757*1000000+757)</f>
        <v/>
      </c>
      <c r="W757" s="29">
        <f>IF($B757="","",IFERROR(INDEX($U$4:$U$3183,MATCH(SMALL($V$4:$V$3183,754),$V$4:$V$3183,0)),""))</f>
        <v/>
      </c>
    </row>
    <row r="758">
      <c r="A758">
        <f>IFERROR(INDEX($N$4:$N$3183,MATCH(SMALL($V$4:$V$3183,755),$V$4:$V$3183,0)),"")</f>
        <v/>
      </c>
      <c r="B758">
        <f>IFERROR(INDEX($O$4:$O$3183,MATCH(SMALL($V$4:$V$3183,755),$V$4:$V$3183,0)),"")</f>
        <v/>
      </c>
      <c r="C758">
        <f>IFERROR(INDEX($P$4:$P$3183,MATCH(SMALL($V$4:$V$3183,755),$V$4:$V$3183,0)),"")</f>
        <v/>
      </c>
      <c r="D758" s="29">
        <f>IFERROR(INDEX($Q$4:$Q$3183,MATCH(SMALL($V$4:$V$3183,755),$V$4:$V$3183,0)),"")</f>
        <v/>
      </c>
      <c r="E758" s="29">
        <f>IFERROR(INDEX($R$4:$R$3183,MATCH(SMALL($V$4:$V$3183,755),$V$4:$V$3183,0)),"")</f>
        <v/>
      </c>
      <c r="F758">
        <f>IFERROR(INDEX($S$4:$S$3183,MATCH(SMALL($V$4:$V$3183,755),$V$4:$V$3183,0)),"")</f>
        <v/>
      </c>
      <c r="I758" s="29">
        <f>IF($B758="","",IFERROR(INDEX($U$4:$U$3183,MATCH(SMALL($V$4:$V$3183,755),$V$4:$V$3183,0)),""))</f>
        <v/>
      </c>
      <c r="J758">
        <f>IF($B758="","",IF($D758&gt;$F$2,"À venir",IF($E758&lt;$D$2,"Passé","Dans la période")))</f>
        <v/>
      </c>
      <c r="K758">
        <f>IF(OR($B758="",NOT(ISNUMBER($D758))),"",IF(AND($E758&lt;$D$2,$G758&lt;&gt;"X",$F758&lt;&gt;"Réalisé",$F758&lt;&gt;"Clôturé"),"RETARD",""))</f>
        <v/>
      </c>
      <c r="L758">
        <f>IF(OR($B758="",NOT(ISNUMBER($D758))),"",IF(AND($D758&gt;=$D$2,$D758&lt;=$H$2,$G758&lt;&gt;"X",$F758&lt;&gt;"Réalisé",$F758&lt;&gt;"Clôturé"),"≤ 7 j",""))</f>
        <v/>
      </c>
      <c r="M758" s="29">
        <f>IF($B758="","",IFERROR(INDEX($T$4:$T$3183,MATCH(SMALL($V$4:$V$3183,755),$V$4:$V$3183,0)),""))</f>
        <v/>
      </c>
      <c r="O758">
        <f>IF(INDEX(Suivi!$B:$B,773)="","",INDEX(Suivi!$B:$B,773))</f>
        <v/>
      </c>
      <c r="P758">
        <f>IF($O758="","",IF(INDEX(Suivi!$D:$D,773)="",INDEX(Suivi!$C:$C,773),INDEX(Suivi!$D:$D,773)))</f>
        <v/>
      </c>
      <c r="Q758">
        <f>IF($O758="","",INDEX(Suivi!$E:$E,773))</f>
        <v/>
      </c>
      <c r="R758">
        <f>IF($O758="","",INDEX(Suivi!$F:$F,773))</f>
        <v/>
      </c>
      <c r="S758">
        <f>IF($O758="","",INDEX(Suivi!$G:$G,773))</f>
        <v/>
      </c>
      <c r="T758">
        <f>IF($O758="","",IF(INDEX(Dossiers!$F$4:$F$63,15)="","",INDEX(Dossiers!$F$4:$F$63,15)))</f>
        <v/>
      </c>
      <c r="U758">
        <f>IF($O758="","",IF(INDEX(Dossiers!$G$4:$G$63,15)="","",INDEX(Dossiers!$G$4:$G$63,15)))</f>
        <v/>
      </c>
      <c r="V758">
        <f>IF(OR($O758="",NOT(ISNUMBER($Q758))),"",$Q758*1000000+758)</f>
        <v/>
      </c>
      <c r="W758" s="29">
        <f>IF($B758="","",IFERROR(INDEX($U$4:$U$3183,MATCH(SMALL($V$4:$V$3183,755),$V$4:$V$3183,0)),""))</f>
        <v/>
      </c>
    </row>
    <row r="759">
      <c r="A759">
        <f>IFERROR(INDEX($N$4:$N$3183,MATCH(SMALL($V$4:$V$3183,756),$V$4:$V$3183,0)),"")</f>
        <v/>
      </c>
      <c r="B759">
        <f>IFERROR(INDEX($O$4:$O$3183,MATCH(SMALL($V$4:$V$3183,756),$V$4:$V$3183,0)),"")</f>
        <v/>
      </c>
      <c r="C759">
        <f>IFERROR(INDEX($P$4:$P$3183,MATCH(SMALL($V$4:$V$3183,756),$V$4:$V$3183,0)),"")</f>
        <v/>
      </c>
      <c r="D759" s="29">
        <f>IFERROR(INDEX($Q$4:$Q$3183,MATCH(SMALL($V$4:$V$3183,756),$V$4:$V$3183,0)),"")</f>
        <v/>
      </c>
      <c r="E759" s="29">
        <f>IFERROR(INDEX($R$4:$R$3183,MATCH(SMALL($V$4:$V$3183,756),$V$4:$V$3183,0)),"")</f>
        <v/>
      </c>
      <c r="F759">
        <f>IFERROR(INDEX($S$4:$S$3183,MATCH(SMALL($V$4:$V$3183,756),$V$4:$V$3183,0)),"")</f>
        <v/>
      </c>
      <c r="I759" s="29">
        <f>IF($B759="","",IFERROR(INDEX($U$4:$U$3183,MATCH(SMALL($V$4:$V$3183,756),$V$4:$V$3183,0)),""))</f>
        <v/>
      </c>
      <c r="J759">
        <f>IF($B759="","",IF($D759&gt;$F$2,"À venir",IF($E759&lt;$D$2,"Passé","Dans la période")))</f>
        <v/>
      </c>
      <c r="K759">
        <f>IF(OR($B759="",NOT(ISNUMBER($D759))),"",IF(AND($E759&lt;$D$2,$G759&lt;&gt;"X",$F759&lt;&gt;"Réalisé",$F759&lt;&gt;"Clôturé"),"RETARD",""))</f>
        <v/>
      </c>
      <c r="L759">
        <f>IF(OR($B759="",NOT(ISNUMBER($D759))),"",IF(AND($D759&gt;=$D$2,$D759&lt;=$H$2,$G759&lt;&gt;"X",$F759&lt;&gt;"Réalisé",$F759&lt;&gt;"Clôturé"),"≤ 7 j",""))</f>
        <v/>
      </c>
      <c r="M759" s="29">
        <f>IF($B759="","",IFERROR(INDEX($T$4:$T$3183,MATCH(SMALL($V$4:$V$3183,756),$V$4:$V$3183,0)),""))</f>
        <v/>
      </c>
      <c r="O759">
        <f>IF(INDEX(Suivi!$B:$B,774)="","",INDEX(Suivi!$B:$B,774))</f>
        <v/>
      </c>
      <c r="P759">
        <f>IF($O759="","",IF(INDEX(Suivi!$D:$D,774)="",INDEX(Suivi!$C:$C,774),INDEX(Suivi!$D:$D,774)))</f>
        <v/>
      </c>
      <c r="Q759">
        <f>IF($O759="","",INDEX(Suivi!$E:$E,774))</f>
        <v/>
      </c>
      <c r="R759">
        <f>IF($O759="","",INDEX(Suivi!$F:$F,774))</f>
        <v/>
      </c>
      <c r="S759">
        <f>IF($O759="","",INDEX(Suivi!$G:$G,774))</f>
        <v/>
      </c>
      <c r="T759">
        <f>IF($O759="","",IF(INDEX(Dossiers!$F$4:$F$63,15)="","",INDEX(Dossiers!$F$4:$F$63,15)))</f>
        <v/>
      </c>
      <c r="U759">
        <f>IF($O759="","",IF(INDEX(Dossiers!$G$4:$G$63,15)="","",INDEX(Dossiers!$G$4:$G$63,15)))</f>
        <v/>
      </c>
      <c r="V759">
        <f>IF(OR($O759="",NOT(ISNUMBER($Q759))),"",$Q759*1000000+759)</f>
        <v/>
      </c>
      <c r="W759" s="29">
        <f>IF($B759="","",IFERROR(INDEX($U$4:$U$3183,MATCH(SMALL($V$4:$V$3183,756),$V$4:$V$3183,0)),""))</f>
        <v/>
      </c>
    </row>
    <row r="760">
      <c r="A760">
        <f>IFERROR(INDEX($N$4:$N$3183,MATCH(SMALL($V$4:$V$3183,757),$V$4:$V$3183,0)),"")</f>
        <v/>
      </c>
      <c r="B760">
        <f>IFERROR(INDEX($O$4:$O$3183,MATCH(SMALL($V$4:$V$3183,757),$V$4:$V$3183,0)),"")</f>
        <v/>
      </c>
      <c r="C760">
        <f>IFERROR(INDEX($P$4:$P$3183,MATCH(SMALL($V$4:$V$3183,757),$V$4:$V$3183,0)),"")</f>
        <v/>
      </c>
      <c r="D760" s="29">
        <f>IFERROR(INDEX($Q$4:$Q$3183,MATCH(SMALL($V$4:$V$3183,757),$V$4:$V$3183,0)),"")</f>
        <v/>
      </c>
      <c r="E760" s="29">
        <f>IFERROR(INDEX($R$4:$R$3183,MATCH(SMALL($V$4:$V$3183,757),$V$4:$V$3183,0)),"")</f>
        <v/>
      </c>
      <c r="F760">
        <f>IFERROR(INDEX($S$4:$S$3183,MATCH(SMALL($V$4:$V$3183,757),$V$4:$V$3183,0)),"")</f>
        <v/>
      </c>
      <c r="I760" s="29">
        <f>IF($B760="","",IFERROR(INDEX($U$4:$U$3183,MATCH(SMALL($V$4:$V$3183,757),$V$4:$V$3183,0)),""))</f>
        <v/>
      </c>
      <c r="J760">
        <f>IF($B760="","",IF($D760&gt;$F$2,"À venir",IF($E760&lt;$D$2,"Passé","Dans la période")))</f>
        <v/>
      </c>
      <c r="K760">
        <f>IF(OR($B760="",NOT(ISNUMBER($D760))),"",IF(AND($E760&lt;$D$2,$G760&lt;&gt;"X",$F760&lt;&gt;"Réalisé",$F760&lt;&gt;"Clôturé"),"RETARD",""))</f>
        <v/>
      </c>
      <c r="L760">
        <f>IF(OR($B760="",NOT(ISNUMBER($D760))),"",IF(AND($D760&gt;=$D$2,$D760&lt;=$H$2,$G760&lt;&gt;"X",$F760&lt;&gt;"Réalisé",$F760&lt;&gt;"Clôturé"),"≤ 7 j",""))</f>
        <v/>
      </c>
      <c r="M760" s="29">
        <f>IF($B760="","",IFERROR(INDEX($T$4:$T$3183,MATCH(SMALL($V$4:$V$3183,757),$V$4:$V$3183,0)),""))</f>
        <v/>
      </c>
      <c r="O760">
        <f>IF(INDEX(Suivi!$B:$B,775)="","",INDEX(Suivi!$B:$B,775))</f>
        <v/>
      </c>
      <c r="P760">
        <f>IF($O760="","",IF(INDEX(Suivi!$D:$D,775)="",INDEX(Suivi!$C:$C,775),INDEX(Suivi!$D:$D,775)))</f>
        <v/>
      </c>
      <c r="Q760">
        <f>IF($O760="","",INDEX(Suivi!$E:$E,775))</f>
        <v/>
      </c>
      <c r="R760">
        <f>IF($O760="","",INDEX(Suivi!$F:$F,775))</f>
        <v/>
      </c>
      <c r="S760">
        <f>IF($O760="","",INDEX(Suivi!$G:$G,775))</f>
        <v/>
      </c>
      <c r="T760">
        <f>IF($O760="","",IF(INDEX(Dossiers!$F$4:$F$63,15)="","",INDEX(Dossiers!$F$4:$F$63,15)))</f>
        <v/>
      </c>
      <c r="U760">
        <f>IF($O760="","",IF(INDEX(Dossiers!$G$4:$G$63,15)="","",INDEX(Dossiers!$G$4:$G$63,15)))</f>
        <v/>
      </c>
      <c r="V760">
        <f>IF(OR($O760="",NOT(ISNUMBER($Q760))),"",$Q760*1000000+760)</f>
        <v/>
      </c>
      <c r="W760" s="29">
        <f>IF($B760="","",IFERROR(INDEX($U$4:$U$3183,MATCH(SMALL($V$4:$V$3183,757),$V$4:$V$3183,0)),""))</f>
        <v/>
      </c>
    </row>
    <row r="761">
      <c r="A761">
        <f>IFERROR(INDEX($N$4:$N$3183,MATCH(SMALL($V$4:$V$3183,758),$V$4:$V$3183,0)),"")</f>
        <v/>
      </c>
      <c r="B761">
        <f>IFERROR(INDEX($O$4:$O$3183,MATCH(SMALL($V$4:$V$3183,758),$V$4:$V$3183,0)),"")</f>
        <v/>
      </c>
      <c r="C761">
        <f>IFERROR(INDEX($P$4:$P$3183,MATCH(SMALL($V$4:$V$3183,758),$V$4:$V$3183,0)),"")</f>
        <v/>
      </c>
      <c r="D761" s="29">
        <f>IFERROR(INDEX($Q$4:$Q$3183,MATCH(SMALL($V$4:$V$3183,758),$V$4:$V$3183,0)),"")</f>
        <v/>
      </c>
      <c r="E761" s="29">
        <f>IFERROR(INDEX($R$4:$R$3183,MATCH(SMALL($V$4:$V$3183,758),$V$4:$V$3183,0)),"")</f>
        <v/>
      </c>
      <c r="F761">
        <f>IFERROR(INDEX($S$4:$S$3183,MATCH(SMALL($V$4:$V$3183,758),$V$4:$V$3183,0)),"")</f>
        <v/>
      </c>
      <c r="I761" s="29">
        <f>IF($B761="","",IFERROR(INDEX($U$4:$U$3183,MATCH(SMALL($V$4:$V$3183,758),$V$4:$V$3183,0)),""))</f>
        <v/>
      </c>
      <c r="J761">
        <f>IF($B761="","",IF($D761&gt;$F$2,"À venir",IF($E761&lt;$D$2,"Passé","Dans la période")))</f>
        <v/>
      </c>
      <c r="K761">
        <f>IF(OR($B761="",NOT(ISNUMBER($D761))),"",IF(AND($E761&lt;$D$2,$G761&lt;&gt;"X",$F761&lt;&gt;"Réalisé",$F761&lt;&gt;"Clôturé"),"RETARD",""))</f>
        <v/>
      </c>
      <c r="L761">
        <f>IF(OR($B761="",NOT(ISNUMBER($D761))),"",IF(AND($D761&gt;=$D$2,$D761&lt;=$H$2,$G761&lt;&gt;"X",$F761&lt;&gt;"Réalisé",$F761&lt;&gt;"Clôturé"),"≤ 7 j",""))</f>
        <v/>
      </c>
      <c r="M761" s="29">
        <f>IF($B761="","",IFERROR(INDEX($T$4:$T$3183,MATCH(SMALL($V$4:$V$3183,758),$V$4:$V$3183,0)),""))</f>
        <v/>
      </c>
      <c r="O761">
        <f>IF(INDEX(Suivi!$B:$B,776)="","",INDEX(Suivi!$B:$B,776))</f>
        <v/>
      </c>
      <c r="P761">
        <f>IF($O761="","",IF(INDEX(Suivi!$D:$D,776)="",INDEX(Suivi!$C:$C,776),INDEX(Suivi!$D:$D,776)))</f>
        <v/>
      </c>
      <c r="Q761">
        <f>IF($O761="","",INDEX(Suivi!$E:$E,776))</f>
        <v/>
      </c>
      <c r="R761">
        <f>IF($O761="","",INDEX(Suivi!$F:$F,776))</f>
        <v/>
      </c>
      <c r="S761">
        <f>IF($O761="","",INDEX(Suivi!$G:$G,776))</f>
        <v/>
      </c>
      <c r="T761">
        <f>IF($O761="","",IF(INDEX(Dossiers!$F$4:$F$63,15)="","",INDEX(Dossiers!$F$4:$F$63,15)))</f>
        <v/>
      </c>
      <c r="U761">
        <f>IF($O761="","",IF(INDEX(Dossiers!$G$4:$G$63,15)="","",INDEX(Dossiers!$G$4:$G$63,15)))</f>
        <v/>
      </c>
      <c r="V761">
        <f>IF(OR($O761="",NOT(ISNUMBER($Q761))),"",$Q761*1000000+761)</f>
        <v/>
      </c>
      <c r="W761" s="29">
        <f>IF($B761="","",IFERROR(INDEX($U$4:$U$3183,MATCH(SMALL($V$4:$V$3183,758),$V$4:$V$3183,0)),""))</f>
        <v/>
      </c>
    </row>
    <row r="762">
      <c r="A762">
        <f>IFERROR(INDEX($N$4:$N$3183,MATCH(SMALL($V$4:$V$3183,759),$V$4:$V$3183,0)),"")</f>
        <v/>
      </c>
      <c r="B762">
        <f>IFERROR(INDEX($O$4:$O$3183,MATCH(SMALL($V$4:$V$3183,759),$V$4:$V$3183,0)),"")</f>
        <v/>
      </c>
      <c r="C762">
        <f>IFERROR(INDEX($P$4:$P$3183,MATCH(SMALL($V$4:$V$3183,759),$V$4:$V$3183,0)),"")</f>
        <v/>
      </c>
      <c r="D762" s="29">
        <f>IFERROR(INDEX($Q$4:$Q$3183,MATCH(SMALL($V$4:$V$3183,759),$V$4:$V$3183,0)),"")</f>
        <v/>
      </c>
      <c r="E762" s="29">
        <f>IFERROR(INDEX($R$4:$R$3183,MATCH(SMALL($V$4:$V$3183,759),$V$4:$V$3183,0)),"")</f>
        <v/>
      </c>
      <c r="F762">
        <f>IFERROR(INDEX($S$4:$S$3183,MATCH(SMALL($V$4:$V$3183,759),$V$4:$V$3183,0)),"")</f>
        <v/>
      </c>
      <c r="I762" s="29">
        <f>IF($B762="","",IFERROR(INDEX($U$4:$U$3183,MATCH(SMALL($V$4:$V$3183,759),$V$4:$V$3183,0)),""))</f>
        <v/>
      </c>
      <c r="J762">
        <f>IF($B762="","",IF($D762&gt;$F$2,"À venir",IF($E762&lt;$D$2,"Passé","Dans la période")))</f>
        <v/>
      </c>
      <c r="K762">
        <f>IF(OR($B762="",NOT(ISNUMBER($D762))),"",IF(AND($E762&lt;$D$2,$G762&lt;&gt;"X",$F762&lt;&gt;"Réalisé",$F762&lt;&gt;"Clôturé"),"RETARD",""))</f>
        <v/>
      </c>
      <c r="L762">
        <f>IF(OR($B762="",NOT(ISNUMBER($D762))),"",IF(AND($D762&gt;=$D$2,$D762&lt;=$H$2,$G762&lt;&gt;"X",$F762&lt;&gt;"Réalisé",$F762&lt;&gt;"Clôturé"),"≤ 7 j",""))</f>
        <v/>
      </c>
      <c r="M762" s="29">
        <f>IF($B762="","",IFERROR(INDEX($T$4:$T$3183,MATCH(SMALL($V$4:$V$3183,759),$V$4:$V$3183,0)),""))</f>
        <v/>
      </c>
      <c r="O762">
        <f>IF(INDEX(Suivi!$B:$B,777)="","",INDEX(Suivi!$B:$B,777))</f>
        <v/>
      </c>
      <c r="P762">
        <f>IF($O762="","",IF(INDEX(Suivi!$D:$D,777)="",INDEX(Suivi!$C:$C,777),INDEX(Suivi!$D:$D,777)))</f>
        <v/>
      </c>
      <c r="Q762">
        <f>IF($O762="","",INDEX(Suivi!$E:$E,777))</f>
        <v/>
      </c>
      <c r="R762">
        <f>IF($O762="","",INDEX(Suivi!$F:$F,777))</f>
        <v/>
      </c>
      <c r="S762">
        <f>IF($O762="","",INDEX(Suivi!$G:$G,777))</f>
        <v/>
      </c>
      <c r="T762">
        <f>IF($O762="","",IF(INDEX(Dossiers!$F$4:$F$63,15)="","",INDEX(Dossiers!$F$4:$F$63,15)))</f>
        <v/>
      </c>
      <c r="U762">
        <f>IF($O762="","",IF(INDEX(Dossiers!$G$4:$G$63,15)="","",INDEX(Dossiers!$G$4:$G$63,15)))</f>
        <v/>
      </c>
      <c r="V762">
        <f>IF(OR($O762="",NOT(ISNUMBER($Q762))),"",$Q762*1000000+762)</f>
        <v/>
      </c>
      <c r="W762" s="29">
        <f>IF($B762="","",IFERROR(INDEX($U$4:$U$3183,MATCH(SMALL($V$4:$V$3183,759),$V$4:$V$3183,0)),""))</f>
        <v/>
      </c>
    </row>
    <row r="763">
      <c r="A763">
        <f>IFERROR(INDEX($N$4:$N$3183,MATCH(SMALL($V$4:$V$3183,760),$V$4:$V$3183,0)),"")</f>
        <v/>
      </c>
      <c r="B763">
        <f>IFERROR(INDEX($O$4:$O$3183,MATCH(SMALL($V$4:$V$3183,760),$V$4:$V$3183,0)),"")</f>
        <v/>
      </c>
      <c r="C763">
        <f>IFERROR(INDEX($P$4:$P$3183,MATCH(SMALL($V$4:$V$3183,760),$V$4:$V$3183,0)),"")</f>
        <v/>
      </c>
      <c r="D763" s="29">
        <f>IFERROR(INDEX($Q$4:$Q$3183,MATCH(SMALL($V$4:$V$3183,760),$V$4:$V$3183,0)),"")</f>
        <v/>
      </c>
      <c r="E763" s="29">
        <f>IFERROR(INDEX($R$4:$R$3183,MATCH(SMALL($V$4:$V$3183,760),$V$4:$V$3183,0)),"")</f>
        <v/>
      </c>
      <c r="F763">
        <f>IFERROR(INDEX($S$4:$S$3183,MATCH(SMALL($V$4:$V$3183,760),$V$4:$V$3183,0)),"")</f>
        <v/>
      </c>
      <c r="I763" s="29">
        <f>IF($B763="","",IFERROR(INDEX($U$4:$U$3183,MATCH(SMALL($V$4:$V$3183,760),$V$4:$V$3183,0)),""))</f>
        <v/>
      </c>
      <c r="J763">
        <f>IF($B763="","",IF($D763&gt;$F$2,"À venir",IF($E763&lt;$D$2,"Passé","Dans la période")))</f>
        <v/>
      </c>
      <c r="K763">
        <f>IF(OR($B763="",NOT(ISNUMBER($D763))),"",IF(AND($E763&lt;$D$2,$G763&lt;&gt;"X",$F763&lt;&gt;"Réalisé",$F763&lt;&gt;"Clôturé"),"RETARD",""))</f>
        <v/>
      </c>
      <c r="L763">
        <f>IF(OR($B763="",NOT(ISNUMBER($D763))),"",IF(AND($D763&gt;=$D$2,$D763&lt;=$H$2,$G763&lt;&gt;"X",$F763&lt;&gt;"Réalisé",$F763&lt;&gt;"Clôturé"),"≤ 7 j",""))</f>
        <v/>
      </c>
      <c r="M763" s="29">
        <f>IF($B763="","",IFERROR(INDEX($T$4:$T$3183,MATCH(SMALL($V$4:$V$3183,760),$V$4:$V$3183,0)),""))</f>
        <v/>
      </c>
      <c r="O763">
        <f>IF(INDEX(Suivi!$B:$B,778)="","",INDEX(Suivi!$B:$B,778))</f>
        <v/>
      </c>
      <c r="P763">
        <f>IF($O763="","",IF(INDEX(Suivi!$D:$D,778)="",INDEX(Suivi!$C:$C,778),INDEX(Suivi!$D:$D,778)))</f>
        <v/>
      </c>
      <c r="Q763">
        <f>IF($O763="","",INDEX(Suivi!$E:$E,778))</f>
        <v/>
      </c>
      <c r="R763">
        <f>IF($O763="","",INDEX(Suivi!$F:$F,778))</f>
        <v/>
      </c>
      <c r="S763">
        <f>IF($O763="","",INDEX(Suivi!$G:$G,778))</f>
        <v/>
      </c>
      <c r="T763">
        <f>IF($O763="","",IF(INDEX(Dossiers!$F$4:$F$63,15)="","",INDEX(Dossiers!$F$4:$F$63,15)))</f>
        <v/>
      </c>
      <c r="U763">
        <f>IF($O763="","",IF(INDEX(Dossiers!$G$4:$G$63,15)="","",INDEX(Dossiers!$G$4:$G$63,15)))</f>
        <v/>
      </c>
      <c r="V763">
        <f>IF(OR($O763="",NOT(ISNUMBER($Q763))),"",$Q763*1000000+763)</f>
        <v/>
      </c>
      <c r="W763" s="29">
        <f>IF($B763="","",IFERROR(INDEX($U$4:$U$3183,MATCH(SMALL($V$4:$V$3183,760),$V$4:$V$3183,0)),""))</f>
        <v/>
      </c>
    </row>
    <row r="764">
      <c r="A764">
        <f>IFERROR(INDEX($N$4:$N$3183,MATCH(SMALL($V$4:$V$3183,761),$V$4:$V$3183,0)),"")</f>
        <v/>
      </c>
      <c r="B764">
        <f>IFERROR(INDEX($O$4:$O$3183,MATCH(SMALL($V$4:$V$3183,761),$V$4:$V$3183,0)),"")</f>
        <v/>
      </c>
      <c r="C764">
        <f>IFERROR(INDEX($P$4:$P$3183,MATCH(SMALL($V$4:$V$3183,761),$V$4:$V$3183,0)),"")</f>
        <v/>
      </c>
      <c r="D764" s="29">
        <f>IFERROR(INDEX($Q$4:$Q$3183,MATCH(SMALL($V$4:$V$3183,761),$V$4:$V$3183,0)),"")</f>
        <v/>
      </c>
      <c r="E764" s="29">
        <f>IFERROR(INDEX($R$4:$R$3183,MATCH(SMALL($V$4:$V$3183,761),$V$4:$V$3183,0)),"")</f>
        <v/>
      </c>
      <c r="F764">
        <f>IFERROR(INDEX($S$4:$S$3183,MATCH(SMALL($V$4:$V$3183,761),$V$4:$V$3183,0)),"")</f>
        <v/>
      </c>
      <c r="I764" s="29">
        <f>IF($B764="","",IFERROR(INDEX($U$4:$U$3183,MATCH(SMALL($V$4:$V$3183,761),$V$4:$V$3183,0)),""))</f>
        <v/>
      </c>
      <c r="J764">
        <f>IF($B764="","",IF($D764&gt;$F$2,"À venir",IF($E764&lt;$D$2,"Passé","Dans la période")))</f>
        <v/>
      </c>
      <c r="K764">
        <f>IF(OR($B764="",NOT(ISNUMBER($D764))),"",IF(AND($E764&lt;$D$2,$G764&lt;&gt;"X",$F764&lt;&gt;"Réalisé",$F764&lt;&gt;"Clôturé"),"RETARD",""))</f>
        <v/>
      </c>
      <c r="L764">
        <f>IF(OR($B764="",NOT(ISNUMBER($D764))),"",IF(AND($D764&gt;=$D$2,$D764&lt;=$H$2,$G764&lt;&gt;"X",$F764&lt;&gt;"Réalisé",$F764&lt;&gt;"Clôturé"),"≤ 7 j",""))</f>
        <v/>
      </c>
      <c r="M764" s="29">
        <f>IF($B764="","",IFERROR(INDEX($T$4:$T$3183,MATCH(SMALL($V$4:$V$3183,761),$V$4:$V$3183,0)),""))</f>
        <v/>
      </c>
      <c r="O764">
        <f>IF(INDEX(Suivi!$B:$B,779)="","",INDEX(Suivi!$B:$B,779))</f>
        <v/>
      </c>
      <c r="P764">
        <f>IF($O764="","",IF(INDEX(Suivi!$D:$D,779)="",INDEX(Suivi!$C:$C,779),INDEX(Suivi!$D:$D,779)))</f>
        <v/>
      </c>
      <c r="Q764">
        <f>IF($O764="","",INDEX(Suivi!$E:$E,779))</f>
        <v/>
      </c>
      <c r="R764">
        <f>IF($O764="","",INDEX(Suivi!$F:$F,779))</f>
        <v/>
      </c>
      <c r="S764">
        <f>IF($O764="","",INDEX(Suivi!$G:$G,779))</f>
        <v/>
      </c>
      <c r="T764">
        <f>IF($O764="","",IF(INDEX(Dossiers!$F$4:$F$63,15)="","",INDEX(Dossiers!$F$4:$F$63,15)))</f>
        <v/>
      </c>
      <c r="U764">
        <f>IF($O764="","",IF(INDEX(Dossiers!$G$4:$G$63,15)="","",INDEX(Dossiers!$G$4:$G$63,15)))</f>
        <v/>
      </c>
      <c r="V764">
        <f>IF(OR($O764="",NOT(ISNUMBER($Q764))),"",$Q764*1000000+764)</f>
        <v/>
      </c>
      <c r="W764" s="29">
        <f>IF($B764="","",IFERROR(INDEX($U$4:$U$3183,MATCH(SMALL($V$4:$V$3183,761),$V$4:$V$3183,0)),""))</f>
        <v/>
      </c>
    </row>
    <row r="765">
      <c r="A765">
        <f>IFERROR(INDEX($N$4:$N$3183,MATCH(SMALL($V$4:$V$3183,762),$V$4:$V$3183,0)),"")</f>
        <v/>
      </c>
      <c r="B765">
        <f>IFERROR(INDEX($O$4:$O$3183,MATCH(SMALL($V$4:$V$3183,762),$V$4:$V$3183,0)),"")</f>
        <v/>
      </c>
      <c r="C765">
        <f>IFERROR(INDEX($P$4:$P$3183,MATCH(SMALL($V$4:$V$3183,762),$V$4:$V$3183,0)),"")</f>
        <v/>
      </c>
      <c r="D765" s="29">
        <f>IFERROR(INDEX($Q$4:$Q$3183,MATCH(SMALL($V$4:$V$3183,762),$V$4:$V$3183,0)),"")</f>
        <v/>
      </c>
      <c r="E765" s="29">
        <f>IFERROR(INDEX($R$4:$R$3183,MATCH(SMALL($V$4:$V$3183,762),$V$4:$V$3183,0)),"")</f>
        <v/>
      </c>
      <c r="F765">
        <f>IFERROR(INDEX($S$4:$S$3183,MATCH(SMALL($V$4:$V$3183,762),$V$4:$V$3183,0)),"")</f>
        <v/>
      </c>
      <c r="I765" s="29">
        <f>IF($B765="","",IFERROR(INDEX($U$4:$U$3183,MATCH(SMALL($V$4:$V$3183,762),$V$4:$V$3183,0)),""))</f>
        <v/>
      </c>
      <c r="J765">
        <f>IF($B765="","",IF($D765&gt;$F$2,"À venir",IF($E765&lt;$D$2,"Passé","Dans la période")))</f>
        <v/>
      </c>
      <c r="K765">
        <f>IF(OR($B765="",NOT(ISNUMBER($D765))),"",IF(AND($E765&lt;$D$2,$G765&lt;&gt;"X",$F765&lt;&gt;"Réalisé",$F765&lt;&gt;"Clôturé"),"RETARD",""))</f>
        <v/>
      </c>
      <c r="L765">
        <f>IF(OR($B765="",NOT(ISNUMBER($D765))),"",IF(AND($D765&gt;=$D$2,$D765&lt;=$H$2,$G765&lt;&gt;"X",$F765&lt;&gt;"Réalisé",$F765&lt;&gt;"Clôturé"),"≤ 7 j",""))</f>
        <v/>
      </c>
      <c r="M765" s="29">
        <f>IF($B765="","",IFERROR(INDEX($T$4:$T$3183,MATCH(SMALL($V$4:$V$3183,762),$V$4:$V$3183,0)),""))</f>
        <v/>
      </c>
      <c r="O765">
        <f>IF(INDEX(Suivi!$B:$B,780)="","",INDEX(Suivi!$B:$B,780))</f>
        <v/>
      </c>
      <c r="P765">
        <f>IF($O765="","",IF(INDEX(Suivi!$D:$D,780)="",INDEX(Suivi!$C:$C,780),INDEX(Suivi!$D:$D,780)))</f>
        <v/>
      </c>
      <c r="Q765">
        <f>IF($O765="","",INDEX(Suivi!$E:$E,780))</f>
        <v/>
      </c>
      <c r="R765">
        <f>IF($O765="","",INDEX(Suivi!$F:$F,780))</f>
        <v/>
      </c>
      <c r="S765">
        <f>IF($O765="","",INDEX(Suivi!$G:$G,780))</f>
        <v/>
      </c>
      <c r="T765">
        <f>IF($O765="","",IF(INDEX(Dossiers!$F$4:$F$63,15)="","",INDEX(Dossiers!$F$4:$F$63,15)))</f>
        <v/>
      </c>
      <c r="U765">
        <f>IF($O765="","",IF(INDEX(Dossiers!$G$4:$G$63,15)="","",INDEX(Dossiers!$G$4:$G$63,15)))</f>
        <v/>
      </c>
      <c r="V765">
        <f>IF(OR($O765="",NOT(ISNUMBER($Q765))),"",$Q765*1000000+765)</f>
        <v/>
      </c>
      <c r="W765" s="29">
        <f>IF($B765="","",IFERROR(INDEX($U$4:$U$3183,MATCH(SMALL($V$4:$V$3183,762),$V$4:$V$3183,0)),""))</f>
        <v/>
      </c>
    </row>
    <row r="766">
      <c r="A766">
        <f>IFERROR(INDEX($N$4:$N$3183,MATCH(SMALL($V$4:$V$3183,763),$V$4:$V$3183,0)),"")</f>
        <v/>
      </c>
      <c r="B766">
        <f>IFERROR(INDEX($O$4:$O$3183,MATCH(SMALL($V$4:$V$3183,763),$V$4:$V$3183,0)),"")</f>
        <v/>
      </c>
      <c r="C766">
        <f>IFERROR(INDEX($P$4:$P$3183,MATCH(SMALL($V$4:$V$3183,763),$V$4:$V$3183,0)),"")</f>
        <v/>
      </c>
      <c r="D766" s="29">
        <f>IFERROR(INDEX($Q$4:$Q$3183,MATCH(SMALL($V$4:$V$3183,763),$V$4:$V$3183,0)),"")</f>
        <v/>
      </c>
      <c r="E766" s="29">
        <f>IFERROR(INDEX($R$4:$R$3183,MATCH(SMALL($V$4:$V$3183,763),$V$4:$V$3183,0)),"")</f>
        <v/>
      </c>
      <c r="F766">
        <f>IFERROR(INDEX($S$4:$S$3183,MATCH(SMALL($V$4:$V$3183,763),$V$4:$V$3183,0)),"")</f>
        <v/>
      </c>
      <c r="I766" s="29">
        <f>IF($B766="","",IFERROR(INDEX($U$4:$U$3183,MATCH(SMALL($V$4:$V$3183,763),$V$4:$V$3183,0)),""))</f>
        <v/>
      </c>
      <c r="J766">
        <f>IF($B766="","",IF($D766&gt;$F$2,"À venir",IF($E766&lt;$D$2,"Passé","Dans la période")))</f>
        <v/>
      </c>
      <c r="K766">
        <f>IF(OR($B766="",NOT(ISNUMBER($D766))),"",IF(AND($E766&lt;$D$2,$G766&lt;&gt;"X",$F766&lt;&gt;"Réalisé",$F766&lt;&gt;"Clôturé"),"RETARD",""))</f>
        <v/>
      </c>
      <c r="L766">
        <f>IF(OR($B766="",NOT(ISNUMBER($D766))),"",IF(AND($D766&gt;=$D$2,$D766&lt;=$H$2,$G766&lt;&gt;"X",$F766&lt;&gt;"Réalisé",$F766&lt;&gt;"Clôturé"),"≤ 7 j",""))</f>
        <v/>
      </c>
      <c r="M766" s="29">
        <f>IF($B766="","",IFERROR(INDEX($T$4:$T$3183,MATCH(SMALL($V$4:$V$3183,763),$V$4:$V$3183,0)),""))</f>
        <v/>
      </c>
      <c r="O766">
        <f>IF(INDEX(Suivi!$B:$B,781)="","",INDEX(Suivi!$B:$B,781))</f>
        <v/>
      </c>
      <c r="P766">
        <f>IF($O766="","",IF(INDEX(Suivi!$D:$D,781)="",INDEX(Suivi!$C:$C,781),INDEX(Suivi!$D:$D,781)))</f>
        <v/>
      </c>
      <c r="Q766">
        <f>IF($O766="","",INDEX(Suivi!$E:$E,781))</f>
        <v/>
      </c>
      <c r="R766">
        <f>IF($O766="","",INDEX(Suivi!$F:$F,781))</f>
        <v/>
      </c>
      <c r="S766">
        <f>IF($O766="","",INDEX(Suivi!$G:$G,781))</f>
        <v/>
      </c>
      <c r="T766">
        <f>IF($O766="","",IF(INDEX(Dossiers!$F$4:$F$63,15)="","",INDEX(Dossiers!$F$4:$F$63,15)))</f>
        <v/>
      </c>
      <c r="U766">
        <f>IF($O766="","",IF(INDEX(Dossiers!$G$4:$G$63,15)="","",INDEX(Dossiers!$G$4:$G$63,15)))</f>
        <v/>
      </c>
      <c r="V766">
        <f>IF(OR($O766="",NOT(ISNUMBER($Q766))),"",$Q766*1000000+766)</f>
        <v/>
      </c>
      <c r="W766" s="29">
        <f>IF($B766="","",IFERROR(INDEX($U$4:$U$3183,MATCH(SMALL($V$4:$V$3183,763),$V$4:$V$3183,0)),""))</f>
        <v/>
      </c>
    </row>
    <row r="767">
      <c r="A767">
        <f>IFERROR(INDEX($N$4:$N$3183,MATCH(SMALL($V$4:$V$3183,764),$V$4:$V$3183,0)),"")</f>
        <v/>
      </c>
      <c r="B767">
        <f>IFERROR(INDEX($O$4:$O$3183,MATCH(SMALL($V$4:$V$3183,764),$V$4:$V$3183,0)),"")</f>
        <v/>
      </c>
      <c r="C767">
        <f>IFERROR(INDEX($P$4:$P$3183,MATCH(SMALL($V$4:$V$3183,764),$V$4:$V$3183,0)),"")</f>
        <v/>
      </c>
      <c r="D767" s="29">
        <f>IFERROR(INDEX($Q$4:$Q$3183,MATCH(SMALL($V$4:$V$3183,764),$V$4:$V$3183,0)),"")</f>
        <v/>
      </c>
      <c r="E767" s="29">
        <f>IFERROR(INDEX($R$4:$R$3183,MATCH(SMALL($V$4:$V$3183,764),$V$4:$V$3183,0)),"")</f>
        <v/>
      </c>
      <c r="F767">
        <f>IFERROR(INDEX($S$4:$S$3183,MATCH(SMALL($V$4:$V$3183,764),$V$4:$V$3183,0)),"")</f>
        <v/>
      </c>
      <c r="I767" s="29">
        <f>IF($B767="","",IFERROR(INDEX($U$4:$U$3183,MATCH(SMALL($V$4:$V$3183,764),$V$4:$V$3183,0)),""))</f>
        <v/>
      </c>
      <c r="J767">
        <f>IF($B767="","",IF($D767&gt;$F$2,"À venir",IF($E767&lt;$D$2,"Passé","Dans la période")))</f>
        <v/>
      </c>
      <c r="K767">
        <f>IF(OR($B767="",NOT(ISNUMBER($D767))),"",IF(AND($E767&lt;$D$2,$G767&lt;&gt;"X",$F767&lt;&gt;"Réalisé",$F767&lt;&gt;"Clôturé"),"RETARD",""))</f>
        <v/>
      </c>
      <c r="L767">
        <f>IF(OR($B767="",NOT(ISNUMBER($D767))),"",IF(AND($D767&gt;=$D$2,$D767&lt;=$H$2,$G767&lt;&gt;"X",$F767&lt;&gt;"Réalisé",$F767&lt;&gt;"Clôturé"),"≤ 7 j",""))</f>
        <v/>
      </c>
      <c r="M767" s="29">
        <f>IF($B767="","",IFERROR(INDEX($T$4:$T$3183,MATCH(SMALL($V$4:$V$3183,764),$V$4:$V$3183,0)),""))</f>
        <v/>
      </c>
      <c r="O767">
        <f>IF(INDEX(Suivi!$B:$B,782)="","",INDEX(Suivi!$B:$B,782))</f>
        <v/>
      </c>
      <c r="P767">
        <f>IF($O767="","",IF(INDEX(Suivi!$D:$D,782)="",INDEX(Suivi!$C:$C,782),INDEX(Suivi!$D:$D,782)))</f>
        <v/>
      </c>
      <c r="Q767">
        <f>IF($O767="","",INDEX(Suivi!$E:$E,782))</f>
        <v/>
      </c>
      <c r="R767">
        <f>IF($O767="","",INDEX(Suivi!$F:$F,782))</f>
        <v/>
      </c>
      <c r="S767">
        <f>IF($O767="","",INDEX(Suivi!$G:$G,782))</f>
        <v/>
      </c>
      <c r="T767">
        <f>IF($O767="","",IF(INDEX(Dossiers!$F$4:$F$63,15)="","",INDEX(Dossiers!$F$4:$F$63,15)))</f>
        <v/>
      </c>
      <c r="U767">
        <f>IF($O767="","",IF(INDEX(Dossiers!$G$4:$G$63,15)="","",INDEX(Dossiers!$G$4:$G$63,15)))</f>
        <v/>
      </c>
      <c r="V767">
        <f>IF(OR($O767="",NOT(ISNUMBER($Q767))),"",$Q767*1000000+767)</f>
        <v/>
      </c>
      <c r="W767" s="29">
        <f>IF($B767="","",IFERROR(INDEX($U$4:$U$3183,MATCH(SMALL($V$4:$V$3183,764),$V$4:$V$3183,0)),""))</f>
        <v/>
      </c>
    </row>
    <row r="768">
      <c r="A768">
        <f>IFERROR(INDEX($N$4:$N$3183,MATCH(SMALL($V$4:$V$3183,765),$V$4:$V$3183,0)),"")</f>
        <v/>
      </c>
      <c r="B768">
        <f>IFERROR(INDEX($O$4:$O$3183,MATCH(SMALL($V$4:$V$3183,765),$V$4:$V$3183,0)),"")</f>
        <v/>
      </c>
      <c r="C768">
        <f>IFERROR(INDEX($P$4:$P$3183,MATCH(SMALL($V$4:$V$3183,765),$V$4:$V$3183,0)),"")</f>
        <v/>
      </c>
      <c r="D768" s="29">
        <f>IFERROR(INDEX($Q$4:$Q$3183,MATCH(SMALL($V$4:$V$3183,765),$V$4:$V$3183,0)),"")</f>
        <v/>
      </c>
      <c r="E768" s="29">
        <f>IFERROR(INDEX($R$4:$R$3183,MATCH(SMALL($V$4:$V$3183,765),$V$4:$V$3183,0)),"")</f>
        <v/>
      </c>
      <c r="F768">
        <f>IFERROR(INDEX($S$4:$S$3183,MATCH(SMALL($V$4:$V$3183,765),$V$4:$V$3183,0)),"")</f>
        <v/>
      </c>
      <c r="I768" s="29">
        <f>IF($B768="","",IFERROR(INDEX($U$4:$U$3183,MATCH(SMALL($V$4:$V$3183,765),$V$4:$V$3183,0)),""))</f>
        <v/>
      </c>
      <c r="J768">
        <f>IF($B768="","",IF($D768&gt;$F$2,"À venir",IF($E768&lt;$D$2,"Passé","Dans la période")))</f>
        <v/>
      </c>
      <c r="K768">
        <f>IF(OR($B768="",NOT(ISNUMBER($D768))),"",IF(AND($E768&lt;$D$2,$G768&lt;&gt;"X",$F768&lt;&gt;"Réalisé",$F768&lt;&gt;"Clôturé"),"RETARD",""))</f>
        <v/>
      </c>
      <c r="L768">
        <f>IF(OR($B768="",NOT(ISNUMBER($D768))),"",IF(AND($D768&gt;=$D$2,$D768&lt;=$H$2,$G768&lt;&gt;"X",$F768&lt;&gt;"Réalisé",$F768&lt;&gt;"Clôturé"),"≤ 7 j",""))</f>
        <v/>
      </c>
      <c r="M768" s="29">
        <f>IF($B768="","",IFERROR(INDEX($T$4:$T$3183,MATCH(SMALL($V$4:$V$3183,765),$V$4:$V$3183,0)),""))</f>
        <v/>
      </c>
      <c r="O768">
        <f>IF(INDEX(Suivi!$B:$B,783)="","",INDEX(Suivi!$B:$B,783))</f>
        <v/>
      </c>
      <c r="P768">
        <f>IF($O768="","",IF(INDEX(Suivi!$D:$D,783)="",INDEX(Suivi!$C:$C,783),INDEX(Suivi!$D:$D,783)))</f>
        <v/>
      </c>
      <c r="Q768">
        <f>IF($O768="","",INDEX(Suivi!$E:$E,783))</f>
        <v/>
      </c>
      <c r="R768">
        <f>IF($O768="","",INDEX(Suivi!$F:$F,783))</f>
        <v/>
      </c>
      <c r="S768">
        <f>IF($O768="","",INDEX(Suivi!$G:$G,783))</f>
        <v/>
      </c>
      <c r="T768">
        <f>IF($O768="","",IF(INDEX(Dossiers!$F$4:$F$63,15)="","",INDEX(Dossiers!$F$4:$F$63,15)))</f>
        <v/>
      </c>
      <c r="U768">
        <f>IF($O768="","",IF(INDEX(Dossiers!$G$4:$G$63,15)="","",INDEX(Dossiers!$G$4:$G$63,15)))</f>
        <v/>
      </c>
      <c r="V768">
        <f>IF(OR($O768="",NOT(ISNUMBER($Q768))),"",$Q768*1000000+768)</f>
        <v/>
      </c>
      <c r="W768" s="29">
        <f>IF($B768="","",IFERROR(INDEX($U$4:$U$3183,MATCH(SMALL($V$4:$V$3183,765),$V$4:$V$3183,0)),""))</f>
        <v/>
      </c>
    </row>
    <row r="769">
      <c r="A769">
        <f>IFERROR(INDEX($N$4:$N$3183,MATCH(SMALL($V$4:$V$3183,766),$V$4:$V$3183,0)),"")</f>
        <v/>
      </c>
      <c r="B769">
        <f>IFERROR(INDEX($O$4:$O$3183,MATCH(SMALL($V$4:$V$3183,766),$V$4:$V$3183,0)),"")</f>
        <v/>
      </c>
      <c r="C769">
        <f>IFERROR(INDEX($P$4:$P$3183,MATCH(SMALL($V$4:$V$3183,766),$V$4:$V$3183,0)),"")</f>
        <v/>
      </c>
      <c r="D769" s="29">
        <f>IFERROR(INDEX($Q$4:$Q$3183,MATCH(SMALL($V$4:$V$3183,766),$V$4:$V$3183,0)),"")</f>
        <v/>
      </c>
      <c r="E769" s="29">
        <f>IFERROR(INDEX($R$4:$R$3183,MATCH(SMALL($V$4:$V$3183,766),$V$4:$V$3183,0)),"")</f>
        <v/>
      </c>
      <c r="F769">
        <f>IFERROR(INDEX($S$4:$S$3183,MATCH(SMALL($V$4:$V$3183,766),$V$4:$V$3183,0)),"")</f>
        <v/>
      </c>
      <c r="I769" s="29">
        <f>IF($B769="","",IFERROR(INDEX($U$4:$U$3183,MATCH(SMALL($V$4:$V$3183,766),$V$4:$V$3183,0)),""))</f>
        <v/>
      </c>
      <c r="J769">
        <f>IF($B769="","",IF($D769&gt;$F$2,"À venir",IF($E769&lt;$D$2,"Passé","Dans la période")))</f>
        <v/>
      </c>
      <c r="K769">
        <f>IF(OR($B769="",NOT(ISNUMBER($D769))),"",IF(AND($E769&lt;$D$2,$G769&lt;&gt;"X",$F769&lt;&gt;"Réalisé",$F769&lt;&gt;"Clôturé"),"RETARD",""))</f>
        <v/>
      </c>
      <c r="L769">
        <f>IF(OR($B769="",NOT(ISNUMBER($D769))),"",IF(AND($D769&gt;=$D$2,$D769&lt;=$H$2,$G769&lt;&gt;"X",$F769&lt;&gt;"Réalisé",$F769&lt;&gt;"Clôturé"),"≤ 7 j",""))</f>
        <v/>
      </c>
      <c r="M769" s="29">
        <f>IF($B769="","",IFERROR(INDEX($T$4:$T$3183,MATCH(SMALL($V$4:$V$3183,766),$V$4:$V$3183,0)),""))</f>
        <v/>
      </c>
      <c r="O769">
        <f>IF(INDEX(Suivi!$B:$B,784)="","",INDEX(Suivi!$B:$B,784))</f>
        <v/>
      </c>
      <c r="P769">
        <f>IF($O769="","",IF(INDEX(Suivi!$D:$D,784)="",INDEX(Suivi!$C:$C,784),INDEX(Suivi!$D:$D,784)))</f>
        <v/>
      </c>
      <c r="Q769">
        <f>IF($O769="","",INDEX(Suivi!$E:$E,784))</f>
        <v/>
      </c>
      <c r="R769">
        <f>IF($O769="","",INDEX(Suivi!$F:$F,784))</f>
        <v/>
      </c>
      <c r="S769">
        <f>IF($O769="","",INDEX(Suivi!$G:$G,784))</f>
        <v/>
      </c>
      <c r="T769">
        <f>IF($O769="","",IF(INDEX(Dossiers!$F$4:$F$63,15)="","",INDEX(Dossiers!$F$4:$F$63,15)))</f>
        <v/>
      </c>
      <c r="U769">
        <f>IF($O769="","",IF(INDEX(Dossiers!$G$4:$G$63,15)="","",INDEX(Dossiers!$G$4:$G$63,15)))</f>
        <v/>
      </c>
      <c r="V769">
        <f>IF(OR($O769="",NOT(ISNUMBER($Q769))),"",$Q769*1000000+769)</f>
        <v/>
      </c>
      <c r="W769" s="29">
        <f>IF($B769="","",IFERROR(INDEX($U$4:$U$3183,MATCH(SMALL($V$4:$V$3183,766),$V$4:$V$3183,0)),""))</f>
        <v/>
      </c>
    </row>
    <row r="770">
      <c r="A770">
        <f>IFERROR(INDEX($N$4:$N$3183,MATCH(SMALL($V$4:$V$3183,767),$V$4:$V$3183,0)),"")</f>
        <v/>
      </c>
      <c r="B770">
        <f>IFERROR(INDEX($O$4:$O$3183,MATCH(SMALL($V$4:$V$3183,767),$V$4:$V$3183,0)),"")</f>
        <v/>
      </c>
      <c r="C770">
        <f>IFERROR(INDEX($P$4:$P$3183,MATCH(SMALL($V$4:$V$3183,767),$V$4:$V$3183,0)),"")</f>
        <v/>
      </c>
      <c r="D770" s="29">
        <f>IFERROR(INDEX($Q$4:$Q$3183,MATCH(SMALL($V$4:$V$3183,767),$V$4:$V$3183,0)),"")</f>
        <v/>
      </c>
      <c r="E770" s="29">
        <f>IFERROR(INDEX($R$4:$R$3183,MATCH(SMALL($V$4:$V$3183,767),$V$4:$V$3183,0)),"")</f>
        <v/>
      </c>
      <c r="F770">
        <f>IFERROR(INDEX($S$4:$S$3183,MATCH(SMALL($V$4:$V$3183,767),$V$4:$V$3183,0)),"")</f>
        <v/>
      </c>
      <c r="I770" s="29">
        <f>IF($B770="","",IFERROR(INDEX($U$4:$U$3183,MATCH(SMALL($V$4:$V$3183,767),$V$4:$V$3183,0)),""))</f>
        <v/>
      </c>
      <c r="J770">
        <f>IF($B770="","",IF($D770&gt;$F$2,"À venir",IF($E770&lt;$D$2,"Passé","Dans la période")))</f>
        <v/>
      </c>
      <c r="K770">
        <f>IF(OR($B770="",NOT(ISNUMBER($D770))),"",IF(AND($E770&lt;$D$2,$G770&lt;&gt;"X",$F770&lt;&gt;"Réalisé",$F770&lt;&gt;"Clôturé"),"RETARD",""))</f>
        <v/>
      </c>
      <c r="L770">
        <f>IF(OR($B770="",NOT(ISNUMBER($D770))),"",IF(AND($D770&gt;=$D$2,$D770&lt;=$H$2,$G770&lt;&gt;"X",$F770&lt;&gt;"Réalisé",$F770&lt;&gt;"Clôturé"),"≤ 7 j",""))</f>
        <v/>
      </c>
      <c r="M770" s="29">
        <f>IF($B770="","",IFERROR(INDEX($T$4:$T$3183,MATCH(SMALL($V$4:$V$3183,767),$V$4:$V$3183,0)),""))</f>
        <v/>
      </c>
      <c r="O770">
        <f>IF(INDEX(Suivi!$B:$B,785)="","",INDEX(Suivi!$B:$B,785))</f>
        <v/>
      </c>
      <c r="P770">
        <f>IF($O770="","",IF(INDEX(Suivi!$D:$D,785)="",INDEX(Suivi!$C:$C,785),INDEX(Suivi!$D:$D,785)))</f>
        <v/>
      </c>
      <c r="Q770">
        <f>IF($O770="","",INDEX(Suivi!$E:$E,785))</f>
        <v/>
      </c>
      <c r="R770">
        <f>IF($O770="","",INDEX(Suivi!$F:$F,785))</f>
        <v/>
      </c>
      <c r="S770">
        <f>IF($O770="","",INDEX(Suivi!$G:$G,785))</f>
        <v/>
      </c>
      <c r="T770">
        <f>IF($O770="","",IF(INDEX(Dossiers!$F$4:$F$63,15)="","",INDEX(Dossiers!$F$4:$F$63,15)))</f>
        <v/>
      </c>
      <c r="U770">
        <f>IF($O770="","",IF(INDEX(Dossiers!$G$4:$G$63,15)="","",INDEX(Dossiers!$G$4:$G$63,15)))</f>
        <v/>
      </c>
      <c r="V770">
        <f>IF(OR($O770="",NOT(ISNUMBER($Q770))),"",$Q770*1000000+770)</f>
        <v/>
      </c>
      <c r="W770" s="29">
        <f>IF($B770="","",IFERROR(INDEX($U$4:$U$3183,MATCH(SMALL($V$4:$V$3183,767),$V$4:$V$3183,0)),""))</f>
        <v/>
      </c>
    </row>
    <row r="771">
      <c r="A771">
        <f>IFERROR(INDEX($N$4:$N$3183,MATCH(SMALL($V$4:$V$3183,768),$V$4:$V$3183,0)),"")</f>
        <v/>
      </c>
      <c r="B771">
        <f>IFERROR(INDEX($O$4:$O$3183,MATCH(SMALL($V$4:$V$3183,768),$V$4:$V$3183,0)),"")</f>
        <v/>
      </c>
      <c r="C771">
        <f>IFERROR(INDEX($P$4:$P$3183,MATCH(SMALL($V$4:$V$3183,768),$V$4:$V$3183,0)),"")</f>
        <v/>
      </c>
      <c r="D771" s="29">
        <f>IFERROR(INDEX($Q$4:$Q$3183,MATCH(SMALL($V$4:$V$3183,768),$V$4:$V$3183,0)),"")</f>
        <v/>
      </c>
      <c r="E771" s="29">
        <f>IFERROR(INDEX($R$4:$R$3183,MATCH(SMALL($V$4:$V$3183,768),$V$4:$V$3183,0)),"")</f>
        <v/>
      </c>
      <c r="F771">
        <f>IFERROR(INDEX($S$4:$S$3183,MATCH(SMALL($V$4:$V$3183,768),$V$4:$V$3183,0)),"")</f>
        <v/>
      </c>
      <c r="I771" s="29">
        <f>IF($B771="","",IFERROR(INDEX($U$4:$U$3183,MATCH(SMALL($V$4:$V$3183,768),$V$4:$V$3183,0)),""))</f>
        <v/>
      </c>
      <c r="J771">
        <f>IF($B771="","",IF($D771&gt;$F$2,"À venir",IF($E771&lt;$D$2,"Passé","Dans la période")))</f>
        <v/>
      </c>
      <c r="K771">
        <f>IF(OR($B771="",NOT(ISNUMBER($D771))),"",IF(AND($E771&lt;$D$2,$G771&lt;&gt;"X",$F771&lt;&gt;"Réalisé",$F771&lt;&gt;"Clôturé"),"RETARD",""))</f>
        <v/>
      </c>
      <c r="L771">
        <f>IF(OR($B771="",NOT(ISNUMBER($D771))),"",IF(AND($D771&gt;=$D$2,$D771&lt;=$H$2,$G771&lt;&gt;"X",$F771&lt;&gt;"Réalisé",$F771&lt;&gt;"Clôturé"),"≤ 7 j",""))</f>
        <v/>
      </c>
      <c r="M771" s="29">
        <f>IF($B771="","",IFERROR(INDEX($T$4:$T$3183,MATCH(SMALL($V$4:$V$3183,768),$V$4:$V$3183,0)),""))</f>
        <v/>
      </c>
      <c r="O771">
        <f>IF(INDEX(Suivi!$B:$B,786)="","",INDEX(Suivi!$B:$B,786))</f>
        <v/>
      </c>
      <c r="P771">
        <f>IF($O771="","",IF(INDEX(Suivi!$D:$D,786)="",INDEX(Suivi!$C:$C,786),INDEX(Suivi!$D:$D,786)))</f>
        <v/>
      </c>
      <c r="Q771">
        <f>IF($O771="","",INDEX(Suivi!$E:$E,786))</f>
        <v/>
      </c>
      <c r="R771">
        <f>IF($O771="","",INDEX(Suivi!$F:$F,786))</f>
        <v/>
      </c>
      <c r="S771">
        <f>IF($O771="","",INDEX(Suivi!$G:$G,786))</f>
        <v/>
      </c>
      <c r="T771">
        <f>IF($O771="","",IF(INDEX(Dossiers!$F$4:$F$63,15)="","",INDEX(Dossiers!$F$4:$F$63,15)))</f>
        <v/>
      </c>
      <c r="U771">
        <f>IF($O771="","",IF(INDEX(Dossiers!$G$4:$G$63,15)="","",INDEX(Dossiers!$G$4:$G$63,15)))</f>
        <v/>
      </c>
      <c r="V771">
        <f>IF(OR($O771="",NOT(ISNUMBER($Q771))),"",$Q771*1000000+771)</f>
        <v/>
      </c>
      <c r="W771" s="29">
        <f>IF($B771="","",IFERROR(INDEX($U$4:$U$3183,MATCH(SMALL($V$4:$V$3183,768),$V$4:$V$3183,0)),""))</f>
        <v/>
      </c>
    </row>
    <row r="772">
      <c r="A772">
        <f>IFERROR(INDEX($N$4:$N$3183,MATCH(SMALL($V$4:$V$3183,769),$V$4:$V$3183,0)),"")</f>
        <v/>
      </c>
      <c r="B772">
        <f>IFERROR(INDEX($O$4:$O$3183,MATCH(SMALL($V$4:$V$3183,769),$V$4:$V$3183,0)),"")</f>
        <v/>
      </c>
      <c r="C772">
        <f>IFERROR(INDEX($P$4:$P$3183,MATCH(SMALL($V$4:$V$3183,769),$V$4:$V$3183,0)),"")</f>
        <v/>
      </c>
      <c r="D772" s="29">
        <f>IFERROR(INDEX($Q$4:$Q$3183,MATCH(SMALL($V$4:$V$3183,769),$V$4:$V$3183,0)),"")</f>
        <v/>
      </c>
      <c r="E772" s="29">
        <f>IFERROR(INDEX($R$4:$R$3183,MATCH(SMALL($V$4:$V$3183,769),$V$4:$V$3183,0)),"")</f>
        <v/>
      </c>
      <c r="F772">
        <f>IFERROR(INDEX($S$4:$S$3183,MATCH(SMALL($V$4:$V$3183,769),$V$4:$V$3183,0)),"")</f>
        <v/>
      </c>
      <c r="I772" s="29">
        <f>IF($B772="","",IFERROR(INDEX($U$4:$U$3183,MATCH(SMALL($V$4:$V$3183,769),$V$4:$V$3183,0)),""))</f>
        <v/>
      </c>
      <c r="J772">
        <f>IF($B772="","",IF($D772&gt;$F$2,"À venir",IF($E772&lt;$D$2,"Passé","Dans la période")))</f>
        <v/>
      </c>
      <c r="K772">
        <f>IF(OR($B772="",NOT(ISNUMBER($D772))),"",IF(AND($E772&lt;$D$2,$G772&lt;&gt;"X",$F772&lt;&gt;"Réalisé",$F772&lt;&gt;"Clôturé"),"RETARD",""))</f>
        <v/>
      </c>
      <c r="L772">
        <f>IF(OR($B772="",NOT(ISNUMBER($D772))),"",IF(AND($D772&gt;=$D$2,$D772&lt;=$H$2,$G772&lt;&gt;"X",$F772&lt;&gt;"Réalisé",$F772&lt;&gt;"Clôturé"),"≤ 7 j",""))</f>
        <v/>
      </c>
      <c r="M772" s="29">
        <f>IF($B772="","",IFERROR(INDEX($T$4:$T$3183,MATCH(SMALL($V$4:$V$3183,769),$V$4:$V$3183,0)),""))</f>
        <v/>
      </c>
      <c r="O772">
        <f>IF(INDEX(Suivi!$B:$B,787)="","",INDEX(Suivi!$B:$B,787))</f>
        <v/>
      </c>
      <c r="P772">
        <f>IF($O772="","",IF(INDEX(Suivi!$D:$D,787)="",INDEX(Suivi!$C:$C,787),INDEX(Suivi!$D:$D,787)))</f>
        <v/>
      </c>
      <c r="Q772">
        <f>IF($O772="","",INDEX(Suivi!$E:$E,787))</f>
        <v/>
      </c>
      <c r="R772">
        <f>IF($O772="","",INDEX(Suivi!$F:$F,787))</f>
        <v/>
      </c>
      <c r="S772">
        <f>IF($O772="","",INDEX(Suivi!$G:$G,787))</f>
        <v/>
      </c>
      <c r="T772">
        <f>IF($O772="","",IF(INDEX(Dossiers!$F$4:$F$63,15)="","",INDEX(Dossiers!$F$4:$F$63,15)))</f>
        <v/>
      </c>
      <c r="U772">
        <f>IF($O772="","",IF(INDEX(Dossiers!$G$4:$G$63,15)="","",INDEX(Dossiers!$G$4:$G$63,15)))</f>
        <v/>
      </c>
      <c r="V772">
        <f>IF(OR($O772="",NOT(ISNUMBER($Q772))),"",$Q772*1000000+772)</f>
        <v/>
      </c>
      <c r="W772" s="29">
        <f>IF($B772="","",IFERROR(INDEX($U$4:$U$3183,MATCH(SMALL($V$4:$V$3183,769),$V$4:$V$3183,0)),""))</f>
        <v/>
      </c>
    </row>
    <row r="773">
      <c r="A773">
        <f>IFERROR(INDEX($N$4:$N$3183,MATCH(SMALL($V$4:$V$3183,770),$V$4:$V$3183,0)),"")</f>
        <v/>
      </c>
      <c r="B773">
        <f>IFERROR(INDEX($O$4:$O$3183,MATCH(SMALL($V$4:$V$3183,770),$V$4:$V$3183,0)),"")</f>
        <v/>
      </c>
      <c r="C773">
        <f>IFERROR(INDEX($P$4:$P$3183,MATCH(SMALL($V$4:$V$3183,770),$V$4:$V$3183,0)),"")</f>
        <v/>
      </c>
      <c r="D773" s="29">
        <f>IFERROR(INDEX($Q$4:$Q$3183,MATCH(SMALL($V$4:$V$3183,770),$V$4:$V$3183,0)),"")</f>
        <v/>
      </c>
      <c r="E773" s="29">
        <f>IFERROR(INDEX($R$4:$R$3183,MATCH(SMALL($V$4:$V$3183,770),$V$4:$V$3183,0)),"")</f>
        <v/>
      </c>
      <c r="F773">
        <f>IFERROR(INDEX($S$4:$S$3183,MATCH(SMALL($V$4:$V$3183,770),$V$4:$V$3183,0)),"")</f>
        <v/>
      </c>
      <c r="I773" s="29">
        <f>IF($B773="","",IFERROR(INDEX($U$4:$U$3183,MATCH(SMALL($V$4:$V$3183,770),$V$4:$V$3183,0)),""))</f>
        <v/>
      </c>
      <c r="J773">
        <f>IF($B773="","",IF($D773&gt;$F$2,"À venir",IF($E773&lt;$D$2,"Passé","Dans la période")))</f>
        <v/>
      </c>
      <c r="K773">
        <f>IF(OR($B773="",NOT(ISNUMBER($D773))),"",IF(AND($E773&lt;$D$2,$G773&lt;&gt;"X",$F773&lt;&gt;"Réalisé",$F773&lt;&gt;"Clôturé"),"RETARD",""))</f>
        <v/>
      </c>
      <c r="L773">
        <f>IF(OR($B773="",NOT(ISNUMBER($D773))),"",IF(AND($D773&gt;=$D$2,$D773&lt;=$H$2,$G773&lt;&gt;"X",$F773&lt;&gt;"Réalisé",$F773&lt;&gt;"Clôturé"),"≤ 7 j",""))</f>
        <v/>
      </c>
      <c r="M773" s="29">
        <f>IF($B773="","",IFERROR(INDEX($T$4:$T$3183,MATCH(SMALL($V$4:$V$3183,770),$V$4:$V$3183,0)),""))</f>
        <v/>
      </c>
      <c r="O773">
        <f>IF(INDEX(Suivi!$B:$B,788)="","",INDEX(Suivi!$B:$B,788))</f>
        <v/>
      </c>
      <c r="P773">
        <f>IF($O773="","",IF(INDEX(Suivi!$D:$D,788)="",INDEX(Suivi!$C:$C,788),INDEX(Suivi!$D:$D,788)))</f>
        <v/>
      </c>
      <c r="Q773">
        <f>IF($O773="","",INDEX(Suivi!$E:$E,788))</f>
        <v/>
      </c>
      <c r="R773">
        <f>IF($O773="","",INDEX(Suivi!$F:$F,788))</f>
        <v/>
      </c>
      <c r="S773">
        <f>IF($O773="","",INDEX(Suivi!$G:$G,788))</f>
        <v/>
      </c>
      <c r="T773">
        <f>IF($O773="","",IF(INDEX(Dossiers!$F$4:$F$63,15)="","",INDEX(Dossiers!$F$4:$F$63,15)))</f>
        <v/>
      </c>
      <c r="U773">
        <f>IF($O773="","",IF(INDEX(Dossiers!$G$4:$G$63,15)="","",INDEX(Dossiers!$G$4:$G$63,15)))</f>
        <v/>
      </c>
      <c r="V773">
        <f>IF(OR($O773="",NOT(ISNUMBER($Q773))),"",$Q773*1000000+773)</f>
        <v/>
      </c>
      <c r="W773" s="29">
        <f>IF($B773="","",IFERROR(INDEX($U$4:$U$3183,MATCH(SMALL($V$4:$V$3183,770),$V$4:$V$3183,0)),""))</f>
        <v/>
      </c>
    </row>
    <row r="774">
      <c r="A774">
        <f>IFERROR(INDEX($N$4:$N$3183,MATCH(SMALL($V$4:$V$3183,771),$V$4:$V$3183,0)),"")</f>
        <v/>
      </c>
      <c r="B774">
        <f>IFERROR(INDEX($O$4:$O$3183,MATCH(SMALL($V$4:$V$3183,771),$V$4:$V$3183,0)),"")</f>
        <v/>
      </c>
      <c r="C774">
        <f>IFERROR(INDEX($P$4:$P$3183,MATCH(SMALL($V$4:$V$3183,771),$V$4:$V$3183,0)),"")</f>
        <v/>
      </c>
      <c r="D774" s="29">
        <f>IFERROR(INDEX($Q$4:$Q$3183,MATCH(SMALL($V$4:$V$3183,771),$V$4:$V$3183,0)),"")</f>
        <v/>
      </c>
      <c r="E774" s="29">
        <f>IFERROR(INDEX($R$4:$R$3183,MATCH(SMALL($V$4:$V$3183,771),$V$4:$V$3183,0)),"")</f>
        <v/>
      </c>
      <c r="F774">
        <f>IFERROR(INDEX($S$4:$S$3183,MATCH(SMALL($V$4:$V$3183,771),$V$4:$V$3183,0)),"")</f>
        <v/>
      </c>
      <c r="I774" s="29">
        <f>IF($B774="","",IFERROR(INDEX($U$4:$U$3183,MATCH(SMALL($V$4:$V$3183,771),$V$4:$V$3183,0)),""))</f>
        <v/>
      </c>
      <c r="J774">
        <f>IF($B774="","",IF($D774&gt;$F$2,"À venir",IF($E774&lt;$D$2,"Passé","Dans la période")))</f>
        <v/>
      </c>
      <c r="K774">
        <f>IF(OR($B774="",NOT(ISNUMBER($D774))),"",IF(AND($E774&lt;$D$2,$G774&lt;&gt;"X",$F774&lt;&gt;"Réalisé",$F774&lt;&gt;"Clôturé"),"RETARD",""))</f>
        <v/>
      </c>
      <c r="L774">
        <f>IF(OR($B774="",NOT(ISNUMBER($D774))),"",IF(AND($D774&gt;=$D$2,$D774&lt;=$H$2,$G774&lt;&gt;"X",$F774&lt;&gt;"Réalisé",$F774&lt;&gt;"Clôturé"),"≤ 7 j",""))</f>
        <v/>
      </c>
      <c r="M774" s="29">
        <f>IF($B774="","",IFERROR(INDEX($T$4:$T$3183,MATCH(SMALL($V$4:$V$3183,771),$V$4:$V$3183,0)),""))</f>
        <v/>
      </c>
      <c r="O774">
        <f>IF(INDEX(Suivi!$B:$B,789)="","",INDEX(Suivi!$B:$B,789))</f>
        <v/>
      </c>
      <c r="P774">
        <f>IF($O774="","",IF(INDEX(Suivi!$D:$D,789)="",INDEX(Suivi!$C:$C,789),INDEX(Suivi!$D:$D,789)))</f>
        <v/>
      </c>
      <c r="Q774">
        <f>IF($O774="","",INDEX(Suivi!$E:$E,789))</f>
        <v/>
      </c>
      <c r="R774">
        <f>IF($O774="","",INDEX(Suivi!$F:$F,789))</f>
        <v/>
      </c>
      <c r="S774">
        <f>IF($O774="","",INDEX(Suivi!$G:$G,789))</f>
        <v/>
      </c>
      <c r="T774">
        <f>IF($O774="","",IF(INDEX(Dossiers!$F$4:$F$63,15)="","",INDEX(Dossiers!$F$4:$F$63,15)))</f>
        <v/>
      </c>
      <c r="U774">
        <f>IF($O774="","",IF(INDEX(Dossiers!$G$4:$G$63,15)="","",INDEX(Dossiers!$G$4:$G$63,15)))</f>
        <v/>
      </c>
      <c r="V774">
        <f>IF(OR($O774="",NOT(ISNUMBER($Q774))),"",$Q774*1000000+774)</f>
        <v/>
      </c>
      <c r="W774" s="29">
        <f>IF($B774="","",IFERROR(INDEX($U$4:$U$3183,MATCH(SMALL($V$4:$V$3183,771),$V$4:$V$3183,0)),""))</f>
        <v/>
      </c>
    </row>
    <row r="775">
      <c r="A775">
        <f>IFERROR(INDEX($N$4:$N$3183,MATCH(SMALL($V$4:$V$3183,772),$V$4:$V$3183,0)),"")</f>
        <v/>
      </c>
      <c r="B775">
        <f>IFERROR(INDEX($O$4:$O$3183,MATCH(SMALL($V$4:$V$3183,772),$V$4:$V$3183,0)),"")</f>
        <v/>
      </c>
      <c r="C775">
        <f>IFERROR(INDEX($P$4:$P$3183,MATCH(SMALL($V$4:$V$3183,772),$V$4:$V$3183,0)),"")</f>
        <v/>
      </c>
      <c r="D775" s="29">
        <f>IFERROR(INDEX($Q$4:$Q$3183,MATCH(SMALL($V$4:$V$3183,772),$V$4:$V$3183,0)),"")</f>
        <v/>
      </c>
      <c r="E775" s="29">
        <f>IFERROR(INDEX($R$4:$R$3183,MATCH(SMALL($V$4:$V$3183,772),$V$4:$V$3183,0)),"")</f>
        <v/>
      </c>
      <c r="F775">
        <f>IFERROR(INDEX($S$4:$S$3183,MATCH(SMALL($V$4:$V$3183,772),$V$4:$V$3183,0)),"")</f>
        <v/>
      </c>
      <c r="I775" s="29">
        <f>IF($B775="","",IFERROR(INDEX($U$4:$U$3183,MATCH(SMALL($V$4:$V$3183,772),$V$4:$V$3183,0)),""))</f>
        <v/>
      </c>
      <c r="J775">
        <f>IF($B775="","",IF($D775&gt;$F$2,"À venir",IF($E775&lt;$D$2,"Passé","Dans la période")))</f>
        <v/>
      </c>
      <c r="K775">
        <f>IF(OR($B775="",NOT(ISNUMBER($D775))),"",IF(AND($E775&lt;$D$2,$G775&lt;&gt;"X",$F775&lt;&gt;"Réalisé",$F775&lt;&gt;"Clôturé"),"RETARD",""))</f>
        <v/>
      </c>
      <c r="L775">
        <f>IF(OR($B775="",NOT(ISNUMBER($D775))),"",IF(AND($D775&gt;=$D$2,$D775&lt;=$H$2,$G775&lt;&gt;"X",$F775&lt;&gt;"Réalisé",$F775&lt;&gt;"Clôturé"),"≤ 7 j",""))</f>
        <v/>
      </c>
      <c r="M775" s="29">
        <f>IF($B775="","",IFERROR(INDEX($T$4:$T$3183,MATCH(SMALL($V$4:$V$3183,772),$V$4:$V$3183,0)),""))</f>
        <v/>
      </c>
      <c r="O775">
        <f>IF(INDEX(Suivi!$B:$B,790)="","",INDEX(Suivi!$B:$B,790))</f>
        <v/>
      </c>
      <c r="P775">
        <f>IF($O775="","",IF(INDEX(Suivi!$D:$D,790)="",INDEX(Suivi!$C:$C,790),INDEX(Suivi!$D:$D,790)))</f>
        <v/>
      </c>
      <c r="Q775">
        <f>IF($O775="","",INDEX(Suivi!$E:$E,790))</f>
        <v/>
      </c>
      <c r="R775">
        <f>IF($O775="","",INDEX(Suivi!$F:$F,790))</f>
        <v/>
      </c>
      <c r="S775">
        <f>IF($O775="","",INDEX(Suivi!$G:$G,790))</f>
        <v/>
      </c>
      <c r="T775">
        <f>IF($O775="","",IF(INDEX(Dossiers!$F$4:$F$63,15)="","",INDEX(Dossiers!$F$4:$F$63,15)))</f>
        <v/>
      </c>
      <c r="U775">
        <f>IF($O775="","",IF(INDEX(Dossiers!$G$4:$G$63,15)="","",INDEX(Dossiers!$G$4:$G$63,15)))</f>
        <v/>
      </c>
      <c r="V775">
        <f>IF(OR($O775="",NOT(ISNUMBER($Q775))),"",$Q775*1000000+775)</f>
        <v/>
      </c>
      <c r="W775" s="29">
        <f>IF($B775="","",IFERROR(INDEX($U$4:$U$3183,MATCH(SMALL($V$4:$V$3183,772),$V$4:$V$3183,0)),""))</f>
        <v/>
      </c>
    </row>
    <row r="776">
      <c r="A776">
        <f>IFERROR(INDEX($N$4:$N$3183,MATCH(SMALL($V$4:$V$3183,773),$V$4:$V$3183,0)),"")</f>
        <v/>
      </c>
      <c r="B776">
        <f>IFERROR(INDEX($O$4:$O$3183,MATCH(SMALL($V$4:$V$3183,773),$V$4:$V$3183,0)),"")</f>
        <v/>
      </c>
      <c r="C776">
        <f>IFERROR(INDEX($P$4:$P$3183,MATCH(SMALL($V$4:$V$3183,773),$V$4:$V$3183,0)),"")</f>
        <v/>
      </c>
      <c r="D776" s="29">
        <f>IFERROR(INDEX($Q$4:$Q$3183,MATCH(SMALL($V$4:$V$3183,773),$V$4:$V$3183,0)),"")</f>
        <v/>
      </c>
      <c r="E776" s="29">
        <f>IFERROR(INDEX($R$4:$R$3183,MATCH(SMALL($V$4:$V$3183,773),$V$4:$V$3183,0)),"")</f>
        <v/>
      </c>
      <c r="F776">
        <f>IFERROR(INDEX($S$4:$S$3183,MATCH(SMALL($V$4:$V$3183,773),$V$4:$V$3183,0)),"")</f>
        <v/>
      </c>
      <c r="I776" s="29">
        <f>IF($B776="","",IFERROR(INDEX($U$4:$U$3183,MATCH(SMALL($V$4:$V$3183,773),$V$4:$V$3183,0)),""))</f>
        <v/>
      </c>
      <c r="J776">
        <f>IF($B776="","",IF($D776&gt;$F$2,"À venir",IF($E776&lt;$D$2,"Passé","Dans la période")))</f>
        <v/>
      </c>
      <c r="K776">
        <f>IF(OR($B776="",NOT(ISNUMBER($D776))),"",IF(AND($E776&lt;$D$2,$G776&lt;&gt;"X",$F776&lt;&gt;"Réalisé",$F776&lt;&gt;"Clôturé"),"RETARD",""))</f>
        <v/>
      </c>
      <c r="L776">
        <f>IF(OR($B776="",NOT(ISNUMBER($D776))),"",IF(AND($D776&gt;=$D$2,$D776&lt;=$H$2,$G776&lt;&gt;"X",$F776&lt;&gt;"Réalisé",$F776&lt;&gt;"Clôturé"),"≤ 7 j",""))</f>
        <v/>
      </c>
      <c r="M776" s="29">
        <f>IF($B776="","",IFERROR(INDEX($T$4:$T$3183,MATCH(SMALL($V$4:$V$3183,773),$V$4:$V$3183,0)),""))</f>
        <v/>
      </c>
      <c r="O776">
        <f>IF(INDEX(Suivi!$B:$B,791)="","",INDEX(Suivi!$B:$B,791))</f>
        <v/>
      </c>
      <c r="P776">
        <f>IF($O776="","",IF(INDEX(Suivi!$D:$D,791)="",INDEX(Suivi!$C:$C,791),INDEX(Suivi!$D:$D,791)))</f>
        <v/>
      </c>
      <c r="Q776">
        <f>IF($O776="","",INDEX(Suivi!$E:$E,791))</f>
        <v/>
      </c>
      <c r="R776">
        <f>IF($O776="","",INDEX(Suivi!$F:$F,791))</f>
        <v/>
      </c>
      <c r="S776">
        <f>IF($O776="","",INDEX(Suivi!$G:$G,791))</f>
        <v/>
      </c>
      <c r="T776">
        <f>IF($O776="","",IF(INDEX(Dossiers!$F$4:$F$63,15)="","",INDEX(Dossiers!$F$4:$F$63,15)))</f>
        <v/>
      </c>
      <c r="U776">
        <f>IF($O776="","",IF(INDEX(Dossiers!$G$4:$G$63,15)="","",INDEX(Dossiers!$G$4:$G$63,15)))</f>
        <v/>
      </c>
      <c r="V776">
        <f>IF(OR($O776="",NOT(ISNUMBER($Q776))),"",$Q776*1000000+776)</f>
        <v/>
      </c>
      <c r="W776" s="29">
        <f>IF($B776="","",IFERROR(INDEX($U$4:$U$3183,MATCH(SMALL($V$4:$V$3183,773),$V$4:$V$3183,0)),""))</f>
        <v/>
      </c>
    </row>
    <row r="777">
      <c r="A777">
        <f>IFERROR(INDEX($N$4:$N$3183,MATCH(SMALL($V$4:$V$3183,774),$V$4:$V$3183,0)),"")</f>
        <v/>
      </c>
      <c r="B777">
        <f>IFERROR(INDEX($O$4:$O$3183,MATCH(SMALL($V$4:$V$3183,774),$V$4:$V$3183,0)),"")</f>
        <v/>
      </c>
      <c r="C777">
        <f>IFERROR(INDEX($P$4:$P$3183,MATCH(SMALL($V$4:$V$3183,774),$V$4:$V$3183,0)),"")</f>
        <v/>
      </c>
      <c r="D777" s="29">
        <f>IFERROR(INDEX($Q$4:$Q$3183,MATCH(SMALL($V$4:$V$3183,774),$V$4:$V$3183,0)),"")</f>
        <v/>
      </c>
      <c r="E777" s="29">
        <f>IFERROR(INDEX($R$4:$R$3183,MATCH(SMALL($V$4:$V$3183,774),$V$4:$V$3183,0)),"")</f>
        <v/>
      </c>
      <c r="F777">
        <f>IFERROR(INDEX($S$4:$S$3183,MATCH(SMALL($V$4:$V$3183,774),$V$4:$V$3183,0)),"")</f>
        <v/>
      </c>
      <c r="I777" s="29">
        <f>IF($B777="","",IFERROR(INDEX($U$4:$U$3183,MATCH(SMALL($V$4:$V$3183,774),$V$4:$V$3183,0)),""))</f>
        <v/>
      </c>
      <c r="J777">
        <f>IF($B777="","",IF($D777&gt;$F$2,"À venir",IF($E777&lt;$D$2,"Passé","Dans la période")))</f>
        <v/>
      </c>
      <c r="K777">
        <f>IF(OR($B777="",NOT(ISNUMBER($D777))),"",IF(AND($E777&lt;$D$2,$G777&lt;&gt;"X",$F777&lt;&gt;"Réalisé",$F777&lt;&gt;"Clôturé"),"RETARD",""))</f>
        <v/>
      </c>
      <c r="L777">
        <f>IF(OR($B777="",NOT(ISNUMBER($D777))),"",IF(AND($D777&gt;=$D$2,$D777&lt;=$H$2,$G777&lt;&gt;"X",$F777&lt;&gt;"Réalisé",$F777&lt;&gt;"Clôturé"),"≤ 7 j",""))</f>
        <v/>
      </c>
      <c r="M777" s="29">
        <f>IF($B777="","",IFERROR(INDEX($T$4:$T$3183,MATCH(SMALL($V$4:$V$3183,774),$V$4:$V$3183,0)),""))</f>
        <v/>
      </c>
      <c r="O777">
        <f>IF(INDEX(Suivi!$B:$B,792)="","",INDEX(Suivi!$B:$B,792))</f>
        <v/>
      </c>
      <c r="P777">
        <f>IF($O777="","",IF(INDEX(Suivi!$D:$D,792)="",INDEX(Suivi!$C:$C,792),INDEX(Suivi!$D:$D,792)))</f>
        <v/>
      </c>
      <c r="Q777">
        <f>IF($O777="","",INDEX(Suivi!$E:$E,792))</f>
        <v/>
      </c>
      <c r="R777">
        <f>IF($O777="","",INDEX(Suivi!$F:$F,792))</f>
        <v/>
      </c>
      <c r="S777">
        <f>IF($O777="","",INDEX(Suivi!$G:$G,792))</f>
        <v/>
      </c>
      <c r="T777">
        <f>IF($O777="","",IF(INDEX(Dossiers!$F$4:$F$63,15)="","",INDEX(Dossiers!$F$4:$F$63,15)))</f>
        <v/>
      </c>
      <c r="U777">
        <f>IF($O777="","",IF(INDEX(Dossiers!$G$4:$G$63,15)="","",INDEX(Dossiers!$G$4:$G$63,15)))</f>
        <v/>
      </c>
      <c r="V777">
        <f>IF(OR($O777="",NOT(ISNUMBER($Q777))),"",$Q777*1000000+777)</f>
        <v/>
      </c>
      <c r="W777" s="29">
        <f>IF($B777="","",IFERROR(INDEX($U$4:$U$3183,MATCH(SMALL($V$4:$V$3183,774),$V$4:$V$3183,0)),""))</f>
        <v/>
      </c>
    </row>
    <row r="778">
      <c r="A778">
        <f>IFERROR(INDEX($N$4:$N$3183,MATCH(SMALL($V$4:$V$3183,775),$V$4:$V$3183,0)),"")</f>
        <v/>
      </c>
      <c r="B778">
        <f>IFERROR(INDEX($O$4:$O$3183,MATCH(SMALL($V$4:$V$3183,775),$V$4:$V$3183,0)),"")</f>
        <v/>
      </c>
      <c r="C778">
        <f>IFERROR(INDEX($P$4:$P$3183,MATCH(SMALL($V$4:$V$3183,775),$V$4:$V$3183,0)),"")</f>
        <v/>
      </c>
      <c r="D778" s="29">
        <f>IFERROR(INDEX($Q$4:$Q$3183,MATCH(SMALL($V$4:$V$3183,775),$V$4:$V$3183,0)),"")</f>
        <v/>
      </c>
      <c r="E778" s="29">
        <f>IFERROR(INDEX($R$4:$R$3183,MATCH(SMALL($V$4:$V$3183,775),$V$4:$V$3183,0)),"")</f>
        <v/>
      </c>
      <c r="F778">
        <f>IFERROR(INDEX($S$4:$S$3183,MATCH(SMALL($V$4:$V$3183,775),$V$4:$V$3183,0)),"")</f>
        <v/>
      </c>
      <c r="I778" s="29">
        <f>IF($B778="","",IFERROR(INDEX($U$4:$U$3183,MATCH(SMALL($V$4:$V$3183,775),$V$4:$V$3183,0)),""))</f>
        <v/>
      </c>
      <c r="J778">
        <f>IF($B778="","",IF($D778&gt;$F$2,"À venir",IF($E778&lt;$D$2,"Passé","Dans la période")))</f>
        <v/>
      </c>
      <c r="K778">
        <f>IF(OR($B778="",NOT(ISNUMBER($D778))),"",IF(AND($E778&lt;$D$2,$G778&lt;&gt;"X",$F778&lt;&gt;"Réalisé",$F778&lt;&gt;"Clôturé"),"RETARD",""))</f>
        <v/>
      </c>
      <c r="L778">
        <f>IF(OR($B778="",NOT(ISNUMBER($D778))),"",IF(AND($D778&gt;=$D$2,$D778&lt;=$H$2,$G778&lt;&gt;"X",$F778&lt;&gt;"Réalisé",$F778&lt;&gt;"Clôturé"),"≤ 7 j",""))</f>
        <v/>
      </c>
      <c r="M778" s="29">
        <f>IF($B778="","",IFERROR(INDEX($T$4:$T$3183,MATCH(SMALL($V$4:$V$3183,775),$V$4:$V$3183,0)),""))</f>
        <v/>
      </c>
      <c r="O778">
        <f>IF(INDEX(Suivi!$B:$B,793)="","",INDEX(Suivi!$B:$B,793))</f>
        <v/>
      </c>
      <c r="P778">
        <f>IF($O778="","",IF(INDEX(Suivi!$D:$D,793)="",INDEX(Suivi!$C:$C,793),INDEX(Suivi!$D:$D,793)))</f>
        <v/>
      </c>
      <c r="Q778">
        <f>IF($O778="","",INDEX(Suivi!$E:$E,793))</f>
        <v/>
      </c>
      <c r="R778">
        <f>IF($O778="","",INDEX(Suivi!$F:$F,793))</f>
        <v/>
      </c>
      <c r="S778">
        <f>IF($O778="","",INDEX(Suivi!$G:$G,793))</f>
        <v/>
      </c>
      <c r="T778">
        <f>IF($O778="","",IF(INDEX(Dossiers!$F$4:$F$63,15)="","",INDEX(Dossiers!$F$4:$F$63,15)))</f>
        <v/>
      </c>
      <c r="U778">
        <f>IF($O778="","",IF(INDEX(Dossiers!$G$4:$G$63,15)="","",INDEX(Dossiers!$G$4:$G$63,15)))</f>
        <v/>
      </c>
      <c r="V778">
        <f>IF(OR($O778="",NOT(ISNUMBER($Q778))),"",$Q778*1000000+778)</f>
        <v/>
      </c>
      <c r="W778" s="29">
        <f>IF($B778="","",IFERROR(INDEX($U$4:$U$3183,MATCH(SMALL($V$4:$V$3183,775),$V$4:$V$3183,0)),""))</f>
        <v/>
      </c>
    </row>
    <row r="779">
      <c r="A779">
        <f>IFERROR(INDEX($N$4:$N$3183,MATCH(SMALL($V$4:$V$3183,776),$V$4:$V$3183,0)),"")</f>
        <v/>
      </c>
      <c r="B779">
        <f>IFERROR(INDEX($O$4:$O$3183,MATCH(SMALL($V$4:$V$3183,776),$V$4:$V$3183,0)),"")</f>
        <v/>
      </c>
      <c r="C779">
        <f>IFERROR(INDEX($P$4:$P$3183,MATCH(SMALL($V$4:$V$3183,776),$V$4:$V$3183,0)),"")</f>
        <v/>
      </c>
      <c r="D779" s="29">
        <f>IFERROR(INDEX($Q$4:$Q$3183,MATCH(SMALL($V$4:$V$3183,776),$V$4:$V$3183,0)),"")</f>
        <v/>
      </c>
      <c r="E779" s="29">
        <f>IFERROR(INDEX($R$4:$R$3183,MATCH(SMALL($V$4:$V$3183,776),$V$4:$V$3183,0)),"")</f>
        <v/>
      </c>
      <c r="F779">
        <f>IFERROR(INDEX($S$4:$S$3183,MATCH(SMALL($V$4:$V$3183,776),$V$4:$V$3183,0)),"")</f>
        <v/>
      </c>
      <c r="I779" s="29">
        <f>IF($B779="","",IFERROR(INDEX($U$4:$U$3183,MATCH(SMALL($V$4:$V$3183,776),$V$4:$V$3183,0)),""))</f>
        <v/>
      </c>
      <c r="J779">
        <f>IF($B779="","",IF($D779&gt;$F$2,"À venir",IF($E779&lt;$D$2,"Passé","Dans la période")))</f>
        <v/>
      </c>
      <c r="K779">
        <f>IF(OR($B779="",NOT(ISNUMBER($D779))),"",IF(AND($E779&lt;$D$2,$G779&lt;&gt;"X",$F779&lt;&gt;"Réalisé",$F779&lt;&gt;"Clôturé"),"RETARD",""))</f>
        <v/>
      </c>
      <c r="L779">
        <f>IF(OR($B779="",NOT(ISNUMBER($D779))),"",IF(AND($D779&gt;=$D$2,$D779&lt;=$H$2,$G779&lt;&gt;"X",$F779&lt;&gt;"Réalisé",$F779&lt;&gt;"Clôturé"),"≤ 7 j",""))</f>
        <v/>
      </c>
      <c r="M779" s="29">
        <f>IF($B779="","",IFERROR(INDEX($T$4:$T$3183,MATCH(SMALL($V$4:$V$3183,776),$V$4:$V$3183,0)),""))</f>
        <v/>
      </c>
      <c r="O779">
        <f>IF(INDEX(Suivi!$B:$B,794)="","",INDEX(Suivi!$B:$B,794))</f>
        <v/>
      </c>
      <c r="P779">
        <f>IF($O779="","",IF(INDEX(Suivi!$D:$D,794)="",INDEX(Suivi!$C:$C,794),INDEX(Suivi!$D:$D,794)))</f>
        <v/>
      </c>
      <c r="Q779">
        <f>IF($O779="","",INDEX(Suivi!$E:$E,794))</f>
        <v/>
      </c>
      <c r="R779">
        <f>IF($O779="","",INDEX(Suivi!$F:$F,794))</f>
        <v/>
      </c>
      <c r="S779">
        <f>IF($O779="","",INDEX(Suivi!$G:$G,794))</f>
        <v/>
      </c>
      <c r="T779">
        <f>IF($O779="","",IF(INDEX(Dossiers!$F$4:$F$63,15)="","",INDEX(Dossiers!$F$4:$F$63,15)))</f>
        <v/>
      </c>
      <c r="U779">
        <f>IF($O779="","",IF(INDEX(Dossiers!$G$4:$G$63,15)="","",INDEX(Dossiers!$G$4:$G$63,15)))</f>
        <v/>
      </c>
      <c r="V779">
        <f>IF(OR($O779="",NOT(ISNUMBER($Q779))),"",$Q779*1000000+779)</f>
        <v/>
      </c>
      <c r="W779" s="29">
        <f>IF($B779="","",IFERROR(INDEX($U$4:$U$3183,MATCH(SMALL($V$4:$V$3183,776),$V$4:$V$3183,0)),""))</f>
        <v/>
      </c>
    </row>
    <row r="780">
      <c r="A780">
        <f>IFERROR(INDEX($N$4:$N$3183,MATCH(SMALL($V$4:$V$3183,777),$V$4:$V$3183,0)),"")</f>
        <v/>
      </c>
      <c r="B780">
        <f>IFERROR(INDEX($O$4:$O$3183,MATCH(SMALL($V$4:$V$3183,777),$V$4:$V$3183,0)),"")</f>
        <v/>
      </c>
      <c r="C780">
        <f>IFERROR(INDEX($P$4:$P$3183,MATCH(SMALL($V$4:$V$3183,777),$V$4:$V$3183,0)),"")</f>
        <v/>
      </c>
      <c r="D780" s="29">
        <f>IFERROR(INDEX($Q$4:$Q$3183,MATCH(SMALL($V$4:$V$3183,777),$V$4:$V$3183,0)),"")</f>
        <v/>
      </c>
      <c r="E780" s="29">
        <f>IFERROR(INDEX($R$4:$R$3183,MATCH(SMALL($V$4:$V$3183,777),$V$4:$V$3183,0)),"")</f>
        <v/>
      </c>
      <c r="F780">
        <f>IFERROR(INDEX($S$4:$S$3183,MATCH(SMALL($V$4:$V$3183,777),$V$4:$V$3183,0)),"")</f>
        <v/>
      </c>
      <c r="I780" s="29">
        <f>IF($B780="","",IFERROR(INDEX($U$4:$U$3183,MATCH(SMALL($V$4:$V$3183,777),$V$4:$V$3183,0)),""))</f>
        <v/>
      </c>
      <c r="J780">
        <f>IF($B780="","",IF($D780&gt;$F$2,"À venir",IF($E780&lt;$D$2,"Passé","Dans la période")))</f>
        <v/>
      </c>
      <c r="K780">
        <f>IF(OR($B780="",NOT(ISNUMBER($D780))),"",IF(AND($E780&lt;$D$2,$G780&lt;&gt;"X",$F780&lt;&gt;"Réalisé",$F780&lt;&gt;"Clôturé"),"RETARD",""))</f>
        <v/>
      </c>
      <c r="L780">
        <f>IF(OR($B780="",NOT(ISNUMBER($D780))),"",IF(AND($D780&gt;=$D$2,$D780&lt;=$H$2,$G780&lt;&gt;"X",$F780&lt;&gt;"Réalisé",$F780&lt;&gt;"Clôturé"),"≤ 7 j",""))</f>
        <v/>
      </c>
      <c r="M780" s="29">
        <f>IF($B780="","",IFERROR(INDEX($T$4:$T$3183,MATCH(SMALL($V$4:$V$3183,777),$V$4:$V$3183,0)),""))</f>
        <v/>
      </c>
      <c r="O780">
        <f>IF(INDEX(Suivi!$B:$B,795)="","",INDEX(Suivi!$B:$B,795))</f>
        <v/>
      </c>
      <c r="P780">
        <f>IF($O780="","",IF(INDEX(Suivi!$D:$D,795)="",INDEX(Suivi!$C:$C,795),INDEX(Suivi!$D:$D,795)))</f>
        <v/>
      </c>
      <c r="Q780">
        <f>IF($O780="","",INDEX(Suivi!$E:$E,795))</f>
        <v/>
      </c>
      <c r="R780">
        <f>IF($O780="","",INDEX(Suivi!$F:$F,795))</f>
        <v/>
      </c>
      <c r="S780">
        <f>IF($O780="","",INDEX(Suivi!$G:$G,795))</f>
        <v/>
      </c>
      <c r="T780">
        <f>IF($O780="","",IF(INDEX(Dossiers!$F$4:$F$63,15)="","",INDEX(Dossiers!$F$4:$F$63,15)))</f>
        <v/>
      </c>
      <c r="U780">
        <f>IF($O780="","",IF(INDEX(Dossiers!$G$4:$G$63,15)="","",INDEX(Dossiers!$G$4:$G$63,15)))</f>
        <v/>
      </c>
      <c r="V780">
        <f>IF(OR($O780="",NOT(ISNUMBER($Q780))),"",$Q780*1000000+780)</f>
        <v/>
      </c>
      <c r="W780" s="29">
        <f>IF($B780="","",IFERROR(INDEX($U$4:$U$3183,MATCH(SMALL($V$4:$V$3183,777),$V$4:$V$3183,0)),""))</f>
        <v/>
      </c>
    </row>
    <row r="781">
      <c r="A781">
        <f>IFERROR(INDEX($N$4:$N$3183,MATCH(SMALL($V$4:$V$3183,778),$V$4:$V$3183,0)),"")</f>
        <v/>
      </c>
      <c r="B781">
        <f>IFERROR(INDEX($O$4:$O$3183,MATCH(SMALL($V$4:$V$3183,778),$V$4:$V$3183,0)),"")</f>
        <v/>
      </c>
      <c r="C781">
        <f>IFERROR(INDEX($P$4:$P$3183,MATCH(SMALL($V$4:$V$3183,778),$V$4:$V$3183,0)),"")</f>
        <v/>
      </c>
      <c r="D781" s="29">
        <f>IFERROR(INDEX($Q$4:$Q$3183,MATCH(SMALL($V$4:$V$3183,778),$V$4:$V$3183,0)),"")</f>
        <v/>
      </c>
      <c r="E781" s="29">
        <f>IFERROR(INDEX($R$4:$R$3183,MATCH(SMALL($V$4:$V$3183,778),$V$4:$V$3183,0)),"")</f>
        <v/>
      </c>
      <c r="F781">
        <f>IFERROR(INDEX($S$4:$S$3183,MATCH(SMALL($V$4:$V$3183,778),$V$4:$V$3183,0)),"")</f>
        <v/>
      </c>
      <c r="I781" s="29">
        <f>IF($B781="","",IFERROR(INDEX($U$4:$U$3183,MATCH(SMALL($V$4:$V$3183,778),$V$4:$V$3183,0)),""))</f>
        <v/>
      </c>
      <c r="J781">
        <f>IF($B781="","",IF($D781&gt;$F$2,"À venir",IF($E781&lt;$D$2,"Passé","Dans la période")))</f>
        <v/>
      </c>
      <c r="K781">
        <f>IF(OR($B781="",NOT(ISNUMBER($D781))),"",IF(AND($E781&lt;$D$2,$G781&lt;&gt;"X",$F781&lt;&gt;"Réalisé",$F781&lt;&gt;"Clôturé"),"RETARD",""))</f>
        <v/>
      </c>
      <c r="L781">
        <f>IF(OR($B781="",NOT(ISNUMBER($D781))),"",IF(AND($D781&gt;=$D$2,$D781&lt;=$H$2,$G781&lt;&gt;"X",$F781&lt;&gt;"Réalisé",$F781&lt;&gt;"Clôturé"),"≤ 7 j",""))</f>
        <v/>
      </c>
      <c r="M781" s="29">
        <f>IF($B781="","",IFERROR(INDEX($T$4:$T$3183,MATCH(SMALL($V$4:$V$3183,778),$V$4:$V$3183,0)),""))</f>
        <v/>
      </c>
      <c r="O781">
        <f>IF(INDEX(Suivi!$B:$B,796)="","",INDEX(Suivi!$B:$B,796))</f>
        <v/>
      </c>
      <c r="P781">
        <f>IF($O781="","",IF(INDEX(Suivi!$D:$D,796)="",INDEX(Suivi!$C:$C,796),INDEX(Suivi!$D:$D,796)))</f>
        <v/>
      </c>
      <c r="Q781">
        <f>IF($O781="","",INDEX(Suivi!$E:$E,796))</f>
        <v/>
      </c>
      <c r="R781">
        <f>IF($O781="","",INDEX(Suivi!$F:$F,796))</f>
        <v/>
      </c>
      <c r="S781">
        <f>IF($O781="","",INDEX(Suivi!$G:$G,796))</f>
        <v/>
      </c>
      <c r="T781">
        <f>IF($O781="","",IF(INDEX(Dossiers!$F$4:$F$63,15)="","",INDEX(Dossiers!$F$4:$F$63,15)))</f>
        <v/>
      </c>
      <c r="U781">
        <f>IF($O781="","",IF(INDEX(Dossiers!$G$4:$G$63,15)="","",INDEX(Dossiers!$G$4:$G$63,15)))</f>
        <v/>
      </c>
      <c r="V781">
        <f>IF(OR($O781="",NOT(ISNUMBER($Q781))),"",$Q781*1000000+781)</f>
        <v/>
      </c>
      <c r="W781" s="29">
        <f>IF($B781="","",IFERROR(INDEX($U$4:$U$3183,MATCH(SMALL($V$4:$V$3183,778),$V$4:$V$3183,0)),""))</f>
        <v/>
      </c>
    </row>
    <row r="782">
      <c r="A782">
        <f>IFERROR(INDEX($N$4:$N$3183,MATCH(SMALL($V$4:$V$3183,779),$V$4:$V$3183,0)),"")</f>
        <v/>
      </c>
      <c r="B782">
        <f>IFERROR(INDEX($O$4:$O$3183,MATCH(SMALL($V$4:$V$3183,779),$V$4:$V$3183,0)),"")</f>
        <v/>
      </c>
      <c r="C782">
        <f>IFERROR(INDEX($P$4:$P$3183,MATCH(SMALL($V$4:$V$3183,779),$V$4:$V$3183,0)),"")</f>
        <v/>
      </c>
      <c r="D782" s="29">
        <f>IFERROR(INDEX($Q$4:$Q$3183,MATCH(SMALL($V$4:$V$3183,779),$V$4:$V$3183,0)),"")</f>
        <v/>
      </c>
      <c r="E782" s="29">
        <f>IFERROR(INDEX($R$4:$R$3183,MATCH(SMALL($V$4:$V$3183,779),$V$4:$V$3183,0)),"")</f>
        <v/>
      </c>
      <c r="F782">
        <f>IFERROR(INDEX($S$4:$S$3183,MATCH(SMALL($V$4:$V$3183,779),$V$4:$V$3183,0)),"")</f>
        <v/>
      </c>
      <c r="I782" s="29">
        <f>IF($B782="","",IFERROR(INDEX($U$4:$U$3183,MATCH(SMALL($V$4:$V$3183,779),$V$4:$V$3183,0)),""))</f>
        <v/>
      </c>
      <c r="J782">
        <f>IF($B782="","",IF($D782&gt;$F$2,"À venir",IF($E782&lt;$D$2,"Passé","Dans la période")))</f>
        <v/>
      </c>
      <c r="K782">
        <f>IF(OR($B782="",NOT(ISNUMBER($D782))),"",IF(AND($E782&lt;$D$2,$G782&lt;&gt;"X",$F782&lt;&gt;"Réalisé",$F782&lt;&gt;"Clôturé"),"RETARD",""))</f>
        <v/>
      </c>
      <c r="L782">
        <f>IF(OR($B782="",NOT(ISNUMBER($D782))),"",IF(AND($D782&gt;=$D$2,$D782&lt;=$H$2,$G782&lt;&gt;"X",$F782&lt;&gt;"Réalisé",$F782&lt;&gt;"Clôturé"),"≤ 7 j",""))</f>
        <v/>
      </c>
      <c r="M782" s="29">
        <f>IF($B782="","",IFERROR(INDEX($T$4:$T$3183,MATCH(SMALL($V$4:$V$3183,779),$V$4:$V$3183,0)),""))</f>
        <v/>
      </c>
      <c r="O782">
        <f>IF(INDEX(Suivi!$B:$B,797)="","",INDEX(Suivi!$B:$B,797))</f>
        <v/>
      </c>
      <c r="P782">
        <f>IF($O782="","",IF(INDEX(Suivi!$D:$D,797)="",INDEX(Suivi!$C:$C,797),INDEX(Suivi!$D:$D,797)))</f>
        <v/>
      </c>
      <c r="Q782">
        <f>IF($O782="","",INDEX(Suivi!$E:$E,797))</f>
        <v/>
      </c>
      <c r="R782">
        <f>IF($O782="","",INDEX(Suivi!$F:$F,797))</f>
        <v/>
      </c>
      <c r="S782">
        <f>IF($O782="","",INDEX(Suivi!$G:$G,797))</f>
        <v/>
      </c>
      <c r="T782">
        <f>IF($O782="","",IF(INDEX(Dossiers!$F$4:$F$63,15)="","",INDEX(Dossiers!$F$4:$F$63,15)))</f>
        <v/>
      </c>
      <c r="U782">
        <f>IF($O782="","",IF(INDEX(Dossiers!$G$4:$G$63,15)="","",INDEX(Dossiers!$G$4:$G$63,15)))</f>
        <v/>
      </c>
      <c r="V782">
        <f>IF(OR($O782="",NOT(ISNUMBER($Q782))),"",$Q782*1000000+782)</f>
        <v/>
      </c>
      <c r="W782" s="29">
        <f>IF($B782="","",IFERROR(INDEX($U$4:$U$3183,MATCH(SMALL($V$4:$V$3183,779),$V$4:$V$3183,0)),""))</f>
        <v/>
      </c>
    </row>
    <row r="783">
      <c r="A783">
        <f>IFERROR(INDEX($N$4:$N$3183,MATCH(SMALL($V$4:$V$3183,780),$V$4:$V$3183,0)),"")</f>
        <v/>
      </c>
      <c r="B783">
        <f>IFERROR(INDEX($O$4:$O$3183,MATCH(SMALL($V$4:$V$3183,780),$V$4:$V$3183,0)),"")</f>
        <v/>
      </c>
      <c r="C783">
        <f>IFERROR(INDEX($P$4:$P$3183,MATCH(SMALL($V$4:$V$3183,780),$V$4:$V$3183,0)),"")</f>
        <v/>
      </c>
      <c r="D783" s="29">
        <f>IFERROR(INDEX($Q$4:$Q$3183,MATCH(SMALL($V$4:$V$3183,780),$V$4:$V$3183,0)),"")</f>
        <v/>
      </c>
      <c r="E783" s="29">
        <f>IFERROR(INDEX($R$4:$R$3183,MATCH(SMALL($V$4:$V$3183,780),$V$4:$V$3183,0)),"")</f>
        <v/>
      </c>
      <c r="F783">
        <f>IFERROR(INDEX($S$4:$S$3183,MATCH(SMALL($V$4:$V$3183,780),$V$4:$V$3183,0)),"")</f>
        <v/>
      </c>
      <c r="I783" s="29">
        <f>IF($B783="","",IFERROR(INDEX($U$4:$U$3183,MATCH(SMALL($V$4:$V$3183,780),$V$4:$V$3183,0)),""))</f>
        <v/>
      </c>
      <c r="J783">
        <f>IF($B783="","",IF($D783&gt;$F$2,"À venir",IF($E783&lt;$D$2,"Passé","Dans la période")))</f>
        <v/>
      </c>
      <c r="K783">
        <f>IF(OR($B783="",NOT(ISNUMBER($D783))),"",IF(AND($E783&lt;$D$2,$G783&lt;&gt;"X",$F783&lt;&gt;"Réalisé",$F783&lt;&gt;"Clôturé"),"RETARD",""))</f>
        <v/>
      </c>
      <c r="L783">
        <f>IF(OR($B783="",NOT(ISNUMBER($D783))),"",IF(AND($D783&gt;=$D$2,$D783&lt;=$H$2,$G783&lt;&gt;"X",$F783&lt;&gt;"Réalisé",$F783&lt;&gt;"Clôturé"),"≤ 7 j",""))</f>
        <v/>
      </c>
      <c r="M783" s="29">
        <f>IF($B783="","",IFERROR(INDEX($T$4:$T$3183,MATCH(SMALL($V$4:$V$3183,780),$V$4:$V$3183,0)),""))</f>
        <v/>
      </c>
      <c r="O783">
        <f>IF(INDEX(Suivi!$B:$B,798)="","",INDEX(Suivi!$B:$B,798))</f>
        <v/>
      </c>
      <c r="P783">
        <f>IF($O783="","",IF(INDEX(Suivi!$D:$D,798)="",INDEX(Suivi!$C:$C,798),INDEX(Suivi!$D:$D,798)))</f>
        <v/>
      </c>
      <c r="Q783">
        <f>IF($O783="","",INDEX(Suivi!$E:$E,798))</f>
        <v/>
      </c>
      <c r="R783">
        <f>IF($O783="","",INDEX(Suivi!$F:$F,798))</f>
        <v/>
      </c>
      <c r="S783">
        <f>IF($O783="","",INDEX(Suivi!$G:$G,798))</f>
        <v/>
      </c>
      <c r="T783">
        <f>IF($O783="","",IF(INDEX(Dossiers!$F$4:$F$63,15)="","",INDEX(Dossiers!$F$4:$F$63,15)))</f>
        <v/>
      </c>
      <c r="U783">
        <f>IF($O783="","",IF(INDEX(Dossiers!$G$4:$G$63,15)="","",INDEX(Dossiers!$G$4:$G$63,15)))</f>
        <v/>
      </c>
      <c r="V783">
        <f>IF(OR($O783="",NOT(ISNUMBER($Q783))),"",$Q783*1000000+783)</f>
        <v/>
      </c>
      <c r="W783" s="29">
        <f>IF($B783="","",IFERROR(INDEX($U$4:$U$3183,MATCH(SMALL($V$4:$V$3183,780),$V$4:$V$3183,0)),""))</f>
        <v/>
      </c>
    </row>
    <row r="784">
      <c r="A784">
        <f>IFERROR(INDEX($N$4:$N$3183,MATCH(SMALL($V$4:$V$3183,781),$V$4:$V$3183,0)),"")</f>
        <v/>
      </c>
      <c r="B784">
        <f>IFERROR(INDEX($O$4:$O$3183,MATCH(SMALL($V$4:$V$3183,781),$V$4:$V$3183,0)),"")</f>
        <v/>
      </c>
      <c r="C784">
        <f>IFERROR(INDEX($P$4:$P$3183,MATCH(SMALL($V$4:$V$3183,781),$V$4:$V$3183,0)),"")</f>
        <v/>
      </c>
      <c r="D784" s="29">
        <f>IFERROR(INDEX($Q$4:$Q$3183,MATCH(SMALL($V$4:$V$3183,781),$V$4:$V$3183,0)),"")</f>
        <v/>
      </c>
      <c r="E784" s="29">
        <f>IFERROR(INDEX($R$4:$R$3183,MATCH(SMALL($V$4:$V$3183,781),$V$4:$V$3183,0)),"")</f>
        <v/>
      </c>
      <c r="F784">
        <f>IFERROR(INDEX($S$4:$S$3183,MATCH(SMALL($V$4:$V$3183,781),$V$4:$V$3183,0)),"")</f>
        <v/>
      </c>
      <c r="I784" s="29">
        <f>IF($B784="","",IFERROR(INDEX($U$4:$U$3183,MATCH(SMALL($V$4:$V$3183,781),$V$4:$V$3183,0)),""))</f>
        <v/>
      </c>
      <c r="J784">
        <f>IF($B784="","",IF($D784&gt;$F$2,"À venir",IF($E784&lt;$D$2,"Passé","Dans la période")))</f>
        <v/>
      </c>
      <c r="K784">
        <f>IF(OR($B784="",NOT(ISNUMBER($D784))),"",IF(AND($E784&lt;$D$2,$G784&lt;&gt;"X",$F784&lt;&gt;"Réalisé",$F784&lt;&gt;"Clôturé"),"RETARD",""))</f>
        <v/>
      </c>
      <c r="L784">
        <f>IF(OR($B784="",NOT(ISNUMBER($D784))),"",IF(AND($D784&gt;=$D$2,$D784&lt;=$H$2,$G784&lt;&gt;"X",$F784&lt;&gt;"Réalisé",$F784&lt;&gt;"Clôturé"),"≤ 7 j",""))</f>
        <v/>
      </c>
      <c r="M784" s="29">
        <f>IF($B784="","",IFERROR(INDEX($T$4:$T$3183,MATCH(SMALL($V$4:$V$3183,781),$V$4:$V$3183,0)),""))</f>
        <v/>
      </c>
      <c r="O784">
        <f>IF(INDEX(Suivi!$B:$B,799)="","",INDEX(Suivi!$B:$B,799))</f>
        <v/>
      </c>
      <c r="P784">
        <f>IF($O784="","",IF(INDEX(Suivi!$D:$D,799)="",INDEX(Suivi!$C:$C,799),INDEX(Suivi!$D:$D,799)))</f>
        <v/>
      </c>
      <c r="Q784">
        <f>IF($O784="","",INDEX(Suivi!$E:$E,799))</f>
        <v/>
      </c>
      <c r="R784">
        <f>IF($O784="","",INDEX(Suivi!$F:$F,799))</f>
        <v/>
      </c>
      <c r="S784">
        <f>IF($O784="","",INDEX(Suivi!$G:$G,799))</f>
        <v/>
      </c>
      <c r="T784">
        <f>IF($O784="","",IF(INDEX(Dossiers!$F$4:$F$63,15)="","",INDEX(Dossiers!$F$4:$F$63,15)))</f>
        <v/>
      </c>
      <c r="U784">
        <f>IF($O784="","",IF(INDEX(Dossiers!$G$4:$G$63,15)="","",INDEX(Dossiers!$G$4:$G$63,15)))</f>
        <v/>
      </c>
      <c r="V784">
        <f>IF(OR($O784="",NOT(ISNUMBER($Q784))),"",$Q784*1000000+784)</f>
        <v/>
      </c>
      <c r="W784" s="29">
        <f>IF($B784="","",IFERROR(INDEX($U$4:$U$3183,MATCH(SMALL($V$4:$V$3183,781),$V$4:$V$3183,0)),""))</f>
        <v/>
      </c>
    </row>
    <row r="785">
      <c r="A785">
        <f>IFERROR(INDEX($N$4:$N$3183,MATCH(SMALL($V$4:$V$3183,782),$V$4:$V$3183,0)),"")</f>
        <v/>
      </c>
      <c r="B785">
        <f>IFERROR(INDEX($O$4:$O$3183,MATCH(SMALL($V$4:$V$3183,782),$V$4:$V$3183,0)),"")</f>
        <v/>
      </c>
      <c r="C785">
        <f>IFERROR(INDEX($P$4:$P$3183,MATCH(SMALL($V$4:$V$3183,782),$V$4:$V$3183,0)),"")</f>
        <v/>
      </c>
      <c r="D785" s="29">
        <f>IFERROR(INDEX($Q$4:$Q$3183,MATCH(SMALL($V$4:$V$3183,782),$V$4:$V$3183,0)),"")</f>
        <v/>
      </c>
      <c r="E785" s="29">
        <f>IFERROR(INDEX($R$4:$R$3183,MATCH(SMALL($V$4:$V$3183,782),$V$4:$V$3183,0)),"")</f>
        <v/>
      </c>
      <c r="F785">
        <f>IFERROR(INDEX($S$4:$S$3183,MATCH(SMALL($V$4:$V$3183,782),$V$4:$V$3183,0)),"")</f>
        <v/>
      </c>
      <c r="I785" s="29">
        <f>IF($B785="","",IFERROR(INDEX($U$4:$U$3183,MATCH(SMALL($V$4:$V$3183,782),$V$4:$V$3183,0)),""))</f>
        <v/>
      </c>
      <c r="J785">
        <f>IF($B785="","",IF($D785&gt;$F$2,"À venir",IF($E785&lt;$D$2,"Passé","Dans la période")))</f>
        <v/>
      </c>
      <c r="K785">
        <f>IF(OR($B785="",NOT(ISNUMBER($D785))),"",IF(AND($E785&lt;$D$2,$G785&lt;&gt;"X",$F785&lt;&gt;"Réalisé",$F785&lt;&gt;"Clôturé"),"RETARD",""))</f>
        <v/>
      </c>
      <c r="L785">
        <f>IF(OR($B785="",NOT(ISNUMBER($D785))),"",IF(AND($D785&gt;=$D$2,$D785&lt;=$H$2,$G785&lt;&gt;"X",$F785&lt;&gt;"Réalisé",$F785&lt;&gt;"Clôturé"),"≤ 7 j",""))</f>
        <v/>
      </c>
      <c r="M785" s="29">
        <f>IF($B785="","",IFERROR(INDEX($T$4:$T$3183,MATCH(SMALL($V$4:$V$3183,782),$V$4:$V$3183,0)),""))</f>
        <v/>
      </c>
      <c r="O785">
        <f>IF(INDEX(Suivi!$B:$B,800)="","",INDEX(Suivi!$B:$B,800))</f>
        <v/>
      </c>
      <c r="P785">
        <f>IF($O785="","",IF(INDEX(Suivi!$D:$D,800)="",INDEX(Suivi!$C:$C,800),INDEX(Suivi!$D:$D,800)))</f>
        <v/>
      </c>
      <c r="Q785">
        <f>IF($O785="","",INDEX(Suivi!$E:$E,800))</f>
        <v/>
      </c>
      <c r="R785">
        <f>IF($O785="","",INDEX(Suivi!$F:$F,800))</f>
        <v/>
      </c>
      <c r="S785">
        <f>IF($O785="","",INDEX(Suivi!$G:$G,800))</f>
        <v/>
      </c>
      <c r="T785">
        <f>IF($O785="","",IF(INDEX(Dossiers!$F$4:$F$63,15)="","",INDEX(Dossiers!$F$4:$F$63,15)))</f>
        <v/>
      </c>
      <c r="U785">
        <f>IF($O785="","",IF(INDEX(Dossiers!$G$4:$G$63,15)="","",INDEX(Dossiers!$G$4:$G$63,15)))</f>
        <v/>
      </c>
      <c r="V785">
        <f>IF(OR($O785="",NOT(ISNUMBER($Q785))),"",$Q785*1000000+785)</f>
        <v/>
      </c>
      <c r="W785" s="29">
        <f>IF($B785="","",IFERROR(INDEX($U$4:$U$3183,MATCH(SMALL($V$4:$V$3183,782),$V$4:$V$3183,0)),""))</f>
        <v/>
      </c>
    </row>
    <row r="786">
      <c r="A786">
        <f>IFERROR(INDEX($N$4:$N$3183,MATCH(SMALL($V$4:$V$3183,783),$V$4:$V$3183,0)),"")</f>
        <v/>
      </c>
      <c r="B786">
        <f>IFERROR(INDEX($O$4:$O$3183,MATCH(SMALL($V$4:$V$3183,783),$V$4:$V$3183,0)),"")</f>
        <v/>
      </c>
      <c r="C786">
        <f>IFERROR(INDEX($P$4:$P$3183,MATCH(SMALL($V$4:$V$3183,783),$V$4:$V$3183,0)),"")</f>
        <v/>
      </c>
      <c r="D786" s="29">
        <f>IFERROR(INDEX($Q$4:$Q$3183,MATCH(SMALL($V$4:$V$3183,783),$V$4:$V$3183,0)),"")</f>
        <v/>
      </c>
      <c r="E786" s="29">
        <f>IFERROR(INDEX($R$4:$R$3183,MATCH(SMALL($V$4:$V$3183,783),$V$4:$V$3183,0)),"")</f>
        <v/>
      </c>
      <c r="F786">
        <f>IFERROR(INDEX($S$4:$S$3183,MATCH(SMALL($V$4:$V$3183,783),$V$4:$V$3183,0)),"")</f>
        <v/>
      </c>
      <c r="I786" s="29">
        <f>IF($B786="","",IFERROR(INDEX($U$4:$U$3183,MATCH(SMALL($V$4:$V$3183,783),$V$4:$V$3183,0)),""))</f>
        <v/>
      </c>
      <c r="J786">
        <f>IF($B786="","",IF($D786&gt;$F$2,"À venir",IF($E786&lt;$D$2,"Passé","Dans la période")))</f>
        <v/>
      </c>
      <c r="K786">
        <f>IF(OR($B786="",NOT(ISNUMBER($D786))),"",IF(AND($E786&lt;$D$2,$G786&lt;&gt;"X",$F786&lt;&gt;"Réalisé",$F786&lt;&gt;"Clôturé"),"RETARD",""))</f>
        <v/>
      </c>
      <c r="L786">
        <f>IF(OR($B786="",NOT(ISNUMBER($D786))),"",IF(AND($D786&gt;=$D$2,$D786&lt;=$H$2,$G786&lt;&gt;"X",$F786&lt;&gt;"Réalisé",$F786&lt;&gt;"Clôturé"),"≤ 7 j",""))</f>
        <v/>
      </c>
      <c r="M786" s="29">
        <f>IF($B786="","",IFERROR(INDEX($T$4:$T$3183,MATCH(SMALL($V$4:$V$3183,783),$V$4:$V$3183,0)),""))</f>
        <v/>
      </c>
      <c r="O786">
        <f>IF(INDEX(Suivi!$B:$B,801)="","",INDEX(Suivi!$B:$B,801))</f>
        <v/>
      </c>
      <c r="P786">
        <f>IF($O786="","",IF(INDEX(Suivi!$D:$D,801)="",INDEX(Suivi!$C:$C,801),INDEX(Suivi!$D:$D,801)))</f>
        <v/>
      </c>
      <c r="Q786">
        <f>IF($O786="","",INDEX(Suivi!$E:$E,801))</f>
        <v/>
      </c>
      <c r="R786">
        <f>IF($O786="","",INDEX(Suivi!$F:$F,801))</f>
        <v/>
      </c>
      <c r="S786">
        <f>IF($O786="","",INDEX(Suivi!$G:$G,801))</f>
        <v/>
      </c>
      <c r="T786">
        <f>IF($O786="","",IF(INDEX(Dossiers!$F$4:$F$63,15)="","",INDEX(Dossiers!$F$4:$F$63,15)))</f>
        <v/>
      </c>
      <c r="U786">
        <f>IF($O786="","",IF(INDEX(Dossiers!$G$4:$G$63,15)="","",INDEX(Dossiers!$G$4:$G$63,15)))</f>
        <v/>
      </c>
      <c r="V786">
        <f>IF(OR($O786="",NOT(ISNUMBER($Q786))),"",$Q786*1000000+786)</f>
        <v/>
      </c>
      <c r="W786" s="29">
        <f>IF($B786="","",IFERROR(INDEX($U$4:$U$3183,MATCH(SMALL($V$4:$V$3183,783),$V$4:$V$3183,0)),""))</f>
        <v/>
      </c>
    </row>
    <row r="787">
      <c r="A787">
        <f>IFERROR(INDEX($N$4:$N$3183,MATCH(SMALL($V$4:$V$3183,784),$V$4:$V$3183,0)),"")</f>
        <v/>
      </c>
      <c r="B787">
        <f>IFERROR(INDEX($O$4:$O$3183,MATCH(SMALL($V$4:$V$3183,784),$V$4:$V$3183,0)),"")</f>
        <v/>
      </c>
      <c r="C787">
        <f>IFERROR(INDEX($P$4:$P$3183,MATCH(SMALL($V$4:$V$3183,784),$V$4:$V$3183,0)),"")</f>
        <v/>
      </c>
      <c r="D787" s="29">
        <f>IFERROR(INDEX($Q$4:$Q$3183,MATCH(SMALL($V$4:$V$3183,784),$V$4:$V$3183,0)),"")</f>
        <v/>
      </c>
      <c r="E787" s="29">
        <f>IFERROR(INDEX($R$4:$R$3183,MATCH(SMALL($V$4:$V$3183,784),$V$4:$V$3183,0)),"")</f>
        <v/>
      </c>
      <c r="F787">
        <f>IFERROR(INDEX($S$4:$S$3183,MATCH(SMALL($V$4:$V$3183,784),$V$4:$V$3183,0)),"")</f>
        <v/>
      </c>
      <c r="I787" s="29">
        <f>IF($B787="","",IFERROR(INDEX($U$4:$U$3183,MATCH(SMALL($V$4:$V$3183,784),$V$4:$V$3183,0)),""))</f>
        <v/>
      </c>
      <c r="J787">
        <f>IF($B787="","",IF($D787&gt;$F$2,"À venir",IF($E787&lt;$D$2,"Passé","Dans la période")))</f>
        <v/>
      </c>
      <c r="K787">
        <f>IF(OR($B787="",NOT(ISNUMBER($D787))),"",IF(AND($E787&lt;$D$2,$G787&lt;&gt;"X",$F787&lt;&gt;"Réalisé",$F787&lt;&gt;"Clôturé"),"RETARD",""))</f>
        <v/>
      </c>
      <c r="L787">
        <f>IF(OR($B787="",NOT(ISNUMBER($D787))),"",IF(AND($D787&gt;=$D$2,$D787&lt;=$H$2,$G787&lt;&gt;"X",$F787&lt;&gt;"Réalisé",$F787&lt;&gt;"Clôturé"),"≤ 7 j",""))</f>
        <v/>
      </c>
      <c r="M787" s="29">
        <f>IF($B787="","",IFERROR(INDEX($T$4:$T$3183,MATCH(SMALL($V$4:$V$3183,784),$V$4:$V$3183,0)),""))</f>
        <v/>
      </c>
      <c r="O787">
        <f>IF(INDEX(Suivi!$B:$B,802)="","",INDEX(Suivi!$B:$B,802))</f>
        <v/>
      </c>
      <c r="P787">
        <f>IF($O787="","",IF(INDEX(Suivi!$D:$D,802)="",INDEX(Suivi!$C:$C,802),INDEX(Suivi!$D:$D,802)))</f>
        <v/>
      </c>
      <c r="Q787">
        <f>IF($O787="","",INDEX(Suivi!$E:$E,802))</f>
        <v/>
      </c>
      <c r="R787">
        <f>IF($O787="","",INDEX(Suivi!$F:$F,802))</f>
        <v/>
      </c>
      <c r="S787">
        <f>IF($O787="","",INDEX(Suivi!$G:$G,802))</f>
        <v/>
      </c>
      <c r="T787">
        <f>IF($O787="","",IF(INDEX(Dossiers!$F$4:$F$63,15)="","",INDEX(Dossiers!$F$4:$F$63,15)))</f>
        <v/>
      </c>
      <c r="U787">
        <f>IF($O787="","",IF(INDEX(Dossiers!$G$4:$G$63,15)="","",INDEX(Dossiers!$G$4:$G$63,15)))</f>
        <v/>
      </c>
      <c r="V787">
        <f>IF(OR($O787="",NOT(ISNUMBER($Q787))),"",$Q787*1000000+787)</f>
        <v/>
      </c>
      <c r="W787" s="29">
        <f>IF($B787="","",IFERROR(INDEX($U$4:$U$3183,MATCH(SMALL($V$4:$V$3183,784),$V$4:$V$3183,0)),""))</f>
        <v/>
      </c>
    </row>
    <row r="788">
      <c r="A788">
        <f>IFERROR(INDEX($N$4:$N$3183,MATCH(SMALL($V$4:$V$3183,785),$V$4:$V$3183,0)),"")</f>
        <v/>
      </c>
      <c r="B788">
        <f>IFERROR(INDEX($O$4:$O$3183,MATCH(SMALL($V$4:$V$3183,785),$V$4:$V$3183,0)),"")</f>
        <v/>
      </c>
      <c r="C788">
        <f>IFERROR(INDEX($P$4:$P$3183,MATCH(SMALL($V$4:$V$3183,785),$V$4:$V$3183,0)),"")</f>
        <v/>
      </c>
      <c r="D788" s="29">
        <f>IFERROR(INDEX($Q$4:$Q$3183,MATCH(SMALL($V$4:$V$3183,785),$V$4:$V$3183,0)),"")</f>
        <v/>
      </c>
      <c r="E788" s="29">
        <f>IFERROR(INDEX($R$4:$R$3183,MATCH(SMALL($V$4:$V$3183,785),$V$4:$V$3183,0)),"")</f>
        <v/>
      </c>
      <c r="F788">
        <f>IFERROR(INDEX($S$4:$S$3183,MATCH(SMALL($V$4:$V$3183,785),$V$4:$V$3183,0)),"")</f>
        <v/>
      </c>
      <c r="I788" s="29">
        <f>IF($B788="","",IFERROR(INDEX($U$4:$U$3183,MATCH(SMALL($V$4:$V$3183,785),$V$4:$V$3183,0)),""))</f>
        <v/>
      </c>
      <c r="J788">
        <f>IF($B788="","",IF($D788&gt;$F$2,"À venir",IF($E788&lt;$D$2,"Passé","Dans la période")))</f>
        <v/>
      </c>
      <c r="K788">
        <f>IF(OR($B788="",NOT(ISNUMBER($D788))),"",IF(AND($E788&lt;$D$2,$G788&lt;&gt;"X",$F788&lt;&gt;"Réalisé",$F788&lt;&gt;"Clôturé"),"RETARD",""))</f>
        <v/>
      </c>
      <c r="L788">
        <f>IF(OR($B788="",NOT(ISNUMBER($D788))),"",IF(AND($D788&gt;=$D$2,$D788&lt;=$H$2,$G788&lt;&gt;"X",$F788&lt;&gt;"Réalisé",$F788&lt;&gt;"Clôturé"),"≤ 7 j",""))</f>
        <v/>
      </c>
      <c r="M788" s="29">
        <f>IF($B788="","",IFERROR(INDEX($T$4:$T$3183,MATCH(SMALL($V$4:$V$3183,785),$V$4:$V$3183,0)),""))</f>
        <v/>
      </c>
      <c r="O788">
        <f>IF(INDEX(Suivi!$B:$B,803)="","",INDEX(Suivi!$B:$B,803))</f>
        <v/>
      </c>
      <c r="P788">
        <f>IF($O788="","",IF(INDEX(Suivi!$D:$D,803)="",INDEX(Suivi!$C:$C,803),INDEX(Suivi!$D:$D,803)))</f>
        <v/>
      </c>
      <c r="Q788">
        <f>IF($O788="","",INDEX(Suivi!$E:$E,803))</f>
        <v/>
      </c>
      <c r="R788">
        <f>IF($O788="","",INDEX(Suivi!$F:$F,803))</f>
        <v/>
      </c>
      <c r="S788">
        <f>IF($O788="","",INDEX(Suivi!$G:$G,803))</f>
        <v/>
      </c>
      <c r="T788">
        <f>IF($O788="","",IF(INDEX(Dossiers!$F$4:$F$63,15)="","",INDEX(Dossiers!$F$4:$F$63,15)))</f>
        <v/>
      </c>
      <c r="U788">
        <f>IF($O788="","",IF(INDEX(Dossiers!$G$4:$G$63,15)="","",INDEX(Dossiers!$G$4:$G$63,15)))</f>
        <v/>
      </c>
      <c r="V788">
        <f>IF(OR($O788="",NOT(ISNUMBER($Q788))),"",$Q788*1000000+788)</f>
        <v/>
      </c>
      <c r="W788" s="29">
        <f>IF($B788="","",IFERROR(INDEX($U$4:$U$3183,MATCH(SMALL($V$4:$V$3183,785),$V$4:$V$3183,0)),""))</f>
        <v/>
      </c>
    </row>
    <row r="789">
      <c r="A789">
        <f>IFERROR(INDEX($N$4:$N$3183,MATCH(SMALL($V$4:$V$3183,786),$V$4:$V$3183,0)),"")</f>
        <v/>
      </c>
      <c r="B789">
        <f>IFERROR(INDEX($O$4:$O$3183,MATCH(SMALL($V$4:$V$3183,786),$V$4:$V$3183,0)),"")</f>
        <v/>
      </c>
      <c r="C789">
        <f>IFERROR(INDEX($P$4:$P$3183,MATCH(SMALL($V$4:$V$3183,786),$V$4:$V$3183,0)),"")</f>
        <v/>
      </c>
      <c r="D789" s="29">
        <f>IFERROR(INDEX($Q$4:$Q$3183,MATCH(SMALL($V$4:$V$3183,786),$V$4:$V$3183,0)),"")</f>
        <v/>
      </c>
      <c r="E789" s="29">
        <f>IFERROR(INDEX($R$4:$R$3183,MATCH(SMALL($V$4:$V$3183,786),$V$4:$V$3183,0)),"")</f>
        <v/>
      </c>
      <c r="F789">
        <f>IFERROR(INDEX($S$4:$S$3183,MATCH(SMALL($V$4:$V$3183,786),$V$4:$V$3183,0)),"")</f>
        <v/>
      </c>
      <c r="I789" s="29">
        <f>IF($B789="","",IFERROR(INDEX($U$4:$U$3183,MATCH(SMALL($V$4:$V$3183,786),$V$4:$V$3183,0)),""))</f>
        <v/>
      </c>
      <c r="J789">
        <f>IF($B789="","",IF($D789&gt;$F$2,"À venir",IF($E789&lt;$D$2,"Passé","Dans la période")))</f>
        <v/>
      </c>
      <c r="K789">
        <f>IF(OR($B789="",NOT(ISNUMBER($D789))),"",IF(AND($E789&lt;$D$2,$G789&lt;&gt;"X",$F789&lt;&gt;"Réalisé",$F789&lt;&gt;"Clôturé"),"RETARD",""))</f>
        <v/>
      </c>
      <c r="L789">
        <f>IF(OR($B789="",NOT(ISNUMBER($D789))),"",IF(AND($D789&gt;=$D$2,$D789&lt;=$H$2,$G789&lt;&gt;"X",$F789&lt;&gt;"Réalisé",$F789&lt;&gt;"Clôturé"),"≤ 7 j",""))</f>
        <v/>
      </c>
      <c r="M789" s="29">
        <f>IF($B789="","",IFERROR(INDEX($T$4:$T$3183,MATCH(SMALL($V$4:$V$3183,786),$V$4:$V$3183,0)),""))</f>
        <v/>
      </c>
      <c r="O789">
        <f>IF(INDEX(Suivi!$B:$B,804)="","",INDEX(Suivi!$B:$B,804))</f>
        <v/>
      </c>
      <c r="P789">
        <f>IF($O789="","",IF(INDEX(Suivi!$D:$D,804)="",INDEX(Suivi!$C:$C,804),INDEX(Suivi!$D:$D,804)))</f>
        <v/>
      </c>
      <c r="Q789">
        <f>IF($O789="","",INDEX(Suivi!$E:$E,804))</f>
        <v/>
      </c>
      <c r="R789">
        <f>IF($O789="","",INDEX(Suivi!$F:$F,804))</f>
        <v/>
      </c>
      <c r="S789">
        <f>IF($O789="","",INDEX(Suivi!$G:$G,804))</f>
        <v/>
      </c>
      <c r="T789">
        <f>IF($O789="","",IF(INDEX(Dossiers!$F$4:$F$63,15)="","",INDEX(Dossiers!$F$4:$F$63,15)))</f>
        <v/>
      </c>
      <c r="U789">
        <f>IF($O789="","",IF(INDEX(Dossiers!$G$4:$G$63,15)="","",INDEX(Dossiers!$G$4:$G$63,15)))</f>
        <v/>
      </c>
      <c r="V789">
        <f>IF(OR($O789="",NOT(ISNUMBER($Q789))),"",$Q789*1000000+789)</f>
        <v/>
      </c>
      <c r="W789" s="29">
        <f>IF($B789="","",IFERROR(INDEX($U$4:$U$3183,MATCH(SMALL($V$4:$V$3183,786),$V$4:$V$3183,0)),""))</f>
        <v/>
      </c>
    </row>
    <row r="790">
      <c r="A790">
        <f>IFERROR(INDEX($N$4:$N$3183,MATCH(SMALL($V$4:$V$3183,787),$V$4:$V$3183,0)),"")</f>
        <v/>
      </c>
      <c r="B790">
        <f>IFERROR(INDEX($O$4:$O$3183,MATCH(SMALL($V$4:$V$3183,787),$V$4:$V$3183,0)),"")</f>
        <v/>
      </c>
      <c r="C790">
        <f>IFERROR(INDEX($P$4:$P$3183,MATCH(SMALL($V$4:$V$3183,787),$V$4:$V$3183,0)),"")</f>
        <v/>
      </c>
      <c r="D790" s="29">
        <f>IFERROR(INDEX($Q$4:$Q$3183,MATCH(SMALL($V$4:$V$3183,787),$V$4:$V$3183,0)),"")</f>
        <v/>
      </c>
      <c r="E790" s="29">
        <f>IFERROR(INDEX($R$4:$R$3183,MATCH(SMALL($V$4:$V$3183,787),$V$4:$V$3183,0)),"")</f>
        <v/>
      </c>
      <c r="F790">
        <f>IFERROR(INDEX($S$4:$S$3183,MATCH(SMALL($V$4:$V$3183,787),$V$4:$V$3183,0)),"")</f>
        <v/>
      </c>
      <c r="I790" s="29">
        <f>IF($B790="","",IFERROR(INDEX($U$4:$U$3183,MATCH(SMALL($V$4:$V$3183,787),$V$4:$V$3183,0)),""))</f>
        <v/>
      </c>
      <c r="J790">
        <f>IF($B790="","",IF($D790&gt;$F$2,"À venir",IF($E790&lt;$D$2,"Passé","Dans la période")))</f>
        <v/>
      </c>
      <c r="K790">
        <f>IF(OR($B790="",NOT(ISNUMBER($D790))),"",IF(AND($E790&lt;$D$2,$G790&lt;&gt;"X",$F790&lt;&gt;"Réalisé",$F790&lt;&gt;"Clôturé"),"RETARD",""))</f>
        <v/>
      </c>
      <c r="L790">
        <f>IF(OR($B790="",NOT(ISNUMBER($D790))),"",IF(AND($D790&gt;=$D$2,$D790&lt;=$H$2,$G790&lt;&gt;"X",$F790&lt;&gt;"Réalisé",$F790&lt;&gt;"Clôturé"),"≤ 7 j",""))</f>
        <v/>
      </c>
      <c r="M790" s="29">
        <f>IF($B790="","",IFERROR(INDEX($T$4:$T$3183,MATCH(SMALL($V$4:$V$3183,787),$V$4:$V$3183,0)),""))</f>
        <v/>
      </c>
      <c r="O790">
        <f>IF(INDEX(Suivi!$B:$B,805)="","",INDEX(Suivi!$B:$B,805))</f>
        <v/>
      </c>
      <c r="P790">
        <f>IF($O790="","",IF(INDEX(Suivi!$D:$D,805)="",INDEX(Suivi!$C:$C,805),INDEX(Suivi!$D:$D,805)))</f>
        <v/>
      </c>
      <c r="Q790">
        <f>IF($O790="","",INDEX(Suivi!$E:$E,805))</f>
        <v/>
      </c>
      <c r="R790">
        <f>IF($O790="","",INDEX(Suivi!$F:$F,805))</f>
        <v/>
      </c>
      <c r="S790">
        <f>IF($O790="","",INDEX(Suivi!$G:$G,805))</f>
        <v/>
      </c>
      <c r="T790">
        <f>IF($O790="","",IF(INDEX(Dossiers!$F$4:$F$63,15)="","",INDEX(Dossiers!$F$4:$F$63,15)))</f>
        <v/>
      </c>
      <c r="U790">
        <f>IF($O790="","",IF(INDEX(Dossiers!$G$4:$G$63,15)="","",INDEX(Dossiers!$G$4:$G$63,15)))</f>
        <v/>
      </c>
      <c r="V790">
        <f>IF(OR($O790="",NOT(ISNUMBER($Q790))),"",$Q790*1000000+790)</f>
        <v/>
      </c>
      <c r="W790" s="29">
        <f>IF($B790="","",IFERROR(INDEX($U$4:$U$3183,MATCH(SMALL($V$4:$V$3183,787),$V$4:$V$3183,0)),""))</f>
        <v/>
      </c>
    </row>
    <row r="791">
      <c r="A791">
        <f>IFERROR(INDEX($N$4:$N$3183,MATCH(SMALL($V$4:$V$3183,788),$V$4:$V$3183,0)),"")</f>
        <v/>
      </c>
      <c r="B791">
        <f>IFERROR(INDEX($O$4:$O$3183,MATCH(SMALL($V$4:$V$3183,788),$V$4:$V$3183,0)),"")</f>
        <v/>
      </c>
      <c r="C791">
        <f>IFERROR(INDEX($P$4:$P$3183,MATCH(SMALL($V$4:$V$3183,788),$V$4:$V$3183,0)),"")</f>
        <v/>
      </c>
      <c r="D791" s="29">
        <f>IFERROR(INDEX($Q$4:$Q$3183,MATCH(SMALL($V$4:$V$3183,788),$V$4:$V$3183,0)),"")</f>
        <v/>
      </c>
      <c r="E791" s="29">
        <f>IFERROR(INDEX($R$4:$R$3183,MATCH(SMALL($V$4:$V$3183,788),$V$4:$V$3183,0)),"")</f>
        <v/>
      </c>
      <c r="F791">
        <f>IFERROR(INDEX($S$4:$S$3183,MATCH(SMALL($V$4:$V$3183,788),$V$4:$V$3183,0)),"")</f>
        <v/>
      </c>
      <c r="I791" s="29">
        <f>IF($B791="","",IFERROR(INDEX($U$4:$U$3183,MATCH(SMALL($V$4:$V$3183,788),$V$4:$V$3183,0)),""))</f>
        <v/>
      </c>
      <c r="J791">
        <f>IF($B791="","",IF($D791&gt;$F$2,"À venir",IF($E791&lt;$D$2,"Passé","Dans la période")))</f>
        <v/>
      </c>
      <c r="K791">
        <f>IF(OR($B791="",NOT(ISNUMBER($D791))),"",IF(AND($E791&lt;$D$2,$G791&lt;&gt;"X",$F791&lt;&gt;"Réalisé",$F791&lt;&gt;"Clôturé"),"RETARD",""))</f>
        <v/>
      </c>
      <c r="L791">
        <f>IF(OR($B791="",NOT(ISNUMBER($D791))),"",IF(AND($D791&gt;=$D$2,$D791&lt;=$H$2,$G791&lt;&gt;"X",$F791&lt;&gt;"Réalisé",$F791&lt;&gt;"Clôturé"),"≤ 7 j",""))</f>
        <v/>
      </c>
      <c r="M791" s="29">
        <f>IF($B791="","",IFERROR(INDEX($T$4:$T$3183,MATCH(SMALL($V$4:$V$3183,788),$V$4:$V$3183,0)),""))</f>
        <v/>
      </c>
      <c r="O791">
        <f>IF(INDEX(Suivi!$B:$B,806)="","",INDEX(Suivi!$B:$B,806))</f>
        <v/>
      </c>
      <c r="P791">
        <f>IF($O791="","",IF(INDEX(Suivi!$D:$D,806)="",INDEX(Suivi!$C:$C,806),INDEX(Suivi!$D:$D,806)))</f>
        <v/>
      </c>
      <c r="Q791">
        <f>IF($O791="","",INDEX(Suivi!$E:$E,806))</f>
        <v/>
      </c>
      <c r="R791">
        <f>IF($O791="","",INDEX(Suivi!$F:$F,806))</f>
        <v/>
      </c>
      <c r="S791">
        <f>IF($O791="","",INDEX(Suivi!$G:$G,806))</f>
        <v/>
      </c>
      <c r="T791">
        <f>IF($O791="","",IF(INDEX(Dossiers!$F$4:$F$63,15)="","",INDEX(Dossiers!$F$4:$F$63,15)))</f>
        <v/>
      </c>
      <c r="U791">
        <f>IF($O791="","",IF(INDEX(Dossiers!$G$4:$G$63,15)="","",INDEX(Dossiers!$G$4:$G$63,15)))</f>
        <v/>
      </c>
      <c r="V791">
        <f>IF(OR($O791="",NOT(ISNUMBER($Q791))),"",$Q791*1000000+791)</f>
        <v/>
      </c>
      <c r="W791" s="29">
        <f>IF($B791="","",IFERROR(INDEX($U$4:$U$3183,MATCH(SMALL($V$4:$V$3183,788),$V$4:$V$3183,0)),""))</f>
        <v/>
      </c>
    </row>
    <row r="792">
      <c r="A792">
        <f>IFERROR(INDEX($N$4:$N$3183,MATCH(SMALL($V$4:$V$3183,789),$V$4:$V$3183,0)),"")</f>
        <v/>
      </c>
      <c r="B792">
        <f>IFERROR(INDEX($O$4:$O$3183,MATCH(SMALL($V$4:$V$3183,789),$V$4:$V$3183,0)),"")</f>
        <v/>
      </c>
      <c r="C792">
        <f>IFERROR(INDEX($P$4:$P$3183,MATCH(SMALL($V$4:$V$3183,789),$V$4:$V$3183,0)),"")</f>
        <v/>
      </c>
      <c r="D792" s="29">
        <f>IFERROR(INDEX($Q$4:$Q$3183,MATCH(SMALL($V$4:$V$3183,789),$V$4:$V$3183,0)),"")</f>
        <v/>
      </c>
      <c r="E792" s="29">
        <f>IFERROR(INDEX($R$4:$R$3183,MATCH(SMALL($V$4:$V$3183,789),$V$4:$V$3183,0)),"")</f>
        <v/>
      </c>
      <c r="F792">
        <f>IFERROR(INDEX($S$4:$S$3183,MATCH(SMALL($V$4:$V$3183,789),$V$4:$V$3183,0)),"")</f>
        <v/>
      </c>
      <c r="I792" s="29">
        <f>IF($B792="","",IFERROR(INDEX($U$4:$U$3183,MATCH(SMALL($V$4:$V$3183,789),$V$4:$V$3183,0)),""))</f>
        <v/>
      </c>
      <c r="J792">
        <f>IF($B792="","",IF($D792&gt;$F$2,"À venir",IF($E792&lt;$D$2,"Passé","Dans la période")))</f>
        <v/>
      </c>
      <c r="K792">
        <f>IF(OR($B792="",NOT(ISNUMBER($D792))),"",IF(AND($E792&lt;$D$2,$G792&lt;&gt;"X",$F792&lt;&gt;"Réalisé",$F792&lt;&gt;"Clôturé"),"RETARD",""))</f>
        <v/>
      </c>
      <c r="L792">
        <f>IF(OR($B792="",NOT(ISNUMBER($D792))),"",IF(AND($D792&gt;=$D$2,$D792&lt;=$H$2,$G792&lt;&gt;"X",$F792&lt;&gt;"Réalisé",$F792&lt;&gt;"Clôturé"),"≤ 7 j",""))</f>
        <v/>
      </c>
      <c r="M792" s="29">
        <f>IF($B792="","",IFERROR(INDEX($T$4:$T$3183,MATCH(SMALL($V$4:$V$3183,789),$V$4:$V$3183,0)),""))</f>
        <v/>
      </c>
      <c r="O792">
        <f>IF(INDEX(Suivi!$B:$B,807)="","",INDEX(Suivi!$B:$B,807))</f>
        <v/>
      </c>
      <c r="P792">
        <f>IF($O792="","",IF(INDEX(Suivi!$D:$D,807)="",INDEX(Suivi!$C:$C,807),INDEX(Suivi!$D:$D,807)))</f>
        <v/>
      </c>
      <c r="Q792">
        <f>IF($O792="","",INDEX(Suivi!$E:$E,807))</f>
        <v/>
      </c>
      <c r="R792">
        <f>IF($O792="","",INDEX(Suivi!$F:$F,807))</f>
        <v/>
      </c>
      <c r="S792">
        <f>IF($O792="","",INDEX(Suivi!$G:$G,807))</f>
        <v/>
      </c>
      <c r="T792">
        <f>IF($O792="","",IF(INDEX(Dossiers!$F$4:$F$63,15)="","",INDEX(Dossiers!$F$4:$F$63,15)))</f>
        <v/>
      </c>
      <c r="U792">
        <f>IF($O792="","",IF(INDEX(Dossiers!$G$4:$G$63,15)="","",INDEX(Dossiers!$G$4:$G$63,15)))</f>
        <v/>
      </c>
      <c r="V792">
        <f>IF(OR($O792="",NOT(ISNUMBER($Q792))),"",$Q792*1000000+792)</f>
        <v/>
      </c>
      <c r="W792" s="29">
        <f>IF($B792="","",IFERROR(INDEX($U$4:$U$3183,MATCH(SMALL($V$4:$V$3183,789),$V$4:$V$3183,0)),""))</f>
        <v/>
      </c>
    </row>
    <row r="793">
      <c r="A793">
        <f>IFERROR(INDEX($N$4:$N$3183,MATCH(SMALL($V$4:$V$3183,790),$V$4:$V$3183,0)),"")</f>
        <v/>
      </c>
      <c r="B793">
        <f>IFERROR(INDEX($O$4:$O$3183,MATCH(SMALL($V$4:$V$3183,790),$V$4:$V$3183,0)),"")</f>
        <v/>
      </c>
      <c r="C793">
        <f>IFERROR(INDEX($P$4:$P$3183,MATCH(SMALL($V$4:$V$3183,790),$V$4:$V$3183,0)),"")</f>
        <v/>
      </c>
      <c r="D793" s="29">
        <f>IFERROR(INDEX($Q$4:$Q$3183,MATCH(SMALL($V$4:$V$3183,790),$V$4:$V$3183,0)),"")</f>
        <v/>
      </c>
      <c r="E793" s="29">
        <f>IFERROR(INDEX($R$4:$R$3183,MATCH(SMALL($V$4:$V$3183,790),$V$4:$V$3183,0)),"")</f>
        <v/>
      </c>
      <c r="F793">
        <f>IFERROR(INDEX($S$4:$S$3183,MATCH(SMALL($V$4:$V$3183,790),$V$4:$V$3183,0)),"")</f>
        <v/>
      </c>
      <c r="I793" s="29">
        <f>IF($B793="","",IFERROR(INDEX($U$4:$U$3183,MATCH(SMALL($V$4:$V$3183,790),$V$4:$V$3183,0)),""))</f>
        <v/>
      </c>
      <c r="J793">
        <f>IF($B793="","",IF($D793&gt;$F$2,"À venir",IF($E793&lt;$D$2,"Passé","Dans la période")))</f>
        <v/>
      </c>
      <c r="K793">
        <f>IF(OR($B793="",NOT(ISNUMBER($D793))),"",IF(AND($E793&lt;$D$2,$G793&lt;&gt;"X",$F793&lt;&gt;"Réalisé",$F793&lt;&gt;"Clôturé"),"RETARD",""))</f>
        <v/>
      </c>
      <c r="L793">
        <f>IF(OR($B793="",NOT(ISNUMBER($D793))),"",IF(AND($D793&gt;=$D$2,$D793&lt;=$H$2,$G793&lt;&gt;"X",$F793&lt;&gt;"Réalisé",$F793&lt;&gt;"Clôturé"),"≤ 7 j",""))</f>
        <v/>
      </c>
      <c r="M793" s="29">
        <f>IF($B793="","",IFERROR(INDEX($T$4:$T$3183,MATCH(SMALL($V$4:$V$3183,790),$V$4:$V$3183,0)),""))</f>
        <v/>
      </c>
      <c r="O793">
        <f>IF(INDEX(Suivi!$B:$B,808)="","",INDEX(Suivi!$B:$B,808))</f>
        <v/>
      </c>
      <c r="P793">
        <f>IF($O793="","",IF(INDEX(Suivi!$D:$D,808)="",INDEX(Suivi!$C:$C,808),INDEX(Suivi!$D:$D,808)))</f>
        <v/>
      </c>
      <c r="Q793">
        <f>IF($O793="","",INDEX(Suivi!$E:$E,808))</f>
        <v/>
      </c>
      <c r="R793">
        <f>IF($O793="","",INDEX(Suivi!$F:$F,808))</f>
        <v/>
      </c>
      <c r="S793">
        <f>IF($O793="","",INDEX(Suivi!$G:$G,808))</f>
        <v/>
      </c>
      <c r="T793">
        <f>IF($O793="","",IF(INDEX(Dossiers!$F$4:$F$63,15)="","",INDEX(Dossiers!$F$4:$F$63,15)))</f>
        <v/>
      </c>
      <c r="U793">
        <f>IF($O793="","",IF(INDEX(Dossiers!$G$4:$G$63,15)="","",INDEX(Dossiers!$G$4:$G$63,15)))</f>
        <v/>
      </c>
      <c r="V793">
        <f>IF(OR($O793="",NOT(ISNUMBER($Q793))),"",$Q793*1000000+793)</f>
        <v/>
      </c>
      <c r="W793" s="29">
        <f>IF($B793="","",IFERROR(INDEX($U$4:$U$3183,MATCH(SMALL($V$4:$V$3183,790),$V$4:$V$3183,0)),""))</f>
        <v/>
      </c>
    </row>
    <row r="794">
      <c r="A794">
        <f>IFERROR(INDEX($N$4:$N$3183,MATCH(SMALL($V$4:$V$3183,791),$V$4:$V$3183,0)),"")</f>
        <v/>
      </c>
      <c r="B794">
        <f>IFERROR(INDEX($O$4:$O$3183,MATCH(SMALL($V$4:$V$3183,791),$V$4:$V$3183,0)),"")</f>
        <v/>
      </c>
      <c r="C794">
        <f>IFERROR(INDEX($P$4:$P$3183,MATCH(SMALL($V$4:$V$3183,791),$V$4:$V$3183,0)),"")</f>
        <v/>
      </c>
      <c r="D794" s="29">
        <f>IFERROR(INDEX($Q$4:$Q$3183,MATCH(SMALL($V$4:$V$3183,791),$V$4:$V$3183,0)),"")</f>
        <v/>
      </c>
      <c r="E794" s="29">
        <f>IFERROR(INDEX($R$4:$R$3183,MATCH(SMALL($V$4:$V$3183,791),$V$4:$V$3183,0)),"")</f>
        <v/>
      </c>
      <c r="F794">
        <f>IFERROR(INDEX($S$4:$S$3183,MATCH(SMALL($V$4:$V$3183,791),$V$4:$V$3183,0)),"")</f>
        <v/>
      </c>
      <c r="I794" s="29">
        <f>IF($B794="","",IFERROR(INDEX($U$4:$U$3183,MATCH(SMALL($V$4:$V$3183,791),$V$4:$V$3183,0)),""))</f>
        <v/>
      </c>
      <c r="J794">
        <f>IF($B794="","",IF($D794&gt;$F$2,"À venir",IF($E794&lt;$D$2,"Passé","Dans la période")))</f>
        <v/>
      </c>
      <c r="K794">
        <f>IF(OR($B794="",NOT(ISNUMBER($D794))),"",IF(AND($E794&lt;$D$2,$G794&lt;&gt;"X",$F794&lt;&gt;"Réalisé",$F794&lt;&gt;"Clôturé"),"RETARD",""))</f>
        <v/>
      </c>
      <c r="L794">
        <f>IF(OR($B794="",NOT(ISNUMBER($D794))),"",IF(AND($D794&gt;=$D$2,$D794&lt;=$H$2,$G794&lt;&gt;"X",$F794&lt;&gt;"Réalisé",$F794&lt;&gt;"Clôturé"),"≤ 7 j",""))</f>
        <v/>
      </c>
      <c r="M794" s="29">
        <f>IF($B794="","",IFERROR(INDEX($T$4:$T$3183,MATCH(SMALL($V$4:$V$3183,791),$V$4:$V$3183,0)),""))</f>
        <v/>
      </c>
      <c r="O794">
        <f>IF(INDEX(Suivi!$B:$B,809)="","",INDEX(Suivi!$B:$B,809))</f>
        <v/>
      </c>
      <c r="P794">
        <f>IF($O794="","",IF(INDEX(Suivi!$D:$D,809)="",INDEX(Suivi!$C:$C,809),INDEX(Suivi!$D:$D,809)))</f>
        <v/>
      </c>
      <c r="Q794">
        <f>IF($O794="","",INDEX(Suivi!$E:$E,809))</f>
        <v/>
      </c>
      <c r="R794">
        <f>IF($O794="","",INDEX(Suivi!$F:$F,809))</f>
        <v/>
      </c>
      <c r="S794">
        <f>IF($O794="","",INDEX(Suivi!$G:$G,809))</f>
        <v/>
      </c>
      <c r="T794">
        <f>IF($O794="","",IF(INDEX(Dossiers!$F$4:$F$63,15)="","",INDEX(Dossiers!$F$4:$F$63,15)))</f>
        <v/>
      </c>
      <c r="U794">
        <f>IF($O794="","",IF(INDEX(Dossiers!$G$4:$G$63,15)="","",INDEX(Dossiers!$G$4:$G$63,15)))</f>
        <v/>
      </c>
      <c r="V794">
        <f>IF(OR($O794="",NOT(ISNUMBER($Q794))),"",$Q794*1000000+794)</f>
        <v/>
      </c>
      <c r="W794" s="29">
        <f>IF($B794="","",IFERROR(INDEX($U$4:$U$3183,MATCH(SMALL($V$4:$V$3183,791),$V$4:$V$3183,0)),""))</f>
        <v/>
      </c>
    </row>
    <row r="795">
      <c r="A795">
        <f>IFERROR(INDEX($N$4:$N$3183,MATCH(SMALL($V$4:$V$3183,792),$V$4:$V$3183,0)),"")</f>
        <v/>
      </c>
      <c r="B795">
        <f>IFERROR(INDEX($O$4:$O$3183,MATCH(SMALL($V$4:$V$3183,792),$V$4:$V$3183,0)),"")</f>
        <v/>
      </c>
      <c r="C795">
        <f>IFERROR(INDEX($P$4:$P$3183,MATCH(SMALL($V$4:$V$3183,792),$V$4:$V$3183,0)),"")</f>
        <v/>
      </c>
      <c r="D795" s="29">
        <f>IFERROR(INDEX($Q$4:$Q$3183,MATCH(SMALL($V$4:$V$3183,792),$V$4:$V$3183,0)),"")</f>
        <v/>
      </c>
      <c r="E795" s="29">
        <f>IFERROR(INDEX($R$4:$R$3183,MATCH(SMALL($V$4:$V$3183,792),$V$4:$V$3183,0)),"")</f>
        <v/>
      </c>
      <c r="F795">
        <f>IFERROR(INDEX($S$4:$S$3183,MATCH(SMALL($V$4:$V$3183,792),$V$4:$V$3183,0)),"")</f>
        <v/>
      </c>
      <c r="I795" s="29">
        <f>IF($B795="","",IFERROR(INDEX($U$4:$U$3183,MATCH(SMALL($V$4:$V$3183,792),$V$4:$V$3183,0)),""))</f>
        <v/>
      </c>
      <c r="J795">
        <f>IF($B795="","",IF($D795&gt;$F$2,"À venir",IF($E795&lt;$D$2,"Passé","Dans la période")))</f>
        <v/>
      </c>
      <c r="K795">
        <f>IF(OR($B795="",NOT(ISNUMBER($D795))),"",IF(AND($E795&lt;$D$2,$G795&lt;&gt;"X",$F795&lt;&gt;"Réalisé",$F795&lt;&gt;"Clôturé"),"RETARD",""))</f>
        <v/>
      </c>
      <c r="L795">
        <f>IF(OR($B795="",NOT(ISNUMBER($D795))),"",IF(AND($D795&gt;=$D$2,$D795&lt;=$H$2,$G795&lt;&gt;"X",$F795&lt;&gt;"Réalisé",$F795&lt;&gt;"Clôturé"),"≤ 7 j",""))</f>
        <v/>
      </c>
      <c r="M795" s="29">
        <f>IF($B795="","",IFERROR(INDEX($T$4:$T$3183,MATCH(SMALL($V$4:$V$3183,792),$V$4:$V$3183,0)),""))</f>
        <v/>
      </c>
      <c r="O795">
        <f>IF(INDEX(Suivi!$B:$B,810)="","",INDEX(Suivi!$B:$B,810))</f>
        <v/>
      </c>
      <c r="P795">
        <f>IF($O795="","",IF(INDEX(Suivi!$D:$D,810)="",INDEX(Suivi!$C:$C,810),INDEX(Suivi!$D:$D,810)))</f>
        <v/>
      </c>
      <c r="Q795">
        <f>IF($O795="","",INDEX(Suivi!$E:$E,810))</f>
        <v/>
      </c>
      <c r="R795">
        <f>IF($O795="","",INDEX(Suivi!$F:$F,810))</f>
        <v/>
      </c>
      <c r="S795">
        <f>IF($O795="","",INDEX(Suivi!$G:$G,810))</f>
        <v/>
      </c>
      <c r="T795">
        <f>IF($O795="","",IF(INDEX(Dossiers!$F$4:$F$63,15)="","",INDEX(Dossiers!$F$4:$F$63,15)))</f>
        <v/>
      </c>
      <c r="U795">
        <f>IF($O795="","",IF(INDEX(Dossiers!$G$4:$G$63,15)="","",INDEX(Dossiers!$G$4:$G$63,15)))</f>
        <v/>
      </c>
      <c r="V795">
        <f>IF(OR($O795="",NOT(ISNUMBER($Q795))),"",$Q795*1000000+795)</f>
        <v/>
      </c>
      <c r="W795" s="29">
        <f>IF($B795="","",IFERROR(INDEX($U$4:$U$3183,MATCH(SMALL($V$4:$V$3183,792),$V$4:$V$3183,0)),""))</f>
        <v/>
      </c>
    </row>
    <row r="796">
      <c r="A796">
        <f>IFERROR(INDEX($N$4:$N$3183,MATCH(SMALL($V$4:$V$3183,793),$V$4:$V$3183,0)),"")</f>
        <v/>
      </c>
      <c r="B796">
        <f>IFERROR(INDEX($O$4:$O$3183,MATCH(SMALL($V$4:$V$3183,793),$V$4:$V$3183,0)),"")</f>
        <v/>
      </c>
      <c r="C796">
        <f>IFERROR(INDEX($P$4:$P$3183,MATCH(SMALL($V$4:$V$3183,793),$V$4:$V$3183,0)),"")</f>
        <v/>
      </c>
      <c r="D796" s="29">
        <f>IFERROR(INDEX($Q$4:$Q$3183,MATCH(SMALL($V$4:$V$3183,793),$V$4:$V$3183,0)),"")</f>
        <v/>
      </c>
      <c r="E796" s="29">
        <f>IFERROR(INDEX($R$4:$R$3183,MATCH(SMALL($V$4:$V$3183,793),$V$4:$V$3183,0)),"")</f>
        <v/>
      </c>
      <c r="F796">
        <f>IFERROR(INDEX($S$4:$S$3183,MATCH(SMALL($V$4:$V$3183,793),$V$4:$V$3183,0)),"")</f>
        <v/>
      </c>
      <c r="I796" s="29">
        <f>IF($B796="","",IFERROR(INDEX($U$4:$U$3183,MATCH(SMALL($V$4:$V$3183,793),$V$4:$V$3183,0)),""))</f>
        <v/>
      </c>
      <c r="J796">
        <f>IF($B796="","",IF($D796&gt;$F$2,"À venir",IF($E796&lt;$D$2,"Passé","Dans la période")))</f>
        <v/>
      </c>
      <c r="K796">
        <f>IF(OR($B796="",NOT(ISNUMBER($D796))),"",IF(AND($E796&lt;$D$2,$G796&lt;&gt;"X",$F796&lt;&gt;"Réalisé",$F796&lt;&gt;"Clôturé"),"RETARD",""))</f>
        <v/>
      </c>
      <c r="L796">
        <f>IF(OR($B796="",NOT(ISNUMBER($D796))),"",IF(AND($D796&gt;=$D$2,$D796&lt;=$H$2,$G796&lt;&gt;"X",$F796&lt;&gt;"Réalisé",$F796&lt;&gt;"Clôturé"),"≤ 7 j",""))</f>
        <v/>
      </c>
      <c r="M796" s="29">
        <f>IF($B796="","",IFERROR(INDEX($T$4:$T$3183,MATCH(SMALL($V$4:$V$3183,793),$V$4:$V$3183,0)),""))</f>
        <v/>
      </c>
      <c r="O796">
        <f>IF(INDEX(Suivi!$B:$B,811)="","",INDEX(Suivi!$B:$B,811))</f>
        <v/>
      </c>
      <c r="P796">
        <f>IF($O796="","",IF(INDEX(Suivi!$D:$D,811)="",INDEX(Suivi!$C:$C,811),INDEX(Suivi!$D:$D,811)))</f>
        <v/>
      </c>
      <c r="Q796">
        <f>IF($O796="","",INDEX(Suivi!$E:$E,811))</f>
        <v/>
      </c>
      <c r="R796">
        <f>IF($O796="","",INDEX(Suivi!$F:$F,811))</f>
        <v/>
      </c>
      <c r="S796">
        <f>IF($O796="","",INDEX(Suivi!$G:$G,811))</f>
        <v/>
      </c>
      <c r="T796">
        <f>IF($O796="","",IF(INDEX(Dossiers!$F$4:$F$63,15)="","",INDEX(Dossiers!$F$4:$F$63,15)))</f>
        <v/>
      </c>
      <c r="U796">
        <f>IF($O796="","",IF(INDEX(Dossiers!$G$4:$G$63,15)="","",INDEX(Dossiers!$G$4:$G$63,15)))</f>
        <v/>
      </c>
      <c r="V796">
        <f>IF(OR($O796="",NOT(ISNUMBER($Q796))),"",$Q796*1000000+796)</f>
        <v/>
      </c>
      <c r="W796" s="29">
        <f>IF($B796="","",IFERROR(INDEX($U$4:$U$3183,MATCH(SMALL($V$4:$V$3183,793),$V$4:$V$3183,0)),""))</f>
        <v/>
      </c>
    </row>
    <row r="797">
      <c r="A797">
        <f>IFERROR(INDEX($N$4:$N$3183,MATCH(SMALL($V$4:$V$3183,794),$V$4:$V$3183,0)),"")</f>
        <v/>
      </c>
      <c r="B797">
        <f>IFERROR(INDEX($O$4:$O$3183,MATCH(SMALL($V$4:$V$3183,794),$V$4:$V$3183,0)),"")</f>
        <v/>
      </c>
      <c r="C797">
        <f>IFERROR(INDEX($P$4:$P$3183,MATCH(SMALL($V$4:$V$3183,794),$V$4:$V$3183,0)),"")</f>
        <v/>
      </c>
      <c r="D797" s="29">
        <f>IFERROR(INDEX($Q$4:$Q$3183,MATCH(SMALL($V$4:$V$3183,794),$V$4:$V$3183,0)),"")</f>
        <v/>
      </c>
      <c r="E797" s="29">
        <f>IFERROR(INDEX($R$4:$R$3183,MATCH(SMALL($V$4:$V$3183,794),$V$4:$V$3183,0)),"")</f>
        <v/>
      </c>
      <c r="F797">
        <f>IFERROR(INDEX($S$4:$S$3183,MATCH(SMALL($V$4:$V$3183,794),$V$4:$V$3183,0)),"")</f>
        <v/>
      </c>
      <c r="I797" s="29">
        <f>IF($B797="","",IFERROR(INDEX($U$4:$U$3183,MATCH(SMALL($V$4:$V$3183,794),$V$4:$V$3183,0)),""))</f>
        <v/>
      </c>
      <c r="J797">
        <f>IF($B797="","",IF($D797&gt;$F$2,"À venir",IF($E797&lt;$D$2,"Passé","Dans la période")))</f>
        <v/>
      </c>
      <c r="K797">
        <f>IF(OR($B797="",NOT(ISNUMBER($D797))),"",IF(AND($E797&lt;$D$2,$G797&lt;&gt;"X",$F797&lt;&gt;"Réalisé",$F797&lt;&gt;"Clôturé"),"RETARD",""))</f>
        <v/>
      </c>
      <c r="L797">
        <f>IF(OR($B797="",NOT(ISNUMBER($D797))),"",IF(AND($D797&gt;=$D$2,$D797&lt;=$H$2,$G797&lt;&gt;"X",$F797&lt;&gt;"Réalisé",$F797&lt;&gt;"Clôturé"),"≤ 7 j",""))</f>
        <v/>
      </c>
      <c r="M797" s="29">
        <f>IF($B797="","",IFERROR(INDEX($T$4:$T$3183,MATCH(SMALL($V$4:$V$3183,794),$V$4:$V$3183,0)),""))</f>
        <v/>
      </c>
      <c r="O797">
        <f>IF(INDEX(Suivi!$B:$B,812)="","",INDEX(Suivi!$B:$B,812))</f>
        <v/>
      </c>
      <c r="P797">
        <f>IF($O797="","",IF(INDEX(Suivi!$D:$D,812)="",INDEX(Suivi!$C:$C,812),INDEX(Suivi!$D:$D,812)))</f>
        <v/>
      </c>
      <c r="Q797">
        <f>IF($O797="","",INDEX(Suivi!$E:$E,812))</f>
        <v/>
      </c>
      <c r="R797">
        <f>IF($O797="","",INDEX(Suivi!$F:$F,812))</f>
        <v/>
      </c>
      <c r="S797">
        <f>IF($O797="","",INDEX(Suivi!$G:$G,812))</f>
        <v/>
      </c>
      <c r="T797">
        <f>IF($O797="","",IF(INDEX(Dossiers!$F$4:$F$63,15)="","",INDEX(Dossiers!$F$4:$F$63,15)))</f>
        <v/>
      </c>
      <c r="U797">
        <f>IF($O797="","",IF(INDEX(Dossiers!$G$4:$G$63,15)="","",INDEX(Dossiers!$G$4:$G$63,15)))</f>
        <v/>
      </c>
      <c r="V797">
        <f>IF(OR($O797="",NOT(ISNUMBER($Q797))),"",$Q797*1000000+797)</f>
        <v/>
      </c>
      <c r="W797" s="29">
        <f>IF($B797="","",IFERROR(INDEX($U$4:$U$3183,MATCH(SMALL($V$4:$V$3183,794),$V$4:$V$3183,0)),""))</f>
        <v/>
      </c>
    </row>
    <row r="798">
      <c r="A798">
        <f>IFERROR(INDEX($N$4:$N$3183,MATCH(SMALL($V$4:$V$3183,795),$V$4:$V$3183,0)),"")</f>
        <v/>
      </c>
      <c r="B798">
        <f>IFERROR(INDEX($O$4:$O$3183,MATCH(SMALL($V$4:$V$3183,795),$V$4:$V$3183,0)),"")</f>
        <v/>
      </c>
      <c r="C798">
        <f>IFERROR(INDEX($P$4:$P$3183,MATCH(SMALL($V$4:$V$3183,795),$V$4:$V$3183,0)),"")</f>
        <v/>
      </c>
      <c r="D798" s="29">
        <f>IFERROR(INDEX($Q$4:$Q$3183,MATCH(SMALL($V$4:$V$3183,795),$V$4:$V$3183,0)),"")</f>
        <v/>
      </c>
      <c r="E798" s="29">
        <f>IFERROR(INDEX($R$4:$R$3183,MATCH(SMALL($V$4:$V$3183,795),$V$4:$V$3183,0)),"")</f>
        <v/>
      </c>
      <c r="F798">
        <f>IFERROR(INDEX($S$4:$S$3183,MATCH(SMALL($V$4:$V$3183,795),$V$4:$V$3183,0)),"")</f>
        <v/>
      </c>
      <c r="I798" s="29">
        <f>IF($B798="","",IFERROR(INDEX($U$4:$U$3183,MATCH(SMALL($V$4:$V$3183,795),$V$4:$V$3183,0)),""))</f>
        <v/>
      </c>
      <c r="J798">
        <f>IF($B798="","",IF($D798&gt;$F$2,"À venir",IF($E798&lt;$D$2,"Passé","Dans la période")))</f>
        <v/>
      </c>
      <c r="K798">
        <f>IF(OR($B798="",NOT(ISNUMBER($D798))),"",IF(AND($E798&lt;$D$2,$G798&lt;&gt;"X",$F798&lt;&gt;"Réalisé",$F798&lt;&gt;"Clôturé"),"RETARD",""))</f>
        <v/>
      </c>
      <c r="L798">
        <f>IF(OR($B798="",NOT(ISNUMBER($D798))),"",IF(AND($D798&gt;=$D$2,$D798&lt;=$H$2,$G798&lt;&gt;"X",$F798&lt;&gt;"Réalisé",$F798&lt;&gt;"Clôturé"),"≤ 7 j",""))</f>
        <v/>
      </c>
      <c r="M798" s="29">
        <f>IF($B798="","",IFERROR(INDEX($T$4:$T$3183,MATCH(SMALL($V$4:$V$3183,795),$V$4:$V$3183,0)),""))</f>
        <v/>
      </c>
      <c r="O798">
        <f>IF(INDEX(Suivi!$B:$B,813)="","",INDEX(Suivi!$B:$B,813))</f>
        <v/>
      </c>
      <c r="P798">
        <f>IF($O798="","",IF(INDEX(Suivi!$D:$D,813)="",INDEX(Suivi!$C:$C,813),INDEX(Suivi!$D:$D,813)))</f>
        <v/>
      </c>
      <c r="Q798">
        <f>IF($O798="","",INDEX(Suivi!$E:$E,813))</f>
        <v/>
      </c>
      <c r="R798">
        <f>IF($O798="","",INDEX(Suivi!$F:$F,813))</f>
        <v/>
      </c>
      <c r="S798">
        <f>IF($O798="","",INDEX(Suivi!$G:$G,813))</f>
        <v/>
      </c>
      <c r="T798">
        <f>IF($O798="","",IF(INDEX(Dossiers!$F$4:$F$63,15)="","",INDEX(Dossiers!$F$4:$F$63,15)))</f>
        <v/>
      </c>
      <c r="U798">
        <f>IF($O798="","",IF(INDEX(Dossiers!$G$4:$G$63,15)="","",INDEX(Dossiers!$G$4:$G$63,15)))</f>
        <v/>
      </c>
      <c r="V798">
        <f>IF(OR($O798="",NOT(ISNUMBER($Q798))),"",$Q798*1000000+798)</f>
        <v/>
      </c>
      <c r="W798" s="29">
        <f>IF($B798="","",IFERROR(INDEX($U$4:$U$3183,MATCH(SMALL($V$4:$V$3183,795),$V$4:$V$3183,0)),""))</f>
        <v/>
      </c>
    </row>
    <row r="799">
      <c r="A799">
        <f>IFERROR(INDEX($N$4:$N$3183,MATCH(SMALL($V$4:$V$3183,796),$V$4:$V$3183,0)),"")</f>
        <v/>
      </c>
      <c r="B799">
        <f>IFERROR(INDEX($O$4:$O$3183,MATCH(SMALL($V$4:$V$3183,796),$V$4:$V$3183,0)),"")</f>
        <v/>
      </c>
      <c r="C799">
        <f>IFERROR(INDEX($P$4:$P$3183,MATCH(SMALL($V$4:$V$3183,796),$V$4:$V$3183,0)),"")</f>
        <v/>
      </c>
      <c r="D799" s="29">
        <f>IFERROR(INDEX($Q$4:$Q$3183,MATCH(SMALL($V$4:$V$3183,796),$V$4:$V$3183,0)),"")</f>
        <v/>
      </c>
      <c r="E799" s="29">
        <f>IFERROR(INDEX($R$4:$R$3183,MATCH(SMALL($V$4:$V$3183,796),$V$4:$V$3183,0)),"")</f>
        <v/>
      </c>
      <c r="F799">
        <f>IFERROR(INDEX($S$4:$S$3183,MATCH(SMALL($V$4:$V$3183,796),$V$4:$V$3183,0)),"")</f>
        <v/>
      </c>
      <c r="I799" s="29">
        <f>IF($B799="","",IFERROR(INDEX($U$4:$U$3183,MATCH(SMALL($V$4:$V$3183,796),$V$4:$V$3183,0)),""))</f>
        <v/>
      </c>
      <c r="J799">
        <f>IF($B799="","",IF($D799&gt;$F$2,"À venir",IF($E799&lt;$D$2,"Passé","Dans la période")))</f>
        <v/>
      </c>
      <c r="K799">
        <f>IF(OR($B799="",NOT(ISNUMBER($D799))),"",IF(AND($E799&lt;$D$2,$G799&lt;&gt;"X",$F799&lt;&gt;"Réalisé",$F799&lt;&gt;"Clôturé"),"RETARD",""))</f>
        <v/>
      </c>
      <c r="L799">
        <f>IF(OR($B799="",NOT(ISNUMBER($D799))),"",IF(AND($D799&gt;=$D$2,$D799&lt;=$H$2,$G799&lt;&gt;"X",$F799&lt;&gt;"Réalisé",$F799&lt;&gt;"Clôturé"),"≤ 7 j",""))</f>
        <v/>
      </c>
      <c r="M799" s="29">
        <f>IF($B799="","",IFERROR(INDEX($T$4:$T$3183,MATCH(SMALL($V$4:$V$3183,796),$V$4:$V$3183,0)),""))</f>
        <v/>
      </c>
      <c r="O799">
        <f>IF(INDEX(Suivi!$B:$B,815)="","",INDEX(Suivi!$B:$B,815))</f>
        <v/>
      </c>
      <c r="P799">
        <f>IF($O799="","",IF(INDEX(Suivi!$D:$D,815)="",INDEX(Suivi!$C:$C,815),INDEX(Suivi!$D:$D,815)))</f>
        <v/>
      </c>
      <c r="Q799">
        <f>IF($O799="","",INDEX(Suivi!$E:$E,815))</f>
        <v/>
      </c>
      <c r="R799">
        <f>IF($O799="","",INDEX(Suivi!$F:$F,815))</f>
        <v/>
      </c>
      <c r="S799">
        <f>IF($O799="","",INDEX(Suivi!$G:$G,815))</f>
        <v/>
      </c>
      <c r="T799">
        <f>IF($O799="","",IF(INDEX(Dossiers!$F$4:$F$63,16)="","",INDEX(Dossiers!$F$4:$F$63,16)))</f>
        <v/>
      </c>
      <c r="U799">
        <f>IF($O799="","",IF(INDEX(Dossiers!$G$4:$G$63,16)="","",INDEX(Dossiers!$G$4:$G$63,16)))</f>
        <v/>
      </c>
      <c r="V799">
        <f>IF(OR($O799="",NOT(ISNUMBER($Q799))),"",$Q799*1000000+799)</f>
        <v/>
      </c>
      <c r="W799" s="29">
        <f>IF($B799="","",IFERROR(INDEX($U$4:$U$3183,MATCH(SMALL($V$4:$V$3183,796),$V$4:$V$3183,0)),""))</f>
        <v/>
      </c>
    </row>
    <row r="800">
      <c r="A800">
        <f>IFERROR(INDEX($N$4:$N$3183,MATCH(SMALL($V$4:$V$3183,797),$V$4:$V$3183,0)),"")</f>
        <v/>
      </c>
      <c r="B800">
        <f>IFERROR(INDEX($O$4:$O$3183,MATCH(SMALL($V$4:$V$3183,797),$V$4:$V$3183,0)),"")</f>
        <v/>
      </c>
      <c r="C800">
        <f>IFERROR(INDEX($P$4:$P$3183,MATCH(SMALL($V$4:$V$3183,797),$V$4:$V$3183,0)),"")</f>
        <v/>
      </c>
      <c r="D800" s="29">
        <f>IFERROR(INDEX($Q$4:$Q$3183,MATCH(SMALL($V$4:$V$3183,797),$V$4:$V$3183,0)),"")</f>
        <v/>
      </c>
      <c r="E800" s="29">
        <f>IFERROR(INDEX($R$4:$R$3183,MATCH(SMALL($V$4:$V$3183,797),$V$4:$V$3183,0)),"")</f>
        <v/>
      </c>
      <c r="F800">
        <f>IFERROR(INDEX($S$4:$S$3183,MATCH(SMALL($V$4:$V$3183,797),$V$4:$V$3183,0)),"")</f>
        <v/>
      </c>
      <c r="I800" s="29">
        <f>IF($B800="","",IFERROR(INDEX($U$4:$U$3183,MATCH(SMALL($V$4:$V$3183,797),$V$4:$V$3183,0)),""))</f>
        <v/>
      </c>
      <c r="J800">
        <f>IF($B800="","",IF($D800&gt;$F$2,"À venir",IF($E800&lt;$D$2,"Passé","Dans la période")))</f>
        <v/>
      </c>
      <c r="K800">
        <f>IF(OR($B800="",NOT(ISNUMBER($D800))),"",IF(AND($E800&lt;$D$2,$G800&lt;&gt;"X",$F800&lt;&gt;"Réalisé",$F800&lt;&gt;"Clôturé"),"RETARD",""))</f>
        <v/>
      </c>
      <c r="L800">
        <f>IF(OR($B800="",NOT(ISNUMBER($D800))),"",IF(AND($D800&gt;=$D$2,$D800&lt;=$H$2,$G800&lt;&gt;"X",$F800&lt;&gt;"Réalisé",$F800&lt;&gt;"Clôturé"),"≤ 7 j",""))</f>
        <v/>
      </c>
      <c r="M800" s="29">
        <f>IF($B800="","",IFERROR(INDEX($T$4:$T$3183,MATCH(SMALL($V$4:$V$3183,797),$V$4:$V$3183,0)),""))</f>
        <v/>
      </c>
      <c r="O800">
        <f>IF(INDEX(Suivi!$B:$B,816)="","",INDEX(Suivi!$B:$B,816))</f>
        <v/>
      </c>
      <c r="P800">
        <f>IF($O800="","",IF(INDEX(Suivi!$D:$D,816)="",INDEX(Suivi!$C:$C,816),INDEX(Suivi!$D:$D,816)))</f>
        <v/>
      </c>
      <c r="Q800">
        <f>IF($O800="","",INDEX(Suivi!$E:$E,816))</f>
        <v/>
      </c>
      <c r="R800">
        <f>IF($O800="","",INDEX(Suivi!$F:$F,816))</f>
        <v/>
      </c>
      <c r="S800">
        <f>IF($O800="","",INDEX(Suivi!$G:$G,816))</f>
        <v/>
      </c>
      <c r="T800">
        <f>IF($O800="","",IF(INDEX(Dossiers!$F$4:$F$63,16)="","",INDEX(Dossiers!$F$4:$F$63,16)))</f>
        <v/>
      </c>
      <c r="U800">
        <f>IF($O800="","",IF(INDEX(Dossiers!$G$4:$G$63,16)="","",INDEX(Dossiers!$G$4:$G$63,16)))</f>
        <v/>
      </c>
      <c r="V800">
        <f>IF(OR($O800="",NOT(ISNUMBER($Q800))),"",$Q800*1000000+800)</f>
        <v/>
      </c>
      <c r="W800" s="29">
        <f>IF($B800="","",IFERROR(INDEX($U$4:$U$3183,MATCH(SMALL($V$4:$V$3183,797),$V$4:$V$3183,0)),""))</f>
        <v/>
      </c>
    </row>
    <row r="801">
      <c r="A801">
        <f>IFERROR(INDEX($N$4:$N$3183,MATCH(SMALL($V$4:$V$3183,798),$V$4:$V$3183,0)),"")</f>
        <v/>
      </c>
      <c r="B801">
        <f>IFERROR(INDEX($O$4:$O$3183,MATCH(SMALL($V$4:$V$3183,798),$V$4:$V$3183,0)),"")</f>
        <v/>
      </c>
      <c r="C801">
        <f>IFERROR(INDEX($P$4:$P$3183,MATCH(SMALL($V$4:$V$3183,798),$V$4:$V$3183,0)),"")</f>
        <v/>
      </c>
      <c r="D801" s="29">
        <f>IFERROR(INDEX($Q$4:$Q$3183,MATCH(SMALL($V$4:$V$3183,798),$V$4:$V$3183,0)),"")</f>
        <v/>
      </c>
      <c r="E801" s="29">
        <f>IFERROR(INDEX($R$4:$R$3183,MATCH(SMALL($V$4:$V$3183,798),$V$4:$V$3183,0)),"")</f>
        <v/>
      </c>
      <c r="F801">
        <f>IFERROR(INDEX($S$4:$S$3183,MATCH(SMALL($V$4:$V$3183,798),$V$4:$V$3183,0)),"")</f>
        <v/>
      </c>
      <c r="I801" s="29">
        <f>IF($B801="","",IFERROR(INDEX($U$4:$U$3183,MATCH(SMALL($V$4:$V$3183,798),$V$4:$V$3183,0)),""))</f>
        <v/>
      </c>
      <c r="J801">
        <f>IF($B801="","",IF($D801&gt;$F$2,"À venir",IF($E801&lt;$D$2,"Passé","Dans la période")))</f>
        <v/>
      </c>
      <c r="K801">
        <f>IF(OR($B801="",NOT(ISNUMBER($D801))),"",IF(AND($E801&lt;$D$2,$G801&lt;&gt;"X",$F801&lt;&gt;"Réalisé",$F801&lt;&gt;"Clôturé"),"RETARD",""))</f>
        <v/>
      </c>
      <c r="L801">
        <f>IF(OR($B801="",NOT(ISNUMBER($D801))),"",IF(AND($D801&gt;=$D$2,$D801&lt;=$H$2,$G801&lt;&gt;"X",$F801&lt;&gt;"Réalisé",$F801&lt;&gt;"Clôturé"),"≤ 7 j",""))</f>
        <v/>
      </c>
      <c r="M801" s="29">
        <f>IF($B801="","",IFERROR(INDEX($T$4:$T$3183,MATCH(SMALL($V$4:$V$3183,798),$V$4:$V$3183,0)),""))</f>
        <v/>
      </c>
      <c r="O801">
        <f>IF(INDEX(Suivi!$B:$B,817)="","",INDEX(Suivi!$B:$B,817))</f>
        <v/>
      </c>
      <c r="P801">
        <f>IF($O801="","",IF(INDEX(Suivi!$D:$D,817)="",INDEX(Suivi!$C:$C,817),INDEX(Suivi!$D:$D,817)))</f>
        <v/>
      </c>
      <c r="Q801">
        <f>IF($O801="","",INDEX(Suivi!$E:$E,817))</f>
        <v/>
      </c>
      <c r="R801">
        <f>IF($O801="","",INDEX(Suivi!$F:$F,817))</f>
        <v/>
      </c>
      <c r="S801">
        <f>IF($O801="","",INDEX(Suivi!$G:$G,817))</f>
        <v/>
      </c>
      <c r="T801">
        <f>IF($O801="","",IF(INDEX(Dossiers!$F$4:$F$63,16)="","",INDEX(Dossiers!$F$4:$F$63,16)))</f>
        <v/>
      </c>
      <c r="U801">
        <f>IF($O801="","",IF(INDEX(Dossiers!$G$4:$G$63,16)="","",INDEX(Dossiers!$G$4:$G$63,16)))</f>
        <v/>
      </c>
      <c r="V801">
        <f>IF(OR($O801="",NOT(ISNUMBER($Q801))),"",$Q801*1000000+801)</f>
        <v/>
      </c>
      <c r="W801" s="29">
        <f>IF($B801="","",IFERROR(INDEX($U$4:$U$3183,MATCH(SMALL($V$4:$V$3183,798),$V$4:$V$3183,0)),""))</f>
        <v/>
      </c>
    </row>
    <row r="802">
      <c r="A802">
        <f>IFERROR(INDEX($N$4:$N$3183,MATCH(SMALL($V$4:$V$3183,799),$V$4:$V$3183,0)),"")</f>
        <v/>
      </c>
      <c r="B802">
        <f>IFERROR(INDEX($O$4:$O$3183,MATCH(SMALL($V$4:$V$3183,799),$V$4:$V$3183,0)),"")</f>
        <v/>
      </c>
      <c r="C802">
        <f>IFERROR(INDEX($P$4:$P$3183,MATCH(SMALL($V$4:$V$3183,799),$V$4:$V$3183,0)),"")</f>
        <v/>
      </c>
      <c r="D802" s="29">
        <f>IFERROR(INDEX($Q$4:$Q$3183,MATCH(SMALL($V$4:$V$3183,799),$V$4:$V$3183,0)),"")</f>
        <v/>
      </c>
      <c r="E802" s="29">
        <f>IFERROR(INDEX($R$4:$R$3183,MATCH(SMALL($V$4:$V$3183,799),$V$4:$V$3183,0)),"")</f>
        <v/>
      </c>
      <c r="F802">
        <f>IFERROR(INDEX($S$4:$S$3183,MATCH(SMALL($V$4:$V$3183,799),$V$4:$V$3183,0)),"")</f>
        <v/>
      </c>
      <c r="I802" s="29">
        <f>IF($B802="","",IFERROR(INDEX($U$4:$U$3183,MATCH(SMALL($V$4:$V$3183,799),$V$4:$V$3183,0)),""))</f>
        <v/>
      </c>
      <c r="J802">
        <f>IF($B802="","",IF($D802&gt;$F$2,"À venir",IF($E802&lt;$D$2,"Passé","Dans la période")))</f>
        <v/>
      </c>
      <c r="K802">
        <f>IF(OR($B802="",NOT(ISNUMBER($D802))),"",IF(AND($E802&lt;$D$2,$G802&lt;&gt;"X",$F802&lt;&gt;"Réalisé",$F802&lt;&gt;"Clôturé"),"RETARD",""))</f>
        <v/>
      </c>
      <c r="L802">
        <f>IF(OR($B802="",NOT(ISNUMBER($D802))),"",IF(AND($D802&gt;=$D$2,$D802&lt;=$H$2,$G802&lt;&gt;"X",$F802&lt;&gt;"Réalisé",$F802&lt;&gt;"Clôturé"),"≤ 7 j",""))</f>
        <v/>
      </c>
      <c r="M802" s="29">
        <f>IF($B802="","",IFERROR(INDEX($T$4:$T$3183,MATCH(SMALL($V$4:$V$3183,799),$V$4:$V$3183,0)),""))</f>
        <v/>
      </c>
      <c r="O802">
        <f>IF(INDEX(Suivi!$B:$B,818)="","",INDEX(Suivi!$B:$B,818))</f>
        <v/>
      </c>
      <c r="P802">
        <f>IF($O802="","",IF(INDEX(Suivi!$D:$D,818)="",INDEX(Suivi!$C:$C,818),INDEX(Suivi!$D:$D,818)))</f>
        <v/>
      </c>
      <c r="Q802">
        <f>IF($O802="","",INDEX(Suivi!$E:$E,818))</f>
        <v/>
      </c>
      <c r="R802">
        <f>IF($O802="","",INDEX(Suivi!$F:$F,818))</f>
        <v/>
      </c>
      <c r="S802">
        <f>IF($O802="","",INDEX(Suivi!$G:$G,818))</f>
        <v/>
      </c>
      <c r="T802">
        <f>IF($O802="","",IF(INDEX(Dossiers!$F$4:$F$63,16)="","",INDEX(Dossiers!$F$4:$F$63,16)))</f>
        <v/>
      </c>
      <c r="U802">
        <f>IF($O802="","",IF(INDEX(Dossiers!$G$4:$G$63,16)="","",INDEX(Dossiers!$G$4:$G$63,16)))</f>
        <v/>
      </c>
      <c r="V802">
        <f>IF(OR($O802="",NOT(ISNUMBER($Q802))),"",$Q802*1000000+802)</f>
        <v/>
      </c>
      <c r="W802" s="29">
        <f>IF($B802="","",IFERROR(INDEX($U$4:$U$3183,MATCH(SMALL($V$4:$V$3183,799),$V$4:$V$3183,0)),""))</f>
        <v/>
      </c>
    </row>
    <row r="803">
      <c r="A803">
        <f>IFERROR(INDEX($N$4:$N$3183,MATCH(SMALL($V$4:$V$3183,800),$V$4:$V$3183,0)),"")</f>
        <v/>
      </c>
      <c r="B803">
        <f>IFERROR(INDEX($O$4:$O$3183,MATCH(SMALL($V$4:$V$3183,800),$V$4:$V$3183,0)),"")</f>
        <v/>
      </c>
      <c r="C803">
        <f>IFERROR(INDEX($P$4:$P$3183,MATCH(SMALL($V$4:$V$3183,800),$V$4:$V$3183,0)),"")</f>
        <v/>
      </c>
      <c r="D803" s="29">
        <f>IFERROR(INDEX($Q$4:$Q$3183,MATCH(SMALL($V$4:$V$3183,800),$V$4:$V$3183,0)),"")</f>
        <v/>
      </c>
      <c r="E803" s="29">
        <f>IFERROR(INDEX($R$4:$R$3183,MATCH(SMALL($V$4:$V$3183,800),$V$4:$V$3183,0)),"")</f>
        <v/>
      </c>
      <c r="F803">
        <f>IFERROR(INDEX($S$4:$S$3183,MATCH(SMALL($V$4:$V$3183,800),$V$4:$V$3183,0)),"")</f>
        <v/>
      </c>
      <c r="I803" s="29">
        <f>IF($B803="","",IFERROR(INDEX($U$4:$U$3183,MATCH(SMALL($V$4:$V$3183,800),$V$4:$V$3183,0)),""))</f>
        <v/>
      </c>
      <c r="J803">
        <f>IF($B803="","",IF($D803&gt;$F$2,"À venir",IF($E803&lt;$D$2,"Passé","Dans la période")))</f>
        <v/>
      </c>
      <c r="K803">
        <f>IF(OR($B803="",NOT(ISNUMBER($D803))),"",IF(AND($E803&lt;$D$2,$G803&lt;&gt;"X",$F803&lt;&gt;"Réalisé",$F803&lt;&gt;"Clôturé"),"RETARD",""))</f>
        <v/>
      </c>
      <c r="L803">
        <f>IF(OR($B803="",NOT(ISNUMBER($D803))),"",IF(AND($D803&gt;=$D$2,$D803&lt;=$H$2,$G803&lt;&gt;"X",$F803&lt;&gt;"Réalisé",$F803&lt;&gt;"Clôturé"),"≤ 7 j",""))</f>
        <v/>
      </c>
      <c r="M803" s="29">
        <f>IF($B803="","",IFERROR(INDEX($T$4:$T$3183,MATCH(SMALL($V$4:$V$3183,800),$V$4:$V$3183,0)),""))</f>
        <v/>
      </c>
      <c r="O803">
        <f>IF(INDEX(Suivi!$B:$B,819)="","",INDEX(Suivi!$B:$B,819))</f>
        <v/>
      </c>
      <c r="P803">
        <f>IF($O803="","",IF(INDEX(Suivi!$D:$D,819)="",INDEX(Suivi!$C:$C,819),INDEX(Suivi!$D:$D,819)))</f>
        <v/>
      </c>
      <c r="Q803">
        <f>IF($O803="","",INDEX(Suivi!$E:$E,819))</f>
        <v/>
      </c>
      <c r="R803">
        <f>IF($O803="","",INDEX(Suivi!$F:$F,819))</f>
        <v/>
      </c>
      <c r="S803">
        <f>IF($O803="","",INDEX(Suivi!$G:$G,819))</f>
        <v/>
      </c>
      <c r="T803">
        <f>IF($O803="","",IF(INDEX(Dossiers!$F$4:$F$63,16)="","",INDEX(Dossiers!$F$4:$F$63,16)))</f>
        <v/>
      </c>
      <c r="U803">
        <f>IF($O803="","",IF(INDEX(Dossiers!$G$4:$G$63,16)="","",INDEX(Dossiers!$G$4:$G$63,16)))</f>
        <v/>
      </c>
      <c r="V803">
        <f>IF(OR($O803="",NOT(ISNUMBER($Q803))),"",$Q803*1000000+803)</f>
        <v/>
      </c>
      <c r="W803" s="29">
        <f>IF($B803="","",IFERROR(INDEX($U$4:$U$3183,MATCH(SMALL($V$4:$V$3183,800),$V$4:$V$3183,0)),""))</f>
        <v/>
      </c>
    </row>
    <row r="804">
      <c r="A804">
        <f>IFERROR(INDEX($N$4:$N$3183,MATCH(SMALL($V$4:$V$3183,801),$V$4:$V$3183,0)),"")</f>
        <v/>
      </c>
      <c r="B804">
        <f>IFERROR(INDEX($O$4:$O$3183,MATCH(SMALL($V$4:$V$3183,801),$V$4:$V$3183,0)),"")</f>
        <v/>
      </c>
      <c r="C804">
        <f>IFERROR(INDEX($P$4:$P$3183,MATCH(SMALL($V$4:$V$3183,801),$V$4:$V$3183,0)),"")</f>
        <v/>
      </c>
      <c r="D804" s="29">
        <f>IFERROR(INDEX($Q$4:$Q$3183,MATCH(SMALL($V$4:$V$3183,801),$V$4:$V$3183,0)),"")</f>
        <v/>
      </c>
      <c r="E804" s="29">
        <f>IFERROR(INDEX($R$4:$R$3183,MATCH(SMALL($V$4:$V$3183,801),$V$4:$V$3183,0)),"")</f>
        <v/>
      </c>
      <c r="F804">
        <f>IFERROR(INDEX($S$4:$S$3183,MATCH(SMALL($V$4:$V$3183,801),$V$4:$V$3183,0)),"")</f>
        <v/>
      </c>
      <c r="I804" s="29">
        <f>IF($B804="","",IFERROR(INDEX($U$4:$U$3183,MATCH(SMALL($V$4:$V$3183,801),$V$4:$V$3183,0)),""))</f>
        <v/>
      </c>
      <c r="J804">
        <f>IF($B804="","",IF($D804&gt;$F$2,"À venir",IF($E804&lt;$D$2,"Passé","Dans la période")))</f>
        <v/>
      </c>
      <c r="K804">
        <f>IF(OR($B804="",NOT(ISNUMBER($D804))),"",IF(AND($E804&lt;$D$2,$G804&lt;&gt;"X",$F804&lt;&gt;"Réalisé",$F804&lt;&gt;"Clôturé"),"RETARD",""))</f>
        <v/>
      </c>
      <c r="L804">
        <f>IF(OR($B804="",NOT(ISNUMBER($D804))),"",IF(AND($D804&gt;=$D$2,$D804&lt;=$H$2,$G804&lt;&gt;"X",$F804&lt;&gt;"Réalisé",$F804&lt;&gt;"Clôturé"),"≤ 7 j",""))</f>
        <v/>
      </c>
      <c r="M804" s="29">
        <f>IF($B804="","",IFERROR(INDEX($T$4:$T$3183,MATCH(SMALL($V$4:$V$3183,801),$V$4:$V$3183,0)),""))</f>
        <v/>
      </c>
      <c r="O804">
        <f>IF(INDEX(Suivi!$B:$B,820)="","",INDEX(Suivi!$B:$B,820))</f>
        <v/>
      </c>
      <c r="P804">
        <f>IF($O804="","",IF(INDEX(Suivi!$D:$D,820)="",INDEX(Suivi!$C:$C,820),INDEX(Suivi!$D:$D,820)))</f>
        <v/>
      </c>
      <c r="Q804">
        <f>IF($O804="","",INDEX(Suivi!$E:$E,820))</f>
        <v/>
      </c>
      <c r="R804">
        <f>IF($O804="","",INDEX(Suivi!$F:$F,820))</f>
        <v/>
      </c>
      <c r="S804">
        <f>IF($O804="","",INDEX(Suivi!$G:$G,820))</f>
        <v/>
      </c>
      <c r="T804">
        <f>IF($O804="","",IF(INDEX(Dossiers!$F$4:$F$63,16)="","",INDEX(Dossiers!$F$4:$F$63,16)))</f>
        <v/>
      </c>
      <c r="U804">
        <f>IF($O804="","",IF(INDEX(Dossiers!$G$4:$G$63,16)="","",INDEX(Dossiers!$G$4:$G$63,16)))</f>
        <v/>
      </c>
      <c r="V804">
        <f>IF(OR($O804="",NOT(ISNUMBER($Q804))),"",$Q804*1000000+804)</f>
        <v/>
      </c>
      <c r="W804" s="29">
        <f>IF($B804="","",IFERROR(INDEX($U$4:$U$3183,MATCH(SMALL($V$4:$V$3183,801),$V$4:$V$3183,0)),""))</f>
        <v/>
      </c>
    </row>
    <row r="805">
      <c r="A805">
        <f>IFERROR(INDEX($N$4:$N$3183,MATCH(SMALL($V$4:$V$3183,802),$V$4:$V$3183,0)),"")</f>
        <v/>
      </c>
      <c r="B805">
        <f>IFERROR(INDEX($O$4:$O$3183,MATCH(SMALL($V$4:$V$3183,802),$V$4:$V$3183,0)),"")</f>
        <v/>
      </c>
      <c r="C805">
        <f>IFERROR(INDEX($P$4:$P$3183,MATCH(SMALL($V$4:$V$3183,802),$V$4:$V$3183,0)),"")</f>
        <v/>
      </c>
      <c r="D805" s="29">
        <f>IFERROR(INDEX($Q$4:$Q$3183,MATCH(SMALL($V$4:$V$3183,802),$V$4:$V$3183,0)),"")</f>
        <v/>
      </c>
      <c r="E805" s="29">
        <f>IFERROR(INDEX($R$4:$R$3183,MATCH(SMALL($V$4:$V$3183,802),$V$4:$V$3183,0)),"")</f>
        <v/>
      </c>
      <c r="F805">
        <f>IFERROR(INDEX($S$4:$S$3183,MATCH(SMALL($V$4:$V$3183,802),$V$4:$V$3183,0)),"")</f>
        <v/>
      </c>
      <c r="I805" s="29">
        <f>IF($B805="","",IFERROR(INDEX($U$4:$U$3183,MATCH(SMALL($V$4:$V$3183,802),$V$4:$V$3183,0)),""))</f>
        <v/>
      </c>
      <c r="J805">
        <f>IF($B805="","",IF($D805&gt;$F$2,"À venir",IF($E805&lt;$D$2,"Passé","Dans la période")))</f>
        <v/>
      </c>
      <c r="K805">
        <f>IF(OR($B805="",NOT(ISNUMBER($D805))),"",IF(AND($E805&lt;$D$2,$G805&lt;&gt;"X",$F805&lt;&gt;"Réalisé",$F805&lt;&gt;"Clôturé"),"RETARD",""))</f>
        <v/>
      </c>
      <c r="L805">
        <f>IF(OR($B805="",NOT(ISNUMBER($D805))),"",IF(AND($D805&gt;=$D$2,$D805&lt;=$H$2,$G805&lt;&gt;"X",$F805&lt;&gt;"Réalisé",$F805&lt;&gt;"Clôturé"),"≤ 7 j",""))</f>
        <v/>
      </c>
      <c r="M805" s="29">
        <f>IF($B805="","",IFERROR(INDEX($T$4:$T$3183,MATCH(SMALL($V$4:$V$3183,802),$V$4:$V$3183,0)),""))</f>
        <v/>
      </c>
      <c r="O805">
        <f>IF(INDEX(Suivi!$B:$B,821)="","",INDEX(Suivi!$B:$B,821))</f>
        <v/>
      </c>
      <c r="P805">
        <f>IF($O805="","",IF(INDEX(Suivi!$D:$D,821)="",INDEX(Suivi!$C:$C,821),INDEX(Suivi!$D:$D,821)))</f>
        <v/>
      </c>
      <c r="Q805">
        <f>IF($O805="","",INDEX(Suivi!$E:$E,821))</f>
        <v/>
      </c>
      <c r="R805">
        <f>IF($O805="","",INDEX(Suivi!$F:$F,821))</f>
        <v/>
      </c>
      <c r="S805">
        <f>IF($O805="","",INDEX(Suivi!$G:$G,821))</f>
        <v/>
      </c>
      <c r="T805">
        <f>IF($O805="","",IF(INDEX(Dossiers!$F$4:$F$63,16)="","",INDEX(Dossiers!$F$4:$F$63,16)))</f>
        <v/>
      </c>
      <c r="U805">
        <f>IF($O805="","",IF(INDEX(Dossiers!$G$4:$G$63,16)="","",INDEX(Dossiers!$G$4:$G$63,16)))</f>
        <v/>
      </c>
      <c r="V805">
        <f>IF(OR($O805="",NOT(ISNUMBER($Q805))),"",$Q805*1000000+805)</f>
        <v/>
      </c>
      <c r="W805" s="29">
        <f>IF($B805="","",IFERROR(INDEX($U$4:$U$3183,MATCH(SMALL($V$4:$V$3183,802),$V$4:$V$3183,0)),""))</f>
        <v/>
      </c>
    </row>
    <row r="806">
      <c r="A806">
        <f>IFERROR(INDEX($N$4:$N$3183,MATCH(SMALL($V$4:$V$3183,803),$V$4:$V$3183,0)),"")</f>
        <v/>
      </c>
      <c r="B806">
        <f>IFERROR(INDEX($O$4:$O$3183,MATCH(SMALL($V$4:$V$3183,803),$V$4:$V$3183,0)),"")</f>
        <v/>
      </c>
      <c r="C806">
        <f>IFERROR(INDEX($P$4:$P$3183,MATCH(SMALL($V$4:$V$3183,803),$V$4:$V$3183,0)),"")</f>
        <v/>
      </c>
      <c r="D806" s="29">
        <f>IFERROR(INDEX($Q$4:$Q$3183,MATCH(SMALL($V$4:$V$3183,803),$V$4:$V$3183,0)),"")</f>
        <v/>
      </c>
      <c r="E806" s="29">
        <f>IFERROR(INDEX($R$4:$R$3183,MATCH(SMALL($V$4:$V$3183,803),$V$4:$V$3183,0)),"")</f>
        <v/>
      </c>
      <c r="F806">
        <f>IFERROR(INDEX($S$4:$S$3183,MATCH(SMALL($V$4:$V$3183,803),$V$4:$V$3183,0)),"")</f>
        <v/>
      </c>
      <c r="I806" s="29">
        <f>IF($B806="","",IFERROR(INDEX($U$4:$U$3183,MATCH(SMALL($V$4:$V$3183,803),$V$4:$V$3183,0)),""))</f>
        <v/>
      </c>
      <c r="J806">
        <f>IF($B806="","",IF($D806&gt;$F$2,"À venir",IF($E806&lt;$D$2,"Passé","Dans la période")))</f>
        <v/>
      </c>
      <c r="K806">
        <f>IF(OR($B806="",NOT(ISNUMBER($D806))),"",IF(AND($E806&lt;$D$2,$G806&lt;&gt;"X",$F806&lt;&gt;"Réalisé",$F806&lt;&gt;"Clôturé"),"RETARD",""))</f>
        <v/>
      </c>
      <c r="L806">
        <f>IF(OR($B806="",NOT(ISNUMBER($D806))),"",IF(AND($D806&gt;=$D$2,$D806&lt;=$H$2,$G806&lt;&gt;"X",$F806&lt;&gt;"Réalisé",$F806&lt;&gt;"Clôturé"),"≤ 7 j",""))</f>
        <v/>
      </c>
      <c r="M806" s="29">
        <f>IF($B806="","",IFERROR(INDEX($T$4:$T$3183,MATCH(SMALL($V$4:$V$3183,803),$V$4:$V$3183,0)),""))</f>
        <v/>
      </c>
      <c r="O806">
        <f>IF(INDEX(Suivi!$B:$B,822)="","",INDEX(Suivi!$B:$B,822))</f>
        <v/>
      </c>
      <c r="P806">
        <f>IF($O806="","",IF(INDEX(Suivi!$D:$D,822)="",INDEX(Suivi!$C:$C,822),INDEX(Suivi!$D:$D,822)))</f>
        <v/>
      </c>
      <c r="Q806">
        <f>IF($O806="","",INDEX(Suivi!$E:$E,822))</f>
        <v/>
      </c>
      <c r="R806">
        <f>IF($O806="","",INDEX(Suivi!$F:$F,822))</f>
        <v/>
      </c>
      <c r="S806">
        <f>IF($O806="","",INDEX(Suivi!$G:$G,822))</f>
        <v/>
      </c>
      <c r="T806">
        <f>IF($O806="","",IF(INDEX(Dossiers!$F$4:$F$63,16)="","",INDEX(Dossiers!$F$4:$F$63,16)))</f>
        <v/>
      </c>
      <c r="U806">
        <f>IF($O806="","",IF(INDEX(Dossiers!$G$4:$G$63,16)="","",INDEX(Dossiers!$G$4:$G$63,16)))</f>
        <v/>
      </c>
      <c r="V806">
        <f>IF(OR($O806="",NOT(ISNUMBER($Q806))),"",$Q806*1000000+806)</f>
        <v/>
      </c>
      <c r="W806" s="29">
        <f>IF($B806="","",IFERROR(INDEX($U$4:$U$3183,MATCH(SMALL($V$4:$V$3183,803),$V$4:$V$3183,0)),""))</f>
        <v/>
      </c>
    </row>
    <row r="807">
      <c r="A807">
        <f>IFERROR(INDEX($N$4:$N$3183,MATCH(SMALL($V$4:$V$3183,804),$V$4:$V$3183,0)),"")</f>
        <v/>
      </c>
      <c r="B807">
        <f>IFERROR(INDEX($O$4:$O$3183,MATCH(SMALL($V$4:$V$3183,804),$V$4:$V$3183,0)),"")</f>
        <v/>
      </c>
      <c r="C807">
        <f>IFERROR(INDEX($P$4:$P$3183,MATCH(SMALL($V$4:$V$3183,804),$V$4:$V$3183,0)),"")</f>
        <v/>
      </c>
      <c r="D807" s="29">
        <f>IFERROR(INDEX($Q$4:$Q$3183,MATCH(SMALL($V$4:$V$3183,804),$V$4:$V$3183,0)),"")</f>
        <v/>
      </c>
      <c r="E807" s="29">
        <f>IFERROR(INDEX($R$4:$R$3183,MATCH(SMALL($V$4:$V$3183,804),$V$4:$V$3183,0)),"")</f>
        <v/>
      </c>
      <c r="F807">
        <f>IFERROR(INDEX($S$4:$S$3183,MATCH(SMALL($V$4:$V$3183,804),$V$4:$V$3183,0)),"")</f>
        <v/>
      </c>
      <c r="I807" s="29">
        <f>IF($B807="","",IFERROR(INDEX($U$4:$U$3183,MATCH(SMALL($V$4:$V$3183,804),$V$4:$V$3183,0)),""))</f>
        <v/>
      </c>
      <c r="J807">
        <f>IF($B807="","",IF($D807&gt;$F$2,"À venir",IF($E807&lt;$D$2,"Passé","Dans la période")))</f>
        <v/>
      </c>
      <c r="K807">
        <f>IF(OR($B807="",NOT(ISNUMBER($D807))),"",IF(AND($E807&lt;$D$2,$G807&lt;&gt;"X",$F807&lt;&gt;"Réalisé",$F807&lt;&gt;"Clôturé"),"RETARD",""))</f>
        <v/>
      </c>
      <c r="L807">
        <f>IF(OR($B807="",NOT(ISNUMBER($D807))),"",IF(AND($D807&gt;=$D$2,$D807&lt;=$H$2,$G807&lt;&gt;"X",$F807&lt;&gt;"Réalisé",$F807&lt;&gt;"Clôturé"),"≤ 7 j",""))</f>
        <v/>
      </c>
      <c r="M807" s="29">
        <f>IF($B807="","",IFERROR(INDEX($T$4:$T$3183,MATCH(SMALL($V$4:$V$3183,804),$V$4:$V$3183,0)),""))</f>
        <v/>
      </c>
      <c r="O807">
        <f>IF(INDEX(Suivi!$B:$B,823)="","",INDEX(Suivi!$B:$B,823))</f>
        <v/>
      </c>
      <c r="P807">
        <f>IF($O807="","",IF(INDEX(Suivi!$D:$D,823)="",INDEX(Suivi!$C:$C,823),INDEX(Suivi!$D:$D,823)))</f>
        <v/>
      </c>
      <c r="Q807">
        <f>IF($O807="","",INDEX(Suivi!$E:$E,823))</f>
        <v/>
      </c>
      <c r="R807">
        <f>IF($O807="","",INDEX(Suivi!$F:$F,823))</f>
        <v/>
      </c>
      <c r="S807">
        <f>IF($O807="","",INDEX(Suivi!$G:$G,823))</f>
        <v/>
      </c>
      <c r="T807">
        <f>IF($O807="","",IF(INDEX(Dossiers!$F$4:$F$63,16)="","",INDEX(Dossiers!$F$4:$F$63,16)))</f>
        <v/>
      </c>
      <c r="U807">
        <f>IF($O807="","",IF(INDEX(Dossiers!$G$4:$G$63,16)="","",INDEX(Dossiers!$G$4:$G$63,16)))</f>
        <v/>
      </c>
      <c r="V807">
        <f>IF(OR($O807="",NOT(ISNUMBER($Q807))),"",$Q807*1000000+807)</f>
        <v/>
      </c>
      <c r="W807" s="29">
        <f>IF($B807="","",IFERROR(INDEX($U$4:$U$3183,MATCH(SMALL($V$4:$V$3183,804),$V$4:$V$3183,0)),""))</f>
        <v/>
      </c>
    </row>
    <row r="808">
      <c r="A808">
        <f>IFERROR(INDEX($N$4:$N$3183,MATCH(SMALL($V$4:$V$3183,805),$V$4:$V$3183,0)),"")</f>
        <v/>
      </c>
      <c r="B808">
        <f>IFERROR(INDEX($O$4:$O$3183,MATCH(SMALL($V$4:$V$3183,805),$V$4:$V$3183,0)),"")</f>
        <v/>
      </c>
      <c r="C808">
        <f>IFERROR(INDEX($P$4:$P$3183,MATCH(SMALL($V$4:$V$3183,805),$V$4:$V$3183,0)),"")</f>
        <v/>
      </c>
      <c r="D808" s="29">
        <f>IFERROR(INDEX($Q$4:$Q$3183,MATCH(SMALL($V$4:$V$3183,805),$V$4:$V$3183,0)),"")</f>
        <v/>
      </c>
      <c r="E808" s="29">
        <f>IFERROR(INDEX($R$4:$R$3183,MATCH(SMALL($V$4:$V$3183,805),$V$4:$V$3183,0)),"")</f>
        <v/>
      </c>
      <c r="F808">
        <f>IFERROR(INDEX($S$4:$S$3183,MATCH(SMALL($V$4:$V$3183,805),$V$4:$V$3183,0)),"")</f>
        <v/>
      </c>
      <c r="I808" s="29">
        <f>IF($B808="","",IFERROR(INDEX($U$4:$U$3183,MATCH(SMALL($V$4:$V$3183,805),$V$4:$V$3183,0)),""))</f>
        <v/>
      </c>
      <c r="J808">
        <f>IF($B808="","",IF($D808&gt;$F$2,"À venir",IF($E808&lt;$D$2,"Passé","Dans la période")))</f>
        <v/>
      </c>
      <c r="K808">
        <f>IF(OR($B808="",NOT(ISNUMBER($D808))),"",IF(AND($E808&lt;$D$2,$G808&lt;&gt;"X",$F808&lt;&gt;"Réalisé",$F808&lt;&gt;"Clôturé"),"RETARD",""))</f>
        <v/>
      </c>
      <c r="L808">
        <f>IF(OR($B808="",NOT(ISNUMBER($D808))),"",IF(AND($D808&gt;=$D$2,$D808&lt;=$H$2,$G808&lt;&gt;"X",$F808&lt;&gt;"Réalisé",$F808&lt;&gt;"Clôturé"),"≤ 7 j",""))</f>
        <v/>
      </c>
      <c r="M808" s="29">
        <f>IF($B808="","",IFERROR(INDEX($T$4:$T$3183,MATCH(SMALL($V$4:$V$3183,805),$V$4:$V$3183,0)),""))</f>
        <v/>
      </c>
      <c r="O808">
        <f>IF(INDEX(Suivi!$B:$B,824)="","",INDEX(Suivi!$B:$B,824))</f>
        <v/>
      </c>
      <c r="P808">
        <f>IF($O808="","",IF(INDEX(Suivi!$D:$D,824)="",INDEX(Suivi!$C:$C,824),INDEX(Suivi!$D:$D,824)))</f>
        <v/>
      </c>
      <c r="Q808">
        <f>IF($O808="","",INDEX(Suivi!$E:$E,824))</f>
        <v/>
      </c>
      <c r="R808">
        <f>IF($O808="","",INDEX(Suivi!$F:$F,824))</f>
        <v/>
      </c>
      <c r="S808">
        <f>IF($O808="","",INDEX(Suivi!$G:$G,824))</f>
        <v/>
      </c>
      <c r="T808">
        <f>IF($O808="","",IF(INDEX(Dossiers!$F$4:$F$63,16)="","",INDEX(Dossiers!$F$4:$F$63,16)))</f>
        <v/>
      </c>
      <c r="U808">
        <f>IF($O808="","",IF(INDEX(Dossiers!$G$4:$G$63,16)="","",INDEX(Dossiers!$G$4:$G$63,16)))</f>
        <v/>
      </c>
      <c r="V808">
        <f>IF(OR($O808="",NOT(ISNUMBER($Q808))),"",$Q808*1000000+808)</f>
        <v/>
      </c>
      <c r="W808" s="29">
        <f>IF($B808="","",IFERROR(INDEX($U$4:$U$3183,MATCH(SMALL($V$4:$V$3183,805),$V$4:$V$3183,0)),""))</f>
        <v/>
      </c>
    </row>
    <row r="809">
      <c r="A809">
        <f>IFERROR(INDEX($N$4:$N$3183,MATCH(SMALL($V$4:$V$3183,806),$V$4:$V$3183,0)),"")</f>
        <v/>
      </c>
      <c r="B809">
        <f>IFERROR(INDEX($O$4:$O$3183,MATCH(SMALL($V$4:$V$3183,806),$V$4:$V$3183,0)),"")</f>
        <v/>
      </c>
      <c r="C809">
        <f>IFERROR(INDEX($P$4:$P$3183,MATCH(SMALL($V$4:$V$3183,806),$V$4:$V$3183,0)),"")</f>
        <v/>
      </c>
      <c r="D809" s="29">
        <f>IFERROR(INDEX($Q$4:$Q$3183,MATCH(SMALL($V$4:$V$3183,806),$V$4:$V$3183,0)),"")</f>
        <v/>
      </c>
      <c r="E809" s="29">
        <f>IFERROR(INDEX($R$4:$R$3183,MATCH(SMALL($V$4:$V$3183,806),$V$4:$V$3183,0)),"")</f>
        <v/>
      </c>
      <c r="F809">
        <f>IFERROR(INDEX($S$4:$S$3183,MATCH(SMALL($V$4:$V$3183,806),$V$4:$V$3183,0)),"")</f>
        <v/>
      </c>
      <c r="I809" s="29">
        <f>IF($B809="","",IFERROR(INDEX($U$4:$U$3183,MATCH(SMALL($V$4:$V$3183,806),$V$4:$V$3183,0)),""))</f>
        <v/>
      </c>
      <c r="J809">
        <f>IF($B809="","",IF($D809&gt;$F$2,"À venir",IF($E809&lt;$D$2,"Passé","Dans la période")))</f>
        <v/>
      </c>
      <c r="K809">
        <f>IF(OR($B809="",NOT(ISNUMBER($D809))),"",IF(AND($E809&lt;$D$2,$G809&lt;&gt;"X",$F809&lt;&gt;"Réalisé",$F809&lt;&gt;"Clôturé"),"RETARD",""))</f>
        <v/>
      </c>
      <c r="L809">
        <f>IF(OR($B809="",NOT(ISNUMBER($D809))),"",IF(AND($D809&gt;=$D$2,$D809&lt;=$H$2,$G809&lt;&gt;"X",$F809&lt;&gt;"Réalisé",$F809&lt;&gt;"Clôturé"),"≤ 7 j",""))</f>
        <v/>
      </c>
      <c r="M809" s="29">
        <f>IF($B809="","",IFERROR(INDEX($T$4:$T$3183,MATCH(SMALL($V$4:$V$3183,806),$V$4:$V$3183,0)),""))</f>
        <v/>
      </c>
      <c r="O809">
        <f>IF(INDEX(Suivi!$B:$B,825)="","",INDEX(Suivi!$B:$B,825))</f>
        <v/>
      </c>
      <c r="P809">
        <f>IF($O809="","",IF(INDEX(Suivi!$D:$D,825)="",INDEX(Suivi!$C:$C,825),INDEX(Suivi!$D:$D,825)))</f>
        <v/>
      </c>
      <c r="Q809">
        <f>IF($O809="","",INDEX(Suivi!$E:$E,825))</f>
        <v/>
      </c>
      <c r="R809">
        <f>IF($O809="","",INDEX(Suivi!$F:$F,825))</f>
        <v/>
      </c>
      <c r="S809">
        <f>IF($O809="","",INDEX(Suivi!$G:$G,825))</f>
        <v/>
      </c>
      <c r="T809">
        <f>IF($O809="","",IF(INDEX(Dossiers!$F$4:$F$63,16)="","",INDEX(Dossiers!$F$4:$F$63,16)))</f>
        <v/>
      </c>
      <c r="U809">
        <f>IF($O809="","",IF(INDEX(Dossiers!$G$4:$G$63,16)="","",INDEX(Dossiers!$G$4:$G$63,16)))</f>
        <v/>
      </c>
      <c r="V809">
        <f>IF(OR($O809="",NOT(ISNUMBER($Q809))),"",$Q809*1000000+809)</f>
        <v/>
      </c>
      <c r="W809" s="29">
        <f>IF($B809="","",IFERROR(INDEX($U$4:$U$3183,MATCH(SMALL($V$4:$V$3183,806),$V$4:$V$3183,0)),""))</f>
        <v/>
      </c>
    </row>
    <row r="810">
      <c r="A810">
        <f>IFERROR(INDEX($N$4:$N$3183,MATCH(SMALL($V$4:$V$3183,807),$V$4:$V$3183,0)),"")</f>
        <v/>
      </c>
      <c r="B810">
        <f>IFERROR(INDEX($O$4:$O$3183,MATCH(SMALL($V$4:$V$3183,807),$V$4:$V$3183,0)),"")</f>
        <v/>
      </c>
      <c r="C810">
        <f>IFERROR(INDEX($P$4:$P$3183,MATCH(SMALL($V$4:$V$3183,807),$V$4:$V$3183,0)),"")</f>
        <v/>
      </c>
      <c r="D810" s="29">
        <f>IFERROR(INDEX($Q$4:$Q$3183,MATCH(SMALL($V$4:$V$3183,807),$V$4:$V$3183,0)),"")</f>
        <v/>
      </c>
      <c r="E810" s="29">
        <f>IFERROR(INDEX($R$4:$R$3183,MATCH(SMALL($V$4:$V$3183,807),$V$4:$V$3183,0)),"")</f>
        <v/>
      </c>
      <c r="F810">
        <f>IFERROR(INDEX($S$4:$S$3183,MATCH(SMALL($V$4:$V$3183,807),$V$4:$V$3183,0)),"")</f>
        <v/>
      </c>
      <c r="I810" s="29">
        <f>IF($B810="","",IFERROR(INDEX($U$4:$U$3183,MATCH(SMALL($V$4:$V$3183,807),$V$4:$V$3183,0)),""))</f>
        <v/>
      </c>
      <c r="J810">
        <f>IF($B810="","",IF($D810&gt;$F$2,"À venir",IF($E810&lt;$D$2,"Passé","Dans la période")))</f>
        <v/>
      </c>
      <c r="K810">
        <f>IF(OR($B810="",NOT(ISNUMBER($D810))),"",IF(AND($E810&lt;$D$2,$G810&lt;&gt;"X",$F810&lt;&gt;"Réalisé",$F810&lt;&gt;"Clôturé"),"RETARD",""))</f>
        <v/>
      </c>
      <c r="L810">
        <f>IF(OR($B810="",NOT(ISNUMBER($D810))),"",IF(AND($D810&gt;=$D$2,$D810&lt;=$H$2,$G810&lt;&gt;"X",$F810&lt;&gt;"Réalisé",$F810&lt;&gt;"Clôturé"),"≤ 7 j",""))</f>
        <v/>
      </c>
      <c r="M810" s="29">
        <f>IF($B810="","",IFERROR(INDEX($T$4:$T$3183,MATCH(SMALL($V$4:$V$3183,807),$V$4:$V$3183,0)),""))</f>
        <v/>
      </c>
      <c r="O810">
        <f>IF(INDEX(Suivi!$B:$B,826)="","",INDEX(Suivi!$B:$B,826))</f>
        <v/>
      </c>
      <c r="P810">
        <f>IF($O810="","",IF(INDEX(Suivi!$D:$D,826)="",INDEX(Suivi!$C:$C,826),INDEX(Suivi!$D:$D,826)))</f>
        <v/>
      </c>
      <c r="Q810">
        <f>IF($O810="","",INDEX(Suivi!$E:$E,826))</f>
        <v/>
      </c>
      <c r="R810">
        <f>IF($O810="","",INDEX(Suivi!$F:$F,826))</f>
        <v/>
      </c>
      <c r="S810">
        <f>IF($O810="","",INDEX(Suivi!$G:$G,826))</f>
        <v/>
      </c>
      <c r="T810">
        <f>IF($O810="","",IF(INDEX(Dossiers!$F$4:$F$63,16)="","",INDEX(Dossiers!$F$4:$F$63,16)))</f>
        <v/>
      </c>
      <c r="U810">
        <f>IF($O810="","",IF(INDEX(Dossiers!$G$4:$G$63,16)="","",INDEX(Dossiers!$G$4:$G$63,16)))</f>
        <v/>
      </c>
      <c r="V810">
        <f>IF(OR($O810="",NOT(ISNUMBER($Q810))),"",$Q810*1000000+810)</f>
        <v/>
      </c>
      <c r="W810" s="29">
        <f>IF($B810="","",IFERROR(INDEX($U$4:$U$3183,MATCH(SMALL($V$4:$V$3183,807),$V$4:$V$3183,0)),""))</f>
        <v/>
      </c>
    </row>
    <row r="811">
      <c r="A811">
        <f>IFERROR(INDEX($N$4:$N$3183,MATCH(SMALL($V$4:$V$3183,808),$V$4:$V$3183,0)),"")</f>
        <v/>
      </c>
      <c r="B811">
        <f>IFERROR(INDEX($O$4:$O$3183,MATCH(SMALL($V$4:$V$3183,808),$V$4:$V$3183,0)),"")</f>
        <v/>
      </c>
      <c r="C811">
        <f>IFERROR(INDEX($P$4:$P$3183,MATCH(SMALL($V$4:$V$3183,808),$V$4:$V$3183,0)),"")</f>
        <v/>
      </c>
      <c r="D811" s="29">
        <f>IFERROR(INDEX($Q$4:$Q$3183,MATCH(SMALL($V$4:$V$3183,808),$V$4:$V$3183,0)),"")</f>
        <v/>
      </c>
      <c r="E811" s="29">
        <f>IFERROR(INDEX($R$4:$R$3183,MATCH(SMALL($V$4:$V$3183,808),$V$4:$V$3183,0)),"")</f>
        <v/>
      </c>
      <c r="F811">
        <f>IFERROR(INDEX($S$4:$S$3183,MATCH(SMALL($V$4:$V$3183,808),$V$4:$V$3183,0)),"")</f>
        <v/>
      </c>
      <c r="I811" s="29">
        <f>IF($B811="","",IFERROR(INDEX($U$4:$U$3183,MATCH(SMALL($V$4:$V$3183,808),$V$4:$V$3183,0)),""))</f>
        <v/>
      </c>
      <c r="J811">
        <f>IF($B811="","",IF($D811&gt;$F$2,"À venir",IF($E811&lt;$D$2,"Passé","Dans la période")))</f>
        <v/>
      </c>
      <c r="K811">
        <f>IF(OR($B811="",NOT(ISNUMBER($D811))),"",IF(AND($E811&lt;$D$2,$G811&lt;&gt;"X",$F811&lt;&gt;"Réalisé",$F811&lt;&gt;"Clôturé"),"RETARD",""))</f>
        <v/>
      </c>
      <c r="L811">
        <f>IF(OR($B811="",NOT(ISNUMBER($D811))),"",IF(AND($D811&gt;=$D$2,$D811&lt;=$H$2,$G811&lt;&gt;"X",$F811&lt;&gt;"Réalisé",$F811&lt;&gt;"Clôturé"),"≤ 7 j",""))</f>
        <v/>
      </c>
      <c r="M811" s="29">
        <f>IF($B811="","",IFERROR(INDEX($T$4:$T$3183,MATCH(SMALL($V$4:$V$3183,808),$V$4:$V$3183,0)),""))</f>
        <v/>
      </c>
      <c r="O811">
        <f>IF(INDEX(Suivi!$B:$B,827)="","",INDEX(Suivi!$B:$B,827))</f>
        <v/>
      </c>
      <c r="P811">
        <f>IF($O811="","",IF(INDEX(Suivi!$D:$D,827)="",INDEX(Suivi!$C:$C,827),INDEX(Suivi!$D:$D,827)))</f>
        <v/>
      </c>
      <c r="Q811">
        <f>IF($O811="","",INDEX(Suivi!$E:$E,827))</f>
        <v/>
      </c>
      <c r="R811">
        <f>IF($O811="","",INDEX(Suivi!$F:$F,827))</f>
        <v/>
      </c>
      <c r="S811">
        <f>IF($O811="","",INDEX(Suivi!$G:$G,827))</f>
        <v/>
      </c>
      <c r="T811">
        <f>IF($O811="","",IF(INDEX(Dossiers!$F$4:$F$63,16)="","",INDEX(Dossiers!$F$4:$F$63,16)))</f>
        <v/>
      </c>
      <c r="U811">
        <f>IF($O811="","",IF(INDEX(Dossiers!$G$4:$G$63,16)="","",INDEX(Dossiers!$G$4:$G$63,16)))</f>
        <v/>
      </c>
      <c r="V811">
        <f>IF(OR($O811="",NOT(ISNUMBER($Q811))),"",$Q811*1000000+811)</f>
        <v/>
      </c>
      <c r="W811" s="29">
        <f>IF($B811="","",IFERROR(INDEX($U$4:$U$3183,MATCH(SMALL($V$4:$V$3183,808),$V$4:$V$3183,0)),""))</f>
        <v/>
      </c>
    </row>
    <row r="812">
      <c r="A812">
        <f>IFERROR(INDEX($N$4:$N$3183,MATCH(SMALL($V$4:$V$3183,809),$V$4:$V$3183,0)),"")</f>
        <v/>
      </c>
      <c r="B812">
        <f>IFERROR(INDEX($O$4:$O$3183,MATCH(SMALL($V$4:$V$3183,809),$V$4:$V$3183,0)),"")</f>
        <v/>
      </c>
      <c r="C812">
        <f>IFERROR(INDEX($P$4:$P$3183,MATCH(SMALL($V$4:$V$3183,809),$V$4:$V$3183,0)),"")</f>
        <v/>
      </c>
      <c r="D812" s="29">
        <f>IFERROR(INDEX($Q$4:$Q$3183,MATCH(SMALL($V$4:$V$3183,809),$V$4:$V$3183,0)),"")</f>
        <v/>
      </c>
      <c r="E812" s="29">
        <f>IFERROR(INDEX($R$4:$R$3183,MATCH(SMALL($V$4:$V$3183,809),$V$4:$V$3183,0)),"")</f>
        <v/>
      </c>
      <c r="F812">
        <f>IFERROR(INDEX($S$4:$S$3183,MATCH(SMALL($V$4:$V$3183,809),$V$4:$V$3183,0)),"")</f>
        <v/>
      </c>
      <c r="I812" s="29">
        <f>IF($B812="","",IFERROR(INDEX($U$4:$U$3183,MATCH(SMALL($V$4:$V$3183,809),$V$4:$V$3183,0)),""))</f>
        <v/>
      </c>
      <c r="J812">
        <f>IF($B812="","",IF($D812&gt;$F$2,"À venir",IF($E812&lt;$D$2,"Passé","Dans la période")))</f>
        <v/>
      </c>
      <c r="K812">
        <f>IF(OR($B812="",NOT(ISNUMBER($D812))),"",IF(AND($E812&lt;$D$2,$G812&lt;&gt;"X",$F812&lt;&gt;"Réalisé",$F812&lt;&gt;"Clôturé"),"RETARD",""))</f>
        <v/>
      </c>
      <c r="L812">
        <f>IF(OR($B812="",NOT(ISNUMBER($D812))),"",IF(AND($D812&gt;=$D$2,$D812&lt;=$H$2,$G812&lt;&gt;"X",$F812&lt;&gt;"Réalisé",$F812&lt;&gt;"Clôturé"),"≤ 7 j",""))</f>
        <v/>
      </c>
      <c r="M812" s="29">
        <f>IF($B812="","",IFERROR(INDEX($T$4:$T$3183,MATCH(SMALL($V$4:$V$3183,809),$V$4:$V$3183,0)),""))</f>
        <v/>
      </c>
      <c r="O812">
        <f>IF(INDEX(Suivi!$B:$B,828)="","",INDEX(Suivi!$B:$B,828))</f>
        <v/>
      </c>
      <c r="P812">
        <f>IF($O812="","",IF(INDEX(Suivi!$D:$D,828)="",INDEX(Suivi!$C:$C,828),INDEX(Suivi!$D:$D,828)))</f>
        <v/>
      </c>
      <c r="Q812">
        <f>IF($O812="","",INDEX(Suivi!$E:$E,828))</f>
        <v/>
      </c>
      <c r="R812">
        <f>IF($O812="","",INDEX(Suivi!$F:$F,828))</f>
        <v/>
      </c>
      <c r="S812">
        <f>IF($O812="","",INDEX(Suivi!$G:$G,828))</f>
        <v/>
      </c>
      <c r="T812">
        <f>IF($O812="","",IF(INDEX(Dossiers!$F$4:$F$63,16)="","",INDEX(Dossiers!$F$4:$F$63,16)))</f>
        <v/>
      </c>
      <c r="U812">
        <f>IF($O812="","",IF(INDEX(Dossiers!$G$4:$G$63,16)="","",INDEX(Dossiers!$G$4:$G$63,16)))</f>
        <v/>
      </c>
      <c r="V812">
        <f>IF(OR($O812="",NOT(ISNUMBER($Q812))),"",$Q812*1000000+812)</f>
        <v/>
      </c>
      <c r="W812" s="29">
        <f>IF($B812="","",IFERROR(INDEX($U$4:$U$3183,MATCH(SMALL($V$4:$V$3183,809),$V$4:$V$3183,0)),""))</f>
        <v/>
      </c>
    </row>
    <row r="813">
      <c r="A813">
        <f>IFERROR(INDEX($N$4:$N$3183,MATCH(SMALL($V$4:$V$3183,810),$V$4:$V$3183,0)),"")</f>
        <v/>
      </c>
      <c r="B813">
        <f>IFERROR(INDEX($O$4:$O$3183,MATCH(SMALL($V$4:$V$3183,810),$V$4:$V$3183,0)),"")</f>
        <v/>
      </c>
      <c r="C813">
        <f>IFERROR(INDEX($P$4:$P$3183,MATCH(SMALL($V$4:$V$3183,810),$V$4:$V$3183,0)),"")</f>
        <v/>
      </c>
      <c r="D813" s="29">
        <f>IFERROR(INDEX($Q$4:$Q$3183,MATCH(SMALL($V$4:$V$3183,810),$V$4:$V$3183,0)),"")</f>
        <v/>
      </c>
      <c r="E813" s="29">
        <f>IFERROR(INDEX($R$4:$R$3183,MATCH(SMALL($V$4:$V$3183,810),$V$4:$V$3183,0)),"")</f>
        <v/>
      </c>
      <c r="F813">
        <f>IFERROR(INDEX($S$4:$S$3183,MATCH(SMALL($V$4:$V$3183,810),$V$4:$V$3183,0)),"")</f>
        <v/>
      </c>
      <c r="I813" s="29">
        <f>IF($B813="","",IFERROR(INDEX($U$4:$U$3183,MATCH(SMALL($V$4:$V$3183,810),$V$4:$V$3183,0)),""))</f>
        <v/>
      </c>
      <c r="J813">
        <f>IF($B813="","",IF($D813&gt;$F$2,"À venir",IF($E813&lt;$D$2,"Passé","Dans la période")))</f>
        <v/>
      </c>
      <c r="K813">
        <f>IF(OR($B813="",NOT(ISNUMBER($D813))),"",IF(AND($E813&lt;$D$2,$G813&lt;&gt;"X",$F813&lt;&gt;"Réalisé",$F813&lt;&gt;"Clôturé"),"RETARD",""))</f>
        <v/>
      </c>
      <c r="L813">
        <f>IF(OR($B813="",NOT(ISNUMBER($D813))),"",IF(AND($D813&gt;=$D$2,$D813&lt;=$H$2,$G813&lt;&gt;"X",$F813&lt;&gt;"Réalisé",$F813&lt;&gt;"Clôturé"),"≤ 7 j",""))</f>
        <v/>
      </c>
      <c r="M813" s="29">
        <f>IF($B813="","",IFERROR(INDEX($T$4:$T$3183,MATCH(SMALL($V$4:$V$3183,810),$V$4:$V$3183,0)),""))</f>
        <v/>
      </c>
      <c r="O813">
        <f>IF(INDEX(Suivi!$B:$B,829)="","",INDEX(Suivi!$B:$B,829))</f>
        <v/>
      </c>
      <c r="P813">
        <f>IF($O813="","",IF(INDEX(Suivi!$D:$D,829)="",INDEX(Suivi!$C:$C,829),INDEX(Suivi!$D:$D,829)))</f>
        <v/>
      </c>
      <c r="Q813">
        <f>IF($O813="","",INDEX(Suivi!$E:$E,829))</f>
        <v/>
      </c>
      <c r="R813">
        <f>IF($O813="","",INDEX(Suivi!$F:$F,829))</f>
        <v/>
      </c>
      <c r="S813">
        <f>IF($O813="","",INDEX(Suivi!$G:$G,829))</f>
        <v/>
      </c>
      <c r="T813">
        <f>IF($O813="","",IF(INDEX(Dossiers!$F$4:$F$63,16)="","",INDEX(Dossiers!$F$4:$F$63,16)))</f>
        <v/>
      </c>
      <c r="U813">
        <f>IF($O813="","",IF(INDEX(Dossiers!$G$4:$G$63,16)="","",INDEX(Dossiers!$G$4:$G$63,16)))</f>
        <v/>
      </c>
      <c r="V813">
        <f>IF(OR($O813="",NOT(ISNUMBER($Q813))),"",$Q813*1000000+813)</f>
        <v/>
      </c>
      <c r="W813" s="29">
        <f>IF($B813="","",IFERROR(INDEX($U$4:$U$3183,MATCH(SMALL($V$4:$V$3183,810),$V$4:$V$3183,0)),""))</f>
        <v/>
      </c>
    </row>
    <row r="814">
      <c r="A814">
        <f>IFERROR(INDEX($N$4:$N$3183,MATCH(SMALL($V$4:$V$3183,811),$V$4:$V$3183,0)),"")</f>
        <v/>
      </c>
      <c r="B814">
        <f>IFERROR(INDEX($O$4:$O$3183,MATCH(SMALL($V$4:$V$3183,811),$V$4:$V$3183,0)),"")</f>
        <v/>
      </c>
      <c r="C814">
        <f>IFERROR(INDEX($P$4:$P$3183,MATCH(SMALL($V$4:$V$3183,811),$V$4:$V$3183,0)),"")</f>
        <v/>
      </c>
      <c r="D814" s="29">
        <f>IFERROR(INDEX($Q$4:$Q$3183,MATCH(SMALL($V$4:$V$3183,811),$V$4:$V$3183,0)),"")</f>
        <v/>
      </c>
      <c r="E814" s="29">
        <f>IFERROR(INDEX($R$4:$R$3183,MATCH(SMALL($V$4:$V$3183,811),$V$4:$V$3183,0)),"")</f>
        <v/>
      </c>
      <c r="F814">
        <f>IFERROR(INDEX($S$4:$S$3183,MATCH(SMALL($V$4:$V$3183,811),$V$4:$V$3183,0)),"")</f>
        <v/>
      </c>
      <c r="I814" s="29">
        <f>IF($B814="","",IFERROR(INDEX($U$4:$U$3183,MATCH(SMALL($V$4:$V$3183,811),$V$4:$V$3183,0)),""))</f>
        <v/>
      </c>
      <c r="J814">
        <f>IF($B814="","",IF($D814&gt;$F$2,"À venir",IF($E814&lt;$D$2,"Passé","Dans la période")))</f>
        <v/>
      </c>
      <c r="K814">
        <f>IF(OR($B814="",NOT(ISNUMBER($D814))),"",IF(AND($E814&lt;$D$2,$G814&lt;&gt;"X",$F814&lt;&gt;"Réalisé",$F814&lt;&gt;"Clôturé"),"RETARD",""))</f>
        <v/>
      </c>
      <c r="L814">
        <f>IF(OR($B814="",NOT(ISNUMBER($D814))),"",IF(AND($D814&gt;=$D$2,$D814&lt;=$H$2,$G814&lt;&gt;"X",$F814&lt;&gt;"Réalisé",$F814&lt;&gt;"Clôturé"),"≤ 7 j",""))</f>
        <v/>
      </c>
      <c r="M814" s="29">
        <f>IF($B814="","",IFERROR(INDEX($T$4:$T$3183,MATCH(SMALL($V$4:$V$3183,811),$V$4:$V$3183,0)),""))</f>
        <v/>
      </c>
      <c r="O814">
        <f>IF(INDEX(Suivi!$B:$B,830)="","",INDEX(Suivi!$B:$B,830))</f>
        <v/>
      </c>
      <c r="P814">
        <f>IF($O814="","",IF(INDEX(Suivi!$D:$D,830)="",INDEX(Suivi!$C:$C,830),INDEX(Suivi!$D:$D,830)))</f>
        <v/>
      </c>
      <c r="Q814">
        <f>IF($O814="","",INDEX(Suivi!$E:$E,830))</f>
        <v/>
      </c>
      <c r="R814">
        <f>IF($O814="","",INDEX(Suivi!$F:$F,830))</f>
        <v/>
      </c>
      <c r="S814">
        <f>IF($O814="","",INDEX(Suivi!$G:$G,830))</f>
        <v/>
      </c>
      <c r="T814">
        <f>IF($O814="","",IF(INDEX(Dossiers!$F$4:$F$63,16)="","",INDEX(Dossiers!$F$4:$F$63,16)))</f>
        <v/>
      </c>
      <c r="U814">
        <f>IF($O814="","",IF(INDEX(Dossiers!$G$4:$G$63,16)="","",INDEX(Dossiers!$G$4:$G$63,16)))</f>
        <v/>
      </c>
      <c r="V814">
        <f>IF(OR($O814="",NOT(ISNUMBER($Q814))),"",$Q814*1000000+814)</f>
        <v/>
      </c>
      <c r="W814" s="29">
        <f>IF($B814="","",IFERROR(INDEX($U$4:$U$3183,MATCH(SMALL($V$4:$V$3183,811),$V$4:$V$3183,0)),""))</f>
        <v/>
      </c>
    </row>
    <row r="815">
      <c r="A815">
        <f>IFERROR(INDEX($N$4:$N$3183,MATCH(SMALL($V$4:$V$3183,812),$V$4:$V$3183,0)),"")</f>
        <v/>
      </c>
      <c r="B815">
        <f>IFERROR(INDEX($O$4:$O$3183,MATCH(SMALL($V$4:$V$3183,812),$V$4:$V$3183,0)),"")</f>
        <v/>
      </c>
      <c r="C815">
        <f>IFERROR(INDEX($P$4:$P$3183,MATCH(SMALL($V$4:$V$3183,812),$V$4:$V$3183,0)),"")</f>
        <v/>
      </c>
      <c r="D815" s="29">
        <f>IFERROR(INDEX($Q$4:$Q$3183,MATCH(SMALL($V$4:$V$3183,812),$V$4:$V$3183,0)),"")</f>
        <v/>
      </c>
      <c r="E815" s="29">
        <f>IFERROR(INDEX($R$4:$R$3183,MATCH(SMALL($V$4:$V$3183,812),$V$4:$V$3183,0)),"")</f>
        <v/>
      </c>
      <c r="F815">
        <f>IFERROR(INDEX($S$4:$S$3183,MATCH(SMALL($V$4:$V$3183,812),$V$4:$V$3183,0)),"")</f>
        <v/>
      </c>
      <c r="I815" s="29">
        <f>IF($B815="","",IFERROR(INDEX($U$4:$U$3183,MATCH(SMALL($V$4:$V$3183,812),$V$4:$V$3183,0)),""))</f>
        <v/>
      </c>
      <c r="J815">
        <f>IF($B815="","",IF($D815&gt;$F$2,"À venir",IF($E815&lt;$D$2,"Passé","Dans la période")))</f>
        <v/>
      </c>
      <c r="K815">
        <f>IF(OR($B815="",NOT(ISNUMBER($D815))),"",IF(AND($E815&lt;$D$2,$G815&lt;&gt;"X",$F815&lt;&gt;"Réalisé",$F815&lt;&gt;"Clôturé"),"RETARD",""))</f>
        <v/>
      </c>
      <c r="L815">
        <f>IF(OR($B815="",NOT(ISNUMBER($D815))),"",IF(AND($D815&gt;=$D$2,$D815&lt;=$H$2,$G815&lt;&gt;"X",$F815&lt;&gt;"Réalisé",$F815&lt;&gt;"Clôturé"),"≤ 7 j",""))</f>
        <v/>
      </c>
      <c r="M815" s="29">
        <f>IF($B815="","",IFERROR(INDEX($T$4:$T$3183,MATCH(SMALL($V$4:$V$3183,812),$V$4:$V$3183,0)),""))</f>
        <v/>
      </c>
      <c r="O815">
        <f>IF(INDEX(Suivi!$B:$B,831)="","",INDEX(Suivi!$B:$B,831))</f>
        <v/>
      </c>
      <c r="P815">
        <f>IF($O815="","",IF(INDEX(Suivi!$D:$D,831)="",INDEX(Suivi!$C:$C,831),INDEX(Suivi!$D:$D,831)))</f>
        <v/>
      </c>
      <c r="Q815">
        <f>IF($O815="","",INDEX(Suivi!$E:$E,831))</f>
        <v/>
      </c>
      <c r="R815">
        <f>IF($O815="","",INDEX(Suivi!$F:$F,831))</f>
        <v/>
      </c>
      <c r="S815">
        <f>IF($O815="","",INDEX(Suivi!$G:$G,831))</f>
        <v/>
      </c>
      <c r="T815">
        <f>IF($O815="","",IF(INDEX(Dossiers!$F$4:$F$63,16)="","",INDEX(Dossiers!$F$4:$F$63,16)))</f>
        <v/>
      </c>
      <c r="U815">
        <f>IF($O815="","",IF(INDEX(Dossiers!$G$4:$G$63,16)="","",INDEX(Dossiers!$G$4:$G$63,16)))</f>
        <v/>
      </c>
      <c r="V815">
        <f>IF(OR($O815="",NOT(ISNUMBER($Q815))),"",$Q815*1000000+815)</f>
        <v/>
      </c>
      <c r="W815" s="29">
        <f>IF($B815="","",IFERROR(INDEX($U$4:$U$3183,MATCH(SMALL($V$4:$V$3183,812),$V$4:$V$3183,0)),""))</f>
        <v/>
      </c>
    </row>
    <row r="816">
      <c r="A816">
        <f>IFERROR(INDEX($N$4:$N$3183,MATCH(SMALL($V$4:$V$3183,813),$V$4:$V$3183,0)),"")</f>
        <v/>
      </c>
      <c r="B816">
        <f>IFERROR(INDEX($O$4:$O$3183,MATCH(SMALL($V$4:$V$3183,813),$V$4:$V$3183,0)),"")</f>
        <v/>
      </c>
      <c r="C816">
        <f>IFERROR(INDEX($P$4:$P$3183,MATCH(SMALL($V$4:$V$3183,813),$V$4:$V$3183,0)),"")</f>
        <v/>
      </c>
      <c r="D816" s="29">
        <f>IFERROR(INDEX($Q$4:$Q$3183,MATCH(SMALL($V$4:$V$3183,813),$V$4:$V$3183,0)),"")</f>
        <v/>
      </c>
      <c r="E816" s="29">
        <f>IFERROR(INDEX($R$4:$R$3183,MATCH(SMALL($V$4:$V$3183,813),$V$4:$V$3183,0)),"")</f>
        <v/>
      </c>
      <c r="F816">
        <f>IFERROR(INDEX($S$4:$S$3183,MATCH(SMALL($V$4:$V$3183,813),$V$4:$V$3183,0)),"")</f>
        <v/>
      </c>
      <c r="I816" s="29">
        <f>IF($B816="","",IFERROR(INDEX($U$4:$U$3183,MATCH(SMALL($V$4:$V$3183,813),$V$4:$V$3183,0)),""))</f>
        <v/>
      </c>
      <c r="J816">
        <f>IF($B816="","",IF($D816&gt;$F$2,"À venir",IF($E816&lt;$D$2,"Passé","Dans la période")))</f>
        <v/>
      </c>
      <c r="K816">
        <f>IF(OR($B816="",NOT(ISNUMBER($D816))),"",IF(AND($E816&lt;$D$2,$G816&lt;&gt;"X",$F816&lt;&gt;"Réalisé",$F816&lt;&gt;"Clôturé"),"RETARD",""))</f>
        <v/>
      </c>
      <c r="L816">
        <f>IF(OR($B816="",NOT(ISNUMBER($D816))),"",IF(AND($D816&gt;=$D$2,$D816&lt;=$H$2,$G816&lt;&gt;"X",$F816&lt;&gt;"Réalisé",$F816&lt;&gt;"Clôturé"),"≤ 7 j",""))</f>
        <v/>
      </c>
      <c r="M816" s="29">
        <f>IF($B816="","",IFERROR(INDEX($T$4:$T$3183,MATCH(SMALL($V$4:$V$3183,813),$V$4:$V$3183,0)),""))</f>
        <v/>
      </c>
      <c r="O816">
        <f>IF(INDEX(Suivi!$B:$B,832)="","",INDEX(Suivi!$B:$B,832))</f>
        <v/>
      </c>
      <c r="P816">
        <f>IF($O816="","",IF(INDEX(Suivi!$D:$D,832)="",INDEX(Suivi!$C:$C,832),INDEX(Suivi!$D:$D,832)))</f>
        <v/>
      </c>
      <c r="Q816">
        <f>IF($O816="","",INDEX(Suivi!$E:$E,832))</f>
        <v/>
      </c>
      <c r="R816">
        <f>IF($O816="","",INDEX(Suivi!$F:$F,832))</f>
        <v/>
      </c>
      <c r="S816">
        <f>IF($O816="","",INDEX(Suivi!$G:$G,832))</f>
        <v/>
      </c>
      <c r="T816">
        <f>IF($O816="","",IF(INDEX(Dossiers!$F$4:$F$63,16)="","",INDEX(Dossiers!$F$4:$F$63,16)))</f>
        <v/>
      </c>
      <c r="U816">
        <f>IF($O816="","",IF(INDEX(Dossiers!$G$4:$G$63,16)="","",INDEX(Dossiers!$G$4:$G$63,16)))</f>
        <v/>
      </c>
      <c r="V816">
        <f>IF(OR($O816="",NOT(ISNUMBER($Q816))),"",$Q816*1000000+816)</f>
        <v/>
      </c>
      <c r="W816" s="29">
        <f>IF($B816="","",IFERROR(INDEX($U$4:$U$3183,MATCH(SMALL($V$4:$V$3183,813),$V$4:$V$3183,0)),""))</f>
        <v/>
      </c>
    </row>
    <row r="817">
      <c r="A817">
        <f>IFERROR(INDEX($N$4:$N$3183,MATCH(SMALL($V$4:$V$3183,814),$V$4:$V$3183,0)),"")</f>
        <v/>
      </c>
      <c r="B817">
        <f>IFERROR(INDEX($O$4:$O$3183,MATCH(SMALL($V$4:$V$3183,814),$V$4:$V$3183,0)),"")</f>
        <v/>
      </c>
      <c r="C817">
        <f>IFERROR(INDEX($P$4:$P$3183,MATCH(SMALL($V$4:$V$3183,814),$V$4:$V$3183,0)),"")</f>
        <v/>
      </c>
      <c r="D817" s="29">
        <f>IFERROR(INDEX($Q$4:$Q$3183,MATCH(SMALL($V$4:$V$3183,814),$V$4:$V$3183,0)),"")</f>
        <v/>
      </c>
      <c r="E817" s="29">
        <f>IFERROR(INDEX($R$4:$R$3183,MATCH(SMALL($V$4:$V$3183,814),$V$4:$V$3183,0)),"")</f>
        <v/>
      </c>
      <c r="F817">
        <f>IFERROR(INDEX($S$4:$S$3183,MATCH(SMALL($V$4:$V$3183,814),$V$4:$V$3183,0)),"")</f>
        <v/>
      </c>
      <c r="I817" s="29">
        <f>IF($B817="","",IFERROR(INDEX($U$4:$U$3183,MATCH(SMALL($V$4:$V$3183,814),$V$4:$V$3183,0)),""))</f>
        <v/>
      </c>
      <c r="J817">
        <f>IF($B817="","",IF($D817&gt;$F$2,"À venir",IF($E817&lt;$D$2,"Passé","Dans la période")))</f>
        <v/>
      </c>
      <c r="K817">
        <f>IF(OR($B817="",NOT(ISNUMBER($D817))),"",IF(AND($E817&lt;$D$2,$G817&lt;&gt;"X",$F817&lt;&gt;"Réalisé",$F817&lt;&gt;"Clôturé"),"RETARD",""))</f>
        <v/>
      </c>
      <c r="L817">
        <f>IF(OR($B817="",NOT(ISNUMBER($D817))),"",IF(AND($D817&gt;=$D$2,$D817&lt;=$H$2,$G817&lt;&gt;"X",$F817&lt;&gt;"Réalisé",$F817&lt;&gt;"Clôturé"),"≤ 7 j",""))</f>
        <v/>
      </c>
      <c r="M817" s="29">
        <f>IF($B817="","",IFERROR(INDEX($T$4:$T$3183,MATCH(SMALL($V$4:$V$3183,814),$V$4:$V$3183,0)),""))</f>
        <v/>
      </c>
      <c r="O817">
        <f>IF(INDEX(Suivi!$B:$B,833)="","",INDEX(Suivi!$B:$B,833))</f>
        <v/>
      </c>
      <c r="P817">
        <f>IF($O817="","",IF(INDEX(Suivi!$D:$D,833)="",INDEX(Suivi!$C:$C,833),INDEX(Suivi!$D:$D,833)))</f>
        <v/>
      </c>
      <c r="Q817">
        <f>IF($O817="","",INDEX(Suivi!$E:$E,833))</f>
        <v/>
      </c>
      <c r="R817">
        <f>IF($O817="","",INDEX(Suivi!$F:$F,833))</f>
        <v/>
      </c>
      <c r="S817">
        <f>IF($O817="","",INDEX(Suivi!$G:$G,833))</f>
        <v/>
      </c>
      <c r="T817">
        <f>IF($O817="","",IF(INDEX(Dossiers!$F$4:$F$63,16)="","",INDEX(Dossiers!$F$4:$F$63,16)))</f>
        <v/>
      </c>
      <c r="U817">
        <f>IF($O817="","",IF(INDEX(Dossiers!$G$4:$G$63,16)="","",INDEX(Dossiers!$G$4:$G$63,16)))</f>
        <v/>
      </c>
      <c r="V817">
        <f>IF(OR($O817="",NOT(ISNUMBER($Q817))),"",$Q817*1000000+817)</f>
        <v/>
      </c>
      <c r="W817" s="29">
        <f>IF($B817="","",IFERROR(INDEX($U$4:$U$3183,MATCH(SMALL($V$4:$V$3183,814),$V$4:$V$3183,0)),""))</f>
        <v/>
      </c>
    </row>
    <row r="818">
      <c r="A818">
        <f>IFERROR(INDEX($N$4:$N$3183,MATCH(SMALL($V$4:$V$3183,815),$V$4:$V$3183,0)),"")</f>
        <v/>
      </c>
      <c r="B818">
        <f>IFERROR(INDEX($O$4:$O$3183,MATCH(SMALL($V$4:$V$3183,815),$V$4:$V$3183,0)),"")</f>
        <v/>
      </c>
      <c r="C818">
        <f>IFERROR(INDEX($P$4:$P$3183,MATCH(SMALL($V$4:$V$3183,815),$V$4:$V$3183,0)),"")</f>
        <v/>
      </c>
      <c r="D818" s="29">
        <f>IFERROR(INDEX($Q$4:$Q$3183,MATCH(SMALL($V$4:$V$3183,815),$V$4:$V$3183,0)),"")</f>
        <v/>
      </c>
      <c r="E818" s="29">
        <f>IFERROR(INDEX($R$4:$R$3183,MATCH(SMALL($V$4:$V$3183,815),$V$4:$V$3183,0)),"")</f>
        <v/>
      </c>
      <c r="F818">
        <f>IFERROR(INDEX($S$4:$S$3183,MATCH(SMALL($V$4:$V$3183,815),$V$4:$V$3183,0)),"")</f>
        <v/>
      </c>
      <c r="I818" s="29">
        <f>IF($B818="","",IFERROR(INDEX($U$4:$U$3183,MATCH(SMALL($V$4:$V$3183,815),$V$4:$V$3183,0)),""))</f>
        <v/>
      </c>
      <c r="J818">
        <f>IF($B818="","",IF($D818&gt;$F$2,"À venir",IF($E818&lt;$D$2,"Passé","Dans la période")))</f>
        <v/>
      </c>
      <c r="K818">
        <f>IF(OR($B818="",NOT(ISNUMBER($D818))),"",IF(AND($E818&lt;$D$2,$G818&lt;&gt;"X",$F818&lt;&gt;"Réalisé",$F818&lt;&gt;"Clôturé"),"RETARD",""))</f>
        <v/>
      </c>
      <c r="L818">
        <f>IF(OR($B818="",NOT(ISNUMBER($D818))),"",IF(AND($D818&gt;=$D$2,$D818&lt;=$H$2,$G818&lt;&gt;"X",$F818&lt;&gt;"Réalisé",$F818&lt;&gt;"Clôturé"),"≤ 7 j",""))</f>
        <v/>
      </c>
      <c r="M818" s="29">
        <f>IF($B818="","",IFERROR(INDEX($T$4:$T$3183,MATCH(SMALL($V$4:$V$3183,815),$V$4:$V$3183,0)),""))</f>
        <v/>
      </c>
      <c r="O818">
        <f>IF(INDEX(Suivi!$B:$B,834)="","",INDEX(Suivi!$B:$B,834))</f>
        <v/>
      </c>
      <c r="P818">
        <f>IF($O818="","",IF(INDEX(Suivi!$D:$D,834)="",INDEX(Suivi!$C:$C,834),INDEX(Suivi!$D:$D,834)))</f>
        <v/>
      </c>
      <c r="Q818">
        <f>IF($O818="","",INDEX(Suivi!$E:$E,834))</f>
        <v/>
      </c>
      <c r="R818">
        <f>IF($O818="","",INDEX(Suivi!$F:$F,834))</f>
        <v/>
      </c>
      <c r="S818">
        <f>IF($O818="","",INDEX(Suivi!$G:$G,834))</f>
        <v/>
      </c>
      <c r="T818">
        <f>IF($O818="","",IF(INDEX(Dossiers!$F$4:$F$63,16)="","",INDEX(Dossiers!$F$4:$F$63,16)))</f>
        <v/>
      </c>
      <c r="U818">
        <f>IF($O818="","",IF(INDEX(Dossiers!$G$4:$G$63,16)="","",INDEX(Dossiers!$G$4:$G$63,16)))</f>
        <v/>
      </c>
      <c r="V818">
        <f>IF(OR($O818="",NOT(ISNUMBER($Q818))),"",$Q818*1000000+818)</f>
        <v/>
      </c>
      <c r="W818" s="29">
        <f>IF($B818="","",IFERROR(INDEX($U$4:$U$3183,MATCH(SMALL($V$4:$V$3183,815),$V$4:$V$3183,0)),""))</f>
        <v/>
      </c>
    </row>
    <row r="819">
      <c r="A819">
        <f>IFERROR(INDEX($N$4:$N$3183,MATCH(SMALL($V$4:$V$3183,816),$V$4:$V$3183,0)),"")</f>
        <v/>
      </c>
      <c r="B819">
        <f>IFERROR(INDEX($O$4:$O$3183,MATCH(SMALL($V$4:$V$3183,816),$V$4:$V$3183,0)),"")</f>
        <v/>
      </c>
      <c r="C819">
        <f>IFERROR(INDEX($P$4:$P$3183,MATCH(SMALL($V$4:$V$3183,816),$V$4:$V$3183,0)),"")</f>
        <v/>
      </c>
      <c r="D819" s="29">
        <f>IFERROR(INDEX($Q$4:$Q$3183,MATCH(SMALL($V$4:$V$3183,816),$V$4:$V$3183,0)),"")</f>
        <v/>
      </c>
      <c r="E819" s="29">
        <f>IFERROR(INDEX($R$4:$R$3183,MATCH(SMALL($V$4:$V$3183,816),$V$4:$V$3183,0)),"")</f>
        <v/>
      </c>
      <c r="F819">
        <f>IFERROR(INDEX($S$4:$S$3183,MATCH(SMALL($V$4:$V$3183,816),$V$4:$V$3183,0)),"")</f>
        <v/>
      </c>
      <c r="I819" s="29">
        <f>IF($B819="","",IFERROR(INDEX($U$4:$U$3183,MATCH(SMALL($V$4:$V$3183,816),$V$4:$V$3183,0)),""))</f>
        <v/>
      </c>
      <c r="J819">
        <f>IF($B819="","",IF($D819&gt;$F$2,"À venir",IF($E819&lt;$D$2,"Passé","Dans la période")))</f>
        <v/>
      </c>
      <c r="K819">
        <f>IF(OR($B819="",NOT(ISNUMBER($D819))),"",IF(AND($E819&lt;$D$2,$G819&lt;&gt;"X",$F819&lt;&gt;"Réalisé",$F819&lt;&gt;"Clôturé"),"RETARD",""))</f>
        <v/>
      </c>
      <c r="L819">
        <f>IF(OR($B819="",NOT(ISNUMBER($D819))),"",IF(AND($D819&gt;=$D$2,$D819&lt;=$H$2,$G819&lt;&gt;"X",$F819&lt;&gt;"Réalisé",$F819&lt;&gt;"Clôturé"),"≤ 7 j",""))</f>
        <v/>
      </c>
      <c r="M819" s="29">
        <f>IF($B819="","",IFERROR(INDEX($T$4:$T$3183,MATCH(SMALL($V$4:$V$3183,816),$V$4:$V$3183,0)),""))</f>
        <v/>
      </c>
      <c r="O819">
        <f>IF(INDEX(Suivi!$B:$B,835)="","",INDEX(Suivi!$B:$B,835))</f>
        <v/>
      </c>
      <c r="P819">
        <f>IF($O819="","",IF(INDEX(Suivi!$D:$D,835)="",INDEX(Suivi!$C:$C,835),INDEX(Suivi!$D:$D,835)))</f>
        <v/>
      </c>
      <c r="Q819">
        <f>IF($O819="","",INDEX(Suivi!$E:$E,835))</f>
        <v/>
      </c>
      <c r="R819">
        <f>IF($O819="","",INDEX(Suivi!$F:$F,835))</f>
        <v/>
      </c>
      <c r="S819">
        <f>IF($O819="","",INDEX(Suivi!$G:$G,835))</f>
        <v/>
      </c>
      <c r="T819">
        <f>IF($O819="","",IF(INDEX(Dossiers!$F$4:$F$63,16)="","",INDEX(Dossiers!$F$4:$F$63,16)))</f>
        <v/>
      </c>
      <c r="U819">
        <f>IF($O819="","",IF(INDEX(Dossiers!$G$4:$G$63,16)="","",INDEX(Dossiers!$G$4:$G$63,16)))</f>
        <v/>
      </c>
      <c r="V819">
        <f>IF(OR($O819="",NOT(ISNUMBER($Q819))),"",$Q819*1000000+819)</f>
        <v/>
      </c>
      <c r="W819" s="29">
        <f>IF($B819="","",IFERROR(INDEX($U$4:$U$3183,MATCH(SMALL($V$4:$V$3183,816),$V$4:$V$3183,0)),""))</f>
        <v/>
      </c>
    </row>
    <row r="820">
      <c r="A820">
        <f>IFERROR(INDEX($N$4:$N$3183,MATCH(SMALL($V$4:$V$3183,817),$V$4:$V$3183,0)),"")</f>
        <v/>
      </c>
      <c r="B820">
        <f>IFERROR(INDEX($O$4:$O$3183,MATCH(SMALL($V$4:$V$3183,817),$V$4:$V$3183,0)),"")</f>
        <v/>
      </c>
      <c r="C820">
        <f>IFERROR(INDEX($P$4:$P$3183,MATCH(SMALL($V$4:$V$3183,817),$V$4:$V$3183,0)),"")</f>
        <v/>
      </c>
      <c r="D820" s="29">
        <f>IFERROR(INDEX($Q$4:$Q$3183,MATCH(SMALL($V$4:$V$3183,817),$V$4:$V$3183,0)),"")</f>
        <v/>
      </c>
      <c r="E820" s="29">
        <f>IFERROR(INDEX($R$4:$R$3183,MATCH(SMALL($V$4:$V$3183,817),$V$4:$V$3183,0)),"")</f>
        <v/>
      </c>
      <c r="F820">
        <f>IFERROR(INDEX($S$4:$S$3183,MATCH(SMALL($V$4:$V$3183,817),$V$4:$V$3183,0)),"")</f>
        <v/>
      </c>
      <c r="I820" s="29">
        <f>IF($B820="","",IFERROR(INDEX($U$4:$U$3183,MATCH(SMALL($V$4:$V$3183,817),$V$4:$V$3183,0)),""))</f>
        <v/>
      </c>
      <c r="J820">
        <f>IF($B820="","",IF($D820&gt;$F$2,"À venir",IF($E820&lt;$D$2,"Passé","Dans la période")))</f>
        <v/>
      </c>
      <c r="K820">
        <f>IF(OR($B820="",NOT(ISNUMBER($D820))),"",IF(AND($E820&lt;$D$2,$G820&lt;&gt;"X",$F820&lt;&gt;"Réalisé",$F820&lt;&gt;"Clôturé"),"RETARD",""))</f>
        <v/>
      </c>
      <c r="L820">
        <f>IF(OR($B820="",NOT(ISNUMBER($D820))),"",IF(AND($D820&gt;=$D$2,$D820&lt;=$H$2,$G820&lt;&gt;"X",$F820&lt;&gt;"Réalisé",$F820&lt;&gt;"Clôturé"),"≤ 7 j",""))</f>
        <v/>
      </c>
      <c r="M820" s="29">
        <f>IF($B820="","",IFERROR(INDEX($T$4:$T$3183,MATCH(SMALL($V$4:$V$3183,817),$V$4:$V$3183,0)),""))</f>
        <v/>
      </c>
      <c r="O820">
        <f>IF(INDEX(Suivi!$B:$B,836)="","",INDEX(Suivi!$B:$B,836))</f>
        <v/>
      </c>
      <c r="P820">
        <f>IF($O820="","",IF(INDEX(Suivi!$D:$D,836)="",INDEX(Suivi!$C:$C,836),INDEX(Suivi!$D:$D,836)))</f>
        <v/>
      </c>
      <c r="Q820">
        <f>IF($O820="","",INDEX(Suivi!$E:$E,836))</f>
        <v/>
      </c>
      <c r="R820">
        <f>IF($O820="","",INDEX(Suivi!$F:$F,836))</f>
        <v/>
      </c>
      <c r="S820">
        <f>IF($O820="","",INDEX(Suivi!$G:$G,836))</f>
        <v/>
      </c>
      <c r="T820">
        <f>IF($O820="","",IF(INDEX(Dossiers!$F$4:$F$63,16)="","",INDEX(Dossiers!$F$4:$F$63,16)))</f>
        <v/>
      </c>
      <c r="U820">
        <f>IF($O820="","",IF(INDEX(Dossiers!$G$4:$G$63,16)="","",INDEX(Dossiers!$G$4:$G$63,16)))</f>
        <v/>
      </c>
      <c r="V820">
        <f>IF(OR($O820="",NOT(ISNUMBER($Q820))),"",$Q820*1000000+820)</f>
        <v/>
      </c>
      <c r="W820" s="29">
        <f>IF($B820="","",IFERROR(INDEX($U$4:$U$3183,MATCH(SMALL($V$4:$V$3183,817),$V$4:$V$3183,0)),""))</f>
        <v/>
      </c>
    </row>
    <row r="821">
      <c r="A821">
        <f>IFERROR(INDEX($N$4:$N$3183,MATCH(SMALL($V$4:$V$3183,818),$V$4:$V$3183,0)),"")</f>
        <v/>
      </c>
      <c r="B821">
        <f>IFERROR(INDEX($O$4:$O$3183,MATCH(SMALL($V$4:$V$3183,818),$V$4:$V$3183,0)),"")</f>
        <v/>
      </c>
      <c r="C821">
        <f>IFERROR(INDEX($P$4:$P$3183,MATCH(SMALL($V$4:$V$3183,818),$V$4:$V$3183,0)),"")</f>
        <v/>
      </c>
      <c r="D821" s="29">
        <f>IFERROR(INDEX($Q$4:$Q$3183,MATCH(SMALL($V$4:$V$3183,818),$V$4:$V$3183,0)),"")</f>
        <v/>
      </c>
      <c r="E821" s="29">
        <f>IFERROR(INDEX($R$4:$R$3183,MATCH(SMALL($V$4:$V$3183,818),$V$4:$V$3183,0)),"")</f>
        <v/>
      </c>
      <c r="F821">
        <f>IFERROR(INDEX($S$4:$S$3183,MATCH(SMALL($V$4:$V$3183,818),$V$4:$V$3183,0)),"")</f>
        <v/>
      </c>
      <c r="I821" s="29">
        <f>IF($B821="","",IFERROR(INDEX($U$4:$U$3183,MATCH(SMALL($V$4:$V$3183,818),$V$4:$V$3183,0)),""))</f>
        <v/>
      </c>
      <c r="J821">
        <f>IF($B821="","",IF($D821&gt;$F$2,"À venir",IF($E821&lt;$D$2,"Passé","Dans la période")))</f>
        <v/>
      </c>
      <c r="K821">
        <f>IF(OR($B821="",NOT(ISNUMBER($D821))),"",IF(AND($E821&lt;$D$2,$G821&lt;&gt;"X",$F821&lt;&gt;"Réalisé",$F821&lt;&gt;"Clôturé"),"RETARD",""))</f>
        <v/>
      </c>
      <c r="L821">
        <f>IF(OR($B821="",NOT(ISNUMBER($D821))),"",IF(AND($D821&gt;=$D$2,$D821&lt;=$H$2,$G821&lt;&gt;"X",$F821&lt;&gt;"Réalisé",$F821&lt;&gt;"Clôturé"),"≤ 7 j",""))</f>
        <v/>
      </c>
      <c r="M821" s="29">
        <f>IF($B821="","",IFERROR(INDEX($T$4:$T$3183,MATCH(SMALL($V$4:$V$3183,818),$V$4:$V$3183,0)),""))</f>
        <v/>
      </c>
      <c r="O821">
        <f>IF(INDEX(Suivi!$B:$B,837)="","",INDEX(Suivi!$B:$B,837))</f>
        <v/>
      </c>
      <c r="P821">
        <f>IF($O821="","",IF(INDEX(Suivi!$D:$D,837)="",INDEX(Suivi!$C:$C,837),INDEX(Suivi!$D:$D,837)))</f>
        <v/>
      </c>
      <c r="Q821">
        <f>IF($O821="","",INDEX(Suivi!$E:$E,837))</f>
        <v/>
      </c>
      <c r="R821">
        <f>IF($O821="","",INDEX(Suivi!$F:$F,837))</f>
        <v/>
      </c>
      <c r="S821">
        <f>IF($O821="","",INDEX(Suivi!$G:$G,837))</f>
        <v/>
      </c>
      <c r="T821">
        <f>IF($O821="","",IF(INDEX(Dossiers!$F$4:$F$63,16)="","",INDEX(Dossiers!$F$4:$F$63,16)))</f>
        <v/>
      </c>
      <c r="U821">
        <f>IF($O821="","",IF(INDEX(Dossiers!$G$4:$G$63,16)="","",INDEX(Dossiers!$G$4:$G$63,16)))</f>
        <v/>
      </c>
      <c r="V821">
        <f>IF(OR($O821="",NOT(ISNUMBER($Q821))),"",$Q821*1000000+821)</f>
        <v/>
      </c>
      <c r="W821" s="29">
        <f>IF($B821="","",IFERROR(INDEX($U$4:$U$3183,MATCH(SMALL($V$4:$V$3183,818),$V$4:$V$3183,0)),""))</f>
        <v/>
      </c>
    </row>
    <row r="822">
      <c r="A822">
        <f>IFERROR(INDEX($N$4:$N$3183,MATCH(SMALL($V$4:$V$3183,819),$V$4:$V$3183,0)),"")</f>
        <v/>
      </c>
      <c r="B822">
        <f>IFERROR(INDEX($O$4:$O$3183,MATCH(SMALL($V$4:$V$3183,819),$V$4:$V$3183,0)),"")</f>
        <v/>
      </c>
      <c r="C822">
        <f>IFERROR(INDEX($P$4:$P$3183,MATCH(SMALL($V$4:$V$3183,819),$V$4:$V$3183,0)),"")</f>
        <v/>
      </c>
      <c r="D822" s="29">
        <f>IFERROR(INDEX($Q$4:$Q$3183,MATCH(SMALL($V$4:$V$3183,819),$V$4:$V$3183,0)),"")</f>
        <v/>
      </c>
      <c r="E822" s="29">
        <f>IFERROR(INDEX($R$4:$R$3183,MATCH(SMALL($V$4:$V$3183,819),$V$4:$V$3183,0)),"")</f>
        <v/>
      </c>
      <c r="F822">
        <f>IFERROR(INDEX($S$4:$S$3183,MATCH(SMALL($V$4:$V$3183,819),$V$4:$V$3183,0)),"")</f>
        <v/>
      </c>
      <c r="I822" s="29">
        <f>IF($B822="","",IFERROR(INDEX($U$4:$U$3183,MATCH(SMALL($V$4:$V$3183,819),$V$4:$V$3183,0)),""))</f>
        <v/>
      </c>
      <c r="J822">
        <f>IF($B822="","",IF($D822&gt;$F$2,"À venir",IF($E822&lt;$D$2,"Passé","Dans la période")))</f>
        <v/>
      </c>
      <c r="K822">
        <f>IF(OR($B822="",NOT(ISNUMBER($D822))),"",IF(AND($E822&lt;$D$2,$G822&lt;&gt;"X",$F822&lt;&gt;"Réalisé",$F822&lt;&gt;"Clôturé"),"RETARD",""))</f>
        <v/>
      </c>
      <c r="L822">
        <f>IF(OR($B822="",NOT(ISNUMBER($D822))),"",IF(AND($D822&gt;=$D$2,$D822&lt;=$H$2,$G822&lt;&gt;"X",$F822&lt;&gt;"Réalisé",$F822&lt;&gt;"Clôturé"),"≤ 7 j",""))</f>
        <v/>
      </c>
      <c r="M822" s="29">
        <f>IF($B822="","",IFERROR(INDEX($T$4:$T$3183,MATCH(SMALL($V$4:$V$3183,819),$V$4:$V$3183,0)),""))</f>
        <v/>
      </c>
      <c r="O822">
        <f>IF(INDEX(Suivi!$B:$B,838)="","",INDEX(Suivi!$B:$B,838))</f>
        <v/>
      </c>
      <c r="P822">
        <f>IF($O822="","",IF(INDEX(Suivi!$D:$D,838)="",INDEX(Suivi!$C:$C,838),INDEX(Suivi!$D:$D,838)))</f>
        <v/>
      </c>
      <c r="Q822">
        <f>IF($O822="","",INDEX(Suivi!$E:$E,838))</f>
        <v/>
      </c>
      <c r="R822">
        <f>IF($O822="","",INDEX(Suivi!$F:$F,838))</f>
        <v/>
      </c>
      <c r="S822">
        <f>IF($O822="","",INDEX(Suivi!$G:$G,838))</f>
        <v/>
      </c>
      <c r="T822">
        <f>IF($O822="","",IF(INDEX(Dossiers!$F$4:$F$63,16)="","",INDEX(Dossiers!$F$4:$F$63,16)))</f>
        <v/>
      </c>
      <c r="U822">
        <f>IF($O822="","",IF(INDEX(Dossiers!$G$4:$G$63,16)="","",INDEX(Dossiers!$G$4:$G$63,16)))</f>
        <v/>
      </c>
      <c r="V822">
        <f>IF(OR($O822="",NOT(ISNUMBER($Q822))),"",$Q822*1000000+822)</f>
        <v/>
      </c>
      <c r="W822" s="29">
        <f>IF($B822="","",IFERROR(INDEX($U$4:$U$3183,MATCH(SMALL($V$4:$V$3183,819),$V$4:$V$3183,0)),""))</f>
        <v/>
      </c>
    </row>
    <row r="823">
      <c r="A823">
        <f>IFERROR(INDEX($N$4:$N$3183,MATCH(SMALL($V$4:$V$3183,820),$V$4:$V$3183,0)),"")</f>
        <v/>
      </c>
      <c r="B823">
        <f>IFERROR(INDEX($O$4:$O$3183,MATCH(SMALL($V$4:$V$3183,820),$V$4:$V$3183,0)),"")</f>
        <v/>
      </c>
      <c r="C823">
        <f>IFERROR(INDEX($P$4:$P$3183,MATCH(SMALL($V$4:$V$3183,820),$V$4:$V$3183,0)),"")</f>
        <v/>
      </c>
      <c r="D823" s="29">
        <f>IFERROR(INDEX($Q$4:$Q$3183,MATCH(SMALL($V$4:$V$3183,820),$V$4:$V$3183,0)),"")</f>
        <v/>
      </c>
      <c r="E823" s="29">
        <f>IFERROR(INDEX($R$4:$R$3183,MATCH(SMALL($V$4:$V$3183,820),$V$4:$V$3183,0)),"")</f>
        <v/>
      </c>
      <c r="F823">
        <f>IFERROR(INDEX($S$4:$S$3183,MATCH(SMALL($V$4:$V$3183,820),$V$4:$V$3183,0)),"")</f>
        <v/>
      </c>
      <c r="I823" s="29">
        <f>IF($B823="","",IFERROR(INDEX($U$4:$U$3183,MATCH(SMALL($V$4:$V$3183,820),$V$4:$V$3183,0)),""))</f>
        <v/>
      </c>
      <c r="J823">
        <f>IF($B823="","",IF($D823&gt;$F$2,"À venir",IF($E823&lt;$D$2,"Passé","Dans la période")))</f>
        <v/>
      </c>
      <c r="K823">
        <f>IF(OR($B823="",NOT(ISNUMBER($D823))),"",IF(AND($E823&lt;$D$2,$G823&lt;&gt;"X",$F823&lt;&gt;"Réalisé",$F823&lt;&gt;"Clôturé"),"RETARD",""))</f>
        <v/>
      </c>
      <c r="L823">
        <f>IF(OR($B823="",NOT(ISNUMBER($D823))),"",IF(AND($D823&gt;=$D$2,$D823&lt;=$H$2,$G823&lt;&gt;"X",$F823&lt;&gt;"Réalisé",$F823&lt;&gt;"Clôturé"),"≤ 7 j",""))</f>
        <v/>
      </c>
      <c r="M823" s="29">
        <f>IF($B823="","",IFERROR(INDEX($T$4:$T$3183,MATCH(SMALL($V$4:$V$3183,820),$V$4:$V$3183,0)),""))</f>
        <v/>
      </c>
      <c r="O823">
        <f>IF(INDEX(Suivi!$B:$B,839)="","",INDEX(Suivi!$B:$B,839))</f>
        <v/>
      </c>
      <c r="P823">
        <f>IF($O823="","",IF(INDEX(Suivi!$D:$D,839)="",INDEX(Suivi!$C:$C,839),INDEX(Suivi!$D:$D,839)))</f>
        <v/>
      </c>
      <c r="Q823">
        <f>IF($O823="","",INDEX(Suivi!$E:$E,839))</f>
        <v/>
      </c>
      <c r="R823">
        <f>IF($O823="","",INDEX(Suivi!$F:$F,839))</f>
        <v/>
      </c>
      <c r="S823">
        <f>IF($O823="","",INDEX(Suivi!$G:$G,839))</f>
        <v/>
      </c>
      <c r="T823">
        <f>IF($O823="","",IF(INDEX(Dossiers!$F$4:$F$63,16)="","",INDEX(Dossiers!$F$4:$F$63,16)))</f>
        <v/>
      </c>
      <c r="U823">
        <f>IF($O823="","",IF(INDEX(Dossiers!$G$4:$G$63,16)="","",INDEX(Dossiers!$G$4:$G$63,16)))</f>
        <v/>
      </c>
      <c r="V823">
        <f>IF(OR($O823="",NOT(ISNUMBER($Q823))),"",$Q823*1000000+823)</f>
        <v/>
      </c>
      <c r="W823" s="29">
        <f>IF($B823="","",IFERROR(INDEX($U$4:$U$3183,MATCH(SMALL($V$4:$V$3183,820),$V$4:$V$3183,0)),""))</f>
        <v/>
      </c>
    </row>
    <row r="824">
      <c r="A824">
        <f>IFERROR(INDEX($N$4:$N$3183,MATCH(SMALL($V$4:$V$3183,821),$V$4:$V$3183,0)),"")</f>
        <v/>
      </c>
      <c r="B824">
        <f>IFERROR(INDEX($O$4:$O$3183,MATCH(SMALL($V$4:$V$3183,821),$V$4:$V$3183,0)),"")</f>
        <v/>
      </c>
      <c r="C824">
        <f>IFERROR(INDEX($P$4:$P$3183,MATCH(SMALL($V$4:$V$3183,821),$V$4:$V$3183,0)),"")</f>
        <v/>
      </c>
      <c r="D824" s="29">
        <f>IFERROR(INDEX($Q$4:$Q$3183,MATCH(SMALL($V$4:$V$3183,821),$V$4:$V$3183,0)),"")</f>
        <v/>
      </c>
      <c r="E824" s="29">
        <f>IFERROR(INDEX($R$4:$R$3183,MATCH(SMALL($V$4:$V$3183,821),$V$4:$V$3183,0)),"")</f>
        <v/>
      </c>
      <c r="F824">
        <f>IFERROR(INDEX($S$4:$S$3183,MATCH(SMALL($V$4:$V$3183,821),$V$4:$V$3183,0)),"")</f>
        <v/>
      </c>
      <c r="I824" s="29">
        <f>IF($B824="","",IFERROR(INDEX($U$4:$U$3183,MATCH(SMALL($V$4:$V$3183,821),$V$4:$V$3183,0)),""))</f>
        <v/>
      </c>
      <c r="J824">
        <f>IF($B824="","",IF($D824&gt;$F$2,"À venir",IF($E824&lt;$D$2,"Passé","Dans la période")))</f>
        <v/>
      </c>
      <c r="K824">
        <f>IF(OR($B824="",NOT(ISNUMBER($D824))),"",IF(AND($E824&lt;$D$2,$G824&lt;&gt;"X",$F824&lt;&gt;"Réalisé",$F824&lt;&gt;"Clôturé"),"RETARD",""))</f>
        <v/>
      </c>
      <c r="L824">
        <f>IF(OR($B824="",NOT(ISNUMBER($D824))),"",IF(AND($D824&gt;=$D$2,$D824&lt;=$H$2,$G824&lt;&gt;"X",$F824&lt;&gt;"Réalisé",$F824&lt;&gt;"Clôturé"),"≤ 7 j",""))</f>
        <v/>
      </c>
      <c r="M824" s="29">
        <f>IF($B824="","",IFERROR(INDEX($T$4:$T$3183,MATCH(SMALL($V$4:$V$3183,821),$V$4:$V$3183,0)),""))</f>
        <v/>
      </c>
      <c r="O824">
        <f>IF(INDEX(Suivi!$B:$B,840)="","",INDEX(Suivi!$B:$B,840))</f>
        <v/>
      </c>
      <c r="P824">
        <f>IF($O824="","",IF(INDEX(Suivi!$D:$D,840)="",INDEX(Suivi!$C:$C,840),INDEX(Suivi!$D:$D,840)))</f>
        <v/>
      </c>
      <c r="Q824">
        <f>IF($O824="","",INDEX(Suivi!$E:$E,840))</f>
        <v/>
      </c>
      <c r="R824">
        <f>IF($O824="","",INDEX(Suivi!$F:$F,840))</f>
        <v/>
      </c>
      <c r="S824">
        <f>IF($O824="","",INDEX(Suivi!$G:$G,840))</f>
        <v/>
      </c>
      <c r="T824">
        <f>IF($O824="","",IF(INDEX(Dossiers!$F$4:$F$63,16)="","",INDEX(Dossiers!$F$4:$F$63,16)))</f>
        <v/>
      </c>
      <c r="U824">
        <f>IF($O824="","",IF(INDEX(Dossiers!$G$4:$G$63,16)="","",INDEX(Dossiers!$G$4:$G$63,16)))</f>
        <v/>
      </c>
      <c r="V824">
        <f>IF(OR($O824="",NOT(ISNUMBER($Q824))),"",$Q824*1000000+824)</f>
        <v/>
      </c>
      <c r="W824" s="29">
        <f>IF($B824="","",IFERROR(INDEX($U$4:$U$3183,MATCH(SMALL($V$4:$V$3183,821),$V$4:$V$3183,0)),""))</f>
        <v/>
      </c>
    </row>
    <row r="825">
      <c r="A825">
        <f>IFERROR(INDEX($N$4:$N$3183,MATCH(SMALL($V$4:$V$3183,822),$V$4:$V$3183,0)),"")</f>
        <v/>
      </c>
      <c r="B825">
        <f>IFERROR(INDEX($O$4:$O$3183,MATCH(SMALL($V$4:$V$3183,822),$V$4:$V$3183,0)),"")</f>
        <v/>
      </c>
      <c r="C825">
        <f>IFERROR(INDEX($P$4:$P$3183,MATCH(SMALL($V$4:$V$3183,822),$V$4:$V$3183,0)),"")</f>
        <v/>
      </c>
      <c r="D825" s="29">
        <f>IFERROR(INDEX($Q$4:$Q$3183,MATCH(SMALL($V$4:$V$3183,822),$V$4:$V$3183,0)),"")</f>
        <v/>
      </c>
      <c r="E825" s="29">
        <f>IFERROR(INDEX($R$4:$R$3183,MATCH(SMALL($V$4:$V$3183,822),$V$4:$V$3183,0)),"")</f>
        <v/>
      </c>
      <c r="F825">
        <f>IFERROR(INDEX($S$4:$S$3183,MATCH(SMALL($V$4:$V$3183,822),$V$4:$V$3183,0)),"")</f>
        <v/>
      </c>
      <c r="I825" s="29">
        <f>IF($B825="","",IFERROR(INDEX($U$4:$U$3183,MATCH(SMALL($V$4:$V$3183,822),$V$4:$V$3183,0)),""))</f>
        <v/>
      </c>
      <c r="J825">
        <f>IF($B825="","",IF($D825&gt;$F$2,"À venir",IF($E825&lt;$D$2,"Passé","Dans la période")))</f>
        <v/>
      </c>
      <c r="K825">
        <f>IF(OR($B825="",NOT(ISNUMBER($D825))),"",IF(AND($E825&lt;$D$2,$G825&lt;&gt;"X",$F825&lt;&gt;"Réalisé",$F825&lt;&gt;"Clôturé"),"RETARD",""))</f>
        <v/>
      </c>
      <c r="L825">
        <f>IF(OR($B825="",NOT(ISNUMBER($D825))),"",IF(AND($D825&gt;=$D$2,$D825&lt;=$H$2,$G825&lt;&gt;"X",$F825&lt;&gt;"Réalisé",$F825&lt;&gt;"Clôturé"),"≤ 7 j",""))</f>
        <v/>
      </c>
      <c r="M825" s="29">
        <f>IF($B825="","",IFERROR(INDEX($T$4:$T$3183,MATCH(SMALL($V$4:$V$3183,822),$V$4:$V$3183,0)),""))</f>
        <v/>
      </c>
      <c r="O825">
        <f>IF(INDEX(Suivi!$B:$B,841)="","",INDEX(Suivi!$B:$B,841))</f>
        <v/>
      </c>
      <c r="P825">
        <f>IF($O825="","",IF(INDEX(Suivi!$D:$D,841)="",INDEX(Suivi!$C:$C,841),INDEX(Suivi!$D:$D,841)))</f>
        <v/>
      </c>
      <c r="Q825">
        <f>IF($O825="","",INDEX(Suivi!$E:$E,841))</f>
        <v/>
      </c>
      <c r="R825">
        <f>IF($O825="","",INDEX(Suivi!$F:$F,841))</f>
        <v/>
      </c>
      <c r="S825">
        <f>IF($O825="","",INDEX(Suivi!$G:$G,841))</f>
        <v/>
      </c>
      <c r="T825">
        <f>IF($O825="","",IF(INDEX(Dossiers!$F$4:$F$63,16)="","",INDEX(Dossiers!$F$4:$F$63,16)))</f>
        <v/>
      </c>
      <c r="U825">
        <f>IF($O825="","",IF(INDEX(Dossiers!$G$4:$G$63,16)="","",INDEX(Dossiers!$G$4:$G$63,16)))</f>
        <v/>
      </c>
      <c r="V825">
        <f>IF(OR($O825="",NOT(ISNUMBER($Q825))),"",$Q825*1000000+825)</f>
        <v/>
      </c>
      <c r="W825" s="29">
        <f>IF($B825="","",IFERROR(INDEX($U$4:$U$3183,MATCH(SMALL($V$4:$V$3183,822),$V$4:$V$3183,0)),""))</f>
        <v/>
      </c>
    </row>
    <row r="826">
      <c r="A826">
        <f>IFERROR(INDEX($N$4:$N$3183,MATCH(SMALL($V$4:$V$3183,823),$V$4:$V$3183,0)),"")</f>
        <v/>
      </c>
      <c r="B826">
        <f>IFERROR(INDEX($O$4:$O$3183,MATCH(SMALL($V$4:$V$3183,823),$V$4:$V$3183,0)),"")</f>
        <v/>
      </c>
      <c r="C826">
        <f>IFERROR(INDEX($P$4:$P$3183,MATCH(SMALL($V$4:$V$3183,823),$V$4:$V$3183,0)),"")</f>
        <v/>
      </c>
      <c r="D826" s="29">
        <f>IFERROR(INDEX($Q$4:$Q$3183,MATCH(SMALL($V$4:$V$3183,823),$V$4:$V$3183,0)),"")</f>
        <v/>
      </c>
      <c r="E826" s="29">
        <f>IFERROR(INDEX($R$4:$R$3183,MATCH(SMALL($V$4:$V$3183,823),$V$4:$V$3183,0)),"")</f>
        <v/>
      </c>
      <c r="F826">
        <f>IFERROR(INDEX($S$4:$S$3183,MATCH(SMALL($V$4:$V$3183,823),$V$4:$V$3183,0)),"")</f>
        <v/>
      </c>
      <c r="I826" s="29">
        <f>IF($B826="","",IFERROR(INDEX($U$4:$U$3183,MATCH(SMALL($V$4:$V$3183,823),$V$4:$V$3183,0)),""))</f>
        <v/>
      </c>
      <c r="J826">
        <f>IF($B826="","",IF($D826&gt;$F$2,"À venir",IF($E826&lt;$D$2,"Passé","Dans la période")))</f>
        <v/>
      </c>
      <c r="K826">
        <f>IF(OR($B826="",NOT(ISNUMBER($D826))),"",IF(AND($E826&lt;$D$2,$G826&lt;&gt;"X",$F826&lt;&gt;"Réalisé",$F826&lt;&gt;"Clôturé"),"RETARD",""))</f>
        <v/>
      </c>
      <c r="L826">
        <f>IF(OR($B826="",NOT(ISNUMBER($D826))),"",IF(AND($D826&gt;=$D$2,$D826&lt;=$H$2,$G826&lt;&gt;"X",$F826&lt;&gt;"Réalisé",$F826&lt;&gt;"Clôturé"),"≤ 7 j",""))</f>
        <v/>
      </c>
      <c r="M826" s="29">
        <f>IF($B826="","",IFERROR(INDEX($T$4:$T$3183,MATCH(SMALL($V$4:$V$3183,823),$V$4:$V$3183,0)),""))</f>
        <v/>
      </c>
      <c r="O826">
        <f>IF(INDEX(Suivi!$B:$B,842)="","",INDEX(Suivi!$B:$B,842))</f>
        <v/>
      </c>
      <c r="P826">
        <f>IF($O826="","",IF(INDEX(Suivi!$D:$D,842)="",INDEX(Suivi!$C:$C,842),INDEX(Suivi!$D:$D,842)))</f>
        <v/>
      </c>
      <c r="Q826">
        <f>IF($O826="","",INDEX(Suivi!$E:$E,842))</f>
        <v/>
      </c>
      <c r="R826">
        <f>IF($O826="","",INDEX(Suivi!$F:$F,842))</f>
        <v/>
      </c>
      <c r="S826">
        <f>IF($O826="","",INDEX(Suivi!$G:$G,842))</f>
        <v/>
      </c>
      <c r="T826">
        <f>IF($O826="","",IF(INDEX(Dossiers!$F$4:$F$63,16)="","",INDEX(Dossiers!$F$4:$F$63,16)))</f>
        <v/>
      </c>
      <c r="U826">
        <f>IF($O826="","",IF(INDEX(Dossiers!$G$4:$G$63,16)="","",INDEX(Dossiers!$G$4:$G$63,16)))</f>
        <v/>
      </c>
      <c r="V826">
        <f>IF(OR($O826="",NOT(ISNUMBER($Q826))),"",$Q826*1000000+826)</f>
        <v/>
      </c>
      <c r="W826" s="29">
        <f>IF($B826="","",IFERROR(INDEX($U$4:$U$3183,MATCH(SMALL($V$4:$V$3183,823),$V$4:$V$3183,0)),""))</f>
        <v/>
      </c>
    </row>
    <row r="827">
      <c r="A827">
        <f>IFERROR(INDEX($N$4:$N$3183,MATCH(SMALL($V$4:$V$3183,824),$V$4:$V$3183,0)),"")</f>
        <v/>
      </c>
      <c r="B827">
        <f>IFERROR(INDEX($O$4:$O$3183,MATCH(SMALL($V$4:$V$3183,824),$V$4:$V$3183,0)),"")</f>
        <v/>
      </c>
      <c r="C827">
        <f>IFERROR(INDEX($P$4:$P$3183,MATCH(SMALL($V$4:$V$3183,824),$V$4:$V$3183,0)),"")</f>
        <v/>
      </c>
      <c r="D827" s="29">
        <f>IFERROR(INDEX($Q$4:$Q$3183,MATCH(SMALL($V$4:$V$3183,824),$V$4:$V$3183,0)),"")</f>
        <v/>
      </c>
      <c r="E827" s="29">
        <f>IFERROR(INDEX($R$4:$R$3183,MATCH(SMALL($V$4:$V$3183,824),$V$4:$V$3183,0)),"")</f>
        <v/>
      </c>
      <c r="F827">
        <f>IFERROR(INDEX($S$4:$S$3183,MATCH(SMALL($V$4:$V$3183,824),$V$4:$V$3183,0)),"")</f>
        <v/>
      </c>
      <c r="I827" s="29">
        <f>IF($B827="","",IFERROR(INDEX($U$4:$U$3183,MATCH(SMALL($V$4:$V$3183,824),$V$4:$V$3183,0)),""))</f>
        <v/>
      </c>
      <c r="J827">
        <f>IF($B827="","",IF($D827&gt;$F$2,"À venir",IF($E827&lt;$D$2,"Passé","Dans la période")))</f>
        <v/>
      </c>
      <c r="K827">
        <f>IF(OR($B827="",NOT(ISNUMBER($D827))),"",IF(AND($E827&lt;$D$2,$G827&lt;&gt;"X",$F827&lt;&gt;"Réalisé",$F827&lt;&gt;"Clôturé"),"RETARD",""))</f>
        <v/>
      </c>
      <c r="L827">
        <f>IF(OR($B827="",NOT(ISNUMBER($D827))),"",IF(AND($D827&gt;=$D$2,$D827&lt;=$H$2,$G827&lt;&gt;"X",$F827&lt;&gt;"Réalisé",$F827&lt;&gt;"Clôturé"),"≤ 7 j",""))</f>
        <v/>
      </c>
      <c r="M827" s="29">
        <f>IF($B827="","",IFERROR(INDEX($T$4:$T$3183,MATCH(SMALL($V$4:$V$3183,824),$V$4:$V$3183,0)),""))</f>
        <v/>
      </c>
      <c r="O827">
        <f>IF(INDEX(Suivi!$B:$B,843)="","",INDEX(Suivi!$B:$B,843))</f>
        <v/>
      </c>
      <c r="P827">
        <f>IF($O827="","",IF(INDEX(Suivi!$D:$D,843)="",INDEX(Suivi!$C:$C,843),INDEX(Suivi!$D:$D,843)))</f>
        <v/>
      </c>
      <c r="Q827">
        <f>IF($O827="","",INDEX(Suivi!$E:$E,843))</f>
        <v/>
      </c>
      <c r="R827">
        <f>IF($O827="","",INDEX(Suivi!$F:$F,843))</f>
        <v/>
      </c>
      <c r="S827">
        <f>IF($O827="","",INDEX(Suivi!$G:$G,843))</f>
        <v/>
      </c>
      <c r="T827">
        <f>IF($O827="","",IF(INDEX(Dossiers!$F$4:$F$63,16)="","",INDEX(Dossiers!$F$4:$F$63,16)))</f>
        <v/>
      </c>
      <c r="U827">
        <f>IF($O827="","",IF(INDEX(Dossiers!$G$4:$G$63,16)="","",INDEX(Dossiers!$G$4:$G$63,16)))</f>
        <v/>
      </c>
      <c r="V827">
        <f>IF(OR($O827="",NOT(ISNUMBER($Q827))),"",$Q827*1000000+827)</f>
        <v/>
      </c>
      <c r="W827" s="29">
        <f>IF($B827="","",IFERROR(INDEX($U$4:$U$3183,MATCH(SMALL($V$4:$V$3183,824),$V$4:$V$3183,0)),""))</f>
        <v/>
      </c>
    </row>
    <row r="828">
      <c r="A828">
        <f>IFERROR(INDEX($N$4:$N$3183,MATCH(SMALL($V$4:$V$3183,825),$V$4:$V$3183,0)),"")</f>
        <v/>
      </c>
      <c r="B828">
        <f>IFERROR(INDEX($O$4:$O$3183,MATCH(SMALL($V$4:$V$3183,825),$V$4:$V$3183,0)),"")</f>
        <v/>
      </c>
      <c r="C828">
        <f>IFERROR(INDEX($P$4:$P$3183,MATCH(SMALL($V$4:$V$3183,825),$V$4:$V$3183,0)),"")</f>
        <v/>
      </c>
      <c r="D828" s="29">
        <f>IFERROR(INDEX($Q$4:$Q$3183,MATCH(SMALL($V$4:$V$3183,825),$V$4:$V$3183,0)),"")</f>
        <v/>
      </c>
      <c r="E828" s="29">
        <f>IFERROR(INDEX($R$4:$R$3183,MATCH(SMALL($V$4:$V$3183,825),$V$4:$V$3183,0)),"")</f>
        <v/>
      </c>
      <c r="F828">
        <f>IFERROR(INDEX($S$4:$S$3183,MATCH(SMALL($V$4:$V$3183,825),$V$4:$V$3183,0)),"")</f>
        <v/>
      </c>
      <c r="I828" s="29">
        <f>IF($B828="","",IFERROR(INDEX($U$4:$U$3183,MATCH(SMALL($V$4:$V$3183,825),$V$4:$V$3183,0)),""))</f>
        <v/>
      </c>
      <c r="J828">
        <f>IF($B828="","",IF($D828&gt;$F$2,"À venir",IF($E828&lt;$D$2,"Passé","Dans la période")))</f>
        <v/>
      </c>
      <c r="K828">
        <f>IF(OR($B828="",NOT(ISNUMBER($D828))),"",IF(AND($E828&lt;$D$2,$G828&lt;&gt;"X",$F828&lt;&gt;"Réalisé",$F828&lt;&gt;"Clôturé"),"RETARD",""))</f>
        <v/>
      </c>
      <c r="L828">
        <f>IF(OR($B828="",NOT(ISNUMBER($D828))),"",IF(AND($D828&gt;=$D$2,$D828&lt;=$H$2,$G828&lt;&gt;"X",$F828&lt;&gt;"Réalisé",$F828&lt;&gt;"Clôturé"),"≤ 7 j",""))</f>
        <v/>
      </c>
      <c r="M828" s="29">
        <f>IF($B828="","",IFERROR(INDEX($T$4:$T$3183,MATCH(SMALL($V$4:$V$3183,825),$V$4:$V$3183,0)),""))</f>
        <v/>
      </c>
      <c r="O828">
        <f>IF(INDEX(Suivi!$B:$B,844)="","",INDEX(Suivi!$B:$B,844))</f>
        <v/>
      </c>
      <c r="P828">
        <f>IF($O828="","",IF(INDEX(Suivi!$D:$D,844)="",INDEX(Suivi!$C:$C,844),INDEX(Suivi!$D:$D,844)))</f>
        <v/>
      </c>
      <c r="Q828">
        <f>IF($O828="","",INDEX(Suivi!$E:$E,844))</f>
        <v/>
      </c>
      <c r="R828">
        <f>IF($O828="","",INDEX(Suivi!$F:$F,844))</f>
        <v/>
      </c>
      <c r="S828">
        <f>IF($O828="","",INDEX(Suivi!$G:$G,844))</f>
        <v/>
      </c>
      <c r="T828">
        <f>IF($O828="","",IF(INDEX(Dossiers!$F$4:$F$63,16)="","",INDEX(Dossiers!$F$4:$F$63,16)))</f>
        <v/>
      </c>
      <c r="U828">
        <f>IF($O828="","",IF(INDEX(Dossiers!$G$4:$G$63,16)="","",INDEX(Dossiers!$G$4:$G$63,16)))</f>
        <v/>
      </c>
      <c r="V828">
        <f>IF(OR($O828="",NOT(ISNUMBER($Q828))),"",$Q828*1000000+828)</f>
        <v/>
      </c>
      <c r="W828" s="29">
        <f>IF($B828="","",IFERROR(INDEX($U$4:$U$3183,MATCH(SMALL($V$4:$V$3183,825),$V$4:$V$3183,0)),""))</f>
        <v/>
      </c>
    </row>
    <row r="829">
      <c r="A829">
        <f>IFERROR(INDEX($N$4:$N$3183,MATCH(SMALL($V$4:$V$3183,826),$V$4:$V$3183,0)),"")</f>
        <v/>
      </c>
      <c r="B829">
        <f>IFERROR(INDEX($O$4:$O$3183,MATCH(SMALL($V$4:$V$3183,826),$V$4:$V$3183,0)),"")</f>
        <v/>
      </c>
      <c r="C829">
        <f>IFERROR(INDEX($P$4:$P$3183,MATCH(SMALL($V$4:$V$3183,826),$V$4:$V$3183,0)),"")</f>
        <v/>
      </c>
      <c r="D829" s="29">
        <f>IFERROR(INDEX($Q$4:$Q$3183,MATCH(SMALL($V$4:$V$3183,826),$V$4:$V$3183,0)),"")</f>
        <v/>
      </c>
      <c r="E829" s="29">
        <f>IFERROR(INDEX($R$4:$R$3183,MATCH(SMALL($V$4:$V$3183,826),$V$4:$V$3183,0)),"")</f>
        <v/>
      </c>
      <c r="F829">
        <f>IFERROR(INDEX($S$4:$S$3183,MATCH(SMALL($V$4:$V$3183,826),$V$4:$V$3183,0)),"")</f>
        <v/>
      </c>
      <c r="I829" s="29">
        <f>IF($B829="","",IFERROR(INDEX($U$4:$U$3183,MATCH(SMALL($V$4:$V$3183,826),$V$4:$V$3183,0)),""))</f>
        <v/>
      </c>
      <c r="J829">
        <f>IF($B829="","",IF($D829&gt;$F$2,"À venir",IF($E829&lt;$D$2,"Passé","Dans la période")))</f>
        <v/>
      </c>
      <c r="K829">
        <f>IF(OR($B829="",NOT(ISNUMBER($D829))),"",IF(AND($E829&lt;$D$2,$G829&lt;&gt;"X",$F829&lt;&gt;"Réalisé",$F829&lt;&gt;"Clôturé"),"RETARD",""))</f>
        <v/>
      </c>
      <c r="L829">
        <f>IF(OR($B829="",NOT(ISNUMBER($D829))),"",IF(AND($D829&gt;=$D$2,$D829&lt;=$H$2,$G829&lt;&gt;"X",$F829&lt;&gt;"Réalisé",$F829&lt;&gt;"Clôturé"),"≤ 7 j",""))</f>
        <v/>
      </c>
      <c r="M829" s="29">
        <f>IF($B829="","",IFERROR(INDEX($T$4:$T$3183,MATCH(SMALL($V$4:$V$3183,826),$V$4:$V$3183,0)),""))</f>
        <v/>
      </c>
      <c r="O829">
        <f>IF(INDEX(Suivi!$B:$B,845)="","",INDEX(Suivi!$B:$B,845))</f>
        <v/>
      </c>
      <c r="P829">
        <f>IF($O829="","",IF(INDEX(Suivi!$D:$D,845)="",INDEX(Suivi!$C:$C,845),INDEX(Suivi!$D:$D,845)))</f>
        <v/>
      </c>
      <c r="Q829">
        <f>IF($O829="","",INDEX(Suivi!$E:$E,845))</f>
        <v/>
      </c>
      <c r="R829">
        <f>IF($O829="","",INDEX(Suivi!$F:$F,845))</f>
        <v/>
      </c>
      <c r="S829">
        <f>IF($O829="","",INDEX(Suivi!$G:$G,845))</f>
        <v/>
      </c>
      <c r="T829">
        <f>IF($O829="","",IF(INDEX(Dossiers!$F$4:$F$63,16)="","",INDEX(Dossiers!$F$4:$F$63,16)))</f>
        <v/>
      </c>
      <c r="U829">
        <f>IF($O829="","",IF(INDEX(Dossiers!$G$4:$G$63,16)="","",INDEX(Dossiers!$G$4:$G$63,16)))</f>
        <v/>
      </c>
      <c r="V829">
        <f>IF(OR($O829="",NOT(ISNUMBER($Q829))),"",$Q829*1000000+829)</f>
        <v/>
      </c>
      <c r="W829" s="29">
        <f>IF($B829="","",IFERROR(INDEX($U$4:$U$3183,MATCH(SMALL($V$4:$V$3183,826),$V$4:$V$3183,0)),""))</f>
        <v/>
      </c>
    </row>
    <row r="830">
      <c r="A830">
        <f>IFERROR(INDEX($N$4:$N$3183,MATCH(SMALL($V$4:$V$3183,827),$V$4:$V$3183,0)),"")</f>
        <v/>
      </c>
      <c r="B830">
        <f>IFERROR(INDEX($O$4:$O$3183,MATCH(SMALL($V$4:$V$3183,827),$V$4:$V$3183,0)),"")</f>
        <v/>
      </c>
      <c r="C830">
        <f>IFERROR(INDEX($P$4:$P$3183,MATCH(SMALL($V$4:$V$3183,827),$V$4:$V$3183,0)),"")</f>
        <v/>
      </c>
      <c r="D830" s="29">
        <f>IFERROR(INDEX($Q$4:$Q$3183,MATCH(SMALL($V$4:$V$3183,827),$V$4:$V$3183,0)),"")</f>
        <v/>
      </c>
      <c r="E830" s="29">
        <f>IFERROR(INDEX($R$4:$R$3183,MATCH(SMALL($V$4:$V$3183,827),$V$4:$V$3183,0)),"")</f>
        <v/>
      </c>
      <c r="F830">
        <f>IFERROR(INDEX($S$4:$S$3183,MATCH(SMALL($V$4:$V$3183,827),$V$4:$V$3183,0)),"")</f>
        <v/>
      </c>
      <c r="I830" s="29">
        <f>IF($B830="","",IFERROR(INDEX($U$4:$U$3183,MATCH(SMALL($V$4:$V$3183,827),$V$4:$V$3183,0)),""))</f>
        <v/>
      </c>
      <c r="J830">
        <f>IF($B830="","",IF($D830&gt;$F$2,"À venir",IF($E830&lt;$D$2,"Passé","Dans la période")))</f>
        <v/>
      </c>
      <c r="K830">
        <f>IF(OR($B830="",NOT(ISNUMBER($D830))),"",IF(AND($E830&lt;$D$2,$G830&lt;&gt;"X",$F830&lt;&gt;"Réalisé",$F830&lt;&gt;"Clôturé"),"RETARD",""))</f>
        <v/>
      </c>
      <c r="L830">
        <f>IF(OR($B830="",NOT(ISNUMBER($D830))),"",IF(AND($D830&gt;=$D$2,$D830&lt;=$H$2,$G830&lt;&gt;"X",$F830&lt;&gt;"Réalisé",$F830&lt;&gt;"Clôturé"),"≤ 7 j",""))</f>
        <v/>
      </c>
      <c r="M830" s="29">
        <f>IF($B830="","",IFERROR(INDEX($T$4:$T$3183,MATCH(SMALL($V$4:$V$3183,827),$V$4:$V$3183,0)),""))</f>
        <v/>
      </c>
      <c r="O830">
        <f>IF(INDEX(Suivi!$B:$B,846)="","",INDEX(Suivi!$B:$B,846))</f>
        <v/>
      </c>
      <c r="P830">
        <f>IF($O830="","",IF(INDEX(Suivi!$D:$D,846)="",INDEX(Suivi!$C:$C,846),INDEX(Suivi!$D:$D,846)))</f>
        <v/>
      </c>
      <c r="Q830">
        <f>IF($O830="","",INDEX(Suivi!$E:$E,846))</f>
        <v/>
      </c>
      <c r="R830">
        <f>IF($O830="","",INDEX(Suivi!$F:$F,846))</f>
        <v/>
      </c>
      <c r="S830">
        <f>IF($O830="","",INDEX(Suivi!$G:$G,846))</f>
        <v/>
      </c>
      <c r="T830">
        <f>IF($O830="","",IF(INDEX(Dossiers!$F$4:$F$63,16)="","",INDEX(Dossiers!$F$4:$F$63,16)))</f>
        <v/>
      </c>
      <c r="U830">
        <f>IF($O830="","",IF(INDEX(Dossiers!$G$4:$G$63,16)="","",INDEX(Dossiers!$G$4:$G$63,16)))</f>
        <v/>
      </c>
      <c r="V830">
        <f>IF(OR($O830="",NOT(ISNUMBER($Q830))),"",$Q830*1000000+830)</f>
        <v/>
      </c>
      <c r="W830" s="29">
        <f>IF($B830="","",IFERROR(INDEX($U$4:$U$3183,MATCH(SMALL($V$4:$V$3183,827),$V$4:$V$3183,0)),""))</f>
        <v/>
      </c>
    </row>
    <row r="831">
      <c r="A831">
        <f>IFERROR(INDEX($N$4:$N$3183,MATCH(SMALL($V$4:$V$3183,828),$V$4:$V$3183,0)),"")</f>
        <v/>
      </c>
      <c r="B831">
        <f>IFERROR(INDEX($O$4:$O$3183,MATCH(SMALL($V$4:$V$3183,828),$V$4:$V$3183,0)),"")</f>
        <v/>
      </c>
      <c r="C831">
        <f>IFERROR(INDEX($P$4:$P$3183,MATCH(SMALL($V$4:$V$3183,828),$V$4:$V$3183,0)),"")</f>
        <v/>
      </c>
      <c r="D831" s="29">
        <f>IFERROR(INDEX($Q$4:$Q$3183,MATCH(SMALL($V$4:$V$3183,828),$V$4:$V$3183,0)),"")</f>
        <v/>
      </c>
      <c r="E831" s="29">
        <f>IFERROR(INDEX($R$4:$R$3183,MATCH(SMALL($V$4:$V$3183,828),$V$4:$V$3183,0)),"")</f>
        <v/>
      </c>
      <c r="F831">
        <f>IFERROR(INDEX($S$4:$S$3183,MATCH(SMALL($V$4:$V$3183,828),$V$4:$V$3183,0)),"")</f>
        <v/>
      </c>
      <c r="I831" s="29">
        <f>IF($B831="","",IFERROR(INDEX($U$4:$U$3183,MATCH(SMALL($V$4:$V$3183,828),$V$4:$V$3183,0)),""))</f>
        <v/>
      </c>
      <c r="J831">
        <f>IF($B831="","",IF($D831&gt;$F$2,"À venir",IF($E831&lt;$D$2,"Passé","Dans la période")))</f>
        <v/>
      </c>
      <c r="K831">
        <f>IF(OR($B831="",NOT(ISNUMBER($D831))),"",IF(AND($E831&lt;$D$2,$G831&lt;&gt;"X",$F831&lt;&gt;"Réalisé",$F831&lt;&gt;"Clôturé"),"RETARD",""))</f>
        <v/>
      </c>
      <c r="L831">
        <f>IF(OR($B831="",NOT(ISNUMBER($D831))),"",IF(AND($D831&gt;=$D$2,$D831&lt;=$H$2,$G831&lt;&gt;"X",$F831&lt;&gt;"Réalisé",$F831&lt;&gt;"Clôturé"),"≤ 7 j",""))</f>
        <v/>
      </c>
      <c r="M831" s="29">
        <f>IF($B831="","",IFERROR(INDEX($T$4:$T$3183,MATCH(SMALL($V$4:$V$3183,828),$V$4:$V$3183,0)),""))</f>
        <v/>
      </c>
      <c r="O831">
        <f>IF(INDEX(Suivi!$B:$B,847)="","",INDEX(Suivi!$B:$B,847))</f>
        <v/>
      </c>
      <c r="P831">
        <f>IF($O831="","",IF(INDEX(Suivi!$D:$D,847)="",INDEX(Suivi!$C:$C,847),INDEX(Suivi!$D:$D,847)))</f>
        <v/>
      </c>
      <c r="Q831">
        <f>IF($O831="","",INDEX(Suivi!$E:$E,847))</f>
        <v/>
      </c>
      <c r="R831">
        <f>IF($O831="","",INDEX(Suivi!$F:$F,847))</f>
        <v/>
      </c>
      <c r="S831">
        <f>IF($O831="","",INDEX(Suivi!$G:$G,847))</f>
        <v/>
      </c>
      <c r="T831">
        <f>IF($O831="","",IF(INDEX(Dossiers!$F$4:$F$63,16)="","",INDEX(Dossiers!$F$4:$F$63,16)))</f>
        <v/>
      </c>
      <c r="U831">
        <f>IF($O831="","",IF(INDEX(Dossiers!$G$4:$G$63,16)="","",INDEX(Dossiers!$G$4:$G$63,16)))</f>
        <v/>
      </c>
      <c r="V831">
        <f>IF(OR($O831="",NOT(ISNUMBER($Q831))),"",$Q831*1000000+831)</f>
        <v/>
      </c>
      <c r="W831" s="29">
        <f>IF($B831="","",IFERROR(INDEX($U$4:$U$3183,MATCH(SMALL($V$4:$V$3183,828),$V$4:$V$3183,0)),""))</f>
        <v/>
      </c>
    </row>
    <row r="832">
      <c r="A832">
        <f>IFERROR(INDEX($N$4:$N$3183,MATCH(SMALL($V$4:$V$3183,829),$V$4:$V$3183,0)),"")</f>
        <v/>
      </c>
      <c r="B832">
        <f>IFERROR(INDEX($O$4:$O$3183,MATCH(SMALL($V$4:$V$3183,829),$V$4:$V$3183,0)),"")</f>
        <v/>
      </c>
      <c r="C832">
        <f>IFERROR(INDEX($P$4:$P$3183,MATCH(SMALL($V$4:$V$3183,829),$V$4:$V$3183,0)),"")</f>
        <v/>
      </c>
      <c r="D832" s="29">
        <f>IFERROR(INDEX($Q$4:$Q$3183,MATCH(SMALL($V$4:$V$3183,829),$V$4:$V$3183,0)),"")</f>
        <v/>
      </c>
      <c r="E832" s="29">
        <f>IFERROR(INDEX($R$4:$R$3183,MATCH(SMALL($V$4:$V$3183,829),$V$4:$V$3183,0)),"")</f>
        <v/>
      </c>
      <c r="F832">
        <f>IFERROR(INDEX($S$4:$S$3183,MATCH(SMALL($V$4:$V$3183,829),$V$4:$V$3183,0)),"")</f>
        <v/>
      </c>
      <c r="I832" s="29">
        <f>IF($B832="","",IFERROR(INDEX($U$4:$U$3183,MATCH(SMALL($V$4:$V$3183,829),$V$4:$V$3183,0)),""))</f>
        <v/>
      </c>
      <c r="J832">
        <f>IF($B832="","",IF($D832&gt;$F$2,"À venir",IF($E832&lt;$D$2,"Passé","Dans la période")))</f>
        <v/>
      </c>
      <c r="K832">
        <f>IF(OR($B832="",NOT(ISNUMBER($D832))),"",IF(AND($E832&lt;$D$2,$G832&lt;&gt;"X",$F832&lt;&gt;"Réalisé",$F832&lt;&gt;"Clôturé"),"RETARD",""))</f>
        <v/>
      </c>
      <c r="L832">
        <f>IF(OR($B832="",NOT(ISNUMBER($D832))),"",IF(AND($D832&gt;=$D$2,$D832&lt;=$H$2,$G832&lt;&gt;"X",$F832&lt;&gt;"Réalisé",$F832&lt;&gt;"Clôturé"),"≤ 7 j",""))</f>
        <v/>
      </c>
      <c r="M832" s="29">
        <f>IF($B832="","",IFERROR(INDEX($T$4:$T$3183,MATCH(SMALL($V$4:$V$3183,829),$V$4:$V$3183,0)),""))</f>
        <v/>
      </c>
      <c r="O832">
        <f>IF(INDEX(Suivi!$B:$B,848)="","",INDEX(Suivi!$B:$B,848))</f>
        <v/>
      </c>
      <c r="P832">
        <f>IF($O832="","",IF(INDEX(Suivi!$D:$D,848)="",INDEX(Suivi!$C:$C,848),INDEX(Suivi!$D:$D,848)))</f>
        <v/>
      </c>
      <c r="Q832">
        <f>IF($O832="","",INDEX(Suivi!$E:$E,848))</f>
        <v/>
      </c>
      <c r="R832">
        <f>IF($O832="","",INDEX(Suivi!$F:$F,848))</f>
        <v/>
      </c>
      <c r="S832">
        <f>IF($O832="","",INDEX(Suivi!$G:$G,848))</f>
        <v/>
      </c>
      <c r="T832">
        <f>IF($O832="","",IF(INDEX(Dossiers!$F$4:$F$63,16)="","",INDEX(Dossiers!$F$4:$F$63,16)))</f>
        <v/>
      </c>
      <c r="U832">
        <f>IF($O832="","",IF(INDEX(Dossiers!$G$4:$G$63,16)="","",INDEX(Dossiers!$G$4:$G$63,16)))</f>
        <v/>
      </c>
      <c r="V832">
        <f>IF(OR($O832="",NOT(ISNUMBER($Q832))),"",$Q832*1000000+832)</f>
        <v/>
      </c>
      <c r="W832" s="29">
        <f>IF($B832="","",IFERROR(INDEX($U$4:$U$3183,MATCH(SMALL($V$4:$V$3183,829),$V$4:$V$3183,0)),""))</f>
        <v/>
      </c>
    </row>
    <row r="833">
      <c r="A833">
        <f>IFERROR(INDEX($N$4:$N$3183,MATCH(SMALL($V$4:$V$3183,830),$V$4:$V$3183,0)),"")</f>
        <v/>
      </c>
      <c r="B833">
        <f>IFERROR(INDEX($O$4:$O$3183,MATCH(SMALL($V$4:$V$3183,830),$V$4:$V$3183,0)),"")</f>
        <v/>
      </c>
      <c r="C833">
        <f>IFERROR(INDEX($P$4:$P$3183,MATCH(SMALL($V$4:$V$3183,830),$V$4:$V$3183,0)),"")</f>
        <v/>
      </c>
      <c r="D833" s="29">
        <f>IFERROR(INDEX($Q$4:$Q$3183,MATCH(SMALL($V$4:$V$3183,830),$V$4:$V$3183,0)),"")</f>
        <v/>
      </c>
      <c r="E833" s="29">
        <f>IFERROR(INDEX($R$4:$R$3183,MATCH(SMALL($V$4:$V$3183,830),$V$4:$V$3183,0)),"")</f>
        <v/>
      </c>
      <c r="F833">
        <f>IFERROR(INDEX($S$4:$S$3183,MATCH(SMALL($V$4:$V$3183,830),$V$4:$V$3183,0)),"")</f>
        <v/>
      </c>
      <c r="I833" s="29">
        <f>IF($B833="","",IFERROR(INDEX($U$4:$U$3183,MATCH(SMALL($V$4:$V$3183,830),$V$4:$V$3183,0)),""))</f>
        <v/>
      </c>
      <c r="J833">
        <f>IF($B833="","",IF($D833&gt;$F$2,"À venir",IF($E833&lt;$D$2,"Passé","Dans la période")))</f>
        <v/>
      </c>
      <c r="K833">
        <f>IF(OR($B833="",NOT(ISNUMBER($D833))),"",IF(AND($E833&lt;$D$2,$G833&lt;&gt;"X",$F833&lt;&gt;"Réalisé",$F833&lt;&gt;"Clôturé"),"RETARD",""))</f>
        <v/>
      </c>
      <c r="L833">
        <f>IF(OR($B833="",NOT(ISNUMBER($D833))),"",IF(AND($D833&gt;=$D$2,$D833&lt;=$H$2,$G833&lt;&gt;"X",$F833&lt;&gt;"Réalisé",$F833&lt;&gt;"Clôturé"),"≤ 7 j",""))</f>
        <v/>
      </c>
      <c r="M833" s="29">
        <f>IF($B833="","",IFERROR(INDEX($T$4:$T$3183,MATCH(SMALL($V$4:$V$3183,830),$V$4:$V$3183,0)),""))</f>
        <v/>
      </c>
      <c r="O833">
        <f>IF(INDEX(Suivi!$B:$B,849)="","",INDEX(Suivi!$B:$B,849))</f>
        <v/>
      </c>
      <c r="P833">
        <f>IF($O833="","",IF(INDEX(Suivi!$D:$D,849)="",INDEX(Suivi!$C:$C,849),INDEX(Suivi!$D:$D,849)))</f>
        <v/>
      </c>
      <c r="Q833">
        <f>IF($O833="","",INDEX(Suivi!$E:$E,849))</f>
        <v/>
      </c>
      <c r="R833">
        <f>IF($O833="","",INDEX(Suivi!$F:$F,849))</f>
        <v/>
      </c>
      <c r="S833">
        <f>IF($O833="","",INDEX(Suivi!$G:$G,849))</f>
        <v/>
      </c>
      <c r="T833">
        <f>IF($O833="","",IF(INDEX(Dossiers!$F$4:$F$63,16)="","",INDEX(Dossiers!$F$4:$F$63,16)))</f>
        <v/>
      </c>
      <c r="U833">
        <f>IF($O833="","",IF(INDEX(Dossiers!$G$4:$G$63,16)="","",INDEX(Dossiers!$G$4:$G$63,16)))</f>
        <v/>
      </c>
      <c r="V833">
        <f>IF(OR($O833="",NOT(ISNUMBER($Q833))),"",$Q833*1000000+833)</f>
        <v/>
      </c>
      <c r="W833" s="29">
        <f>IF($B833="","",IFERROR(INDEX($U$4:$U$3183,MATCH(SMALL($V$4:$V$3183,830),$V$4:$V$3183,0)),""))</f>
        <v/>
      </c>
    </row>
    <row r="834">
      <c r="A834">
        <f>IFERROR(INDEX($N$4:$N$3183,MATCH(SMALL($V$4:$V$3183,831),$V$4:$V$3183,0)),"")</f>
        <v/>
      </c>
      <c r="B834">
        <f>IFERROR(INDEX($O$4:$O$3183,MATCH(SMALL($V$4:$V$3183,831),$V$4:$V$3183,0)),"")</f>
        <v/>
      </c>
      <c r="C834">
        <f>IFERROR(INDEX($P$4:$P$3183,MATCH(SMALL($V$4:$V$3183,831),$V$4:$V$3183,0)),"")</f>
        <v/>
      </c>
      <c r="D834" s="29">
        <f>IFERROR(INDEX($Q$4:$Q$3183,MATCH(SMALL($V$4:$V$3183,831),$V$4:$V$3183,0)),"")</f>
        <v/>
      </c>
      <c r="E834" s="29">
        <f>IFERROR(INDEX($R$4:$R$3183,MATCH(SMALL($V$4:$V$3183,831),$V$4:$V$3183,0)),"")</f>
        <v/>
      </c>
      <c r="F834">
        <f>IFERROR(INDEX($S$4:$S$3183,MATCH(SMALL($V$4:$V$3183,831),$V$4:$V$3183,0)),"")</f>
        <v/>
      </c>
      <c r="I834" s="29">
        <f>IF($B834="","",IFERROR(INDEX($U$4:$U$3183,MATCH(SMALL($V$4:$V$3183,831),$V$4:$V$3183,0)),""))</f>
        <v/>
      </c>
      <c r="J834">
        <f>IF($B834="","",IF($D834&gt;$F$2,"À venir",IF($E834&lt;$D$2,"Passé","Dans la période")))</f>
        <v/>
      </c>
      <c r="K834">
        <f>IF(OR($B834="",NOT(ISNUMBER($D834))),"",IF(AND($E834&lt;$D$2,$G834&lt;&gt;"X",$F834&lt;&gt;"Réalisé",$F834&lt;&gt;"Clôturé"),"RETARD",""))</f>
        <v/>
      </c>
      <c r="L834">
        <f>IF(OR($B834="",NOT(ISNUMBER($D834))),"",IF(AND($D834&gt;=$D$2,$D834&lt;=$H$2,$G834&lt;&gt;"X",$F834&lt;&gt;"Réalisé",$F834&lt;&gt;"Clôturé"),"≤ 7 j",""))</f>
        <v/>
      </c>
      <c r="M834" s="29">
        <f>IF($B834="","",IFERROR(INDEX($T$4:$T$3183,MATCH(SMALL($V$4:$V$3183,831),$V$4:$V$3183,0)),""))</f>
        <v/>
      </c>
      <c r="O834">
        <f>IF(INDEX(Suivi!$B:$B,850)="","",INDEX(Suivi!$B:$B,850))</f>
        <v/>
      </c>
      <c r="P834">
        <f>IF($O834="","",IF(INDEX(Suivi!$D:$D,850)="",INDEX(Suivi!$C:$C,850),INDEX(Suivi!$D:$D,850)))</f>
        <v/>
      </c>
      <c r="Q834">
        <f>IF($O834="","",INDEX(Suivi!$E:$E,850))</f>
        <v/>
      </c>
      <c r="R834">
        <f>IF($O834="","",INDEX(Suivi!$F:$F,850))</f>
        <v/>
      </c>
      <c r="S834">
        <f>IF($O834="","",INDEX(Suivi!$G:$G,850))</f>
        <v/>
      </c>
      <c r="T834">
        <f>IF($O834="","",IF(INDEX(Dossiers!$F$4:$F$63,16)="","",INDEX(Dossiers!$F$4:$F$63,16)))</f>
        <v/>
      </c>
      <c r="U834">
        <f>IF($O834="","",IF(INDEX(Dossiers!$G$4:$G$63,16)="","",INDEX(Dossiers!$G$4:$G$63,16)))</f>
        <v/>
      </c>
      <c r="V834">
        <f>IF(OR($O834="",NOT(ISNUMBER($Q834))),"",$Q834*1000000+834)</f>
        <v/>
      </c>
      <c r="W834" s="29">
        <f>IF($B834="","",IFERROR(INDEX($U$4:$U$3183,MATCH(SMALL($V$4:$V$3183,831),$V$4:$V$3183,0)),""))</f>
        <v/>
      </c>
    </row>
    <row r="835">
      <c r="A835">
        <f>IFERROR(INDEX($N$4:$N$3183,MATCH(SMALL($V$4:$V$3183,832),$V$4:$V$3183,0)),"")</f>
        <v/>
      </c>
      <c r="B835">
        <f>IFERROR(INDEX($O$4:$O$3183,MATCH(SMALL($V$4:$V$3183,832),$V$4:$V$3183,0)),"")</f>
        <v/>
      </c>
      <c r="C835">
        <f>IFERROR(INDEX($P$4:$P$3183,MATCH(SMALL($V$4:$V$3183,832),$V$4:$V$3183,0)),"")</f>
        <v/>
      </c>
      <c r="D835" s="29">
        <f>IFERROR(INDEX($Q$4:$Q$3183,MATCH(SMALL($V$4:$V$3183,832),$V$4:$V$3183,0)),"")</f>
        <v/>
      </c>
      <c r="E835" s="29">
        <f>IFERROR(INDEX($R$4:$R$3183,MATCH(SMALL($V$4:$V$3183,832),$V$4:$V$3183,0)),"")</f>
        <v/>
      </c>
      <c r="F835">
        <f>IFERROR(INDEX($S$4:$S$3183,MATCH(SMALL($V$4:$V$3183,832),$V$4:$V$3183,0)),"")</f>
        <v/>
      </c>
      <c r="I835" s="29">
        <f>IF($B835="","",IFERROR(INDEX($U$4:$U$3183,MATCH(SMALL($V$4:$V$3183,832),$V$4:$V$3183,0)),""))</f>
        <v/>
      </c>
      <c r="J835">
        <f>IF($B835="","",IF($D835&gt;$F$2,"À venir",IF($E835&lt;$D$2,"Passé","Dans la période")))</f>
        <v/>
      </c>
      <c r="K835">
        <f>IF(OR($B835="",NOT(ISNUMBER($D835))),"",IF(AND($E835&lt;$D$2,$G835&lt;&gt;"X",$F835&lt;&gt;"Réalisé",$F835&lt;&gt;"Clôturé"),"RETARD",""))</f>
        <v/>
      </c>
      <c r="L835">
        <f>IF(OR($B835="",NOT(ISNUMBER($D835))),"",IF(AND($D835&gt;=$D$2,$D835&lt;=$H$2,$G835&lt;&gt;"X",$F835&lt;&gt;"Réalisé",$F835&lt;&gt;"Clôturé"),"≤ 7 j",""))</f>
        <v/>
      </c>
      <c r="M835" s="29">
        <f>IF($B835="","",IFERROR(INDEX($T$4:$T$3183,MATCH(SMALL($V$4:$V$3183,832),$V$4:$V$3183,0)),""))</f>
        <v/>
      </c>
      <c r="O835">
        <f>IF(INDEX(Suivi!$B:$B,851)="","",INDEX(Suivi!$B:$B,851))</f>
        <v/>
      </c>
      <c r="P835">
        <f>IF($O835="","",IF(INDEX(Suivi!$D:$D,851)="",INDEX(Suivi!$C:$C,851),INDEX(Suivi!$D:$D,851)))</f>
        <v/>
      </c>
      <c r="Q835">
        <f>IF($O835="","",INDEX(Suivi!$E:$E,851))</f>
        <v/>
      </c>
      <c r="R835">
        <f>IF($O835="","",INDEX(Suivi!$F:$F,851))</f>
        <v/>
      </c>
      <c r="S835">
        <f>IF($O835="","",INDEX(Suivi!$G:$G,851))</f>
        <v/>
      </c>
      <c r="T835">
        <f>IF($O835="","",IF(INDEX(Dossiers!$F$4:$F$63,16)="","",INDEX(Dossiers!$F$4:$F$63,16)))</f>
        <v/>
      </c>
      <c r="U835">
        <f>IF($O835="","",IF(INDEX(Dossiers!$G$4:$G$63,16)="","",INDEX(Dossiers!$G$4:$G$63,16)))</f>
        <v/>
      </c>
      <c r="V835">
        <f>IF(OR($O835="",NOT(ISNUMBER($Q835))),"",$Q835*1000000+835)</f>
        <v/>
      </c>
      <c r="W835" s="29">
        <f>IF($B835="","",IFERROR(INDEX($U$4:$U$3183,MATCH(SMALL($V$4:$V$3183,832),$V$4:$V$3183,0)),""))</f>
        <v/>
      </c>
    </row>
    <row r="836">
      <c r="A836">
        <f>IFERROR(INDEX($N$4:$N$3183,MATCH(SMALL($V$4:$V$3183,833),$V$4:$V$3183,0)),"")</f>
        <v/>
      </c>
      <c r="B836">
        <f>IFERROR(INDEX($O$4:$O$3183,MATCH(SMALL($V$4:$V$3183,833),$V$4:$V$3183,0)),"")</f>
        <v/>
      </c>
      <c r="C836">
        <f>IFERROR(INDEX($P$4:$P$3183,MATCH(SMALL($V$4:$V$3183,833),$V$4:$V$3183,0)),"")</f>
        <v/>
      </c>
      <c r="D836" s="29">
        <f>IFERROR(INDEX($Q$4:$Q$3183,MATCH(SMALL($V$4:$V$3183,833),$V$4:$V$3183,0)),"")</f>
        <v/>
      </c>
      <c r="E836" s="29">
        <f>IFERROR(INDEX($R$4:$R$3183,MATCH(SMALL($V$4:$V$3183,833),$V$4:$V$3183,0)),"")</f>
        <v/>
      </c>
      <c r="F836">
        <f>IFERROR(INDEX($S$4:$S$3183,MATCH(SMALL($V$4:$V$3183,833),$V$4:$V$3183,0)),"")</f>
        <v/>
      </c>
      <c r="I836" s="29">
        <f>IF($B836="","",IFERROR(INDEX($U$4:$U$3183,MATCH(SMALL($V$4:$V$3183,833),$V$4:$V$3183,0)),""))</f>
        <v/>
      </c>
      <c r="J836">
        <f>IF($B836="","",IF($D836&gt;$F$2,"À venir",IF($E836&lt;$D$2,"Passé","Dans la période")))</f>
        <v/>
      </c>
      <c r="K836">
        <f>IF(OR($B836="",NOT(ISNUMBER($D836))),"",IF(AND($E836&lt;$D$2,$G836&lt;&gt;"X",$F836&lt;&gt;"Réalisé",$F836&lt;&gt;"Clôturé"),"RETARD",""))</f>
        <v/>
      </c>
      <c r="L836">
        <f>IF(OR($B836="",NOT(ISNUMBER($D836))),"",IF(AND($D836&gt;=$D$2,$D836&lt;=$H$2,$G836&lt;&gt;"X",$F836&lt;&gt;"Réalisé",$F836&lt;&gt;"Clôturé"),"≤ 7 j",""))</f>
        <v/>
      </c>
      <c r="M836" s="29">
        <f>IF($B836="","",IFERROR(INDEX($T$4:$T$3183,MATCH(SMALL($V$4:$V$3183,833),$V$4:$V$3183,0)),""))</f>
        <v/>
      </c>
      <c r="O836">
        <f>IF(INDEX(Suivi!$B:$B,852)="","",INDEX(Suivi!$B:$B,852))</f>
        <v/>
      </c>
      <c r="P836">
        <f>IF($O836="","",IF(INDEX(Suivi!$D:$D,852)="",INDEX(Suivi!$C:$C,852),INDEX(Suivi!$D:$D,852)))</f>
        <v/>
      </c>
      <c r="Q836">
        <f>IF($O836="","",INDEX(Suivi!$E:$E,852))</f>
        <v/>
      </c>
      <c r="R836">
        <f>IF($O836="","",INDEX(Suivi!$F:$F,852))</f>
        <v/>
      </c>
      <c r="S836">
        <f>IF($O836="","",INDEX(Suivi!$G:$G,852))</f>
        <v/>
      </c>
      <c r="T836">
        <f>IF($O836="","",IF(INDEX(Dossiers!$F$4:$F$63,16)="","",INDEX(Dossiers!$F$4:$F$63,16)))</f>
        <v/>
      </c>
      <c r="U836">
        <f>IF($O836="","",IF(INDEX(Dossiers!$G$4:$G$63,16)="","",INDEX(Dossiers!$G$4:$G$63,16)))</f>
        <v/>
      </c>
      <c r="V836">
        <f>IF(OR($O836="",NOT(ISNUMBER($Q836))),"",$Q836*1000000+836)</f>
        <v/>
      </c>
      <c r="W836" s="29">
        <f>IF($B836="","",IFERROR(INDEX($U$4:$U$3183,MATCH(SMALL($V$4:$V$3183,833),$V$4:$V$3183,0)),""))</f>
        <v/>
      </c>
    </row>
    <row r="837">
      <c r="A837">
        <f>IFERROR(INDEX($N$4:$N$3183,MATCH(SMALL($V$4:$V$3183,834),$V$4:$V$3183,0)),"")</f>
        <v/>
      </c>
      <c r="B837">
        <f>IFERROR(INDEX($O$4:$O$3183,MATCH(SMALL($V$4:$V$3183,834),$V$4:$V$3183,0)),"")</f>
        <v/>
      </c>
      <c r="C837">
        <f>IFERROR(INDEX($P$4:$P$3183,MATCH(SMALL($V$4:$V$3183,834),$V$4:$V$3183,0)),"")</f>
        <v/>
      </c>
      <c r="D837" s="29">
        <f>IFERROR(INDEX($Q$4:$Q$3183,MATCH(SMALL($V$4:$V$3183,834),$V$4:$V$3183,0)),"")</f>
        <v/>
      </c>
      <c r="E837" s="29">
        <f>IFERROR(INDEX($R$4:$R$3183,MATCH(SMALL($V$4:$V$3183,834),$V$4:$V$3183,0)),"")</f>
        <v/>
      </c>
      <c r="F837">
        <f>IFERROR(INDEX($S$4:$S$3183,MATCH(SMALL($V$4:$V$3183,834),$V$4:$V$3183,0)),"")</f>
        <v/>
      </c>
      <c r="I837" s="29">
        <f>IF($B837="","",IFERROR(INDEX($U$4:$U$3183,MATCH(SMALL($V$4:$V$3183,834),$V$4:$V$3183,0)),""))</f>
        <v/>
      </c>
      <c r="J837">
        <f>IF($B837="","",IF($D837&gt;$F$2,"À venir",IF($E837&lt;$D$2,"Passé","Dans la période")))</f>
        <v/>
      </c>
      <c r="K837">
        <f>IF(OR($B837="",NOT(ISNUMBER($D837))),"",IF(AND($E837&lt;$D$2,$G837&lt;&gt;"X",$F837&lt;&gt;"Réalisé",$F837&lt;&gt;"Clôturé"),"RETARD",""))</f>
        <v/>
      </c>
      <c r="L837">
        <f>IF(OR($B837="",NOT(ISNUMBER($D837))),"",IF(AND($D837&gt;=$D$2,$D837&lt;=$H$2,$G837&lt;&gt;"X",$F837&lt;&gt;"Réalisé",$F837&lt;&gt;"Clôturé"),"≤ 7 j",""))</f>
        <v/>
      </c>
      <c r="M837" s="29">
        <f>IF($B837="","",IFERROR(INDEX($T$4:$T$3183,MATCH(SMALL($V$4:$V$3183,834),$V$4:$V$3183,0)),""))</f>
        <v/>
      </c>
      <c r="O837">
        <f>IF(INDEX(Suivi!$B:$B,853)="","",INDEX(Suivi!$B:$B,853))</f>
        <v/>
      </c>
      <c r="P837">
        <f>IF($O837="","",IF(INDEX(Suivi!$D:$D,853)="",INDEX(Suivi!$C:$C,853),INDEX(Suivi!$D:$D,853)))</f>
        <v/>
      </c>
      <c r="Q837">
        <f>IF($O837="","",INDEX(Suivi!$E:$E,853))</f>
        <v/>
      </c>
      <c r="R837">
        <f>IF($O837="","",INDEX(Suivi!$F:$F,853))</f>
        <v/>
      </c>
      <c r="S837">
        <f>IF($O837="","",INDEX(Suivi!$G:$G,853))</f>
        <v/>
      </c>
      <c r="T837">
        <f>IF($O837="","",IF(INDEX(Dossiers!$F$4:$F$63,16)="","",INDEX(Dossiers!$F$4:$F$63,16)))</f>
        <v/>
      </c>
      <c r="U837">
        <f>IF($O837="","",IF(INDEX(Dossiers!$G$4:$G$63,16)="","",INDEX(Dossiers!$G$4:$G$63,16)))</f>
        <v/>
      </c>
      <c r="V837">
        <f>IF(OR($O837="",NOT(ISNUMBER($Q837))),"",$Q837*1000000+837)</f>
        <v/>
      </c>
      <c r="W837" s="29">
        <f>IF($B837="","",IFERROR(INDEX($U$4:$U$3183,MATCH(SMALL($V$4:$V$3183,834),$V$4:$V$3183,0)),""))</f>
        <v/>
      </c>
    </row>
    <row r="838">
      <c r="A838">
        <f>IFERROR(INDEX($N$4:$N$3183,MATCH(SMALL($V$4:$V$3183,835),$V$4:$V$3183,0)),"")</f>
        <v/>
      </c>
      <c r="B838">
        <f>IFERROR(INDEX($O$4:$O$3183,MATCH(SMALL($V$4:$V$3183,835),$V$4:$V$3183,0)),"")</f>
        <v/>
      </c>
      <c r="C838">
        <f>IFERROR(INDEX($P$4:$P$3183,MATCH(SMALL($V$4:$V$3183,835),$V$4:$V$3183,0)),"")</f>
        <v/>
      </c>
      <c r="D838" s="29">
        <f>IFERROR(INDEX($Q$4:$Q$3183,MATCH(SMALL($V$4:$V$3183,835),$V$4:$V$3183,0)),"")</f>
        <v/>
      </c>
      <c r="E838" s="29">
        <f>IFERROR(INDEX($R$4:$R$3183,MATCH(SMALL($V$4:$V$3183,835),$V$4:$V$3183,0)),"")</f>
        <v/>
      </c>
      <c r="F838">
        <f>IFERROR(INDEX($S$4:$S$3183,MATCH(SMALL($V$4:$V$3183,835),$V$4:$V$3183,0)),"")</f>
        <v/>
      </c>
      <c r="I838" s="29">
        <f>IF($B838="","",IFERROR(INDEX($U$4:$U$3183,MATCH(SMALL($V$4:$V$3183,835),$V$4:$V$3183,0)),""))</f>
        <v/>
      </c>
      <c r="J838">
        <f>IF($B838="","",IF($D838&gt;$F$2,"À venir",IF($E838&lt;$D$2,"Passé","Dans la période")))</f>
        <v/>
      </c>
      <c r="K838">
        <f>IF(OR($B838="",NOT(ISNUMBER($D838))),"",IF(AND($E838&lt;$D$2,$G838&lt;&gt;"X",$F838&lt;&gt;"Réalisé",$F838&lt;&gt;"Clôturé"),"RETARD",""))</f>
        <v/>
      </c>
      <c r="L838">
        <f>IF(OR($B838="",NOT(ISNUMBER($D838))),"",IF(AND($D838&gt;=$D$2,$D838&lt;=$H$2,$G838&lt;&gt;"X",$F838&lt;&gt;"Réalisé",$F838&lt;&gt;"Clôturé"),"≤ 7 j",""))</f>
        <v/>
      </c>
      <c r="M838" s="29">
        <f>IF($B838="","",IFERROR(INDEX($T$4:$T$3183,MATCH(SMALL($V$4:$V$3183,835),$V$4:$V$3183,0)),""))</f>
        <v/>
      </c>
      <c r="O838">
        <f>IF(INDEX(Suivi!$B:$B,854)="","",INDEX(Suivi!$B:$B,854))</f>
        <v/>
      </c>
      <c r="P838">
        <f>IF($O838="","",IF(INDEX(Suivi!$D:$D,854)="",INDEX(Suivi!$C:$C,854),INDEX(Suivi!$D:$D,854)))</f>
        <v/>
      </c>
      <c r="Q838">
        <f>IF($O838="","",INDEX(Suivi!$E:$E,854))</f>
        <v/>
      </c>
      <c r="R838">
        <f>IF($O838="","",INDEX(Suivi!$F:$F,854))</f>
        <v/>
      </c>
      <c r="S838">
        <f>IF($O838="","",INDEX(Suivi!$G:$G,854))</f>
        <v/>
      </c>
      <c r="T838">
        <f>IF($O838="","",IF(INDEX(Dossiers!$F$4:$F$63,16)="","",INDEX(Dossiers!$F$4:$F$63,16)))</f>
        <v/>
      </c>
      <c r="U838">
        <f>IF($O838="","",IF(INDEX(Dossiers!$G$4:$G$63,16)="","",INDEX(Dossiers!$G$4:$G$63,16)))</f>
        <v/>
      </c>
      <c r="V838">
        <f>IF(OR($O838="",NOT(ISNUMBER($Q838))),"",$Q838*1000000+838)</f>
        <v/>
      </c>
      <c r="W838" s="29">
        <f>IF($B838="","",IFERROR(INDEX($U$4:$U$3183,MATCH(SMALL($V$4:$V$3183,835),$V$4:$V$3183,0)),""))</f>
        <v/>
      </c>
    </row>
    <row r="839">
      <c r="A839">
        <f>IFERROR(INDEX($N$4:$N$3183,MATCH(SMALL($V$4:$V$3183,836),$V$4:$V$3183,0)),"")</f>
        <v/>
      </c>
      <c r="B839">
        <f>IFERROR(INDEX($O$4:$O$3183,MATCH(SMALL($V$4:$V$3183,836),$V$4:$V$3183,0)),"")</f>
        <v/>
      </c>
      <c r="C839">
        <f>IFERROR(INDEX($P$4:$P$3183,MATCH(SMALL($V$4:$V$3183,836),$V$4:$V$3183,0)),"")</f>
        <v/>
      </c>
      <c r="D839" s="29">
        <f>IFERROR(INDEX($Q$4:$Q$3183,MATCH(SMALL($V$4:$V$3183,836),$V$4:$V$3183,0)),"")</f>
        <v/>
      </c>
      <c r="E839" s="29">
        <f>IFERROR(INDEX($R$4:$R$3183,MATCH(SMALL($V$4:$V$3183,836),$V$4:$V$3183,0)),"")</f>
        <v/>
      </c>
      <c r="F839">
        <f>IFERROR(INDEX($S$4:$S$3183,MATCH(SMALL($V$4:$V$3183,836),$V$4:$V$3183,0)),"")</f>
        <v/>
      </c>
      <c r="I839" s="29">
        <f>IF($B839="","",IFERROR(INDEX($U$4:$U$3183,MATCH(SMALL($V$4:$V$3183,836),$V$4:$V$3183,0)),""))</f>
        <v/>
      </c>
      <c r="J839">
        <f>IF($B839="","",IF($D839&gt;$F$2,"À venir",IF($E839&lt;$D$2,"Passé","Dans la période")))</f>
        <v/>
      </c>
      <c r="K839">
        <f>IF(OR($B839="",NOT(ISNUMBER($D839))),"",IF(AND($E839&lt;$D$2,$G839&lt;&gt;"X",$F839&lt;&gt;"Réalisé",$F839&lt;&gt;"Clôturé"),"RETARD",""))</f>
        <v/>
      </c>
      <c r="L839">
        <f>IF(OR($B839="",NOT(ISNUMBER($D839))),"",IF(AND($D839&gt;=$D$2,$D839&lt;=$H$2,$G839&lt;&gt;"X",$F839&lt;&gt;"Réalisé",$F839&lt;&gt;"Clôturé"),"≤ 7 j",""))</f>
        <v/>
      </c>
      <c r="M839" s="29">
        <f>IF($B839="","",IFERROR(INDEX($T$4:$T$3183,MATCH(SMALL($V$4:$V$3183,836),$V$4:$V$3183,0)),""))</f>
        <v/>
      </c>
      <c r="O839">
        <f>IF(INDEX(Suivi!$B:$B,855)="","",INDEX(Suivi!$B:$B,855))</f>
        <v/>
      </c>
      <c r="P839">
        <f>IF($O839="","",IF(INDEX(Suivi!$D:$D,855)="",INDEX(Suivi!$C:$C,855),INDEX(Suivi!$D:$D,855)))</f>
        <v/>
      </c>
      <c r="Q839">
        <f>IF($O839="","",INDEX(Suivi!$E:$E,855))</f>
        <v/>
      </c>
      <c r="R839">
        <f>IF($O839="","",INDEX(Suivi!$F:$F,855))</f>
        <v/>
      </c>
      <c r="S839">
        <f>IF($O839="","",INDEX(Suivi!$G:$G,855))</f>
        <v/>
      </c>
      <c r="T839">
        <f>IF($O839="","",IF(INDEX(Dossiers!$F$4:$F$63,16)="","",INDEX(Dossiers!$F$4:$F$63,16)))</f>
        <v/>
      </c>
      <c r="U839">
        <f>IF($O839="","",IF(INDEX(Dossiers!$G$4:$G$63,16)="","",INDEX(Dossiers!$G$4:$G$63,16)))</f>
        <v/>
      </c>
      <c r="V839">
        <f>IF(OR($O839="",NOT(ISNUMBER($Q839))),"",$Q839*1000000+839)</f>
        <v/>
      </c>
      <c r="W839" s="29">
        <f>IF($B839="","",IFERROR(INDEX($U$4:$U$3183,MATCH(SMALL($V$4:$V$3183,836),$V$4:$V$3183,0)),""))</f>
        <v/>
      </c>
    </row>
    <row r="840">
      <c r="A840">
        <f>IFERROR(INDEX($N$4:$N$3183,MATCH(SMALL($V$4:$V$3183,837),$V$4:$V$3183,0)),"")</f>
        <v/>
      </c>
      <c r="B840">
        <f>IFERROR(INDEX($O$4:$O$3183,MATCH(SMALL($V$4:$V$3183,837),$V$4:$V$3183,0)),"")</f>
        <v/>
      </c>
      <c r="C840">
        <f>IFERROR(INDEX($P$4:$P$3183,MATCH(SMALL($V$4:$V$3183,837),$V$4:$V$3183,0)),"")</f>
        <v/>
      </c>
      <c r="D840" s="29">
        <f>IFERROR(INDEX($Q$4:$Q$3183,MATCH(SMALL($V$4:$V$3183,837),$V$4:$V$3183,0)),"")</f>
        <v/>
      </c>
      <c r="E840" s="29">
        <f>IFERROR(INDEX($R$4:$R$3183,MATCH(SMALL($V$4:$V$3183,837),$V$4:$V$3183,0)),"")</f>
        <v/>
      </c>
      <c r="F840">
        <f>IFERROR(INDEX($S$4:$S$3183,MATCH(SMALL($V$4:$V$3183,837),$V$4:$V$3183,0)),"")</f>
        <v/>
      </c>
      <c r="I840" s="29">
        <f>IF($B840="","",IFERROR(INDEX($U$4:$U$3183,MATCH(SMALL($V$4:$V$3183,837),$V$4:$V$3183,0)),""))</f>
        <v/>
      </c>
      <c r="J840">
        <f>IF($B840="","",IF($D840&gt;$F$2,"À venir",IF($E840&lt;$D$2,"Passé","Dans la période")))</f>
        <v/>
      </c>
      <c r="K840">
        <f>IF(OR($B840="",NOT(ISNUMBER($D840))),"",IF(AND($E840&lt;$D$2,$G840&lt;&gt;"X",$F840&lt;&gt;"Réalisé",$F840&lt;&gt;"Clôturé"),"RETARD",""))</f>
        <v/>
      </c>
      <c r="L840">
        <f>IF(OR($B840="",NOT(ISNUMBER($D840))),"",IF(AND($D840&gt;=$D$2,$D840&lt;=$H$2,$G840&lt;&gt;"X",$F840&lt;&gt;"Réalisé",$F840&lt;&gt;"Clôturé"),"≤ 7 j",""))</f>
        <v/>
      </c>
      <c r="M840" s="29">
        <f>IF($B840="","",IFERROR(INDEX($T$4:$T$3183,MATCH(SMALL($V$4:$V$3183,837),$V$4:$V$3183,0)),""))</f>
        <v/>
      </c>
      <c r="O840">
        <f>IF(INDEX(Suivi!$B:$B,856)="","",INDEX(Suivi!$B:$B,856))</f>
        <v/>
      </c>
      <c r="P840">
        <f>IF($O840="","",IF(INDEX(Suivi!$D:$D,856)="",INDEX(Suivi!$C:$C,856),INDEX(Suivi!$D:$D,856)))</f>
        <v/>
      </c>
      <c r="Q840">
        <f>IF($O840="","",INDEX(Suivi!$E:$E,856))</f>
        <v/>
      </c>
      <c r="R840">
        <f>IF($O840="","",INDEX(Suivi!$F:$F,856))</f>
        <v/>
      </c>
      <c r="S840">
        <f>IF($O840="","",INDEX(Suivi!$G:$G,856))</f>
        <v/>
      </c>
      <c r="T840">
        <f>IF($O840="","",IF(INDEX(Dossiers!$F$4:$F$63,16)="","",INDEX(Dossiers!$F$4:$F$63,16)))</f>
        <v/>
      </c>
      <c r="U840">
        <f>IF($O840="","",IF(INDEX(Dossiers!$G$4:$G$63,16)="","",INDEX(Dossiers!$G$4:$G$63,16)))</f>
        <v/>
      </c>
      <c r="V840">
        <f>IF(OR($O840="",NOT(ISNUMBER($Q840))),"",$Q840*1000000+840)</f>
        <v/>
      </c>
      <c r="W840" s="29">
        <f>IF($B840="","",IFERROR(INDEX($U$4:$U$3183,MATCH(SMALL($V$4:$V$3183,837),$V$4:$V$3183,0)),""))</f>
        <v/>
      </c>
    </row>
    <row r="841">
      <c r="A841">
        <f>IFERROR(INDEX($N$4:$N$3183,MATCH(SMALL($V$4:$V$3183,838),$V$4:$V$3183,0)),"")</f>
        <v/>
      </c>
      <c r="B841">
        <f>IFERROR(INDEX($O$4:$O$3183,MATCH(SMALL($V$4:$V$3183,838),$V$4:$V$3183,0)),"")</f>
        <v/>
      </c>
      <c r="C841">
        <f>IFERROR(INDEX($P$4:$P$3183,MATCH(SMALL($V$4:$V$3183,838),$V$4:$V$3183,0)),"")</f>
        <v/>
      </c>
      <c r="D841" s="29">
        <f>IFERROR(INDEX($Q$4:$Q$3183,MATCH(SMALL($V$4:$V$3183,838),$V$4:$V$3183,0)),"")</f>
        <v/>
      </c>
      <c r="E841" s="29">
        <f>IFERROR(INDEX($R$4:$R$3183,MATCH(SMALL($V$4:$V$3183,838),$V$4:$V$3183,0)),"")</f>
        <v/>
      </c>
      <c r="F841">
        <f>IFERROR(INDEX($S$4:$S$3183,MATCH(SMALL($V$4:$V$3183,838),$V$4:$V$3183,0)),"")</f>
        <v/>
      </c>
      <c r="I841" s="29">
        <f>IF($B841="","",IFERROR(INDEX($U$4:$U$3183,MATCH(SMALL($V$4:$V$3183,838),$V$4:$V$3183,0)),""))</f>
        <v/>
      </c>
      <c r="J841">
        <f>IF($B841="","",IF($D841&gt;$F$2,"À venir",IF($E841&lt;$D$2,"Passé","Dans la période")))</f>
        <v/>
      </c>
      <c r="K841">
        <f>IF(OR($B841="",NOT(ISNUMBER($D841))),"",IF(AND($E841&lt;$D$2,$G841&lt;&gt;"X",$F841&lt;&gt;"Réalisé",$F841&lt;&gt;"Clôturé"),"RETARD",""))</f>
        <v/>
      </c>
      <c r="L841">
        <f>IF(OR($B841="",NOT(ISNUMBER($D841))),"",IF(AND($D841&gt;=$D$2,$D841&lt;=$H$2,$G841&lt;&gt;"X",$F841&lt;&gt;"Réalisé",$F841&lt;&gt;"Clôturé"),"≤ 7 j",""))</f>
        <v/>
      </c>
      <c r="M841" s="29">
        <f>IF($B841="","",IFERROR(INDEX($T$4:$T$3183,MATCH(SMALL($V$4:$V$3183,838),$V$4:$V$3183,0)),""))</f>
        <v/>
      </c>
      <c r="O841">
        <f>IF(INDEX(Suivi!$B:$B,857)="","",INDEX(Suivi!$B:$B,857))</f>
        <v/>
      </c>
      <c r="P841">
        <f>IF($O841="","",IF(INDEX(Suivi!$D:$D,857)="",INDEX(Suivi!$C:$C,857),INDEX(Suivi!$D:$D,857)))</f>
        <v/>
      </c>
      <c r="Q841">
        <f>IF($O841="","",INDEX(Suivi!$E:$E,857))</f>
        <v/>
      </c>
      <c r="R841">
        <f>IF($O841="","",INDEX(Suivi!$F:$F,857))</f>
        <v/>
      </c>
      <c r="S841">
        <f>IF($O841="","",INDEX(Suivi!$G:$G,857))</f>
        <v/>
      </c>
      <c r="T841">
        <f>IF($O841="","",IF(INDEX(Dossiers!$F$4:$F$63,16)="","",INDEX(Dossiers!$F$4:$F$63,16)))</f>
        <v/>
      </c>
      <c r="U841">
        <f>IF($O841="","",IF(INDEX(Dossiers!$G$4:$G$63,16)="","",INDEX(Dossiers!$G$4:$G$63,16)))</f>
        <v/>
      </c>
      <c r="V841">
        <f>IF(OR($O841="",NOT(ISNUMBER($Q841))),"",$Q841*1000000+841)</f>
        <v/>
      </c>
      <c r="W841" s="29">
        <f>IF($B841="","",IFERROR(INDEX($U$4:$U$3183,MATCH(SMALL($V$4:$V$3183,838),$V$4:$V$3183,0)),""))</f>
        <v/>
      </c>
    </row>
    <row r="842">
      <c r="A842">
        <f>IFERROR(INDEX($N$4:$N$3183,MATCH(SMALL($V$4:$V$3183,839),$V$4:$V$3183,0)),"")</f>
        <v/>
      </c>
      <c r="B842">
        <f>IFERROR(INDEX($O$4:$O$3183,MATCH(SMALL($V$4:$V$3183,839),$V$4:$V$3183,0)),"")</f>
        <v/>
      </c>
      <c r="C842">
        <f>IFERROR(INDEX($P$4:$P$3183,MATCH(SMALL($V$4:$V$3183,839),$V$4:$V$3183,0)),"")</f>
        <v/>
      </c>
      <c r="D842" s="29">
        <f>IFERROR(INDEX($Q$4:$Q$3183,MATCH(SMALL($V$4:$V$3183,839),$V$4:$V$3183,0)),"")</f>
        <v/>
      </c>
      <c r="E842" s="29">
        <f>IFERROR(INDEX($R$4:$R$3183,MATCH(SMALL($V$4:$V$3183,839),$V$4:$V$3183,0)),"")</f>
        <v/>
      </c>
      <c r="F842">
        <f>IFERROR(INDEX($S$4:$S$3183,MATCH(SMALL($V$4:$V$3183,839),$V$4:$V$3183,0)),"")</f>
        <v/>
      </c>
      <c r="I842" s="29">
        <f>IF($B842="","",IFERROR(INDEX($U$4:$U$3183,MATCH(SMALL($V$4:$V$3183,839),$V$4:$V$3183,0)),""))</f>
        <v/>
      </c>
      <c r="J842">
        <f>IF($B842="","",IF($D842&gt;$F$2,"À venir",IF($E842&lt;$D$2,"Passé","Dans la période")))</f>
        <v/>
      </c>
      <c r="K842">
        <f>IF(OR($B842="",NOT(ISNUMBER($D842))),"",IF(AND($E842&lt;$D$2,$G842&lt;&gt;"X",$F842&lt;&gt;"Réalisé",$F842&lt;&gt;"Clôturé"),"RETARD",""))</f>
        <v/>
      </c>
      <c r="L842">
        <f>IF(OR($B842="",NOT(ISNUMBER($D842))),"",IF(AND($D842&gt;=$D$2,$D842&lt;=$H$2,$G842&lt;&gt;"X",$F842&lt;&gt;"Réalisé",$F842&lt;&gt;"Clôturé"),"≤ 7 j",""))</f>
        <v/>
      </c>
      <c r="M842" s="29">
        <f>IF($B842="","",IFERROR(INDEX($T$4:$T$3183,MATCH(SMALL($V$4:$V$3183,839),$V$4:$V$3183,0)),""))</f>
        <v/>
      </c>
      <c r="O842">
        <f>IF(INDEX(Suivi!$B:$B,858)="","",INDEX(Suivi!$B:$B,858))</f>
        <v/>
      </c>
      <c r="P842">
        <f>IF($O842="","",IF(INDEX(Suivi!$D:$D,858)="",INDEX(Suivi!$C:$C,858),INDEX(Suivi!$D:$D,858)))</f>
        <v/>
      </c>
      <c r="Q842">
        <f>IF($O842="","",INDEX(Suivi!$E:$E,858))</f>
        <v/>
      </c>
      <c r="R842">
        <f>IF($O842="","",INDEX(Suivi!$F:$F,858))</f>
        <v/>
      </c>
      <c r="S842">
        <f>IF($O842="","",INDEX(Suivi!$G:$G,858))</f>
        <v/>
      </c>
      <c r="T842">
        <f>IF($O842="","",IF(INDEX(Dossiers!$F$4:$F$63,16)="","",INDEX(Dossiers!$F$4:$F$63,16)))</f>
        <v/>
      </c>
      <c r="U842">
        <f>IF($O842="","",IF(INDEX(Dossiers!$G$4:$G$63,16)="","",INDEX(Dossiers!$G$4:$G$63,16)))</f>
        <v/>
      </c>
      <c r="V842">
        <f>IF(OR($O842="",NOT(ISNUMBER($Q842))),"",$Q842*1000000+842)</f>
        <v/>
      </c>
      <c r="W842" s="29">
        <f>IF($B842="","",IFERROR(INDEX($U$4:$U$3183,MATCH(SMALL($V$4:$V$3183,839),$V$4:$V$3183,0)),""))</f>
        <v/>
      </c>
    </row>
    <row r="843">
      <c r="A843">
        <f>IFERROR(INDEX($N$4:$N$3183,MATCH(SMALL($V$4:$V$3183,840),$V$4:$V$3183,0)),"")</f>
        <v/>
      </c>
      <c r="B843">
        <f>IFERROR(INDEX($O$4:$O$3183,MATCH(SMALL($V$4:$V$3183,840),$V$4:$V$3183,0)),"")</f>
        <v/>
      </c>
      <c r="C843">
        <f>IFERROR(INDEX($P$4:$P$3183,MATCH(SMALL($V$4:$V$3183,840),$V$4:$V$3183,0)),"")</f>
        <v/>
      </c>
      <c r="D843" s="29">
        <f>IFERROR(INDEX($Q$4:$Q$3183,MATCH(SMALL($V$4:$V$3183,840),$V$4:$V$3183,0)),"")</f>
        <v/>
      </c>
      <c r="E843" s="29">
        <f>IFERROR(INDEX($R$4:$R$3183,MATCH(SMALL($V$4:$V$3183,840),$V$4:$V$3183,0)),"")</f>
        <v/>
      </c>
      <c r="F843">
        <f>IFERROR(INDEX($S$4:$S$3183,MATCH(SMALL($V$4:$V$3183,840),$V$4:$V$3183,0)),"")</f>
        <v/>
      </c>
      <c r="I843" s="29">
        <f>IF($B843="","",IFERROR(INDEX($U$4:$U$3183,MATCH(SMALL($V$4:$V$3183,840),$V$4:$V$3183,0)),""))</f>
        <v/>
      </c>
      <c r="J843">
        <f>IF($B843="","",IF($D843&gt;$F$2,"À venir",IF($E843&lt;$D$2,"Passé","Dans la période")))</f>
        <v/>
      </c>
      <c r="K843">
        <f>IF(OR($B843="",NOT(ISNUMBER($D843))),"",IF(AND($E843&lt;$D$2,$G843&lt;&gt;"X",$F843&lt;&gt;"Réalisé",$F843&lt;&gt;"Clôturé"),"RETARD",""))</f>
        <v/>
      </c>
      <c r="L843">
        <f>IF(OR($B843="",NOT(ISNUMBER($D843))),"",IF(AND($D843&gt;=$D$2,$D843&lt;=$H$2,$G843&lt;&gt;"X",$F843&lt;&gt;"Réalisé",$F843&lt;&gt;"Clôturé"),"≤ 7 j",""))</f>
        <v/>
      </c>
      <c r="M843" s="29">
        <f>IF($B843="","",IFERROR(INDEX($T$4:$T$3183,MATCH(SMALL($V$4:$V$3183,840),$V$4:$V$3183,0)),""))</f>
        <v/>
      </c>
      <c r="O843">
        <f>IF(INDEX(Suivi!$B:$B,859)="","",INDEX(Suivi!$B:$B,859))</f>
        <v/>
      </c>
      <c r="P843">
        <f>IF($O843="","",IF(INDEX(Suivi!$D:$D,859)="",INDEX(Suivi!$C:$C,859),INDEX(Suivi!$D:$D,859)))</f>
        <v/>
      </c>
      <c r="Q843">
        <f>IF($O843="","",INDEX(Suivi!$E:$E,859))</f>
        <v/>
      </c>
      <c r="R843">
        <f>IF($O843="","",INDEX(Suivi!$F:$F,859))</f>
        <v/>
      </c>
      <c r="S843">
        <f>IF($O843="","",INDEX(Suivi!$G:$G,859))</f>
        <v/>
      </c>
      <c r="T843">
        <f>IF($O843="","",IF(INDEX(Dossiers!$F$4:$F$63,16)="","",INDEX(Dossiers!$F$4:$F$63,16)))</f>
        <v/>
      </c>
      <c r="U843">
        <f>IF($O843="","",IF(INDEX(Dossiers!$G$4:$G$63,16)="","",INDEX(Dossiers!$G$4:$G$63,16)))</f>
        <v/>
      </c>
      <c r="V843">
        <f>IF(OR($O843="",NOT(ISNUMBER($Q843))),"",$Q843*1000000+843)</f>
        <v/>
      </c>
      <c r="W843" s="29">
        <f>IF($B843="","",IFERROR(INDEX($U$4:$U$3183,MATCH(SMALL($V$4:$V$3183,840),$V$4:$V$3183,0)),""))</f>
        <v/>
      </c>
    </row>
    <row r="844">
      <c r="A844">
        <f>IFERROR(INDEX($N$4:$N$3183,MATCH(SMALL($V$4:$V$3183,841),$V$4:$V$3183,0)),"")</f>
        <v/>
      </c>
      <c r="B844">
        <f>IFERROR(INDEX($O$4:$O$3183,MATCH(SMALL($V$4:$V$3183,841),$V$4:$V$3183,0)),"")</f>
        <v/>
      </c>
      <c r="C844">
        <f>IFERROR(INDEX($P$4:$P$3183,MATCH(SMALL($V$4:$V$3183,841),$V$4:$V$3183,0)),"")</f>
        <v/>
      </c>
      <c r="D844" s="29">
        <f>IFERROR(INDEX($Q$4:$Q$3183,MATCH(SMALL($V$4:$V$3183,841),$V$4:$V$3183,0)),"")</f>
        <v/>
      </c>
      <c r="E844" s="29">
        <f>IFERROR(INDEX($R$4:$R$3183,MATCH(SMALL($V$4:$V$3183,841),$V$4:$V$3183,0)),"")</f>
        <v/>
      </c>
      <c r="F844">
        <f>IFERROR(INDEX($S$4:$S$3183,MATCH(SMALL($V$4:$V$3183,841),$V$4:$V$3183,0)),"")</f>
        <v/>
      </c>
      <c r="I844" s="29">
        <f>IF($B844="","",IFERROR(INDEX($U$4:$U$3183,MATCH(SMALL($V$4:$V$3183,841),$V$4:$V$3183,0)),""))</f>
        <v/>
      </c>
      <c r="J844">
        <f>IF($B844="","",IF($D844&gt;$F$2,"À venir",IF($E844&lt;$D$2,"Passé","Dans la période")))</f>
        <v/>
      </c>
      <c r="K844">
        <f>IF(OR($B844="",NOT(ISNUMBER($D844))),"",IF(AND($E844&lt;$D$2,$G844&lt;&gt;"X",$F844&lt;&gt;"Réalisé",$F844&lt;&gt;"Clôturé"),"RETARD",""))</f>
        <v/>
      </c>
      <c r="L844">
        <f>IF(OR($B844="",NOT(ISNUMBER($D844))),"",IF(AND($D844&gt;=$D$2,$D844&lt;=$H$2,$G844&lt;&gt;"X",$F844&lt;&gt;"Réalisé",$F844&lt;&gt;"Clôturé"),"≤ 7 j",""))</f>
        <v/>
      </c>
      <c r="M844" s="29">
        <f>IF($B844="","",IFERROR(INDEX($T$4:$T$3183,MATCH(SMALL($V$4:$V$3183,841),$V$4:$V$3183,0)),""))</f>
        <v/>
      </c>
      <c r="O844">
        <f>IF(INDEX(Suivi!$B:$B,860)="","",INDEX(Suivi!$B:$B,860))</f>
        <v/>
      </c>
      <c r="P844">
        <f>IF($O844="","",IF(INDEX(Suivi!$D:$D,860)="",INDEX(Suivi!$C:$C,860),INDEX(Suivi!$D:$D,860)))</f>
        <v/>
      </c>
      <c r="Q844">
        <f>IF($O844="","",INDEX(Suivi!$E:$E,860))</f>
        <v/>
      </c>
      <c r="R844">
        <f>IF($O844="","",INDEX(Suivi!$F:$F,860))</f>
        <v/>
      </c>
      <c r="S844">
        <f>IF($O844="","",INDEX(Suivi!$G:$G,860))</f>
        <v/>
      </c>
      <c r="T844">
        <f>IF($O844="","",IF(INDEX(Dossiers!$F$4:$F$63,16)="","",INDEX(Dossiers!$F$4:$F$63,16)))</f>
        <v/>
      </c>
      <c r="U844">
        <f>IF($O844="","",IF(INDEX(Dossiers!$G$4:$G$63,16)="","",INDEX(Dossiers!$G$4:$G$63,16)))</f>
        <v/>
      </c>
      <c r="V844">
        <f>IF(OR($O844="",NOT(ISNUMBER($Q844))),"",$Q844*1000000+844)</f>
        <v/>
      </c>
      <c r="W844" s="29">
        <f>IF($B844="","",IFERROR(INDEX($U$4:$U$3183,MATCH(SMALL($V$4:$V$3183,841),$V$4:$V$3183,0)),""))</f>
        <v/>
      </c>
    </row>
    <row r="845">
      <c r="A845">
        <f>IFERROR(INDEX($N$4:$N$3183,MATCH(SMALL($V$4:$V$3183,842),$V$4:$V$3183,0)),"")</f>
        <v/>
      </c>
      <c r="B845">
        <f>IFERROR(INDEX($O$4:$O$3183,MATCH(SMALL($V$4:$V$3183,842),$V$4:$V$3183,0)),"")</f>
        <v/>
      </c>
      <c r="C845">
        <f>IFERROR(INDEX($P$4:$P$3183,MATCH(SMALL($V$4:$V$3183,842),$V$4:$V$3183,0)),"")</f>
        <v/>
      </c>
      <c r="D845" s="29">
        <f>IFERROR(INDEX($Q$4:$Q$3183,MATCH(SMALL($V$4:$V$3183,842),$V$4:$V$3183,0)),"")</f>
        <v/>
      </c>
      <c r="E845" s="29">
        <f>IFERROR(INDEX($R$4:$R$3183,MATCH(SMALL($V$4:$V$3183,842),$V$4:$V$3183,0)),"")</f>
        <v/>
      </c>
      <c r="F845">
        <f>IFERROR(INDEX($S$4:$S$3183,MATCH(SMALL($V$4:$V$3183,842),$V$4:$V$3183,0)),"")</f>
        <v/>
      </c>
      <c r="I845" s="29">
        <f>IF($B845="","",IFERROR(INDEX($U$4:$U$3183,MATCH(SMALL($V$4:$V$3183,842),$V$4:$V$3183,0)),""))</f>
        <v/>
      </c>
      <c r="J845">
        <f>IF($B845="","",IF($D845&gt;$F$2,"À venir",IF($E845&lt;$D$2,"Passé","Dans la période")))</f>
        <v/>
      </c>
      <c r="K845">
        <f>IF(OR($B845="",NOT(ISNUMBER($D845))),"",IF(AND($E845&lt;$D$2,$G845&lt;&gt;"X",$F845&lt;&gt;"Réalisé",$F845&lt;&gt;"Clôturé"),"RETARD",""))</f>
        <v/>
      </c>
      <c r="L845">
        <f>IF(OR($B845="",NOT(ISNUMBER($D845))),"",IF(AND($D845&gt;=$D$2,$D845&lt;=$H$2,$G845&lt;&gt;"X",$F845&lt;&gt;"Réalisé",$F845&lt;&gt;"Clôturé"),"≤ 7 j",""))</f>
        <v/>
      </c>
      <c r="M845" s="29">
        <f>IF($B845="","",IFERROR(INDEX($T$4:$T$3183,MATCH(SMALL($V$4:$V$3183,842),$V$4:$V$3183,0)),""))</f>
        <v/>
      </c>
      <c r="O845">
        <f>IF(INDEX(Suivi!$B:$B,861)="","",INDEX(Suivi!$B:$B,861))</f>
        <v/>
      </c>
      <c r="P845">
        <f>IF($O845="","",IF(INDEX(Suivi!$D:$D,861)="",INDEX(Suivi!$C:$C,861),INDEX(Suivi!$D:$D,861)))</f>
        <v/>
      </c>
      <c r="Q845">
        <f>IF($O845="","",INDEX(Suivi!$E:$E,861))</f>
        <v/>
      </c>
      <c r="R845">
        <f>IF($O845="","",INDEX(Suivi!$F:$F,861))</f>
        <v/>
      </c>
      <c r="S845">
        <f>IF($O845="","",INDEX(Suivi!$G:$G,861))</f>
        <v/>
      </c>
      <c r="T845">
        <f>IF($O845="","",IF(INDEX(Dossiers!$F$4:$F$63,16)="","",INDEX(Dossiers!$F$4:$F$63,16)))</f>
        <v/>
      </c>
      <c r="U845">
        <f>IF($O845="","",IF(INDEX(Dossiers!$G$4:$G$63,16)="","",INDEX(Dossiers!$G$4:$G$63,16)))</f>
        <v/>
      </c>
      <c r="V845">
        <f>IF(OR($O845="",NOT(ISNUMBER($Q845))),"",$Q845*1000000+845)</f>
        <v/>
      </c>
      <c r="W845" s="29">
        <f>IF($B845="","",IFERROR(INDEX($U$4:$U$3183,MATCH(SMALL($V$4:$V$3183,842),$V$4:$V$3183,0)),""))</f>
        <v/>
      </c>
    </row>
    <row r="846">
      <c r="A846">
        <f>IFERROR(INDEX($N$4:$N$3183,MATCH(SMALL($V$4:$V$3183,843),$V$4:$V$3183,0)),"")</f>
        <v/>
      </c>
      <c r="B846">
        <f>IFERROR(INDEX($O$4:$O$3183,MATCH(SMALL($V$4:$V$3183,843),$V$4:$V$3183,0)),"")</f>
        <v/>
      </c>
      <c r="C846">
        <f>IFERROR(INDEX($P$4:$P$3183,MATCH(SMALL($V$4:$V$3183,843),$V$4:$V$3183,0)),"")</f>
        <v/>
      </c>
      <c r="D846" s="29">
        <f>IFERROR(INDEX($Q$4:$Q$3183,MATCH(SMALL($V$4:$V$3183,843),$V$4:$V$3183,0)),"")</f>
        <v/>
      </c>
      <c r="E846" s="29">
        <f>IFERROR(INDEX($R$4:$R$3183,MATCH(SMALL($V$4:$V$3183,843),$V$4:$V$3183,0)),"")</f>
        <v/>
      </c>
      <c r="F846">
        <f>IFERROR(INDEX($S$4:$S$3183,MATCH(SMALL($V$4:$V$3183,843),$V$4:$V$3183,0)),"")</f>
        <v/>
      </c>
      <c r="I846" s="29">
        <f>IF($B846="","",IFERROR(INDEX($U$4:$U$3183,MATCH(SMALL($V$4:$V$3183,843),$V$4:$V$3183,0)),""))</f>
        <v/>
      </c>
      <c r="J846">
        <f>IF($B846="","",IF($D846&gt;$F$2,"À venir",IF($E846&lt;$D$2,"Passé","Dans la période")))</f>
        <v/>
      </c>
      <c r="K846">
        <f>IF(OR($B846="",NOT(ISNUMBER($D846))),"",IF(AND($E846&lt;$D$2,$G846&lt;&gt;"X",$F846&lt;&gt;"Réalisé",$F846&lt;&gt;"Clôturé"),"RETARD",""))</f>
        <v/>
      </c>
      <c r="L846">
        <f>IF(OR($B846="",NOT(ISNUMBER($D846))),"",IF(AND($D846&gt;=$D$2,$D846&lt;=$H$2,$G846&lt;&gt;"X",$F846&lt;&gt;"Réalisé",$F846&lt;&gt;"Clôturé"),"≤ 7 j",""))</f>
        <v/>
      </c>
      <c r="M846" s="29">
        <f>IF($B846="","",IFERROR(INDEX($T$4:$T$3183,MATCH(SMALL($V$4:$V$3183,843),$V$4:$V$3183,0)),""))</f>
        <v/>
      </c>
      <c r="O846">
        <f>IF(INDEX(Suivi!$B:$B,862)="","",INDEX(Suivi!$B:$B,862))</f>
        <v/>
      </c>
      <c r="P846">
        <f>IF($O846="","",IF(INDEX(Suivi!$D:$D,862)="",INDEX(Suivi!$C:$C,862),INDEX(Suivi!$D:$D,862)))</f>
        <v/>
      </c>
      <c r="Q846">
        <f>IF($O846="","",INDEX(Suivi!$E:$E,862))</f>
        <v/>
      </c>
      <c r="R846">
        <f>IF($O846="","",INDEX(Suivi!$F:$F,862))</f>
        <v/>
      </c>
      <c r="S846">
        <f>IF($O846="","",INDEX(Suivi!$G:$G,862))</f>
        <v/>
      </c>
      <c r="T846">
        <f>IF($O846="","",IF(INDEX(Dossiers!$F$4:$F$63,16)="","",INDEX(Dossiers!$F$4:$F$63,16)))</f>
        <v/>
      </c>
      <c r="U846">
        <f>IF($O846="","",IF(INDEX(Dossiers!$G$4:$G$63,16)="","",INDEX(Dossiers!$G$4:$G$63,16)))</f>
        <v/>
      </c>
      <c r="V846">
        <f>IF(OR($O846="",NOT(ISNUMBER($Q846))),"",$Q846*1000000+846)</f>
        <v/>
      </c>
      <c r="W846" s="29">
        <f>IF($B846="","",IFERROR(INDEX($U$4:$U$3183,MATCH(SMALL($V$4:$V$3183,843),$V$4:$V$3183,0)),""))</f>
        <v/>
      </c>
    </row>
    <row r="847">
      <c r="A847">
        <f>IFERROR(INDEX($N$4:$N$3183,MATCH(SMALL($V$4:$V$3183,844),$V$4:$V$3183,0)),"")</f>
        <v/>
      </c>
      <c r="B847">
        <f>IFERROR(INDEX($O$4:$O$3183,MATCH(SMALL($V$4:$V$3183,844),$V$4:$V$3183,0)),"")</f>
        <v/>
      </c>
      <c r="C847">
        <f>IFERROR(INDEX($P$4:$P$3183,MATCH(SMALL($V$4:$V$3183,844),$V$4:$V$3183,0)),"")</f>
        <v/>
      </c>
      <c r="D847" s="29">
        <f>IFERROR(INDEX($Q$4:$Q$3183,MATCH(SMALL($V$4:$V$3183,844),$V$4:$V$3183,0)),"")</f>
        <v/>
      </c>
      <c r="E847" s="29">
        <f>IFERROR(INDEX($R$4:$R$3183,MATCH(SMALL($V$4:$V$3183,844),$V$4:$V$3183,0)),"")</f>
        <v/>
      </c>
      <c r="F847">
        <f>IFERROR(INDEX($S$4:$S$3183,MATCH(SMALL($V$4:$V$3183,844),$V$4:$V$3183,0)),"")</f>
        <v/>
      </c>
      <c r="I847" s="29">
        <f>IF($B847="","",IFERROR(INDEX($U$4:$U$3183,MATCH(SMALL($V$4:$V$3183,844),$V$4:$V$3183,0)),""))</f>
        <v/>
      </c>
      <c r="J847">
        <f>IF($B847="","",IF($D847&gt;$F$2,"À venir",IF($E847&lt;$D$2,"Passé","Dans la période")))</f>
        <v/>
      </c>
      <c r="K847">
        <f>IF(OR($B847="",NOT(ISNUMBER($D847))),"",IF(AND($E847&lt;$D$2,$G847&lt;&gt;"X",$F847&lt;&gt;"Réalisé",$F847&lt;&gt;"Clôturé"),"RETARD",""))</f>
        <v/>
      </c>
      <c r="L847">
        <f>IF(OR($B847="",NOT(ISNUMBER($D847))),"",IF(AND($D847&gt;=$D$2,$D847&lt;=$H$2,$G847&lt;&gt;"X",$F847&lt;&gt;"Réalisé",$F847&lt;&gt;"Clôturé"),"≤ 7 j",""))</f>
        <v/>
      </c>
      <c r="M847" s="29">
        <f>IF($B847="","",IFERROR(INDEX($T$4:$T$3183,MATCH(SMALL($V$4:$V$3183,844),$V$4:$V$3183,0)),""))</f>
        <v/>
      </c>
      <c r="O847">
        <f>IF(INDEX(Suivi!$B:$B,863)="","",INDEX(Suivi!$B:$B,863))</f>
        <v/>
      </c>
      <c r="P847">
        <f>IF($O847="","",IF(INDEX(Suivi!$D:$D,863)="",INDEX(Suivi!$C:$C,863),INDEX(Suivi!$D:$D,863)))</f>
        <v/>
      </c>
      <c r="Q847">
        <f>IF($O847="","",INDEX(Suivi!$E:$E,863))</f>
        <v/>
      </c>
      <c r="R847">
        <f>IF($O847="","",INDEX(Suivi!$F:$F,863))</f>
        <v/>
      </c>
      <c r="S847">
        <f>IF($O847="","",INDEX(Suivi!$G:$G,863))</f>
        <v/>
      </c>
      <c r="T847">
        <f>IF($O847="","",IF(INDEX(Dossiers!$F$4:$F$63,16)="","",INDEX(Dossiers!$F$4:$F$63,16)))</f>
        <v/>
      </c>
      <c r="U847">
        <f>IF($O847="","",IF(INDEX(Dossiers!$G$4:$G$63,16)="","",INDEX(Dossiers!$G$4:$G$63,16)))</f>
        <v/>
      </c>
      <c r="V847">
        <f>IF(OR($O847="",NOT(ISNUMBER($Q847))),"",$Q847*1000000+847)</f>
        <v/>
      </c>
      <c r="W847" s="29">
        <f>IF($B847="","",IFERROR(INDEX($U$4:$U$3183,MATCH(SMALL($V$4:$V$3183,844),$V$4:$V$3183,0)),""))</f>
        <v/>
      </c>
    </row>
    <row r="848">
      <c r="A848">
        <f>IFERROR(INDEX($N$4:$N$3183,MATCH(SMALL($V$4:$V$3183,845),$V$4:$V$3183,0)),"")</f>
        <v/>
      </c>
      <c r="B848">
        <f>IFERROR(INDEX($O$4:$O$3183,MATCH(SMALL($V$4:$V$3183,845),$V$4:$V$3183,0)),"")</f>
        <v/>
      </c>
      <c r="C848">
        <f>IFERROR(INDEX($P$4:$P$3183,MATCH(SMALL($V$4:$V$3183,845),$V$4:$V$3183,0)),"")</f>
        <v/>
      </c>
      <c r="D848" s="29">
        <f>IFERROR(INDEX($Q$4:$Q$3183,MATCH(SMALL($V$4:$V$3183,845),$V$4:$V$3183,0)),"")</f>
        <v/>
      </c>
      <c r="E848" s="29">
        <f>IFERROR(INDEX($R$4:$R$3183,MATCH(SMALL($V$4:$V$3183,845),$V$4:$V$3183,0)),"")</f>
        <v/>
      </c>
      <c r="F848">
        <f>IFERROR(INDEX($S$4:$S$3183,MATCH(SMALL($V$4:$V$3183,845),$V$4:$V$3183,0)),"")</f>
        <v/>
      </c>
      <c r="I848" s="29">
        <f>IF($B848="","",IFERROR(INDEX($U$4:$U$3183,MATCH(SMALL($V$4:$V$3183,845),$V$4:$V$3183,0)),""))</f>
        <v/>
      </c>
      <c r="J848">
        <f>IF($B848="","",IF($D848&gt;$F$2,"À venir",IF($E848&lt;$D$2,"Passé","Dans la période")))</f>
        <v/>
      </c>
      <c r="K848">
        <f>IF(OR($B848="",NOT(ISNUMBER($D848))),"",IF(AND($E848&lt;$D$2,$G848&lt;&gt;"X",$F848&lt;&gt;"Réalisé",$F848&lt;&gt;"Clôturé"),"RETARD",""))</f>
        <v/>
      </c>
      <c r="L848">
        <f>IF(OR($B848="",NOT(ISNUMBER($D848))),"",IF(AND($D848&gt;=$D$2,$D848&lt;=$H$2,$G848&lt;&gt;"X",$F848&lt;&gt;"Réalisé",$F848&lt;&gt;"Clôturé"),"≤ 7 j",""))</f>
        <v/>
      </c>
      <c r="M848" s="29">
        <f>IF($B848="","",IFERROR(INDEX($T$4:$T$3183,MATCH(SMALL($V$4:$V$3183,845),$V$4:$V$3183,0)),""))</f>
        <v/>
      </c>
      <c r="O848">
        <f>IF(INDEX(Suivi!$B:$B,864)="","",INDEX(Suivi!$B:$B,864))</f>
        <v/>
      </c>
      <c r="P848">
        <f>IF($O848="","",IF(INDEX(Suivi!$D:$D,864)="",INDEX(Suivi!$C:$C,864),INDEX(Suivi!$D:$D,864)))</f>
        <v/>
      </c>
      <c r="Q848">
        <f>IF($O848="","",INDEX(Suivi!$E:$E,864))</f>
        <v/>
      </c>
      <c r="R848">
        <f>IF($O848="","",INDEX(Suivi!$F:$F,864))</f>
        <v/>
      </c>
      <c r="S848">
        <f>IF($O848="","",INDEX(Suivi!$G:$G,864))</f>
        <v/>
      </c>
      <c r="T848">
        <f>IF($O848="","",IF(INDEX(Dossiers!$F$4:$F$63,16)="","",INDEX(Dossiers!$F$4:$F$63,16)))</f>
        <v/>
      </c>
      <c r="U848">
        <f>IF($O848="","",IF(INDEX(Dossiers!$G$4:$G$63,16)="","",INDEX(Dossiers!$G$4:$G$63,16)))</f>
        <v/>
      </c>
      <c r="V848">
        <f>IF(OR($O848="",NOT(ISNUMBER($Q848))),"",$Q848*1000000+848)</f>
        <v/>
      </c>
      <c r="W848" s="29">
        <f>IF($B848="","",IFERROR(INDEX($U$4:$U$3183,MATCH(SMALL($V$4:$V$3183,845),$V$4:$V$3183,0)),""))</f>
        <v/>
      </c>
    </row>
    <row r="849">
      <c r="A849">
        <f>IFERROR(INDEX($N$4:$N$3183,MATCH(SMALL($V$4:$V$3183,846),$V$4:$V$3183,0)),"")</f>
        <v/>
      </c>
      <c r="B849">
        <f>IFERROR(INDEX($O$4:$O$3183,MATCH(SMALL($V$4:$V$3183,846),$V$4:$V$3183,0)),"")</f>
        <v/>
      </c>
      <c r="C849">
        <f>IFERROR(INDEX($P$4:$P$3183,MATCH(SMALL($V$4:$V$3183,846),$V$4:$V$3183,0)),"")</f>
        <v/>
      </c>
      <c r="D849" s="29">
        <f>IFERROR(INDEX($Q$4:$Q$3183,MATCH(SMALL($V$4:$V$3183,846),$V$4:$V$3183,0)),"")</f>
        <v/>
      </c>
      <c r="E849" s="29">
        <f>IFERROR(INDEX($R$4:$R$3183,MATCH(SMALL($V$4:$V$3183,846),$V$4:$V$3183,0)),"")</f>
        <v/>
      </c>
      <c r="F849">
        <f>IFERROR(INDEX($S$4:$S$3183,MATCH(SMALL($V$4:$V$3183,846),$V$4:$V$3183,0)),"")</f>
        <v/>
      </c>
      <c r="I849" s="29">
        <f>IF($B849="","",IFERROR(INDEX($U$4:$U$3183,MATCH(SMALL($V$4:$V$3183,846),$V$4:$V$3183,0)),""))</f>
        <v/>
      </c>
      <c r="J849">
        <f>IF($B849="","",IF($D849&gt;$F$2,"À venir",IF($E849&lt;$D$2,"Passé","Dans la période")))</f>
        <v/>
      </c>
      <c r="K849">
        <f>IF(OR($B849="",NOT(ISNUMBER($D849))),"",IF(AND($E849&lt;$D$2,$G849&lt;&gt;"X",$F849&lt;&gt;"Réalisé",$F849&lt;&gt;"Clôturé"),"RETARD",""))</f>
        <v/>
      </c>
      <c r="L849">
        <f>IF(OR($B849="",NOT(ISNUMBER($D849))),"",IF(AND($D849&gt;=$D$2,$D849&lt;=$H$2,$G849&lt;&gt;"X",$F849&lt;&gt;"Réalisé",$F849&lt;&gt;"Clôturé"),"≤ 7 j",""))</f>
        <v/>
      </c>
      <c r="M849" s="29">
        <f>IF($B849="","",IFERROR(INDEX($T$4:$T$3183,MATCH(SMALL($V$4:$V$3183,846),$V$4:$V$3183,0)),""))</f>
        <v/>
      </c>
      <c r="O849">
        <f>IF(INDEX(Suivi!$B:$B,865)="","",INDEX(Suivi!$B:$B,865))</f>
        <v/>
      </c>
      <c r="P849">
        <f>IF($O849="","",IF(INDEX(Suivi!$D:$D,865)="",INDEX(Suivi!$C:$C,865),INDEX(Suivi!$D:$D,865)))</f>
        <v/>
      </c>
      <c r="Q849">
        <f>IF($O849="","",INDEX(Suivi!$E:$E,865))</f>
        <v/>
      </c>
      <c r="R849">
        <f>IF($O849="","",INDEX(Suivi!$F:$F,865))</f>
        <v/>
      </c>
      <c r="S849">
        <f>IF($O849="","",INDEX(Suivi!$G:$G,865))</f>
        <v/>
      </c>
      <c r="T849">
        <f>IF($O849="","",IF(INDEX(Dossiers!$F$4:$F$63,16)="","",INDEX(Dossiers!$F$4:$F$63,16)))</f>
        <v/>
      </c>
      <c r="U849">
        <f>IF($O849="","",IF(INDEX(Dossiers!$G$4:$G$63,16)="","",INDEX(Dossiers!$G$4:$G$63,16)))</f>
        <v/>
      </c>
      <c r="V849">
        <f>IF(OR($O849="",NOT(ISNUMBER($Q849))),"",$Q849*1000000+849)</f>
        <v/>
      </c>
      <c r="W849" s="29">
        <f>IF($B849="","",IFERROR(INDEX($U$4:$U$3183,MATCH(SMALL($V$4:$V$3183,846),$V$4:$V$3183,0)),""))</f>
        <v/>
      </c>
    </row>
    <row r="850">
      <c r="A850">
        <f>IFERROR(INDEX($N$4:$N$3183,MATCH(SMALL($V$4:$V$3183,847),$V$4:$V$3183,0)),"")</f>
        <v/>
      </c>
      <c r="B850">
        <f>IFERROR(INDEX($O$4:$O$3183,MATCH(SMALL($V$4:$V$3183,847),$V$4:$V$3183,0)),"")</f>
        <v/>
      </c>
      <c r="C850">
        <f>IFERROR(INDEX($P$4:$P$3183,MATCH(SMALL($V$4:$V$3183,847),$V$4:$V$3183,0)),"")</f>
        <v/>
      </c>
      <c r="D850" s="29">
        <f>IFERROR(INDEX($Q$4:$Q$3183,MATCH(SMALL($V$4:$V$3183,847),$V$4:$V$3183,0)),"")</f>
        <v/>
      </c>
      <c r="E850" s="29">
        <f>IFERROR(INDEX($R$4:$R$3183,MATCH(SMALL($V$4:$V$3183,847),$V$4:$V$3183,0)),"")</f>
        <v/>
      </c>
      <c r="F850">
        <f>IFERROR(INDEX($S$4:$S$3183,MATCH(SMALL($V$4:$V$3183,847),$V$4:$V$3183,0)),"")</f>
        <v/>
      </c>
      <c r="I850" s="29">
        <f>IF($B850="","",IFERROR(INDEX($U$4:$U$3183,MATCH(SMALL($V$4:$V$3183,847),$V$4:$V$3183,0)),""))</f>
        <v/>
      </c>
      <c r="J850">
        <f>IF($B850="","",IF($D850&gt;$F$2,"À venir",IF($E850&lt;$D$2,"Passé","Dans la période")))</f>
        <v/>
      </c>
      <c r="K850">
        <f>IF(OR($B850="",NOT(ISNUMBER($D850))),"",IF(AND($E850&lt;$D$2,$G850&lt;&gt;"X",$F850&lt;&gt;"Réalisé",$F850&lt;&gt;"Clôturé"),"RETARD",""))</f>
        <v/>
      </c>
      <c r="L850">
        <f>IF(OR($B850="",NOT(ISNUMBER($D850))),"",IF(AND($D850&gt;=$D$2,$D850&lt;=$H$2,$G850&lt;&gt;"X",$F850&lt;&gt;"Réalisé",$F850&lt;&gt;"Clôturé"),"≤ 7 j",""))</f>
        <v/>
      </c>
      <c r="M850" s="29">
        <f>IF($B850="","",IFERROR(INDEX($T$4:$T$3183,MATCH(SMALL($V$4:$V$3183,847),$V$4:$V$3183,0)),""))</f>
        <v/>
      </c>
      <c r="O850">
        <f>IF(INDEX(Suivi!$B:$B,866)="","",INDEX(Suivi!$B:$B,866))</f>
        <v/>
      </c>
      <c r="P850">
        <f>IF($O850="","",IF(INDEX(Suivi!$D:$D,866)="",INDEX(Suivi!$C:$C,866),INDEX(Suivi!$D:$D,866)))</f>
        <v/>
      </c>
      <c r="Q850">
        <f>IF($O850="","",INDEX(Suivi!$E:$E,866))</f>
        <v/>
      </c>
      <c r="R850">
        <f>IF($O850="","",INDEX(Suivi!$F:$F,866))</f>
        <v/>
      </c>
      <c r="S850">
        <f>IF($O850="","",INDEX(Suivi!$G:$G,866))</f>
        <v/>
      </c>
      <c r="T850">
        <f>IF($O850="","",IF(INDEX(Dossiers!$F$4:$F$63,16)="","",INDEX(Dossiers!$F$4:$F$63,16)))</f>
        <v/>
      </c>
      <c r="U850">
        <f>IF($O850="","",IF(INDEX(Dossiers!$G$4:$G$63,16)="","",INDEX(Dossiers!$G$4:$G$63,16)))</f>
        <v/>
      </c>
      <c r="V850">
        <f>IF(OR($O850="",NOT(ISNUMBER($Q850))),"",$Q850*1000000+850)</f>
        <v/>
      </c>
      <c r="W850" s="29">
        <f>IF($B850="","",IFERROR(INDEX($U$4:$U$3183,MATCH(SMALL($V$4:$V$3183,847),$V$4:$V$3183,0)),""))</f>
        <v/>
      </c>
    </row>
    <row r="851">
      <c r="A851">
        <f>IFERROR(INDEX($N$4:$N$3183,MATCH(SMALL($V$4:$V$3183,848),$V$4:$V$3183,0)),"")</f>
        <v/>
      </c>
      <c r="B851">
        <f>IFERROR(INDEX($O$4:$O$3183,MATCH(SMALL($V$4:$V$3183,848),$V$4:$V$3183,0)),"")</f>
        <v/>
      </c>
      <c r="C851">
        <f>IFERROR(INDEX($P$4:$P$3183,MATCH(SMALL($V$4:$V$3183,848),$V$4:$V$3183,0)),"")</f>
        <v/>
      </c>
      <c r="D851" s="29">
        <f>IFERROR(INDEX($Q$4:$Q$3183,MATCH(SMALL($V$4:$V$3183,848),$V$4:$V$3183,0)),"")</f>
        <v/>
      </c>
      <c r="E851" s="29">
        <f>IFERROR(INDEX($R$4:$R$3183,MATCH(SMALL($V$4:$V$3183,848),$V$4:$V$3183,0)),"")</f>
        <v/>
      </c>
      <c r="F851">
        <f>IFERROR(INDEX($S$4:$S$3183,MATCH(SMALL($V$4:$V$3183,848),$V$4:$V$3183,0)),"")</f>
        <v/>
      </c>
      <c r="I851" s="29">
        <f>IF($B851="","",IFERROR(INDEX($U$4:$U$3183,MATCH(SMALL($V$4:$V$3183,848),$V$4:$V$3183,0)),""))</f>
        <v/>
      </c>
      <c r="J851">
        <f>IF($B851="","",IF($D851&gt;$F$2,"À venir",IF($E851&lt;$D$2,"Passé","Dans la période")))</f>
        <v/>
      </c>
      <c r="K851">
        <f>IF(OR($B851="",NOT(ISNUMBER($D851))),"",IF(AND($E851&lt;$D$2,$G851&lt;&gt;"X",$F851&lt;&gt;"Réalisé",$F851&lt;&gt;"Clôturé"),"RETARD",""))</f>
        <v/>
      </c>
      <c r="L851">
        <f>IF(OR($B851="",NOT(ISNUMBER($D851))),"",IF(AND($D851&gt;=$D$2,$D851&lt;=$H$2,$G851&lt;&gt;"X",$F851&lt;&gt;"Réalisé",$F851&lt;&gt;"Clôturé"),"≤ 7 j",""))</f>
        <v/>
      </c>
      <c r="M851" s="29">
        <f>IF($B851="","",IFERROR(INDEX($T$4:$T$3183,MATCH(SMALL($V$4:$V$3183,848),$V$4:$V$3183,0)),""))</f>
        <v/>
      </c>
      <c r="O851">
        <f>IF(INDEX(Suivi!$B:$B,867)="","",INDEX(Suivi!$B:$B,867))</f>
        <v/>
      </c>
      <c r="P851">
        <f>IF($O851="","",IF(INDEX(Suivi!$D:$D,867)="",INDEX(Suivi!$C:$C,867),INDEX(Suivi!$D:$D,867)))</f>
        <v/>
      </c>
      <c r="Q851">
        <f>IF($O851="","",INDEX(Suivi!$E:$E,867))</f>
        <v/>
      </c>
      <c r="R851">
        <f>IF($O851="","",INDEX(Suivi!$F:$F,867))</f>
        <v/>
      </c>
      <c r="S851">
        <f>IF($O851="","",INDEX(Suivi!$G:$G,867))</f>
        <v/>
      </c>
      <c r="T851">
        <f>IF($O851="","",IF(INDEX(Dossiers!$F$4:$F$63,16)="","",INDEX(Dossiers!$F$4:$F$63,16)))</f>
        <v/>
      </c>
      <c r="U851">
        <f>IF($O851="","",IF(INDEX(Dossiers!$G$4:$G$63,16)="","",INDEX(Dossiers!$G$4:$G$63,16)))</f>
        <v/>
      </c>
      <c r="V851">
        <f>IF(OR($O851="",NOT(ISNUMBER($Q851))),"",$Q851*1000000+851)</f>
        <v/>
      </c>
      <c r="W851" s="29">
        <f>IF($B851="","",IFERROR(INDEX($U$4:$U$3183,MATCH(SMALL($V$4:$V$3183,848),$V$4:$V$3183,0)),""))</f>
        <v/>
      </c>
    </row>
    <row r="852">
      <c r="A852">
        <f>IFERROR(INDEX($N$4:$N$3183,MATCH(SMALL($V$4:$V$3183,849),$V$4:$V$3183,0)),"")</f>
        <v/>
      </c>
      <c r="B852">
        <f>IFERROR(INDEX($O$4:$O$3183,MATCH(SMALL($V$4:$V$3183,849),$V$4:$V$3183,0)),"")</f>
        <v/>
      </c>
      <c r="C852">
        <f>IFERROR(INDEX($P$4:$P$3183,MATCH(SMALL($V$4:$V$3183,849),$V$4:$V$3183,0)),"")</f>
        <v/>
      </c>
      <c r="D852" s="29">
        <f>IFERROR(INDEX($Q$4:$Q$3183,MATCH(SMALL($V$4:$V$3183,849),$V$4:$V$3183,0)),"")</f>
        <v/>
      </c>
      <c r="E852" s="29">
        <f>IFERROR(INDEX($R$4:$R$3183,MATCH(SMALL($V$4:$V$3183,849),$V$4:$V$3183,0)),"")</f>
        <v/>
      </c>
      <c r="F852">
        <f>IFERROR(INDEX($S$4:$S$3183,MATCH(SMALL($V$4:$V$3183,849),$V$4:$V$3183,0)),"")</f>
        <v/>
      </c>
      <c r="I852" s="29">
        <f>IF($B852="","",IFERROR(INDEX($U$4:$U$3183,MATCH(SMALL($V$4:$V$3183,849),$V$4:$V$3183,0)),""))</f>
        <v/>
      </c>
      <c r="J852">
        <f>IF($B852="","",IF($D852&gt;$F$2,"À venir",IF($E852&lt;$D$2,"Passé","Dans la période")))</f>
        <v/>
      </c>
      <c r="K852">
        <f>IF(OR($B852="",NOT(ISNUMBER($D852))),"",IF(AND($E852&lt;$D$2,$G852&lt;&gt;"X",$F852&lt;&gt;"Réalisé",$F852&lt;&gt;"Clôturé"),"RETARD",""))</f>
        <v/>
      </c>
      <c r="L852">
        <f>IF(OR($B852="",NOT(ISNUMBER($D852))),"",IF(AND($D852&gt;=$D$2,$D852&lt;=$H$2,$G852&lt;&gt;"X",$F852&lt;&gt;"Réalisé",$F852&lt;&gt;"Clôturé"),"≤ 7 j",""))</f>
        <v/>
      </c>
      <c r="M852" s="29">
        <f>IF($B852="","",IFERROR(INDEX($T$4:$T$3183,MATCH(SMALL($V$4:$V$3183,849),$V$4:$V$3183,0)),""))</f>
        <v/>
      </c>
      <c r="O852">
        <f>IF(INDEX(Suivi!$B:$B,869)="","",INDEX(Suivi!$B:$B,869))</f>
        <v/>
      </c>
      <c r="P852">
        <f>IF($O852="","",IF(INDEX(Suivi!$D:$D,869)="",INDEX(Suivi!$C:$C,869),INDEX(Suivi!$D:$D,869)))</f>
        <v/>
      </c>
      <c r="Q852">
        <f>IF($O852="","",INDEX(Suivi!$E:$E,869))</f>
        <v/>
      </c>
      <c r="R852">
        <f>IF($O852="","",INDEX(Suivi!$F:$F,869))</f>
        <v/>
      </c>
      <c r="S852">
        <f>IF($O852="","",INDEX(Suivi!$G:$G,869))</f>
        <v/>
      </c>
      <c r="T852">
        <f>IF($O852="","",IF(INDEX(Dossiers!$F$4:$F$63,17)="","",INDEX(Dossiers!$F$4:$F$63,17)))</f>
        <v/>
      </c>
      <c r="U852">
        <f>IF($O852="","",IF(INDEX(Dossiers!$G$4:$G$63,17)="","",INDEX(Dossiers!$G$4:$G$63,17)))</f>
        <v/>
      </c>
      <c r="V852">
        <f>IF(OR($O852="",NOT(ISNUMBER($Q852))),"",$Q852*1000000+852)</f>
        <v/>
      </c>
      <c r="W852" s="29">
        <f>IF($B852="","",IFERROR(INDEX($U$4:$U$3183,MATCH(SMALL($V$4:$V$3183,849),$V$4:$V$3183,0)),""))</f>
        <v/>
      </c>
    </row>
    <row r="853">
      <c r="A853">
        <f>IFERROR(INDEX($N$4:$N$3183,MATCH(SMALL($V$4:$V$3183,850),$V$4:$V$3183,0)),"")</f>
        <v/>
      </c>
      <c r="B853">
        <f>IFERROR(INDEX($O$4:$O$3183,MATCH(SMALL($V$4:$V$3183,850),$V$4:$V$3183,0)),"")</f>
        <v/>
      </c>
      <c r="C853">
        <f>IFERROR(INDEX($P$4:$P$3183,MATCH(SMALL($V$4:$V$3183,850),$V$4:$V$3183,0)),"")</f>
        <v/>
      </c>
      <c r="D853" s="29">
        <f>IFERROR(INDEX($Q$4:$Q$3183,MATCH(SMALL($V$4:$V$3183,850),$V$4:$V$3183,0)),"")</f>
        <v/>
      </c>
      <c r="E853" s="29">
        <f>IFERROR(INDEX($R$4:$R$3183,MATCH(SMALL($V$4:$V$3183,850),$V$4:$V$3183,0)),"")</f>
        <v/>
      </c>
      <c r="F853">
        <f>IFERROR(INDEX($S$4:$S$3183,MATCH(SMALL($V$4:$V$3183,850),$V$4:$V$3183,0)),"")</f>
        <v/>
      </c>
      <c r="I853" s="29">
        <f>IF($B853="","",IFERROR(INDEX($U$4:$U$3183,MATCH(SMALL($V$4:$V$3183,850),$V$4:$V$3183,0)),""))</f>
        <v/>
      </c>
      <c r="J853">
        <f>IF($B853="","",IF($D853&gt;$F$2,"À venir",IF($E853&lt;$D$2,"Passé","Dans la période")))</f>
        <v/>
      </c>
      <c r="K853">
        <f>IF(OR($B853="",NOT(ISNUMBER($D853))),"",IF(AND($E853&lt;$D$2,$G853&lt;&gt;"X",$F853&lt;&gt;"Réalisé",$F853&lt;&gt;"Clôturé"),"RETARD",""))</f>
        <v/>
      </c>
      <c r="L853">
        <f>IF(OR($B853="",NOT(ISNUMBER($D853))),"",IF(AND($D853&gt;=$D$2,$D853&lt;=$H$2,$G853&lt;&gt;"X",$F853&lt;&gt;"Réalisé",$F853&lt;&gt;"Clôturé"),"≤ 7 j",""))</f>
        <v/>
      </c>
      <c r="M853" s="29">
        <f>IF($B853="","",IFERROR(INDEX($T$4:$T$3183,MATCH(SMALL($V$4:$V$3183,850),$V$4:$V$3183,0)),""))</f>
        <v/>
      </c>
      <c r="O853">
        <f>IF(INDEX(Suivi!$B:$B,870)="","",INDEX(Suivi!$B:$B,870))</f>
        <v/>
      </c>
      <c r="P853">
        <f>IF($O853="","",IF(INDEX(Suivi!$D:$D,870)="",INDEX(Suivi!$C:$C,870),INDEX(Suivi!$D:$D,870)))</f>
        <v/>
      </c>
      <c r="Q853">
        <f>IF($O853="","",INDEX(Suivi!$E:$E,870))</f>
        <v/>
      </c>
      <c r="R853">
        <f>IF($O853="","",INDEX(Suivi!$F:$F,870))</f>
        <v/>
      </c>
      <c r="S853">
        <f>IF($O853="","",INDEX(Suivi!$G:$G,870))</f>
        <v/>
      </c>
      <c r="T853">
        <f>IF($O853="","",IF(INDEX(Dossiers!$F$4:$F$63,17)="","",INDEX(Dossiers!$F$4:$F$63,17)))</f>
        <v/>
      </c>
      <c r="U853">
        <f>IF($O853="","",IF(INDEX(Dossiers!$G$4:$G$63,17)="","",INDEX(Dossiers!$G$4:$G$63,17)))</f>
        <v/>
      </c>
      <c r="V853">
        <f>IF(OR($O853="",NOT(ISNUMBER($Q853))),"",$Q853*1000000+853)</f>
        <v/>
      </c>
      <c r="W853" s="29">
        <f>IF($B853="","",IFERROR(INDEX($U$4:$U$3183,MATCH(SMALL($V$4:$V$3183,850),$V$4:$V$3183,0)),""))</f>
        <v/>
      </c>
    </row>
    <row r="854">
      <c r="A854">
        <f>IFERROR(INDEX($N$4:$N$3183,MATCH(SMALL($V$4:$V$3183,851),$V$4:$V$3183,0)),"")</f>
        <v/>
      </c>
      <c r="B854">
        <f>IFERROR(INDEX($O$4:$O$3183,MATCH(SMALL($V$4:$V$3183,851),$V$4:$V$3183,0)),"")</f>
        <v/>
      </c>
      <c r="C854">
        <f>IFERROR(INDEX($P$4:$P$3183,MATCH(SMALL($V$4:$V$3183,851),$V$4:$V$3183,0)),"")</f>
        <v/>
      </c>
      <c r="D854" s="29">
        <f>IFERROR(INDEX($Q$4:$Q$3183,MATCH(SMALL($V$4:$V$3183,851),$V$4:$V$3183,0)),"")</f>
        <v/>
      </c>
      <c r="E854" s="29">
        <f>IFERROR(INDEX($R$4:$R$3183,MATCH(SMALL($V$4:$V$3183,851),$V$4:$V$3183,0)),"")</f>
        <v/>
      </c>
      <c r="F854">
        <f>IFERROR(INDEX($S$4:$S$3183,MATCH(SMALL($V$4:$V$3183,851),$V$4:$V$3183,0)),"")</f>
        <v/>
      </c>
      <c r="I854" s="29">
        <f>IF($B854="","",IFERROR(INDEX($U$4:$U$3183,MATCH(SMALL($V$4:$V$3183,851),$V$4:$V$3183,0)),""))</f>
        <v/>
      </c>
      <c r="J854">
        <f>IF($B854="","",IF($D854&gt;$F$2,"À venir",IF($E854&lt;$D$2,"Passé","Dans la période")))</f>
        <v/>
      </c>
      <c r="K854">
        <f>IF(OR($B854="",NOT(ISNUMBER($D854))),"",IF(AND($E854&lt;$D$2,$G854&lt;&gt;"X",$F854&lt;&gt;"Réalisé",$F854&lt;&gt;"Clôturé"),"RETARD",""))</f>
        <v/>
      </c>
      <c r="L854">
        <f>IF(OR($B854="",NOT(ISNUMBER($D854))),"",IF(AND($D854&gt;=$D$2,$D854&lt;=$H$2,$G854&lt;&gt;"X",$F854&lt;&gt;"Réalisé",$F854&lt;&gt;"Clôturé"),"≤ 7 j",""))</f>
        <v/>
      </c>
      <c r="M854" s="29">
        <f>IF($B854="","",IFERROR(INDEX($T$4:$T$3183,MATCH(SMALL($V$4:$V$3183,851),$V$4:$V$3183,0)),""))</f>
        <v/>
      </c>
      <c r="O854">
        <f>IF(INDEX(Suivi!$B:$B,871)="","",INDEX(Suivi!$B:$B,871))</f>
        <v/>
      </c>
      <c r="P854">
        <f>IF($O854="","",IF(INDEX(Suivi!$D:$D,871)="",INDEX(Suivi!$C:$C,871),INDEX(Suivi!$D:$D,871)))</f>
        <v/>
      </c>
      <c r="Q854">
        <f>IF($O854="","",INDEX(Suivi!$E:$E,871))</f>
        <v/>
      </c>
      <c r="R854">
        <f>IF($O854="","",INDEX(Suivi!$F:$F,871))</f>
        <v/>
      </c>
      <c r="S854">
        <f>IF($O854="","",INDEX(Suivi!$G:$G,871))</f>
        <v/>
      </c>
      <c r="T854">
        <f>IF($O854="","",IF(INDEX(Dossiers!$F$4:$F$63,17)="","",INDEX(Dossiers!$F$4:$F$63,17)))</f>
        <v/>
      </c>
      <c r="U854">
        <f>IF($O854="","",IF(INDEX(Dossiers!$G$4:$G$63,17)="","",INDEX(Dossiers!$G$4:$G$63,17)))</f>
        <v/>
      </c>
      <c r="V854">
        <f>IF(OR($O854="",NOT(ISNUMBER($Q854))),"",$Q854*1000000+854)</f>
        <v/>
      </c>
      <c r="W854" s="29">
        <f>IF($B854="","",IFERROR(INDEX($U$4:$U$3183,MATCH(SMALL($V$4:$V$3183,851),$V$4:$V$3183,0)),""))</f>
        <v/>
      </c>
    </row>
    <row r="855">
      <c r="A855">
        <f>IFERROR(INDEX($N$4:$N$3183,MATCH(SMALL($V$4:$V$3183,852),$V$4:$V$3183,0)),"")</f>
        <v/>
      </c>
      <c r="B855">
        <f>IFERROR(INDEX($O$4:$O$3183,MATCH(SMALL($V$4:$V$3183,852),$V$4:$V$3183,0)),"")</f>
        <v/>
      </c>
      <c r="C855">
        <f>IFERROR(INDEX($P$4:$P$3183,MATCH(SMALL($V$4:$V$3183,852),$V$4:$V$3183,0)),"")</f>
        <v/>
      </c>
      <c r="D855" s="29">
        <f>IFERROR(INDEX($Q$4:$Q$3183,MATCH(SMALL($V$4:$V$3183,852),$V$4:$V$3183,0)),"")</f>
        <v/>
      </c>
      <c r="E855" s="29">
        <f>IFERROR(INDEX($R$4:$R$3183,MATCH(SMALL($V$4:$V$3183,852),$V$4:$V$3183,0)),"")</f>
        <v/>
      </c>
      <c r="F855">
        <f>IFERROR(INDEX($S$4:$S$3183,MATCH(SMALL($V$4:$V$3183,852),$V$4:$V$3183,0)),"")</f>
        <v/>
      </c>
      <c r="I855" s="29">
        <f>IF($B855="","",IFERROR(INDEX($U$4:$U$3183,MATCH(SMALL($V$4:$V$3183,852),$V$4:$V$3183,0)),""))</f>
        <v/>
      </c>
      <c r="J855">
        <f>IF($B855="","",IF($D855&gt;$F$2,"À venir",IF($E855&lt;$D$2,"Passé","Dans la période")))</f>
        <v/>
      </c>
      <c r="K855">
        <f>IF(OR($B855="",NOT(ISNUMBER($D855))),"",IF(AND($E855&lt;$D$2,$G855&lt;&gt;"X",$F855&lt;&gt;"Réalisé",$F855&lt;&gt;"Clôturé"),"RETARD",""))</f>
        <v/>
      </c>
      <c r="L855">
        <f>IF(OR($B855="",NOT(ISNUMBER($D855))),"",IF(AND($D855&gt;=$D$2,$D855&lt;=$H$2,$G855&lt;&gt;"X",$F855&lt;&gt;"Réalisé",$F855&lt;&gt;"Clôturé"),"≤ 7 j",""))</f>
        <v/>
      </c>
      <c r="M855" s="29">
        <f>IF($B855="","",IFERROR(INDEX($T$4:$T$3183,MATCH(SMALL($V$4:$V$3183,852),$V$4:$V$3183,0)),""))</f>
        <v/>
      </c>
      <c r="O855">
        <f>IF(INDEX(Suivi!$B:$B,872)="","",INDEX(Suivi!$B:$B,872))</f>
        <v/>
      </c>
      <c r="P855">
        <f>IF($O855="","",IF(INDEX(Suivi!$D:$D,872)="",INDEX(Suivi!$C:$C,872),INDEX(Suivi!$D:$D,872)))</f>
        <v/>
      </c>
      <c r="Q855">
        <f>IF($O855="","",INDEX(Suivi!$E:$E,872))</f>
        <v/>
      </c>
      <c r="R855">
        <f>IF($O855="","",INDEX(Suivi!$F:$F,872))</f>
        <v/>
      </c>
      <c r="S855">
        <f>IF($O855="","",INDEX(Suivi!$G:$G,872))</f>
        <v/>
      </c>
      <c r="T855">
        <f>IF($O855="","",IF(INDEX(Dossiers!$F$4:$F$63,17)="","",INDEX(Dossiers!$F$4:$F$63,17)))</f>
        <v/>
      </c>
      <c r="U855">
        <f>IF($O855="","",IF(INDEX(Dossiers!$G$4:$G$63,17)="","",INDEX(Dossiers!$G$4:$G$63,17)))</f>
        <v/>
      </c>
      <c r="V855">
        <f>IF(OR($O855="",NOT(ISNUMBER($Q855))),"",$Q855*1000000+855)</f>
        <v/>
      </c>
      <c r="W855" s="29">
        <f>IF($B855="","",IFERROR(INDEX($U$4:$U$3183,MATCH(SMALL($V$4:$V$3183,852),$V$4:$V$3183,0)),""))</f>
        <v/>
      </c>
    </row>
    <row r="856">
      <c r="A856">
        <f>IFERROR(INDEX($N$4:$N$3183,MATCH(SMALL($V$4:$V$3183,853),$V$4:$V$3183,0)),"")</f>
        <v/>
      </c>
      <c r="B856">
        <f>IFERROR(INDEX($O$4:$O$3183,MATCH(SMALL($V$4:$V$3183,853),$V$4:$V$3183,0)),"")</f>
        <v/>
      </c>
      <c r="C856">
        <f>IFERROR(INDEX($P$4:$P$3183,MATCH(SMALL($V$4:$V$3183,853),$V$4:$V$3183,0)),"")</f>
        <v/>
      </c>
      <c r="D856" s="29">
        <f>IFERROR(INDEX($Q$4:$Q$3183,MATCH(SMALL($V$4:$V$3183,853),$V$4:$V$3183,0)),"")</f>
        <v/>
      </c>
      <c r="E856" s="29">
        <f>IFERROR(INDEX($R$4:$R$3183,MATCH(SMALL($V$4:$V$3183,853),$V$4:$V$3183,0)),"")</f>
        <v/>
      </c>
      <c r="F856">
        <f>IFERROR(INDEX($S$4:$S$3183,MATCH(SMALL($V$4:$V$3183,853),$V$4:$V$3183,0)),"")</f>
        <v/>
      </c>
      <c r="I856" s="29">
        <f>IF($B856="","",IFERROR(INDEX($U$4:$U$3183,MATCH(SMALL($V$4:$V$3183,853),$V$4:$V$3183,0)),""))</f>
        <v/>
      </c>
      <c r="J856">
        <f>IF($B856="","",IF($D856&gt;$F$2,"À venir",IF($E856&lt;$D$2,"Passé","Dans la période")))</f>
        <v/>
      </c>
      <c r="K856">
        <f>IF(OR($B856="",NOT(ISNUMBER($D856))),"",IF(AND($E856&lt;$D$2,$G856&lt;&gt;"X",$F856&lt;&gt;"Réalisé",$F856&lt;&gt;"Clôturé"),"RETARD",""))</f>
        <v/>
      </c>
      <c r="L856">
        <f>IF(OR($B856="",NOT(ISNUMBER($D856))),"",IF(AND($D856&gt;=$D$2,$D856&lt;=$H$2,$G856&lt;&gt;"X",$F856&lt;&gt;"Réalisé",$F856&lt;&gt;"Clôturé"),"≤ 7 j",""))</f>
        <v/>
      </c>
      <c r="M856" s="29">
        <f>IF($B856="","",IFERROR(INDEX($T$4:$T$3183,MATCH(SMALL($V$4:$V$3183,853),$V$4:$V$3183,0)),""))</f>
        <v/>
      </c>
      <c r="O856">
        <f>IF(INDEX(Suivi!$B:$B,873)="","",INDEX(Suivi!$B:$B,873))</f>
        <v/>
      </c>
      <c r="P856">
        <f>IF($O856="","",IF(INDEX(Suivi!$D:$D,873)="",INDEX(Suivi!$C:$C,873),INDEX(Suivi!$D:$D,873)))</f>
        <v/>
      </c>
      <c r="Q856">
        <f>IF($O856="","",INDEX(Suivi!$E:$E,873))</f>
        <v/>
      </c>
      <c r="R856">
        <f>IF($O856="","",INDEX(Suivi!$F:$F,873))</f>
        <v/>
      </c>
      <c r="S856">
        <f>IF($O856="","",INDEX(Suivi!$G:$G,873))</f>
        <v/>
      </c>
      <c r="T856">
        <f>IF($O856="","",IF(INDEX(Dossiers!$F$4:$F$63,17)="","",INDEX(Dossiers!$F$4:$F$63,17)))</f>
        <v/>
      </c>
      <c r="U856">
        <f>IF($O856="","",IF(INDEX(Dossiers!$G$4:$G$63,17)="","",INDEX(Dossiers!$G$4:$G$63,17)))</f>
        <v/>
      </c>
      <c r="V856">
        <f>IF(OR($O856="",NOT(ISNUMBER($Q856))),"",$Q856*1000000+856)</f>
        <v/>
      </c>
      <c r="W856" s="29">
        <f>IF($B856="","",IFERROR(INDEX($U$4:$U$3183,MATCH(SMALL($V$4:$V$3183,853),$V$4:$V$3183,0)),""))</f>
        <v/>
      </c>
    </row>
    <row r="857">
      <c r="A857">
        <f>IFERROR(INDEX($N$4:$N$3183,MATCH(SMALL($V$4:$V$3183,854),$V$4:$V$3183,0)),"")</f>
        <v/>
      </c>
      <c r="B857">
        <f>IFERROR(INDEX($O$4:$O$3183,MATCH(SMALL($V$4:$V$3183,854),$V$4:$V$3183,0)),"")</f>
        <v/>
      </c>
      <c r="C857">
        <f>IFERROR(INDEX($P$4:$P$3183,MATCH(SMALL($V$4:$V$3183,854),$V$4:$V$3183,0)),"")</f>
        <v/>
      </c>
      <c r="D857" s="29">
        <f>IFERROR(INDEX($Q$4:$Q$3183,MATCH(SMALL($V$4:$V$3183,854),$V$4:$V$3183,0)),"")</f>
        <v/>
      </c>
      <c r="E857" s="29">
        <f>IFERROR(INDEX($R$4:$R$3183,MATCH(SMALL($V$4:$V$3183,854),$V$4:$V$3183,0)),"")</f>
        <v/>
      </c>
      <c r="F857">
        <f>IFERROR(INDEX($S$4:$S$3183,MATCH(SMALL($V$4:$V$3183,854),$V$4:$V$3183,0)),"")</f>
        <v/>
      </c>
      <c r="I857" s="29">
        <f>IF($B857="","",IFERROR(INDEX($U$4:$U$3183,MATCH(SMALL($V$4:$V$3183,854),$V$4:$V$3183,0)),""))</f>
        <v/>
      </c>
      <c r="J857">
        <f>IF($B857="","",IF($D857&gt;$F$2,"À venir",IF($E857&lt;$D$2,"Passé","Dans la période")))</f>
        <v/>
      </c>
      <c r="K857">
        <f>IF(OR($B857="",NOT(ISNUMBER($D857))),"",IF(AND($E857&lt;$D$2,$G857&lt;&gt;"X",$F857&lt;&gt;"Réalisé",$F857&lt;&gt;"Clôturé"),"RETARD",""))</f>
        <v/>
      </c>
      <c r="L857">
        <f>IF(OR($B857="",NOT(ISNUMBER($D857))),"",IF(AND($D857&gt;=$D$2,$D857&lt;=$H$2,$G857&lt;&gt;"X",$F857&lt;&gt;"Réalisé",$F857&lt;&gt;"Clôturé"),"≤ 7 j",""))</f>
        <v/>
      </c>
      <c r="M857" s="29">
        <f>IF($B857="","",IFERROR(INDEX($T$4:$T$3183,MATCH(SMALL($V$4:$V$3183,854),$V$4:$V$3183,0)),""))</f>
        <v/>
      </c>
      <c r="O857">
        <f>IF(INDEX(Suivi!$B:$B,874)="","",INDEX(Suivi!$B:$B,874))</f>
        <v/>
      </c>
      <c r="P857">
        <f>IF($O857="","",IF(INDEX(Suivi!$D:$D,874)="",INDEX(Suivi!$C:$C,874),INDEX(Suivi!$D:$D,874)))</f>
        <v/>
      </c>
      <c r="Q857">
        <f>IF($O857="","",INDEX(Suivi!$E:$E,874))</f>
        <v/>
      </c>
      <c r="R857">
        <f>IF($O857="","",INDEX(Suivi!$F:$F,874))</f>
        <v/>
      </c>
      <c r="S857">
        <f>IF($O857="","",INDEX(Suivi!$G:$G,874))</f>
        <v/>
      </c>
      <c r="T857">
        <f>IF($O857="","",IF(INDEX(Dossiers!$F$4:$F$63,17)="","",INDEX(Dossiers!$F$4:$F$63,17)))</f>
        <v/>
      </c>
      <c r="U857">
        <f>IF($O857="","",IF(INDEX(Dossiers!$G$4:$G$63,17)="","",INDEX(Dossiers!$G$4:$G$63,17)))</f>
        <v/>
      </c>
      <c r="V857">
        <f>IF(OR($O857="",NOT(ISNUMBER($Q857))),"",$Q857*1000000+857)</f>
        <v/>
      </c>
      <c r="W857" s="29">
        <f>IF($B857="","",IFERROR(INDEX($U$4:$U$3183,MATCH(SMALL($V$4:$V$3183,854),$V$4:$V$3183,0)),""))</f>
        <v/>
      </c>
    </row>
    <row r="858">
      <c r="A858">
        <f>IFERROR(INDEX($N$4:$N$3183,MATCH(SMALL($V$4:$V$3183,855),$V$4:$V$3183,0)),"")</f>
        <v/>
      </c>
      <c r="B858">
        <f>IFERROR(INDEX($O$4:$O$3183,MATCH(SMALL($V$4:$V$3183,855),$V$4:$V$3183,0)),"")</f>
        <v/>
      </c>
      <c r="C858">
        <f>IFERROR(INDEX($P$4:$P$3183,MATCH(SMALL($V$4:$V$3183,855),$V$4:$V$3183,0)),"")</f>
        <v/>
      </c>
      <c r="D858" s="29">
        <f>IFERROR(INDEX($Q$4:$Q$3183,MATCH(SMALL($V$4:$V$3183,855),$V$4:$V$3183,0)),"")</f>
        <v/>
      </c>
      <c r="E858" s="29">
        <f>IFERROR(INDEX($R$4:$R$3183,MATCH(SMALL($V$4:$V$3183,855),$V$4:$V$3183,0)),"")</f>
        <v/>
      </c>
      <c r="F858">
        <f>IFERROR(INDEX($S$4:$S$3183,MATCH(SMALL($V$4:$V$3183,855),$V$4:$V$3183,0)),"")</f>
        <v/>
      </c>
      <c r="I858" s="29">
        <f>IF($B858="","",IFERROR(INDEX($U$4:$U$3183,MATCH(SMALL($V$4:$V$3183,855),$V$4:$V$3183,0)),""))</f>
        <v/>
      </c>
      <c r="J858">
        <f>IF($B858="","",IF($D858&gt;$F$2,"À venir",IF($E858&lt;$D$2,"Passé","Dans la période")))</f>
        <v/>
      </c>
      <c r="K858">
        <f>IF(OR($B858="",NOT(ISNUMBER($D858))),"",IF(AND($E858&lt;$D$2,$G858&lt;&gt;"X",$F858&lt;&gt;"Réalisé",$F858&lt;&gt;"Clôturé"),"RETARD",""))</f>
        <v/>
      </c>
      <c r="L858">
        <f>IF(OR($B858="",NOT(ISNUMBER($D858))),"",IF(AND($D858&gt;=$D$2,$D858&lt;=$H$2,$G858&lt;&gt;"X",$F858&lt;&gt;"Réalisé",$F858&lt;&gt;"Clôturé"),"≤ 7 j",""))</f>
        <v/>
      </c>
      <c r="M858" s="29">
        <f>IF($B858="","",IFERROR(INDEX($T$4:$T$3183,MATCH(SMALL($V$4:$V$3183,855),$V$4:$V$3183,0)),""))</f>
        <v/>
      </c>
      <c r="O858">
        <f>IF(INDEX(Suivi!$B:$B,875)="","",INDEX(Suivi!$B:$B,875))</f>
        <v/>
      </c>
      <c r="P858">
        <f>IF($O858="","",IF(INDEX(Suivi!$D:$D,875)="",INDEX(Suivi!$C:$C,875),INDEX(Suivi!$D:$D,875)))</f>
        <v/>
      </c>
      <c r="Q858">
        <f>IF($O858="","",INDEX(Suivi!$E:$E,875))</f>
        <v/>
      </c>
      <c r="R858">
        <f>IF($O858="","",INDEX(Suivi!$F:$F,875))</f>
        <v/>
      </c>
      <c r="S858">
        <f>IF($O858="","",INDEX(Suivi!$G:$G,875))</f>
        <v/>
      </c>
      <c r="T858">
        <f>IF($O858="","",IF(INDEX(Dossiers!$F$4:$F$63,17)="","",INDEX(Dossiers!$F$4:$F$63,17)))</f>
        <v/>
      </c>
      <c r="U858">
        <f>IF($O858="","",IF(INDEX(Dossiers!$G$4:$G$63,17)="","",INDEX(Dossiers!$G$4:$G$63,17)))</f>
        <v/>
      </c>
      <c r="V858">
        <f>IF(OR($O858="",NOT(ISNUMBER($Q858))),"",$Q858*1000000+858)</f>
        <v/>
      </c>
      <c r="W858" s="29">
        <f>IF($B858="","",IFERROR(INDEX($U$4:$U$3183,MATCH(SMALL($V$4:$V$3183,855),$V$4:$V$3183,0)),""))</f>
        <v/>
      </c>
    </row>
    <row r="859">
      <c r="A859">
        <f>IFERROR(INDEX($N$4:$N$3183,MATCH(SMALL($V$4:$V$3183,856),$V$4:$V$3183,0)),"")</f>
        <v/>
      </c>
      <c r="B859">
        <f>IFERROR(INDEX($O$4:$O$3183,MATCH(SMALL($V$4:$V$3183,856),$V$4:$V$3183,0)),"")</f>
        <v/>
      </c>
      <c r="C859">
        <f>IFERROR(INDEX($P$4:$P$3183,MATCH(SMALL($V$4:$V$3183,856),$V$4:$V$3183,0)),"")</f>
        <v/>
      </c>
      <c r="D859" s="29">
        <f>IFERROR(INDEX($Q$4:$Q$3183,MATCH(SMALL($V$4:$V$3183,856),$V$4:$V$3183,0)),"")</f>
        <v/>
      </c>
      <c r="E859" s="29">
        <f>IFERROR(INDEX($R$4:$R$3183,MATCH(SMALL($V$4:$V$3183,856),$V$4:$V$3183,0)),"")</f>
        <v/>
      </c>
      <c r="F859">
        <f>IFERROR(INDEX($S$4:$S$3183,MATCH(SMALL($V$4:$V$3183,856),$V$4:$V$3183,0)),"")</f>
        <v/>
      </c>
      <c r="I859" s="29">
        <f>IF($B859="","",IFERROR(INDEX($U$4:$U$3183,MATCH(SMALL($V$4:$V$3183,856),$V$4:$V$3183,0)),""))</f>
        <v/>
      </c>
      <c r="J859">
        <f>IF($B859="","",IF($D859&gt;$F$2,"À venir",IF($E859&lt;$D$2,"Passé","Dans la période")))</f>
        <v/>
      </c>
      <c r="K859">
        <f>IF(OR($B859="",NOT(ISNUMBER($D859))),"",IF(AND($E859&lt;$D$2,$G859&lt;&gt;"X",$F859&lt;&gt;"Réalisé",$F859&lt;&gt;"Clôturé"),"RETARD",""))</f>
        <v/>
      </c>
      <c r="L859">
        <f>IF(OR($B859="",NOT(ISNUMBER($D859))),"",IF(AND($D859&gt;=$D$2,$D859&lt;=$H$2,$G859&lt;&gt;"X",$F859&lt;&gt;"Réalisé",$F859&lt;&gt;"Clôturé"),"≤ 7 j",""))</f>
        <v/>
      </c>
      <c r="M859" s="29">
        <f>IF($B859="","",IFERROR(INDEX($T$4:$T$3183,MATCH(SMALL($V$4:$V$3183,856),$V$4:$V$3183,0)),""))</f>
        <v/>
      </c>
      <c r="O859">
        <f>IF(INDEX(Suivi!$B:$B,876)="","",INDEX(Suivi!$B:$B,876))</f>
        <v/>
      </c>
      <c r="P859">
        <f>IF($O859="","",IF(INDEX(Suivi!$D:$D,876)="",INDEX(Suivi!$C:$C,876),INDEX(Suivi!$D:$D,876)))</f>
        <v/>
      </c>
      <c r="Q859">
        <f>IF($O859="","",INDEX(Suivi!$E:$E,876))</f>
        <v/>
      </c>
      <c r="R859">
        <f>IF($O859="","",INDEX(Suivi!$F:$F,876))</f>
        <v/>
      </c>
      <c r="S859">
        <f>IF($O859="","",INDEX(Suivi!$G:$G,876))</f>
        <v/>
      </c>
      <c r="T859">
        <f>IF($O859="","",IF(INDEX(Dossiers!$F$4:$F$63,17)="","",INDEX(Dossiers!$F$4:$F$63,17)))</f>
        <v/>
      </c>
      <c r="U859">
        <f>IF($O859="","",IF(INDEX(Dossiers!$G$4:$G$63,17)="","",INDEX(Dossiers!$G$4:$G$63,17)))</f>
        <v/>
      </c>
      <c r="V859">
        <f>IF(OR($O859="",NOT(ISNUMBER($Q859))),"",$Q859*1000000+859)</f>
        <v/>
      </c>
      <c r="W859" s="29">
        <f>IF($B859="","",IFERROR(INDEX($U$4:$U$3183,MATCH(SMALL($V$4:$V$3183,856),$V$4:$V$3183,0)),""))</f>
        <v/>
      </c>
    </row>
    <row r="860">
      <c r="A860">
        <f>IFERROR(INDEX($N$4:$N$3183,MATCH(SMALL($V$4:$V$3183,857),$V$4:$V$3183,0)),"")</f>
        <v/>
      </c>
      <c r="B860">
        <f>IFERROR(INDEX($O$4:$O$3183,MATCH(SMALL($V$4:$V$3183,857),$V$4:$V$3183,0)),"")</f>
        <v/>
      </c>
      <c r="C860">
        <f>IFERROR(INDEX($P$4:$P$3183,MATCH(SMALL($V$4:$V$3183,857),$V$4:$V$3183,0)),"")</f>
        <v/>
      </c>
      <c r="D860" s="29">
        <f>IFERROR(INDEX($Q$4:$Q$3183,MATCH(SMALL($V$4:$V$3183,857),$V$4:$V$3183,0)),"")</f>
        <v/>
      </c>
      <c r="E860" s="29">
        <f>IFERROR(INDEX($R$4:$R$3183,MATCH(SMALL($V$4:$V$3183,857),$V$4:$V$3183,0)),"")</f>
        <v/>
      </c>
      <c r="F860">
        <f>IFERROR(INDEX($S$4:$S$3183,MATCH(SMALL($V$4:$V$3183,857),$V$4:$V$3183,0)),"")</f>
        <v/>
      </c>
      <c r="I860" s="29">
        <f>IF($B860="","",IFERROR(INDEX($U$4:$U$3183,MATCH(SMALL($V$4:$V$3183,857),$V$4:$V$3183,0)),""))</f>
        <v/>
      </c>
      <c r="J860">
        <f>IF($B860="","",IF($D860&gt;$F$2,"À venir",IF($E860&lt;$D$2,"Passé","Dans la période")))</f>
        <v/>
      </c>
      <c r="K860">
        <f>IF(OR($B860="",NOT(ISNUMBER($D860))),"",IF(AND($E860&lt;$D$2,$G860&lt;&gt;"X",$F860&lt;&gt;"Réalisé",$F860&lt;&gt;"Clôturé"),"RETARD",""))</f>
        <v/>
      </c>
      <c r="L860">
        <f>IF(OR($B860="",NOT(ISNUMBER($D860))),"",IF(AND($D860&gt;=$D$2,$D860&lt;=$H$2,$G860&lt;&gt;"X",$F860&lt;&gt;"Réalisé",$F860&lt;&gt;"Clôturé"),"≤ 7 j",""))</f>
        <v/>
      </c>
      <c r="M860" s="29">
        <f>IF($B860="","",IFERROR(INDEX($T$4:$T$3183,MATCH(SMALL($V$4:$V$3183,857),$V$4:$V$3183,0)),""))</f>
        <v/>
      </c>
      <c r="O860">
        <f>IF(INDEX(Suivi!$B:$B,877)="","",INDEX(Suivi!$B:$B,877))</f>
        <v/>
      </c>
      <c r="P860">
        <f>IF($O860="","",IF(INDEX(Suivi!$D:$D,877)="",INDEX(Suivi!$C:$C,877),INDEX(Suivi!$D:$D,877)))</f>
        <v/>
      </c>
      <c r="Q860">
        <f>IF($O860="","",INDEX(Suivi!$E:$E,877))</f>
        <v/>
      </c>
      <c r="R860">
        <f>IF($O860="","",INDEX(Suivi!$F:$F,877))</f>
        <v/>
      </c>
      <c r="S860">
        <f>IF($O860="","",INDEX(Suivi!$G:$G,877))</f>
        <v/>
      </c>
      <c r="T860">
        <f>IF($O860="","",IF(INDEX(Dossiers!$F$4:$F$63,17)="","",INDEX(Dossiers!$F$4:$F$63,17)))</f>
        <v/>
      </c>
      <c r="U860">
        <f>IF($O860="","",IF(INDEX(Dossiers!$G$4:$G$63,17)="","",INDEX(Dossiers!$G$4:$G$63,17)))</f>
        <v/>
      </c>
      <c r="V860">
        <f>IF(OR($O860="",NOT(ISNUMBER($Q860))),"",$Q860*1000000+860)</f>
        <v/>
      </c>
      <c r="W860" s="29">
        <f>IF($B860="","",IFERROR(INDEX($U$4:$U$3183,MATCH(SMALL($V$4:$V$3183,857),$V$4:$V$3183,0)),""))</f>
        <v/>
      </c>
    </row>
    <row r="861">
      <c r="A861">
        <f>IFERROR(INDEX($N$4:$N$3183,MATCH(SMALL($V$4:$V$3183,858),$V$4:$V$3183,0)),"")</f>
        <v/>
      </c>
      <c r="B861">
        <f>IFERROR(INDEX($O$4:$O$3183,MATCH(SMALL($V$4:$V$3183,858),$V$4:$V$3183,0)),"")</f>
        <v/>
      </c>
      <c r="C861">
        <f>IFERROR(INDEX($P$4:$P$3183,MATCH(SMALL($V$4:$V$3183,858),$V$4:$V$3183,0)),"")</f>
        <v/>
      </c>
      <c r="D861" s="29">
        <f>IFERROR(INDEX($Q$4:$Q$3183,MATCH(SMALL($V$4:$V$3183,858),$V$4:$V$3183,0)),"")</f>
        <v/>
      </c>
      <c r="E861" s="29">
        <f>IFERROR(INDEX($R$4:$R$3183,MATCH(SMALL($V$4:$V$3183,858),$V$4:$V$3183,0)),"")</f>
        <v/>
      </c>
      <c r="F861">
        <f>IFERROR(INDEX($S$4:$S$3183,MATCH(SMALL($V$4:$V$3183,858),$V$4:$V$3183,0)),"")</f>
        <v/>
      </c>
      <c r="I861" s="29">
        <f>IF($B861="","",IFERROR(INDEX($U$4:$U$3183,MATCH(SMALL($V$4:$V$3183,858),$V$4:$V$3183,0)),""))</f>
        <v/>
      </c>
      <c r="J861">
        <f>IF($B861="","",IF($D861&gt;$F$2,"À venir",IF($E861&lt;$D$2,"Passé","Dans la période")))</f>
        <v/>
      </c>
      <c r="K861">
        <f>IF(OR($B861="",NOT(ISNUMBER($D861))),"",IF(AND($E861&lt;$D$2,$G861&lt;&gt;"X",$F861&lt;&gt;"Réalisé",$F861&lt;&gt;"Clôturé"),"RETARD",""))</f>
        <v/>
      </c>
      <c r="L861">
        <f>IF(OR($B861="",NOT(ISNUMBER($D861))),"",IF(AND($D861&gt;=$D$2,$D861&lt;=$H$2,$G861&lt;&gt;"X",$F861&lt;&gt;"Réalisé",$F861&lt;&gt;"Clôturé"),"≤ 7 j",""))</f>
        <v/>
      </c>
      <c r="M861" s="29">
        <f>IF($B861="","",IFERROR(INDEX($T$4:$T$3183,MATCH(SMALL($V$4:$V$3183,858),$V$4:$V$3183,0)),""))</f>
        <v/>
      </c>
      <c r="O861">
        <f>IF(INDEX(Suivi!$B:$B,878)="","",INDEX(Suivi!$B:$B,878))</f>
        <v/>
      </c>
      <c r="P861">
        <f>IF($O861="","",IF(INDEX(Suivi!$D:$D,878)="",INDEX(Suivi!$C:$C,878),INDEX(Suivi!$D:$D,878)))</f>
        <v/>
      </c>
      <c r="Q861">
        <f>IF($O861="","",INDEX(Suivi!$E:$E,878))</f>
        <v/>
      </c>
      <c r="R861">
        <f>IF($O861="","",INDEX(Suivi!$F:$F,878))</f>
        <v/>
      </c>
      <c r="S861">
        <f>IF($O861="","",INDEX(Suivi!$G:$G,878))</f>
        <v/>
      </c>
      <c r="T861">
        <f>IF($O861="","",IF(INDEX(Dossiers!$F$4:$F$63,17)="","",INDEX(Dossiers!$F$4:$F$63,17)))</f>
        <v/>
      </c>
      <c r="U861">
        <f>IF($O861="","",IF(INDEX(Dossiers!$G$4:$G$63,17)="","",INDEX(Dossiers!$G$4:$G$63,17)))</f>
        <v/>
      </c>
      <c r="V861">
        <f>IF(OR($O861="",NOT(ISNUMBER($Q861))),"",$Q861*1000000+861)</f>
        <v/>
      </c>
      <c r="W861" s="29">
        <f>IF($B861="","",IFERROR(INDEX($U$4:$U$3183,MATCH(SMALL($V$4:$V$3183,858),$V$4:$V$3183,0)),""))</f>
        <v/>
      </c>
    </row>
    <row r="862">
      <c r="A862">
        <f>IFERROR(INDEX($N$4:$N$3183,MATCH(SMALL($V$4:$V$3183,859),$V$4:$V$3183,0)),"")</f>
        <v/>
      </c>
      <c r="B862">
        <f>IFERROR(INDEX($O$4:$O$3183,MATCH(SMALL($V$4:$V$3183,859),$V$4:$V$3183,0)),"")</f>
        <v/>
      </c>
      <c r="C862">
        <f>IFERROR(INDEX($P$4:$P$3183,MATCH(SMALL($V$4:$V$3183,859),$V$4:$V$3183,0)),"")</f>
        <v/>
      </c>
      <c r="D862" s="29">
        <f>IFERROR(INDEX($Q$4:$Q$3183,MATCH(SMALL($V$4:$V$3183,859),$V$4:$V$3183,0)),"")</f>
        <v/>
      </c>
      <c r="E862" s="29">
        <f>IFERROR(INDEX($R$4:$R$3183,MATCH(SMALL($V$4:$V$3183,859),$V$4:$V$3183,0)),"")</f>
        <v/>
      </c>
      <c r="F862">
        <f>IFERROR(INDEX($S$4:$S$3183,MATCH(SMALL($V$4:$V$3183,859),$V$4:$V$3183,0)),"")</f>
        <v/>
      </c>
      <c r="I862" s="29">
        <f>IF($B862="","",IFERROR(INDEX($U$4:$U$3183,MATCH(SMALL($V$4:$V$3183,859),$V$4:$V$3183,0)),""))</f>
        <v/>
      </c>
      <c r="J862">
        <f>IF($B862="","",IF($D862&gt;$F$2,"À venir",IF($E862&lt;$D$2,"Passé","Dans la période")))</f>
        <v/>
      </c>
      <c r="K862">
        <f>IF(OR($B862="",NOT(ISNUMBER($D862))),"",IF(AND($E862&lt;$D$2,$G862&lt;&gt;"X",$F862&lt;&gt;"Réalisé",$F862&lt;&gt;"Clôturé"),"RETARD",""))</f>
        <v/>
      </c>
      <c r="L862">
        <f>IF(OR($B862="",NOT(ISNUMBER($D862))),"",IF(AND($D862&gt;=$D$2,$D862&lt;=$H$2,$G862&lt;&gt;"X",$F862&lt;&gt;"Réalisé",$F862&lt;&gt;"Clôturé"),"≤ 7 j",""))</f>
        <v/>
      </c>
      <c r="M862" s="29">
        <f>IF($B862="","",IFERROR(INDEX($T$4:$T$3183,MATCH(SMALL($V$4:$V$3183,859),$V$4:$V$3183,0)),""))</f>
        <v/>
      </c>
      <c r="O862">
        <f>IF(INDEX(Suivi!$B:$B,879)="","",INDEX(Suivi!$B:$B,879))</f>
        <v/>
      </c>
      <c r="P862">
        <f>IF($O862="","",IF(INDEX(Suivi!$D:$D,879)="",INDEX(Suivi!$C:$C,879),INDEX(Suivi!$D:$D,879)))</f>
        <v/>
      </c>
      <c r="Q862">
        <f>IF($O862="","",INDEX(Suivi!$E:$E,879))</f>
        <v/>
      </c>
      <c r="R862">
        <f>IF($O862="","",INDEX(Suivi!$F:$F,879))</f>
        <v/>
      </c>
      <c r="S862">
        <f>IF($O862="","",INDEX(Suivi!$G:$G,879))</f>
        <v/>
      </c>
      <c r="T862">
        <f>IF($O862="","",IF(INDEX(Dossiers!$F$4:$F$63,17)="","",INDEX(Dossiers!$F$4:$F$63,17)))</f>
        <v/>
      </c>
      <c r="U862">
        <f>IF($O862="","",IF(INDEX(Dossiers!$G$4:$G$63,17)="","",INDEX(Dossiers!$G$4:$G$63,17)))</f>
        <v/>
      </c>
      <c r="V862">
        <f>IF(OR($O862="",NOT(ISNUMBER($Q862))),"",$Q862*1000000+862)</f>
        <v/>
      </c>
      <c r="W862" s="29">
        <f>IF($B862="","",IFERROR(INDEX($U$4:$U$3183,MATCH(SMALL($V$4:$V$3183,859),$V$4:$V$3183,0)),""))</f>
        <v/>
      </c>
    </row>
    <row r="863">
      <c r="A863">
        <f>IFERROR(INDEX($N$4:$N$3183,MATCH(SMALL($V$4:$V$3183,860),$V$4:$V$3183,0)),"")</f>
        <v/>
      </c>
      <c r="B863">
        <f>IFERROR(INDEX($O$4:$O$3183,MATCH(SMALL($V$4:$V$3183,860),$V$4:$V$3183,0)),"")</f>
        <v/>
      </c>
      <c r="C863">
        <f>IFERROR(INDEX($P$4:$P$3183,MATCH(SMALL($V$4:$V$3183,860),$V$4:$V$3183,0)),"")</f>
        <v/>
      </c>
      <c r="D863" s="29">
        <f>IFERROR(INDEX($Q$4:$Q$3183,MATCH(SMALL($V$4:$V$3183,860),$V$4:$V$3183,0)),"")</f>
        <v/>
      </c>
      <c r="E863" s="29">
        <f>IFERROR(INDEX($R$4:$R$3183,MATCH(SMALL($V$4:$V$3183,860),$V$4:$V$3183,0)),"")</f>
        <v/>
      </c>
      <c r="F863">
        <f>IFERROR(INDEX($S$4:$S$3183,MATCH(SMALL($V$4:$V$3183,860),$V$4:$V$3183,0)),"")</f>
        <v/>
      </c>
      <c r="I863" s="29">
        <f>IF($B863="","",IFERROR(INDEX($U$4:$U$3183,MATCH(SMALL($V$4:$V$3183,860),$V$4:$V$3183,0)),""))</f>
        <v/>
      </c>
      <c r="J863">
        <f>IF($B863="","",IF($D863&gt;$F$2,"À venir",IF($E863&lt;$D$2,"Passé","Dans la période")))</f>
        <v/>
      </c>
      <c r="K863">
        <f>IF(OR($B863="",NOT(ISNUMBER($D863))),"",IF(AND($E863&lt;$D$2,$G863&lt;&gt;"X",$F863&lt;&gt;"Réalisé",$F863&lt;&gt;"Clôturé"),"RETARD",""))</f>
        <v/>
      </c>
      <c r="L863">
        <f>IF(OR($B863="",NOT(ISNUMBER($D863))),"",IF(AND($D863&gt;=$D$2,$D863&lt;=$H$2,$G863&lt;&gt;"X",$F863&lt;&gt;"Réalisé",$F863&lt;&gt;"Clôturé"),"≤ 7 j",""))</f>
        <v/>
      </c>
      <c r="M863" s="29">
        <f>IF($B863="","",IFERROR(INDEX($T$4:$T$3183,MATCH(SMALL($V$4:$V$3183,860),$V$4:$V$3183,0)),""))</f>
        <v/>
      </c>
      <c r="O863">
        <f>IF(INDEX(Suivi!$B:$B,880)="","",INDEX(Suivi!$B:$B,880))</f>
        <v/>
      </c>
      <c r="P863">
        <f>IF($O863="","",IF(INDEX(Suivi!$D:$D,880)="",INDEX(Suivi!$C:$C,880),INDEX(Suivi!$D:$D,880)))</f>
        <v/>
      </c>
      <c r="Q863">
        <f>IF($O863="","",INDEX(Suivi!$E:$E,880))</f>
        <v/>
      </c>
      <c r="R863">
        <f>IF($O863="","",INDEX(Suivi!$F:$F,880))</f>
        <v/>
      </c>
      <c r="S863">
        <f>IF($O863="","",INDEX(Suivi!$G:$G,880))</f>
        <v/>
      </c>
      <c r="T863">
        <f>IF($O863="","",IF(INDEX(Dossiers!$F$4:$F$63,17)="","",INDEX(Dossiers!$F$4:$F$63,17)))</f>
        <v/>
      </c>
      <c r="U863">
        <f>IF($O863="","",IF(INDEX(Dossiers!$G$4:$G$63,17)="","",INDEX(Dossiers!$G$4:$G$63,17)))</f>
        <v/>
      </c>
      <c r="V863">
        <f>IF(OR($O863="",NOT(ISNUMBER($Q863))),"",$Q863*1000000+863)</f>
        <v/>
      </c>
      <c r="W863" s="29">
        <f>IF($B863="","",IFERROR(INDEX($U$4:$U$3183,MATCH(SMALL($V$4:$V$3183,860),$V$4:$V$3183,0)),""))</f>
        <v/>
      </c>
    </row>
    <row r="864">
      <c r="A864">
        <f>IFERROR(INDEX($N$4:$N$3183,MATCH(SMALL($V$4:$V$3183,861),$V$4:$V$3183,0)),"")</f>
        <v/>
      </c>
      <c r="B864">
        <f>IFERROR(INDEX($O$4:$O$3183,MATCH(SMALL($V$4:$V$3183,861),$V$4:$V$3183,0)),"")</f>
        <v/>
      </c>
      <c r="C864">
        <f>IFERROR(INDEX($P$4:$P$3183,MATCH(SMALL($V$4:$V$3183,861),$V$4:$V$3183,0)),"")</f>
        <v/>
      </c>
      <c r="D864" s="29">
        <f>IFERROR(INDEX($Q$4:$Q$3183,MATCH(SMALL($V$4:$V$3183,861),$V$4:$V$3183,0)),"")</f>
        <v/>
      </c>
      <c r="E864" s="29">
        <f>IFERROR(INDEX($R$4:$R$3183,MATCH(SMALL($V$4:$V$3183,861),$V$4:$V$3183,0)),"")</f>
        <v/>
      </c>
      <c r="F864">
        <f>IFERROR(INDEX($S$4:$S$3183,MATCH(SMALL($V$4:$V$3183,861),$V$4:$V$3183,0)),"")</f>
        <v/>
      </c>
      <c r="I864" s="29">
        <f>IF($B864="","",IFERROR(INDEX($U$4:$U$3183,MATCH(SMALL($V$4:$V$3183,861),$V$4:$V$3183,0)),""))</f>
        <v/>
      </c>
      <c r="J864">
        <f>IF($B864="","",IF($D864&gt;$F$2,"À venir",IF($E864&lt;$D$2,"Passé","Dans la période")))</f>
        <v/>
      </c>
      <c r="K864">
        <f>IF(OR($B864="",NOT(ISNUMBER($D864))),"",IF(AND($E864&lt;$D$2,$G864&lt;&gt;"X",$F864&lt;&gt;"Réalisé",$F864&lt;&gt;"Clôturé"),"RETARD",""))</f>
        <v/>
      </c>
      <c r="L864">
        <f>IF(OR($B864="",NOT(ISNUMBER($D864))),"",IF(AND($D864&gt;=$D$2,$D864&lt;=$H$2,$G864&lt;&gt;"X",$F864&lt;&gt;"Réalisé",$F864&lt;&gt;"Clôturé"),"≤ 7 j",""))</f>
        <v/>
      </c>
      <c r="M864" s="29">
        <f>IF($B864="","",IFERROR(INDEX($T$4:$T$3183,MATCH(SMALL($V$4:$V$3183,861),$V$4:$V$3183,0)),""))</f>
        <v/>
      </c>
      <c r="O864">
        <f>IF(INDEX(Suivi!$B:$B,881)="","",INDEX(Suivi!$B:$B,881))</f>
        <v/>
      </c>
      <c r="P864">
        <f>IF($O864="","",IF(INDEX(Suivi!$D:$D,881)="",INDEX(Suivi!$C:$C,881),INDEX(Suivi!$D:$D,881)))</f>
        <v/>
      </c>
      <c r="Q864">
        <f>IF($O864="","",INDEX(Suivi!$E:$E,881))</f>
        <v/>
      </c>
      <c r="R864">
        <f>IF($O864="","",INDEX(Suivi!$F:$F,881))</f>
        <v/>
      </c>
      <c r="S864">
        <f>IF($O864="","",INDEX(Suivi!$G:$G,881))</f>
        <v/>
      </c>
      <c r="T864">
        <f>IF($O864="","",IF(INDEX(Dossiers!$F$4:$F$63,17)="","",INDEX(Dossiers!$F$4:$F$63,17)))</f>
        <v/>
      </c>
      <c r="U864">
        <f>IF($O864="","",IF(INDEX(Dossiers!$G$4:$G$63,17)="","",INDEX(Dossiers!$G$4:$G$63,17)))</f>
        <v/>
      </c>
      <c r="V864">
        <f>IF(OR($O864="",NOT(ISNUMBER($Q864))),"",$Q864*1000000+864)</f>
        <v/>
      </c>
      <c r="W864" s="29">
        <f>IF($B864="","",IFERROR(INDEX($U$4:$U$3183,MATCH(SMALL($V$4:$V$3183,861),$V$4:$V$3183,0)),""))</f>
        <v/>
      </c>
    </row>
    <row r="865">
      <c r="A865">
        <f>IFERROR(INDEX($N$4:$N$3183,MATCH(SMALL($V$4:$V$3183,862),$V$4:$V$3183,0)),"")</f>
        <v/>
      </c>
      <c r="B865">
        <f>IFERROR(INDEX($O$4:$O$3183,MATCH(SMALL($V$4:$V$3183,862),$V$4:$V$3183,0)),"")</f>
        <v/>
      </c>
      <c r="C865">
        <f>IFERROR(INDEX($P$4:$P$3183,MATCH(SMALL($V$4:$V$3183,862),$V$4:$V$3183,0)),"")</f>
        <v/>
      </c>
      <c r="D865" s="29">
        <f>IFERROR(INDEX($Q$4:$Q$3183,MATCH(SMALL($V$4:$V$3183,862),$V$4:$V$3183,0)),"")</f>
        <v/>
      </c>
      <c r="E865" s="29">
        <f>IFERROR(INDEX($R$4:$R$3183,MATCH(SMALL($V$4:$V$3183,862),$V$4:$V$3183,0)),"")</f>
        <v/>
      </c>
      <c r="F865">
        <f>IFERROR(INDEX($S$4:$S$3183,MATCH(SMALL($V$4:$V$3183,862),$V$4:$V$3183,0)),"")</f>
        <v/>
      </c>
      <c r="I865" s="29">
        <f>IF($B865="","",IFERROR(INDEX($U$4:$U$3183,MATCH(SMALL($V$4:$V$3183,862),$V$4:$V$3183,0)),""))</f>
        <v/>
      </c>
      <c r="J865">
        <f>IF($B865="","",IF($D865&gt;$F$2,"À venir",IF($E865&lt;$D$2,"Passé","Dans la période")))</f>
        <v/>
      </c>
      <c r="K865">
        <f>IF(OR($B865="",NOT(ISNUMBER($D865))),"",IF(AND($E865&lt;$D$2,$G865&lt;&gt;"X",$F865&lt;&gt;"Réalisé",$F865&lt;&gt;"Clôturé"),"RETARD",""))</f>
        <v/>
      </c>
      <c r="L865">
        <f>IF(OR($B865="",NOT(ISNUMBER($D865))),"",IF(AND($D865&gt;=$D$2,$D865&lt;=$H$2,$G865&lt;&gt;"X",$F865&lt;&gt;"Réalisé",$F865&lt;&gt;"Clôturé"),"≤ 7 j",""))</f>
        <v/>
      </c>
      <c r="M865" s="29">
        <f>IF($B865="","",IFERROR(INDEX($T$4:$T$3183,MATCH(SMALL($V$4:$V$3183,862),$V$4:$V$3183,0)),""))</f>
        <v/>
      </c>
      <c r="O865">
        <f>IF(INDEX(Suivi!$B:$B,882)="","",INDEX(Suivi!$B:$B,882))</f>
        <v/>
      </c>
      <c r="P865">
        <f>IF($O865="","",IF(INDEX(Suivi!$D:$D,882)="",INDEX(Suivi!$C:$C,882),INDEX(Suivi!$D:$D,882)))</f>
        <v/>
      </c>
      <c r="Q865">
        <f>IF($O865="","",INDEX(Suivi!$E:$E,882))</f>
        <v/>
      </c>
      <c r="R865">
        <f>IF($O865="","",INDEX(Suivi!$F:$F,882))</f>
        <v/>
      </c>
      <c r="S865">
        <f>IF($O865="","",INDEX(Suivi!$G:$G,882))</f>
        <v/>
      </c>
      <c r="T865">
        <f>IF($O865="","",IF(INDEX(Dossiers!$F$4:$F$63,17)="","",INDEX(Dossiers!$F$4:$F$63,17)))</f>
        <v/>
      </c>
      <c r="U865">
        <f>IF($O865="","",IF(INDEX(Dossiers!$G$4:$G$63,17)="","",INDEX(Dossiers!$G$4:$G$63,17)))</f>
        <v/>
      </c>
      <c r="V865">
        <f>IF(OR($O865="",NOT(ISNUMBER($Q865))),"",$Q865*1000000+865)</f>
        <v/>
      </c>
      <c r="W865" s="29">
        <f>IF($B865="","",IFERROR(INDEX($U$4:$U$3183,MATCH(SMALL($V$4:$V$3183,862),$V$4:$V$3183,0)),""))</f>
        <v/>
      </c>
    </row>
    <row r="866">
      <c r="A866">
        <f>IFERROR(INDEX($N$4:$N$3183,MATCH(SMALL($V$4:$V$3183,863),$V$4:$V$3183,0)),"")</f>
        <v/>
      </c>
      <c r="B866">
        <f>IFERROR(INDEX($O$4:$O$3183,MATCH(SMALL($V$4:$V$3183,863),$V$4:$V$3183,0)),"")</f>
        <v/>
      </c>
      <c r="C866">
        <f>IFERROR(INDEX($P$4:$P$3183,MATCH(SMALL($V$4:$V$3183,863),$V$4:$V$3183,0)),"")</f>
        <v/>
      </c>
      <c r="D866" s="29">
        <f>IFERROR(INDEX($Q$4:$Q$3183,MATCH(SMALL($V$4:$V$3183,863),$V$4:$V$3183,0)),"")</f>
        <v/>
      </c>
      <c r="E866" s="29">
        <f>IFERROR(INDEX($R$4:$R$3183,MATCH(SMALL($V$4:$V$3183,863),$V$4:$V$3183,0)),"")</f>
        <v/>
      </c>
      <c r="F866">
        <f>IFERROR(INDEX($S$4:$S$3183,MATCH(SMALL($V$4:$V$3183,863),$V$4:$V$3183,0)),"")</f>
        <v/>
      </c>
      <c r="I866" s="29">
        <f>IF($B866="","",IFERROR(INDEX($U$4:$U$3183,MATCH(SMALL($V$4:$V$3183,863),$V$4:$V$3183,0)),""))</f>
        <v/>
      </c>
      <c r="J866">
        <f>IF($B866="","",IF($D866&gt;$F$2,"À venir",IF($E866&lt;$D$2,"Passé","Dans la période")))</f>
        <v/>
      </c>
      <c r="K866">
        <f>IF(OR($B866="",NOT(ISNUMBER($D866))),"",IF(AND($E866&lt;$D$2,$G866&lt;&gt;"X",$F866&lt;&gt;"Réalisé",$F866&lt;&gt;"Clôturé"),"RETARD",""))</f>
        <v/>
      </c>
      <c r="L866">
        <f>IF(OR($B866="",NOT(ISNUMBER($D866))),"",IF(AND($D866&gt;=$D$2,$D866&lt;=$H$2,$G866&lt;&gt;"X",$F866&lt;&gt;"Réalisé",$F866&lt;&gt;"Clôturé"),"≤ 7 j",""))</f>
        <v/>
      </c>
      <c r="M866" s="29">
        <f>IF($B866="","",IFERROR(INDEX($T$4:$T$3183,MATCH(SMALL($V$4:$V$3183,863),$V$4:$V$3183,0)),""))</f>
        <v/>
      </c>
      <c r="O866">
        <f>IF(INDEX(Suivi!$B:$B,883)="","",INDEX(Suivi!$B:$B,883))</f>
        <v/>
      </c>
      <c r="P866">
        <f>IF($O866="","",IF(INDEX(Suivi!$D:$D,883)="",INDEX(Suivi!$C:$C,883),INDEX(Suivi!$D:$D,883)))</f>
        <v/>
      </c>
      <c r="Q866">
        <f>IF($O866="","",INDEX(Suivi!$E:$E,883))</f>
        <v/>
      </c>
      <c r="R866">
        <f>IF($O866="","",INDEX(Suivi!$F:$F,883))</f>
        <v/>
      </c>
      <c r="S866">
        <f>IF($O866="","",INDEX(Suivi!$G:$G,883))</f>
        <v/>
      </c>
      <c r="T866">
        <f>IF($O866="","",IF(INDEX(Dossiers!$F$4:$F$63,17)="","",INDEX(Dossiers!$F$4:$F$63,17)))</f>
        <v/>
      </c>
      <c r="U866">
        <f>IF($O866="","",IF(INDEX(Dossiers!$G$4:$G$63,17)="","",INDEX(Dossiers!$G$4:$G$63,17)))</f>
        <v/>
      </c>
      <c r="V866">
        <f>IF(OR($O866="",NOT(ISNUMBER($Q866))),"",$Q866*1000000+866)</f>
        <v/>
      </c>
      <c r="W866" s="29">
        <f>IF($B866="","",IFERROR(INDEX($U$4:$U$3183,MATCH(SMALL($V$4:$V$3183,863),$V$4:$V$3183,0)),""))</f>
        <v/>
      </c>
    </row>
    <row r="867">
      <c r="A867">
        <f>IFERROR(INDEX($N$4:$N$3183,MATCH(SMALL($V$4:$V$3183,864),$V$4:$V$3183,0)),"")</f>
        <v/>
      </c>
      <c r="B867">
        <f>IFERROR(INDEX($O$4:$O$3183,MATCH(SMALL($V$4:$V$3183,864),$V$4:$V$3183,0)),"")</f>
        <v/>
      </c>
      <c r="C867">
        <f>IFERROR(INDEX($P$4:$P$3183,MATCH(SMALL($V$4:$V$3183,864),$V$4:$V$3183,0)),"")</f>
        <v/>
      </c>
      <c r="D867" s="29">
        <f>IFERROR(INDEX($Q$4:$Q$3183,MATCH(SMALL($V$4:$V$3183,864),$V$4:$V$3183,0)),"")</f>
        <v/>
      </c>
      <c r="E867" s="29">
        <f>IFERROR(INDEX($R$4:$R$3183,MATCH(SMALL($V$4:$V$3183,864),$V$4:$V$3183,0)),"")</f>
        <v/>
      </c>
      <c r="F867">
        <f>IFERROR(INDEX($S$4:$S$3183,MATCH(SMALL($V$4:$V$3183,864),$V$4:$V$3183,0)),"")</f>
        <v/>
      </c>
      <c r="I867" s="29">
        <f>IF($B867="","",IFERROR(INDEX($U$4:$U$3183,MATCH(SMALL($V$4:$V$3183,864),$V$4:$V$3183,0)),""))</f>
        <v/>
      </c>
      <c r="J867">
        <f>IF($B867="","",IF($D867&gt;$F$2,"À venir",IF($E867&lt;$D$2,"Passé","Dans la période")))</f>
        <v/>
      </c>
      <c r="K867">
        <f>IF(OR($B867="",NOT(ISNUMBER($D867))),"",IF(AND($E867&lt;$D$2,$G867&lt;&gt;"X",$F867&lt;&gt;"Réalisé",$F867&lt;&gt;"Clôturé"),"RETARD",""))</f>
        <v/>
      </c>
      <c r="L867">
        <f>IF(OR($B867="",NOT(ISNUMBER($D867))),"",IF(AND($D867&gt;=$D$2,$D867&lt;=$H$2,$G867&lt;&gt;"X",$F867&lt;&gt;"Réalisé",$F867&lt;&gt;"Clôturé"),"≤ 7 j",""))</f>
        <v/>
      </c>
      <c r="M867" s="29">
        <f>IF($B867="","",IFERROR(INDEX($T$4:$T$3183,MATCH(SMALL($V$4:$V$3183,864),$V$4:$V$3183,0)),""))</f>
        <v/>
      </c>
      <c r="O867">
        <f>IF(INDEX(Suivi!$B:$B,884)="","",INDEX(Suivi!$B:$B,884))</f>
        <v/>
      </c>
      <c r="P867">
        <f>IF($O867="","",IF(INDEX(Suivi!$D:$D,884)="",INDEX(Suivi!$C:$C,884),INDEX(Suivi!$D:$D,884)))</f>
        <v/>
      </c>
      <c r="Q867">
        <f>IF($O867="","",INDEX(Suivi!$E:$E,884))</f>
        <v/>
      </c>
      <c r="R867">
        <f>IF($O867="","",INDEX(Suivi!$F:$F,884))</f>
        <v/>
      </c>
      <c r="S867">
        <f>IF($O867="","",INDEX(Suivi!$G:$G,884))</f>
        <v/>
      </c>
      <c r="T867">
        <f>IF($O867="","",IF(INDEX(Dossiers!$F$4:$F$63,17)="","",INDEX(Dossiers!$F$4:$F$63,17)))</f>
        <v/>
      </c>
      <c r="U867">
        <f>IF($O867="","",IF(INDEX(Dossiers!$G$4:$G$63,17)="","",INDEX(Dossiers!$G$4:$G$63,17)))</f>
        <v/>
      </c>
      <c r="V867">
        <f>IF(OR($O867="",NOT(ISNUMBER($Q867))),"",$Q867*1000000+867)</f>
        <v/>
      </c>
      <c r="W867" s="29">
        <f>IF($B867="","",IFERROR(INDEX($U$4:$U$3183,MATCH(SMALL($V$4:$V$3183,864),$V$4:$V$3183,0)),""))</f>
        <v/>
      </c>
    </row>
    <row r="868">
      <c r="A868">
        <f>IFERROR(INDEX($N$4:$N$3183,MATCH(SMALL($V$4:$V$3183,865),$V$4:$V$3183,0)),"")</f>
        <v/>
      </c>
      <c r="B868">
        <f>IFERROR(INDEX($O$4:$O$3183,MATCH(SMALL($V$4:$V$3183,865),$V$4:$V$3183,0)),"")</f>
        <v/>
      </c>
      <c r="C868">
        <f>IFERROR(INDEX($P$4:$P$3183,MATCH(SMALL($V$4:$V$3183,865),$V$4:$V$3183,0)),"")</f>
        <v/>
      </c>
      <c r="D868" s="29">
        <f>IFERROR(INDEX($Q$4:$Q$3183,MATCH(SMALL($V$4:$V$3183,865),$V$4:$V$3183,0)),"")</f>
        <v/>
      </c>
      <c r="E868" s="29">
        <f>IFERROR(INDEX($R$4:$R$3183,MATCH(SMALL($V$4:$V$3183,865),$V$4:$V$3183,0)),"")</f>
        <v/>
      </c>
      <c r="F868">
        <f>IFERROR(INDEX($S$4:$S$3183,MATCH(SMALL($V$4:$V$3183,865),$V$4:$V$3183,0)),"")</f>
        <v/>
      </c>
      <c r="I868" s="29">
        <f>IF($B868="","",IFERROR(INDEX($U$4:$U$3183,MATCH(SMALL($V$4:$V$3183,865),$V$4:$V$3183,0)),""))</f>
        <v/>
      </c>
      <c r="J868">
        <f>IF($B868="","",IF($D868&gt;$F$2,"À venir",IF($E868&lt;$D$2,"Passé","Dans la période")))</f>
        <v/>
      </c>
      <c r="K868">
        <f>IF(OR($B868="",NOT(ISNUMBER($D868))),"",IF(AND($E868&lt;$D$2,$G868&lt;&gt;"X",$F868&lt;&gt;"Réalisé",$F868&lt;&gt;"Clôturé"),"RETARD",""))</f>
        <v/>
      </c>
      <c r="L868">
        <f>IF(OR($B868="",NOT(ISNUMBER($D868))),"",IF(AND($D868&gt;=$D$2,$D868&lt;=$H$2,$G868&lt;&gt;"X",$F868&lt;&gt;"Réalisé",$F868&lt;&gt;"Clôturé"),"≤ 7 j",""))</f>
        <v/>
      </c>
      <c r="M868" s="29">
        <f>IF($B868="","",IFERROR(INDEX($T$4:$T$3183,MATCH(SMALL($V$4:$V$3183,865),$V$4:$V$3183,0)),""))</f>
        <v/>
      </c>
      <c r="O868">
        <f>IF(INDEX(Suivi!$B:$B,885)="","",INDEX(Suivi!$B:$B,885))</f>
        <v/>
      </c>
      <c r="P868">
        <f>IF($O868="","",IF(INDEX(Suivi!$D:$D,885)="",INDEX(Suivi!$C:$C,885),INDEX(Suivi!$D:$D,885)))</f>
        <v/>
      </c>
      <c r="Q868">
        <f>IF($O868="","",INDEX(Suivi!$E:$E,885))</f>
        <v/>
      </c>
      <c r="R868">
        <f>IF($O868="","",INDEX(Suivi!$F:$F,885))</f>
        <v/>
      </c>
      <c r="S868">
        <f>IF($O868="","",INDEX(Suivi!$G:$G,885))</f>
        <v/>
      </c>
      <c r="T868">
        <f>IF($O868="","",IF(INDEX(Dossiers!$F$4:$F$63,17)="","",INDEX(Dossiers!$F$4:$F$63,17)))</f>
        <v/>
      </c>
      <c r="U868">
        <f>IF($O868="","",IF(INDEX(Dossiers!$G$4:$G$63,17)="","",INDEX(Dossiers!$G$4:$G$63,17)))</f>
        <v/>
      </c>
      <c r="V868">
        <f>IF(OR($O868="",NOT(ISNUMBER($Q868))),"",$Q868*1000000+868)</f>
        <v/>
      </c>
      <c r="W868" s="29">
        <f>IF($B868="","",IFERROR(INDEX($U$4:$U$3183,MATCH(SMALL($V$4:$V$3183,865),$V$4:$V$3183,0)),""))</f>
        <v/>
      </c>
    </row>
    <row r="869">
      <c r="A869">
        <f>IFERROR(INDEX($N$4:$N$3183,MATCH(SMALL($V$4:$V$3183,866),$V$4:$V$3183,0)),"")</f>
        <v/>
      </c>
      <c r="B869">
        <f>IFERROR(INDEX($O$4:$O$3183,MATCH(SMALL($V$4:$V$3183,866),$V$4:$V$3183,0)),"")</f>
        <v/>
      </c>
      <c r="C869">
        <f>IFERROR(INDEX($P$4:$P$3183,MATCH(SMALL($V$4:$V$3183,866),$V$4:$V$3183,0)),"")</f>
        <v/>
      </c>
      <c r="D869" s="29">
        <f>IFERROR(INDEX($Q$4:$Q$3183,MATCH(SMALL($V$4:$V$3183,866),$V$4:$V$3183,0)),"")</f>
        <v/>
      </c>
      <c r="E869" s="29">
        <f>IFERROR(INDEX($R$4:$R$3183,MATCH(SMALL($V$4:$V$3183,866),$V$4:$V$3183,0)),"")</f>
        <v/>
      </c>
      <c r="F869">
        <f>IFERROR(INDEX($S$4:$S$3183,MATCH(SMALL($V$4:$V$3183,866),$V$4:$V$3183,0)),"")</f>
        <v/>
      </c>
      <c r="I869" s="29">
        <f>IF($B869="","",IFERROR(INDEX($U$4:$U$3183,MATCH(SMALL($V$4:$V$3183,866),$V$4:$V$3183,0)),""))</f>
        <v/>
      </c>
      <c r="J869">
        <f>IF($B869="","",IF($D869&gt;$F$2,"À venir",IF($E869&lt;$D$2,"Passé","Dans la période")))</f>
        <v/>
      </c>
      <c r="K869">
        <f>IF(OR($B869="",NOT(ISNUMBER($D869))),"",IF(AND($E869&lt;$D$2,$G869&lt;&gt;"X",$F869&lt;&gt;"Réalisé",$F869&lt;&gt;"Clôturé"),"RETARD",""))</f>
        <v/>
      </c>
      <c r="L869">
        <f>IF(OR($B869="",NOT(ISNUMBER($D869))),"",IF(AND($D869&gt;=$D$2,$D869&lt;=$H$2,$G869&lt;&gt;"X",$F869&lt;&gt;"Réalisé",$F869&lt;&gt;"Clôturé"),"≤ 7 j",""))</f>
        <v/>
      </c>
      <c r="M869" s="29">
        <f>IF($B869="","",IFERROR(INDEX($T$4:$T$3183,MATCH(SMALL($V$4:$V$3183,866),$V$4:$V$3183,0)),""))</f>
        <v/>
      </c>
      <c r="O869">
        <f>IF(INDEX(Suivi!$B:$B,886)="","",INDEX(Suivi!$B:$B,886))</f>
        <v/>
      </c>
      <c r="P869">
        <f>IF($O869="","",IF(INDEX(Suivi!$D:$D,886)="",INDEX(Suivi!$C:$C,886),INDEX(Suivi!$D:$D,886)))</f>
        <v/>
      </c>
      <c r="Q869">
        <f>IF($O869="","",INDEX(Suivi!$E:$E,886))</f>
        <v/>
      </c>
      <c r="R869">
        <f>IF($O869="","",INDEX(Suivi!$F:$F,886))</f>
        <v/>
      </c>
      <c r="S869">
        <f>IF($O869="","",INDEX(Suivi!$G:$G,886))</f>
        <v/>
      </c>
      <c r="T869">
        <f>IF($O869="","",IF(INDEX(Dossiers!$F$4:$F$63,17)="","",INDEX(Dossiers!$F$4:$F$63,17)))</f>
        <v/>
      </c>
      <c r="U869">
        <f>IF($O869="","",IF(INDEX(Dossiers!$G$4:$G$63,17)="","",INDEX(Dossiers!$G$4:$G$63,17)))</f>
        <v/>
      </c>
      <c r="V869">
        <f>IF(OR($O869="",NOT(ISNUMBER($Q869))),"",$Q869*1000000+869)</f>
        <v/>
      </c>
      <c r="W869" s="29">
        <f>IF($B869="","",IFERROR(INDEX($U$4:$U$3183,MATCH(SMALL($V$4:$V$3183,866),$V$4:$V$3183,0)),""))</f>
        <v/>
      </c>
    </row>
    <row r="870">
      <c r="A870">
        <f>IFERROR(INDEX($N$4:$N$3183,MATCH(SMALL($V$4:$V$3183,867),$V$4:$V$3183,0)),"")</f>
        <v/>
      </c>
      <c r="B870">
        <f>IFERROR(INDEX($O$4:$O$3183,MATCH(SMALL($V$4:$V$3183,867),$V$4:$V$3183,0)),"")</f>
        <v/>
      </c>
      <c r="C870">
        <f>IFERROR(INDEX($P$4:$P$3183,MATCH(SMALL($V$4:$V$3183,867),$V$4:$V$3183,0)),"")</f>
        <v/>
      </c>
      <c r="D870" s="29">
        <f>IFERROR(INDEX($Q$4:$Q$3183,MATCH(SMALL($V$4:$V$3183,867),$V$4:$V$3183,0)),"")</f>
        <v/>
      </c>
      <c r="E870" s="29">
        <f>IFERROR(INDEX($R$4:$R$3183,MATCH(SMALL($V$4:$V$3183,867),$V$4:$V$3183,0)),"")</f>
        <v/>
      </c>
      <c r="F870">
        <f>IFERROR(INDEX($S$4:$S$3183,MATCH(SMALL($V$4:$V$3183,867),$V$4:$V$3183,0)),"")</f>
        <v/>
      </c>
      <c r="I870" s="29">
        <f>IF($B870="","",IFERROR(INDEX($U$4:$U$3183,MATCH(SMALL($V$4:$V$3183,867),$V$4:$V$3183,0)),""))</f>
        <v/>
      </c>
      <c r="J870">
        <f>IF($B870="","",IF($D870&gt;$F$2,"À venir",IF($E870&lt;$D$2,"Passé","Dans la période")))</f>
        <v/>
      </c>
      <c r="K870">
        <f>IF(OR($B870="",NOT(ISNUMBER($D870))),"",IF(AND($E870&lt;$D$2,$G870&lt;&gt;"X",$F870&lt;&gt;"Réalisé",$F870&lt;&gt;"Clôturé"),"RETARD",""))</f>
        <v/>
      </c>
      <c r="L870">
        <f>IF(OR($B870="",NOT(ISNUMBER($D870))),"",IF(AND($D870&gt;=$D$2,$D870&lt;=$H$2,$G870&lt;&gt;"X",$F870&lt;&gt;"Réalisé",$F870&lt;&gt;"Clôturé"),"≤ 7 j",""))</f>
        <v/>
      </c>
      <c r="M870" s="29">
        <f>IF($B870="","",IFERROR(INDEX($T$4:$T$3183,MATCH(SMALL($V$4:$V$3183,867),$V$4:$V$3183,0)),""))</f>
        <v/>
      </c>
      <c r="O870">
        <f>IF(INDEX(Suivi!$B:$B,887)="","",INDEX(Suivi!$B:$B,887))</f>
        <v/>
      </c>
      <c r="P870">
        <f>IF($O870="","",IF(INDEX(Suivi!$D:$D,887)="",INDEX(Suivi!$C:$C,887),INDEX(Suivi!$D:$D,887)))</f>
        <v/>
      </c>
      <c r="Q870">
        <f>IF($O870="","",INDEX(Suivi!$E:$E,887))</f>
        <v/>
      </c>
      <c r="R870">
        <f>IF($O870="","",INDEX(Suivi!$F:$F,887))</f>
        <v/>
      </c>
      <c r="S870">
        <f>IF($O870="","",INDEX(Suivi!$G:$G,887))</f>
        <v/>
      </c>
      <c r="T870">
        <f>IF($O870="","",IF(INDEX(Dossiers!$F$4:$F$63,17)="","",INDEX(Dossiers!$F$4:$F$63,17)))</f>
        <v/>
      </c>
      <c r="U870">
        <f>IF($O870="","",IF(INDEX(Dossiers!$G$4:$G$63,17)="","",INDEX(Dossiers!$G$4:$G$63,17)))</f>
        <v/>
      </c>
      <c r="V870">
        <f>IF(OR($O870="",NOT(ISNUMBER($Q870))),"",$Q870*1000000+870)</f>
        <v/>
      </c>
      <c r="W870" s="29">
        <f>IF($B870="","",IFERROR(INDEX($U$4:$U$3183,MATCH(SMALL($V$4:$V$3183,867),$V$4:$V$3183,0)),""))</f>
        <v/>
      </c>
    </row>
    <row r="871">
      <c r="A871">
        <f>IFERROR(INDEX($N$4:$N$3183,MATCH(SMALL($V$4:$V$3183,868),$V$4:$V$3183,0)),"")</f>
        <v/>
      </c>
      <c r="B871">
        <f>IFERROR(INDEX($O$4:$O$3183,MATCH(SMALL($V$4:$V$3183,868),$V$4:$V$3183,0)),"")</f>
        <v/>
      </c>
      <c r="C871">
        <f>IFERROR(INDEX($P$4:$P$3183,MATCH(SMALL($V$4:$V$3183,868),$V$4:$V$3183,0)),"")</f>
        <v/>
      </c>
      <c r="D871" s="29">
        <f>IFERROR(INDEX($Q$4:$Q$3183,MATCH(SMALL($V$4:$V$3183,868),$V$4:$V$3183,0)),"")</f>
        <v/>
      </c>
      <c r="E871" s="29">
        <f>IFERROR(INDEX($R$4:$R$3183,MATCH(SMALL($V$4:$V$3183,868),$V$4:$V$3183,0)),"")</f>
        <v/>
      </c>
      <c r="F871">
        <f>IFERROR(INDEX($S$4:$S$3183,MATCH(SMALL($V$4:$V$3183,868),$V$4:$V$3183,0)),"")</f>
        <v/>
      </c>
      <c r="I871" s="29">
        <f>IF($B871="","",IFERROR(INDEX($U$4:$U$3183,MATCH(SMALL($V$4:$V$3183,868),$V$4:$V$3183,0)),""))</f>
        <v/>
      </c>
      <c r="J871">
        <f>IF($B871="","",IF($D871&gt;$F$2,"À venir",IF($E871&lt;$D$2,"Passé","Dans la période")))</f>
        <v/>
      </c>
      <c r="K871">
        <f>IF(OR($B871="",NOT(ISNUMBER($D871))),"",IF(AND($E871&lt;$D$2,$G871&lt;&gt;"X",$F871&lt;&gt;"Réalisé",$F871&lt;&gt;"Clôturé"),"RETARD",""))</f>
        <v/>
      </c>
      <c r="L871">
        <f>IF(OR($B871="",NOT(ISNUMBER($D871))),"",IF(AND($D871&gt;=$D$2,$D871&lt;=$H$2,$G871&lt;&gt;"X",$F871&lt;&gt;"Réalisé",$F871&lt;&gt;"Clôturé"),"≤ 7 j",""))</f>
        <v/>
      </c>
      <c r="M871" s="29">
        <f>IF($B871="","",IFERROR(INDEX($T$4:$T$3183,MATCH(SMALL($V$4:$V$3183,868),$V$4:$V$3183,0)),""))</f>
        <v/>
      </c>
      <c r="O871">
        <f>IF(INDEX(Suivi!$B:$B,888)="","",INDEX(Suivi!$B:$B,888))</f>
        <v/>
      </c>
      <c r="P871">
        <f>IF($O871="","",IF(INDEX(Suivi!$D:$D,888)="",INDEX(Suivi!$C:$C,888),INDEX(Suivi!$D:$D,888)))</f>
        <v/>
      </c>
      <c r="Q871">
        <f>IF($O871="","",INDEX(Suivi!$E:$E,888))</f>
        <v/>
      </c>
      <c r="R871">
        <f>IF($O871="","",INDEX(Suivi!$F:$F,888))</f>
        <v/>
      </c>
      <c r="S871">
        <f>IF($O871="","",INDEX(Suivi!$G:$G,888))</f>
        <v/>
      </c>
      <c r="T871">
        <f>IF($O871="","",IF(INDEX(Dossiers!$F$4:$F$63,17)="","",INDEX(Dossiers!$F$4:$F$63,17)))</f>
        <v/>
      </c>
      <c r="U871">
        <f>IF($O871="","",IF(INDEX(Dossiers!$G$4:$G$63,17)="","",INDEX(Dossiers!$G$4:$G$63,17)))</f>
        <v/>
      </c>
      <c r="V871">
        <f>IF(OR($O871="",NOT(ISNUMBER($Q871))),"",$Q871*1000000+871)</f>
        <v/>
      </c>
      <c r="W871" s="29">
        <f>IF($B871="","",IFERROR(INDEX($U$4:$U$3183,MATCH(SMALL($V$4:$V$3183,868),$V$4:$V$3183,0)),""))</f>
        <v/>
      </c>
    </row>
    <row r="872">
      <c r="A872">
        <f>IFERROR(INDEX($N$4:$N$3183,MATCH(SMALL($V$4:$V$3183,869),$V$4:$V$3183,0)),"")</f>
        <v/>
      </c>
      <c r="B872">
        <f>IFERROR(INDEX($O$4:$O$3183,MATCH(SMALL($V$4:$V$3183,869),$V$4:$V$3183,0)),"")</f>
        <v/>
      </c>
      <c r="C872">
        <f>IFERROR(INDEX($P$4:$P$3183,MATCH(SMALL($V$4:$V$3183,869),$V$4:$V$3183,0)),"")</f>
        <v/>
      </c>
      <c r="D872" s="29">
        <f>IFERROR(INDEX($Q$4:$Q$3183,MATCH(SMALL($V$4:$V$3183,869),$V$4:$V$3183,0)),"")</f>
        <v/>
      </c>
      <c r="E872" s="29">
        <f>IFERROR(INDEX($R$4:$R$3183,MATCH(SMALL($V$4:$V$3183,869),$V$4:$V$3183,0)),"")</f>
        <v/>
      </c>
      <c r="F872">
        <f>IFERROR(INDEX($S$4:$S$3183,MATCH(SMALL($V$4:$V$3183,869),$V$4:$V$3183,0)),"")</f>
        <v/>
      </c>
      <c r="I872" s="29">
        <f>IF($B872="","",IFERROR(INDEX($U$4:$U$3183,MATCH(SMALL($V$4:$V$3183,869),$V$4:$V$3183,0)),""))</f>
        <v/>
      </c>
      <c r="J872">
        <f>IF($B872="","",IF($D872&gt;$F$2,"À venir",IF($E872&lt;$D$2,"Passé","Dans la période")))</f>
        <v/>
      </c>
      <c r="K872">
        <f>IF(OR($B872="",NOT(ISNUMBER($D872))),"",IF(AND($E872&lt;$D$2,$G872&lt;&gt;"X",$F872&lt;&gt;"Réalisé",$F872&lt;&gt;"Clôturé"),"RETARD",""))</f>
        <v/>
      </c>
      <c r="L872">
        <f>IF(OR($B872="",NOT(ISNUMBER($D872))),"",IF(AND($D872&gt;=$D$2,$D872&lt;=$H$2,$G872&lt;&gt;"X",$F872&lt;&gt;"Réalisé",$F872&lt;&gt;"Clôturé"),"≤ 7 j",""))</f>
        <v/>
      </c>
      <c r="M872" s="29">
        <f>IF($B872="","",IFERROR(INDEX($T$4:$T$3183,MATCH(SMALL($V$4:$V$3183,869),$V$4:$V$3183,0)),""))</f>
        <v/>
      </c>
      <c r="O872">
        <f>IF(INDEX(Suivi!$B:$B,889)="","",INDEX(Suivi!$B:$B,889))</f>
        <v/>
      </c>
      <c r="P872">
        <f>IF($O872="","",IF(INDEX(Suivi!$D:$D,889)="",INDEX(Suivi!$C:$C,889),INDEX(Suivi!$D:$D,889)))</f>
        <v/>
      </c>
      <c r="Q872">
        <f>IF($O872="","",INDEX(Suivi!$E:$E,889))</f>
        <v/>
      </c>
      <c r="R872">
        <f>IF($O872="","",INDEX(Suivi!$F:$F,889))</f>
        <v/>
      </c>
      <c r="S872">
        <f>IF($O872="","",INDEX(Suivi!$G:$G,889))</f>
        <v/>
      </c>
      <c r="T872">
        <f>IF($O872="","",IF(INDEX(Dossiers!$F$4:$F$63,17)="","",INDEX(Dossiers!$F$4:$F$63,17)))</f>
        <v/>
      </c>
      <c r="U872">
        <f>IF($O872="","",IF(INDEX(Dossiers!$G$4:$G$63,17)="","",INDEX(Dossiers!$G$4:$G$63,17)))</f>
        <v/>
      </c>
      <c r="V872">
        <f>IF(OR($O872="",NOT(ISNUMBER($Q872))),"",$Q872*1000000+872)</f>
        <v/>
      </c>
      <c r="W872" s="29">
        <f>IF($B872="","",IFERROR(INDEX($U$4:$U$3183,MATCH(SMALL($V$4:$V$3183,869),$V$4:$V$3183,0)),""))</f>
        <v/>
      </c>
    </row>
    <row r="873">
      <c r="A873">
        <f>IFERROR(INDEX($N$4:$N$3183,MATCH(SMALL($V$4:$V$3183,870),$V$4:$V$3183,0)),"")</f>
        <v/>
      </c>
      <c r="B873">
        <f>IFERROR(INDEX($O$4:$O$3183,MATCH(SMALL($V$4:$V$3183,870),$V$4:$V$3183,0)),"")</f>
        <v/>
      </c>
      <c r="C873">
        <f>IFERROR(INDEX($P$4:$P$3183,MATCH(SMALL($V$4:$V$3183,870),$V$4:$V$3183,0)),"")</f>
        <v/>
      </c>
      <c r="D873" s="29">
        <f>IFERROR(INDEX($Q$4:$Q$3183,MATCH(SMALL($V$4:$V$3183,870),$V$4:$V$3183,0)),"")</f>
        <v/>
      </c>
      <c r="E873" s="29">
        <f>IFERROR(INDEX($R$4:$R$3183,MATCH(SMALL($V$4:$V$3183,870),$V$4:$V$3183,0)),"")</f>
        <v/>
      </c>
      <c r="F873">
        <f>IFERROR(INDEX($S$4:$S$3183,MATCH(SMALL($V$4:$V$3183,870),$V$4:$V$3183,0)),"")</f>
        <v/>
      </c>
      <c r="I873" s="29">
        <f>IF($B873="","",IFERROR(INDEX($U$4:$U$3183,MATCH(SMALL($V$4:$V$3183,870),$V$4:$V$3183,0)),""))</f>
        <v/>
      </c>
      <c r="J873">
        <f>IF($B873="","",IF($D873&gt;$F$2,"À venir",IF($E873&lt;$D$2,"Passé","Dans la période")))</f>
        <v/>
      </c>
      <c r="K873">
        <f>IF(OR($B873="",NOT(ISNUMBER($D873))),"",IF(AND($E873&lt;$D$2,$G873&lt;&gt;"X",$F873&lt;&gt;"Réalisé",$F873&lt;&gt;"Clôturé"),"RETARD",""))</f>
        <v/>
      </c>
      <c r="L873">
        <f>IF(OR($B873="",NOT(ISNUMBER($D873))),"",IF(AND($D873&gt;=$D$2,$D873&lt;=$H$2,$G873&lt;&gt;"X",$F873&lt;&gt;"Réalisé",$F873&lt;&gt;"Clôturé"),"≤ 7 j",""))</f>
        <v/>
      </c>
      <c r="M873" s="29">
        <f>IF($B873="","",IFERROR(INDEX($T$4:$T$3183,MATCH(SMALL($V$4:$V$3183,870),$V$4:$V$3183,0)),""))</f>
        <v/>
      </c>
      <c r="O873">
        <f>IF(INDEX(Suivi!$B:$B,890)="","",INDEX(Suivi!$B:$B,890))</f>
        <v/>
      </c>
      <c r="P873">
        <f>IF($O873="","",IF(INDEX(Suivi!$D:$D,890)="",INDEX(Suivi!$C:$C,890),INDEX(Suivi!$D:$D,890)))</f>
        <v/>
      </c>
      <c r="Q873">
        <f>IF($O873="","",INDEX(Suivi!$E:$E,890))</f>
        <v/>
      </c>
      <c r="R873">
        <f>IF($O873="","",INDEX(Suivi!$F:$F,890))</f>
        <v/>
      </c>
      <c r="S873">
        <f>IF($O873="","",INDEX(Suivi!$G:$G,890))</f>
        <v/>
      </c>
      <c r="T873">
        <f>IF($O873="","",IF(INDEX(Dossiers!$F$4:$F$63,17)="","",INDEX(Dossiers!$F$4:$F$63,17)))</f>
        <v/>
      </c>
      <c r="U873">
        <f>IF($O873="","",IF(INDEX(Dossiers!$G$4:$G$63,17)="","",INDEX(Dossiers!$G$4:$G$63,17)))</f>
        <v/>
      </c>
      <c r="V873">
        <f>IF(OR($O873="",NOT(ISNUMBER($Q873))),"",$Q873*1000000+873)</f>
        <v/>
      </c>
      <c r="W873" s="29">
        <f>IF($B873="","",IFERROR(INDEX($U$4:$U$3183,MATCH(SMALL($V$4:$V$3183,870),$V$4:$V$3183,0)),""))</f>
        <v/>
      </c>
    </row>
    <row r="874">
      <c r="A874">
        <f>IFERROR(INDEX($N$4:$N$3183,MATCH(SMALL($V$4:$V$3183,871),$V$4:$V$3183,0)),"")</f>
        <v/>
      </c>
      <c r="B874">
        <f>IFERROR(INDEX($O$4:$O$3183,MATCH(SMALL($V$4:$V$3183,871),$V$4:$V$3183,0)),"")</f>
        <v/>
      </c>
      <c r="C874">
        <f>IFERROR(INDEX($P$4:$P$3183,MATCH(SMALL($V$4:$V$3183,871),$V$4:$V$3183,0)),"")</f>
        <v/>
      </c>
      <c r="D874" s="29">
        <f>IFERROR(INDEX($Q$4:$Q$3183,MATCH(SMALL($V$4:$V$3183,871),$V$4:$V$3183,0)),"")</f>
        <v/>
      </c>
      <c r="E874" s="29">
        <f>IFERROR(INDEX($R$4:$R$3183,MATCH(SMALL($V$4:$V$3183,871),$V$4:$V$3183,0)),"")</f>
        <v/>
      </c>
      <c r="F874">
        <f>IFERROR(INDEX($S$4:$S$3183,MATCH(SMALL($V$4:$V$3183,871),$V$4:$V$3183,0)),"")</f>
        <v/>
      </c>
      <c r="I874" s="29">
        <f>IF($B874="","",IFERROR(INDEX($U$4:$U$3183,MATCH(SMALL($V$4:$V$3183,871),$V$4:$V$3183,0)),""))</f>
        <v/>
      </c>
      <c r="J874">
        <f>IF($B874="","",IF($D874&gt;$F$2,"À venir",IF($E874&lt;$D$2,"Passé","Dans la période")))</f>
        <v/>
      </c>
      <c r="K874">
        <f>IF(OR($B874="",NOT(ISNUMBER($D874))),"",IF(AND($E874&lt;$D$2,$G874&lt;&gt;"X",$F874&lt;&gt;"Réalisé",$F874&lt;&gt;"Clôturé"),"RETARD",""))</f>
        <v/>
      </c>
      <c r="L874">
        <f>IF(OR($B874="",NOT(ISNUMBER($D874))),"",IF(AND($D874&gt;=$D$2,$D874&lt;=$H$2,$G874&lt;&gt;"X",$F874&lt;&gt;"Réalisé",$F874&lt;&gt;"Clôturé"),"≤ 7 j",""))</f>
        <v/>
      </c>
      <c r="M874" s="29">
        <f>IF($B874="","",IFERROR(INDEX($T$4:$T$3183,MATCH(SMALL($V$4:$V$3183,871),$V$4:$V$3183,0)),""))</f>
        <v/>
      </c>
      <c r="O874">
        <f>IF(INDEX(Suivi!$B:$B,891)="","",INDEX(Suivi!$B:$B,891))</f>
        <v/>
      </c>
      <c r="P874">
        <f>IF($O874="","",IF(INDEX(Suivi!$D:$D,891)="",INDEX(Suivi!$C:$C,891),INDEX(Suivi!$D:$D,891)))</f>
        <v/>
      </c>
      <c r="Q874">
        <f>IF($O874="","",INDEX(Suivi!$E:$E,891))</f>
        <v/>
      </c>
      <c r="R874">
        <f>IF($O874="","",INDEX(Suivi!$F:$F,891))</f>
        <v/>
      </c>
      <c r="S874">
        <f>IF($O874="","",INDEX(Suivi!$G:$G,891))</f>
        <v/>
      </c>
      <c r="T874">
        <f>IF($O874="","",IF(INDEX(Dossiers!$F$4:$F$63,17)="","",INDEX(Dossiers!$F$4:$F$63,17)))</f>
        <v/>
      </c>
      <c r="U874">
        <f>IF($O874="","",IF(INDEX(Dossiers!$G$4:$G$63,17)="","",INDEX(Dossiers!$G$4:$G$63,17)))</f>
        <v/>
      </c>
      <c r="V874">
        <f>IF(OR($O874="",NOT(ISNUMBER($Q874))),"",$Q874*1000000+874)</f>
        <v/>
      </c>
      <c r="W874" s="29">
        <f>IF($B874="","",IFERROR(INDEX($U$4:$U$3183,MATCH(SMALL($V$4:$V$3183,871),$V$4:$V$3183,0)),""))</f>
        <v/>
      </c>
    </row>
    <row r="875">
      <c r="A875">
        <f>IFERROR(INDEX($N$4:$N$3183,MATCH(SMALL($V$4:$V$3183,872),$V$4:$V$3183,0)),"")</f>
        <v/>
      </c>
      <c r="B875">
        <f>IFERROR(INDEX($O$4:$O$3183,MATCH(SMALL($V$4:$V$3183,872),$V$4:$V$3183,0)),"")</f>
        <v/>
      </c>
      <c r="C875">
        <f>IFERROR(INDEX($P$4:$P$3183,MATCH(SMALL($V$4:$V$3183,872),$V$4:$V$3183,0)),"")</f>
        <v/>
      </c>
      <c r="D875" s="29">
        <f>IFERROR(INDEX($Q$4:$Q$3183,MATCH(SMALL($V$4:$V$3183,872),$V$4:$V$3183,0)),"")</f>
        <v/>
      </c>
      <c r="E875" s="29">
        <f>IFERROR(INDEX($R$4:$R$3183,MATCH(SMALL($V$4:$V$3183,872),$V$4:$V$3183,0)),"")</f>
        <v/>
      </c>
      <c r="F875">
        <f>IFERROR(INDEX($S$4:$S$3183,MATCH(SMALL($V$4:$V$3183,872),$V$4:$V$3183,0)),"")</f>
        <v/>
      </c>
      <c r="I875" s="29">
        <f>IF($B875="","",IFERROR(INDEX($U$4:$U$3183,MATCH(SMALL($V$4:$V$3183,872),$V$4:$V$3183,0)),""))</f>
        <v/>
      </c>
      <c r="J875">
        <f>IF($B875="","",IF($D875&gt;$F$2,"À venir",IF($E875&lt;$D$2,"Passé","Dans la période")))</f>
        <v/>
      </c>
      <c r="K875">
        <f>IF(OR($B875="",NOT(ISNUMBER($D875))),"",IF(AND($E875&lt;$D$2,$G875&lt;&gt;"X",$F875&lt;&gt;"Réalisé",$F875&lt;&gt;"Clôturé"),"RETARD",""))</f>
        <v/>
      </c>
      <c r="L875">
        <f>IF(OR($B875="",NOT(ISNUMBER($D875))),"",IF(AND($D875&gt;=$D$2,$D875&lt;=$H$2,$G875&lt;&gt;"X",$F875&lt;&gt;"Réalisé",$F875&lt;&gt;"Clôturé"),"≤ 7 j",""))</f>
        <v/>
      </c>
      <c r="M875" s="29">
        <f>IF($B875="","",IFERROR(INDEX($T$4:$T$3183,MATCH(SMALL($V$4:$V$3183,872),$V$4:$V$3183,0)),""))</f>
        <v/>
      </c>
      <c r="O875">
        <f>IF(INDEX(Suivi!$B:$B,892)="","",INDEX(Suivi!$B:$B,892))</f>
        <v/>
      </c>
      <c r="P875">
        <f>IF($O875="","",IF(INDEX(Suivi!$D:$D,892)="",INDEX(Suivi!$C:$C,892),INDEX(Suivi!$D:$D,892)))</f>
        <v/>
      </c>
      <c r="Q875">
        <f>IF($O875="","",INDEX(Suivi!$E:$E,892))</f>
        <v/>
      </c>
      <c r="R875">
        <f>IF($O875="","",INDEX(Suivi!$F:$F,892))</f>
        <v/>
      </c>
      <c r="S875">
        <f>IF($O875="","",INDEX(Suivi!$G:$G,892))</f>
        <v/>
      </c>
      <c r="T875">
        <f>IF($O875="","",IF(INDEX(Dossiers!$F$4:$F$63,17)="","",INDEX(Dossiers!$F$4:$F$63,17)))</f>
        <v/>
      </c>
      <c r="U875">
        <f>IF($O875="","",IF(INDEX(Dossiers!$G$4:$G$63,17)="","",INDEX(Dossiers!$G$4:$G$63,17)))</f>
        <v/>
      </c>
      <c r="V875">
        <f>IF(OR($O875="",NOT(ISNUMBER($Q875))),"",$Q875*1000000+875)</f>
        <v/>
      </c>
      <c r="W875" s="29">
        <f>IF($B875="","",IFERROR(INDEX($U$4:$U$3183,MATCH(SMALL($V$4:$V$3183,872),$V$4:$V$3183,0)),""))</f>
        <v/>
      </c>
    </row>
    <row r="876">
      <c r="A876">
        <f>IFERROR(INDEX($N$4:$N$3183,MATCH(SMALL($V$4:$V$3183,873),$V$4:$V$3183,0)),"")</f>
        <v/>
      </c>
      <c r="B876">
        <f>IFERROR(INDEX($O$4:$O$3183,MATCH(SMALL($V$4:$V$3183,873),$V$4:$V$3183,0)),"")</f>
        <v/>
      </c>
      <c r="C876">
        <f>IFERROR(INDEX($P$4:$P$3183,MATCH(SMALL($V$4:$V$3183,873),$V$4:$V$3183,0)),"")</f>
        <v/>
      </c>
      <c r="D876" s="29">
        <f>IFERROR(INDEX($Q$4:$Q$3183,MATCH(SMALL($V$4:$V$3183,873),$V$4:$V$3183,0)),"")</f>
        <v/>
      </c>
      <c r="E876" s="29">
        <f>IFERROR(INDEX($R$4:$R$3183,MATCH(SMALL($V$4:$V$3183,873),$V$4:$V$3183,0)),"")</f>
        <v/>
      </c>
      <c r="F876">
        <f>IFERROR(INDEX($S$4:$S$3183,MATCH(SMALL($V$4:$V$3183,873),$V$4:$V$3183,0)),"")</f>
        <v/>
      </c>
      <c r="I876" s="29">
        <f>IF($B876="","",IFERROR(INDEX($U$4:$U$3183,MATCH(SMALL($V$4:$V$3183,873),$V$4:$V$3183,0)),""))</f>
        <v/>
      </c>
      <c r="J876">
        <f>IF($B876="","",IF($D876&gt;$F$2,"À venir",IF($E876&lt;$D$2,"Passé","Dans la période")))</f>
        <v/>
      </c>
      <c r="K876">
        <f>IF(OR($B876="",NOT(ISNUMBER($D876))),"",IF(AND($E876&lt;$D$2,$G876&lt;&gt;"X",$F876&lt;&gt;"Réalisé",$F876&lt;&gt;"Clôturé"),"RETARD",""))</f>
        <v/>
      </c>
      <c r="L876">
        <f>IF(OR($B876="",NOT(ISNUMBER($D876))),"",IF(AND($D876&gt;=$D$2,$D876&lt;=$H$2,$G876&lt;&gt;"X",$F876&lt;&gt;"Réalisé",$F876&lt;&gt;"Clôturé"),"≤ 7 j",""))</f>
        <v/>
      </c>
      <c r="M876" s="29">
        <f>IF($B876="","",IFERROR(INDEX($T$4:$T$3183,MATCH(SMALL($V$4:$V$3183,873),$V$4:$V$3183,0)),""))</f>
        <v/>
      </c>
      <c r="O876">
        <f>IF(INDEX(Suivi!$B:$B,893)="","",INDEX(Suivi!$B:$B,893))</f>
        <v/>
      </c>
      <c r="P876">
        <f>IF($O876="","",IF(INDEX(Suivi!$D:$D,893)="",INDEX(Suivi!$C:$C,893),INDEX(Suivi!$D:$D,893)))</f>
        <v/>
      </c>
      <c r="Q876">
        <f>IF($O876="","",INDEX(Suivi!$E:$E,893))</f>
        <v/>
      </c>
      <c r="R876">
        <f>IF($O876="","",INDEX(Suivi!$F:$F,893))</f>
        <v/>
      </c>
      <c r="S876">
        <f>IF($O876="","",INDEX(Suivi!$G:$G,893))</f>
        <v/>
      </c>
      <c r="T876">
        <f>IF($O876="","",IF(INDEX(Dossiers!$F$4:$F$63,17)="","",INDEX(Dossiers!$F$4:$F$63,17)))</f>
        <v/>
      </c>
      <c r="U876">
        <f>IF($O876="","",IF(INDEX(Dossiers!$G$4:$G$63,17)="","",INDEX(Dossiers!$G$4:$G$63,17)))</f>
        <v/>
      </c>
      <c r="V876">
        <f>IF(OR($O876="",NOT(ISNUMBER($Q876))),"",$Q876*1000000+876)</f>
        <v/>
      </c>
      <c r="W876" s="29">
        <f>IF($B876="","",IFERROR(INDEX($U$4:$U$3183,MATCH(SMALL($V$4:$V$3183,873),$V$4:$V$3183,0)),""))</f>
        <v/>
      </c>
    </row>
    <row r="877">
      <c r="A877">
        <f>IFERROR(INDEX($N$4:$N$3183,MATCH(SMALL($V$4:$V$3183,874),$V$4:$V$3183,0)),"")</f>
        <v/>
      </c>
      <c r="B877">
        <f>IFERROR(INDEX($O$4:$O$3183,MATCH(SMALL($V$4:$V$3183,874),$V$4:$V$3183,0)),"")</f>
        <v/>
      </c>
      <c r="C877">
        <f>IFERROR(INDEX($P$4:$P$3183,MATCH(SMALL($V$4:$V$3183,874),$V$4:$V$3183,0)),"")</f>
        <v/>
      </c>
      <c r="D877" s="29">
        <f>IFERROR(INDEX($Q$4:$Q$3183,MATCH(SMALL($V$4:$V$3183,874),$V$4:$V$3183,0)),"")</f>
        <v/>
      </c>
      <c r="E877" s="29">
        <f>IFERROR(INDEX($R$4:$R$3183,MATCH(SMALL($V$4:$V$3183,874),$V$4:$V$3183,0)),"")</f>
        <v/>
      </c>
      <c r="F877">
        <f>IFERROR(INDEX($S$4:$S$3183,MATCH(SMALL($V$4:$V$3183,874),$V$4:$V$3183,0)),"")</f>
        <v/>
      </c>
      <c r="I877" s="29">
        <f>IF($B877="","",IFERROR(INDEX($U$4:$U$3183,MATCH(SMALL($V$4:$V$3183,874),$V$4:$V$3183,0)),""))</f>
        <v/>
      </c>
      <c r="J877">
        <f>IF($B877="","",IF($D877&gt;$F$2,"À venir",IF($E877&lt;$D$2,"Passé","Dans la période")))</f>
        <v/>
      </c>
      <c r="K877">
        <f>IF(OR($B877="",NOT(ISNUMBER($D877))),"",IF(AND($E877&lt;$D$2,$G877&lt;&gt;"X",$F877&lt;&gt;"Réalisé",$F877&lt;&gt;"Clôturé"),"RETARD",""))</f>
        <v/>
      </c>
      <c r="L877">
        <f>IF(OR($B877="",NOT(ISNUMBER($D877))),"",IF(AND($D877&gt;=$D$2,$D877&lt;=$H$2,$G877&lt;&gt;"X",$F877&lt;&gt;"Réalisé",$F877&lt;&gt;"Clôturé"),"≤ 7 j",""))</f>
        <v/>
      </c>
      <c r="M877" s="29">
        <f>IF($B877="","",IFERROR(INDEX($T$4:$T$3183,MATCH(SMALL($V$4:$V$3183,874),$V$4:$V$3183,0)),""))</f>
        <v/>
      </c>
      <c r="O877">
        <f>IF(INDEX(Suivi!$B:$B,894)="","",INDEX(Suivi!$B:$B,894))</f>
        <v/>
      </c>
      <c r="P877">
        <f>IF($O877="","",IF(INDEX(Suivi!$D:$D,894)="",INDEX(Suivi!$C:$C,894),INDEX(Suivi!$D:$D,894)))</f>
        <v/>
      </c>
      <c r="Q877">
        <f>IF($O877="","",INDEX(Suivi!$E:$E,894))</f>
        <v/>
      </c>
      <c r="R877">
        <f>IF($O877="","",INDEX(Suivi!$F:$F,894))</f>
        <v/>
      </c>
      <c r="S877">
        <f>IF($O877="","",INDEX(Suivi!$G:$G,894))</f>
        <v/>
      </c>
      <c r="T877">
        <f>IF($O877="","",IF(INDEX(Dossiers!$F$4:$F$63,17)="","",INDEX(Dossiers!$F$4:$F$63,17)))</f>
        <v/>
      </c>
      <c r="U877">
        <f>IF($O877="","",IF(INDEX(Dossiers!$G$4:$G$63,17)="","",INDEX(Dossiers!$G$4:$G$63,17)))</f>
        <v/>
      </c>
      <c r="V877">
        <f>IF(OR($O877="",NOT(ISNUMBER($Q877))),"",$Q877*1000000+877)</f>
        <v/>
      </c>
      <c r="W877" s="29">
        <f>IF($B877="","",IFERROR(INDEX($U$4:$U$3183,MATCH(SMALL($V$4:$V$3183,874),$V$4:$V$3183,0)),""))</f>
        <v/>
      </c>
    </row>
    <row r="878">
      <c r="A878">
        <f>IFERROR(INDEX($N$4:$N$3183,MATCH(SMALL($V$4:$V$3183,875),$V$4:$V$3183,0)),"")</f>
        <v/>
      </c>
      <c r="B878">
        <f>IFERROR(INDEX($O$4:$O$3183,MATCH(SMALL($V$4:$V$3183,875),$V$4:$V$3183,0)),"")</f>
        <v/>
      </c>
      <c r="C878">
        <f>IFERROR(INDEX($P$4:$P$3183,MATCH(SMALL($V$4:$V$3183,875),$V$4:$V$3183,0)),"")</f>
        <v/>
      </c>
      <c r="D878" s="29">
        <f>IFERROR(INDEX($Q$4:$Q$3183,MATCH(SMALL($V$4:$V$3183,875),$V$4:$V$3183,0)),"")</f>
        <v/>
      </c>
      <c r="E878" s="29">
        <f>IFERROR(INDEX($R$4:$R$3183,MATCH(SMALL($V$4:$V$3183,875),$V$4:$V$3183,0)),"")</f>
        <v/>
      </c>
      <c r="F878">
        <f>IFERROR(INDEX($S$4:$S$3183,MATCH(SMALL($V$4:$V$3183,875),$V$4:$V$3183,0)),"")</f>
        <v/>
      </c>
      <c r="I878" s="29">
        <f>IF($B878="","",IFERROR(INDEX($U$4:$U$3183,MATCH(SMALL($V$4:$V$3183,875),$V$4:$V$3183,0)),""))</f>
        <v/>
      </c>
      <c r="J878">
        <f>IF($B878="","",IF($D878&gt;$F$2,"À venir",IF($E878&lt;$D$2,"Passé","Dans la période")))</f>
        <v/>
      </c>
      <c r="K878">
        <f>IF(OR($B878="",NOT(ISNUMBER($D878))),"",IF(AND($E878&lt;$D$2,$G878&lt;&gt;"X",$F878&lt;&gt;"Réalisé",$F878&lt;&gt;"Clôturé"),"RETARD",""))</f>
        <v/>
      </c>
      <c r="L878">
        <f>IF(OR($B878="",NOT(ISNUMBER($D878))),"",IF(AND($D878&gt;=$D$2,$D878&lt;=$H$2,$G878&lt;&gt;"X",$F878&lt;&gt;"Réalisé",$F878&lt;&gt;"Clôturé"),"≤ 7 j",""))</f>
        <v/>
      </c>
      <c r="M878" s="29">
        <f>IF($B878="","",IFERROR(INDEX($T$4:$T$3183,MATCH(SMALL($V$4:$V$3183,875),$V$4:$V$3183,0)),""))</f>
        <v/>
      </c>
      <c r="O878">
        <f>IF(INDEX(Suivi!$B:$B,895)="","",INDEX(Suivi!$B:$B,895))</f>
        <v/>
      </c>
      <c r="P878">
        <f>IF($O878="","",IF(INDEX(Suivi!$D:$D,895)="",INDEX(Suivi!$C:$C,895),INDEX(Suivi!$D:$D,895)))</f>
        <v/>
      </c>
      <c r="Q878">
        <f>IF($O878="","",INDEX(Suivi!$E:$E,895))</f>
        <v/>
      </c>
      <c r="R878">
        <f>IF($O878="","",INDEX(Suivi!$F:$F,895))</f>
        <v/>
      </c>
      <c r="S878">
        <f>IF($O878="","",INDEX(Suivi!$G:$G,895))</f>
        <v/>
      </c>
      <c r="T878">
        <f>IF($O878="","",IF(INDEX(Dossiers!$F$4:$F$63,17)="","",INDEX(Dossiers!$F$4:$F$63,17)))</f>
        <v/>
      </c>
      <c r="U878">
        <f>IF($O878="","",IF(INDEX(Dossiers!$G$4:$G$63,17)="","",INDEX(Dossiers!$G$4:$G$63,17)))</f>
        <v/>
      </c>
      <c r="V878">
        <f>IF(OR($O878="",NOT(ISNUMBER($Q878))),"",$Q878*1000000+878)</f>
        <v/>
      </c>
      <c r="W878" s="29">
        <f>IF($B878="","",IFERROR(INDEX($U$4:$U$3183,MATCH(SMALL($V$4:$V$3183,875),$V$4:$V$3183,0)),""))</f>
        <v/>
      </c>
    </row>
    <row r="879">
      <c r="A879">
        <f>IFERROR(INDEX($N$4:$N$3183,MATCH(SMALL($V$4:$V$3183,876),$V$4:$V$3183,0)),"")</f>
        <v/>
      </c>
      <c r="B879">
        <f>IFERROR(INDEX($O$4:$O$3183,MATCH(SMALL($V$4:$V$3183,876),$V$4:$V$3183,0)),"")</f>
        <v/>
      </c>
      <c r="C879">
        <f>IFERROR(INDEX($P$4:$P$3183,MATCH(SMALL($V$4:$V$3183,876),$V$4:$V$3183,0)),"")</f>
        <v/>
      </c>
      <c r="D879" s="29">
        <f>IFERROR(INDEX($Q$4:$Q$3183,MATCH(SMALL($V$4:$V$3183,876),$V$4:$V$3183,0)),"")</f>
        <v/>
      </c>
      <c r="E879" s="29">
        <f>IFERROR(INDEX($R$4:$R$3183,MATCH(SMALL($V$4:$V$3183,876),$V$4:$V$3183,0)),"")</f>
        <v/>
      </c>
      <c r="F879">
        <f>IFERROR(INDEX($S$4:$S$3183,MATCH(SMALL($V$4:$V$3183,876),$V$4:$V$3183,0)),"")</f>
        <v/>
      </c>
      <c r="I879" s="29">
        <f>IF($B879="","",IFERROR(INDEX($U$4:$U$3183,MATCH(SMALL($V$4:$V$3183,876),$V$4:$V$3183,0)),""))</f>
        <v/>
      </c>
      <c r="J879">
        <f>IF($B879="","",IF($D879&gt;$F$2,"À venir",IF($E879&lt;$D$2,"Passé","Dans la période")))</f>
        <v/>
      </c>
      <c r="K879">
        <f>IF(OR($B879="",NOT(ISNUMBER($D879))),"",IF(AND($E879&lt;$D$2,$G879&lt;&gt;"X",$F879&lt;&gt;"Réalisé",$F879&lt;&gt;"Clôturé"),"RETARD",""))</f>
        <v/>
      </c>
      <c r="L879">
        <f>IF(OR($B879="",NOT(ISNUMBER($D879))),"",IF(AND($D879&gt;=$D$2,$D879&lt;=$H$2,$G879&lt;&gt;"X",$F879&lt;&gt;"Réalisé",$F879&lt;&gt;"Clôturé"),"≤ 7 j",""))</f>
        <v/>
      </c>
      <c r="M879" s="29">
        <f>IF($B879="","",IFERROR(INDEX($T$4:$T$3183,MATCH(SMALL($V$4:$V$3183,876),$V$4:$V$3183,0)),""))</f>
        <v/>
      </c>
      <c r="O879">
        <f>IF(INDEX(Suivi!$B:$B,896)="","",INDEX(Suivi!$B:$B,896))</f>
        <v/>
      </c>
      <c r="P879">
        <f>IF($O879="","",IF(INDEX(Suivi!$D:$D,896)="",INDEX(Suivi!$C:$C,896),INDEX(Suivi!$D:$D,896)))</f>
        <v/>
      </c>
      <c r="Q879">
        <f>IF($O879="","",INDEX(Suivi!$E:$E,896))</f>
        <v/>
      </c>
      <c r="R879">
        <f>IF($O879="","",INDEX(Suivi!$F:$F,896))</f>
        <v/>
      </c>
      <c r="S879">
        <f>IF($O879="","",INDEX(Suivi!$G:$G,896))</f>
        <v/>
      </c>
      <c r="T879">
        <f>IF($O879="","",IF(INDEX(Dossiers!$F$4:$F$63,17)="","",INDEX(Dossiers!$F$4:$F$63,17)))</f>
        <v/>
      </c>
      <c r="U879">
        <f>IF($O879="","",IF(INDEX(Dossiers!$G$4:$G$63,17)="","",INDEX(Dossiers!$G$4:$G$63,17)))</f>
        <v/>
      </c>
      <c r="V879">
        <f>IF(OR($O879="",NOT(ISNUMBER($Q879))),"",$Q879*1000000+879)</f>
        <v/>
      </c>
      <c r="W879" s="29">
        <f>IF($B879="","",IFERROR(INDEX($U$4:$U$3183,MATCH(SMALL($V$4:$V$3183,876),$V$4:$V$3183,0)),""))</f>
        <v/>
      </c>
    </row>
    <row r="880">
      <c r="A880">
        <f>IFERROR(INDEX($N$4:$N$3183,MATCH(SMALL($V$4:$V$3183,877),$V$4:$V$3183,0)),"")</f>
        <v/>
      </c>
      <c r="B880">
        <f>IFERROR(INDEX($O$4:$O$3183,MATCH(SMALL($V$4:$V$3183,877),$V$4:$V$3183,0)),"")</f>
        <v/>
      </c>
      <c r="C880">
        <f>IFERROR(INDEX($P$4:$P$3183,MATCH(SMALL($V$4:$V$3183,877),$V$4:$V$3183,0)),"")</f>
        <v/>
      </c>
      <c r="D880" s="29">
        <f>IFERROR(INDEX($Q$4:$Q$3183,MATCH(SMALL($V$4:$V$3183,877),$V$4:$V$3183,0)),"")</f>
        <v/>
      </c>
      <c r="E880" s="29">
        <f>IFERROR(INDEX($R$4:$R$3183,MATCH(SMALL($V$4:$V$3183,877),$V$4:$V$3183,0)),"")</f>
        <v/>
      </c>
      <c r="F880">
        <f>IFERROR(INDEX($S$4:$S$3183,MATCH(SMALL($V$4:$V$3183,877),$V$4:$V$3183,0)),"")</f>
        <v/>
      </c>
      <c r="I880" s="29">
        <f>IF($B880="","",IFERROR(INDEX($U$4:$U$3183,MATCH(SMALL($V$4:$V$3183,877),$V$4:$V$3183,0)),""))</f>
        <v/>
      </c>
      <c r="J880">
        <f>IF($B880="","",IF($D880&gt;$F$2,"À venir",IF($E880&lt;$D$2,"Passé","Dans la période")))</f>
        <v/>
      </c>
      <c r="K880">
        <f>IF(OR($B880="",NOT(ISNUMBER($D880))),"",IF(AND($E880&lt;$D$2,$G880&lt;&gt;"X",$F880&lt;&gt;"Réalisé",$F880&lt;&gt;"Clôturé"),"RETARD",""))</f>
        <v/>
      </c>
      <c r="L880">
        <f>IF(OR($B880="",NOT(ISNUMBER($D880))),"",IF(AND($D880&gt;=$D$2,$D880&lt;=$H$2,$G880&lt;&gt;"X",$F880&lt;&gt;"Réalisé",$F880&lt;&gt;"Clôturé"),"≤ 7 j",""))</f>
        <v/>
      </c>
      <c r="M880" s="29">
        <f>IF($B880="","",IFERROR(INDEX($T$4:$T$3183,MATCH(SMALL($V$4:$V$3183,877),$V$4:$V$3183,0)),""))</f>
        <v/>
      </c>
      <c r="O880">
        <f>IF(INDEX(Suivi!$B:$B,897)="","",INDEX(Suivi!$B:$B,897))</f>
        <v/>
      </c>
      <c r="P880">
        <f>IF($O880="","",IF(INDEX(Suivi!$D:$D,897)="",INDEX(Suivi!$C:$C,897),INDEX(Suivi!$D:$D,897)))</f>
        <v/>
      </c>
      <c r="Q880">
        <f>IF($O880="","",INDEX(Suivi!$E:$E,897))</f>
        <v/>
      </c>
      <c r="R880">
        <f>IF($O880="","",INDEX(Suivi!$F:$F,897))</f>
        <v/>
      </c>
      <c r="S880">
        <f>IF($O880="","",INDEX(Suivi!$G:$G,897))</f>
        <v/>
      </c>
      <c r="T880">
        <f>IF($O880="","",IF(INDEX(Dossiers!$F$4:$F$63,17)="","",INDEX(Dossiers!$F$4:$F$63,17)))</f>
        <v/>
      </c>
      <c r="U880">
        <f>IF($O880="","",IF(INDEX(Dossiers!$G$4:$G$63,17)="","",INDEX(Dossiers!$G$4:$G$63,17)))</f>
        <v/>
      </c>
      <c r="V880">
        <f>IF(OR($O880="",NOT(ISNUMBER($Q880))),"",$Q880*1000000+880)</f>
        <v/>
      </c>
      <c r="W880" s="29">
        <f>IF($B880="","",IFERROR(INDEX($U$4:$U$3183,MATCH(SMALL($V$4:$V$3183,877),$V$4:$V$3183,0)),""))</f>
        <v/>
      </c>
    </row>
    <row r="881">
      <c r="A881">
        <f>IFERROR(INDEX($N$4:$N$3183,MATCH(SMALL($V$4:$V$3183,878),$V$4:$V$3183,0)),"")</f>
        <v/>
      </c>
      <c r="B881">
        <f>IFERROR(INDEX($O$4:$O$3183,MATCH(SMALL($V$4:$V$3183,878),$V$4:$V$3183,0)),"")</f>
        <v/>
      </c>
      <c r="C881">
        <f>IFERROR(INDEX($P$4:$P$3183,MATCH(SMALL($V$4:$V$3183,878),$V$4:$V$3183,0)),"")</f>
        <v/>
      </c>
      <c r="D881" s="29">
        <f>IFERROR(INDEX($Q$4:$Q$3183,MATCH(SMALL($V$4:$V$3183,878),$V$4:$V$3183,0)),"")</f>
        <v/>
      </c>
      <c r="E881" s="29">
        <f>IFERROR(INDEX($R$4:$R$3183,MATCH(SMALL($V$4:$V$3183,878),$V$4:$V$3183,0)),"")</f>
        <v/>
      </c>
      <c r="F881">
        <f>IFERROR(INDEX($S$4:$S$3183,MATCH(SMALL($V$4:$V$3183,878),$V$4:$V$3183,0)),"")</f>
        <v/>
      </c>
      <c r="I881" s="29">
        <f>IF($B881="","",IFERROR(INDEX($U$4:$U$3183,MATCH(SMALL($V$4:$V$3183,878),$V$4:$V$3183,0)),""))</f>
        <v/>
      </c>
      <c r="J881">
        <f>IF($B881="","",IF($D881&gt;$F$2,"À venir",IF($E881&lt;$D$2,"Passé","Dans la période")))</f>
        <v/>
      </c>
      <c r="K881">
        <f>IF(OR($B881="",NOT(ISNUMBER($D881))),"",IF(AND($E881&lt;$D$2,$G881&lt;&gt;"X",$F881&lt;&gt;"Réalisé",$F881&lt;&gt;"Clôturé"),"RETARD",""))</f>
        <v/>
      </c>
      <c r="L881">
        <f>IF(OR($B881="",NOT(ISNUMBER($D881))),"",IF(AND($D881&gt;=$D$2,$D881&lt;=$H$2,$G881&lt;&gt;"X",$F881&lt;&gt;"Réalisé",$F881&lt;&gt;"Clôturé"),"≤ 7 j",""))</f>
        <v/>
      </c>
      <c r="M881" s="29">
        <f>IF($B881="","",IFERROR(INDEX($T$4:$T$3183,MATCH(SMALL($V$4:$V$3183,878),$V$4:$V$3183,0)),""))</f>
        <v/>
      </c>
      <c r="O881">
        <f>IF(INDEX(Suivi!$B:$B,898)="","",INDEX(Suivi!$B:$B,898))</f>
        <v/>
      </c>
      <c r="P881">
        <f>IF($O881="","",IF(INDEX(Suivi!$D:$D,898)="",INDEX(Suivi!$C:$C,898),INDEX(Suivi!$D:$D,898)))</f>
        <v/>
      </c>
      <c r="Q881">
        <f>IF($O881="","",INDEX(Suivi!$E:$E,898))</f>
        <v/>
      </c>
      <c r="R881">
        <f>IF($O881="","",INDEX(Suivi!$F:$F,898))</f>
        <v/>
      </c>
      <c r="S881">
        <f>IF($O881="","",INDEX(Suivi!$G:$G,898))</f>
        <v/>
      </c>
      <c r="T881">
        <f>IF($O881="","",IF(INDEX(Dossiers!$F$4:$F$63,17)="","",INDEX(Dossiers!$F$4:$F$63,17)))</f>
        <v/>
      </c>
      <c r="U881">
        <f>IF($O881="","",IF(INDEX(Dossiers!$G$4:$G$63,17)="","",INDEX(Dossiers!$G$4:$G$63,17)))</f>
        <v/>
      </c>
      <c r="V881">
        <f>IF(OR($O881="",NOT(ISNUMBER($Q881))),"",$Q881*1000000+881)</f>
        <v/>
      </c>
      <c r="W881" s="29">
        <f>IF($B881="","",IFERROR(INDEX($U$4:$U$3183,MATCH(SMALL($V$4:$V$3183,878),$V$4:$V$3183,0)),""))</f>
        <v/>
      </c>
    </row>
    <row r="882">
      <c r="A882">
        <f>IFERROR(INDEX($N$4:$N$3183,MATCH(SMALL($V$4:$V$3183,879),$V$4:$V$3183,0)),"")</f>
        <v/>
      </c>
      <c r="B882">
        <f>IFERROR(INDEX($O$4:$O$3183,MATCH(SMALL($V$4:$V$3183,879),$V$4:$V$3183,0)),"")</f>
        <v/>
      </c>
      <c r="C882">
        <f>IFERROR(INDEX($P$4:$P$3183,MATCH(SMALL($V$4:$V$3183,879),$V$4:$V$3183,0)),"")</f>
        <v/>
      </c>
      <c r="D882" s="29">
        <f>IFERROR(INDEX($Q$4:$Q$3183,MATCH(SMALL($V$4:$V$3183,879),$V$4:$V$3183,0)),"")</f>
        <v/>
      </c>
      <c r="E882" s="29">
        <f>IFERROR(INDEX($R$4:$R$3183,MATCH(SMALL($V$4:$V$3183,879),$V$4:$V$3183,0)),"")</f>
        <v/>
      </c>
      <c r="F882">
        <f>IFERROR(INDEX($S$4:$S$3183,MATCH(SMALL($V$4:$V$3183,879),$V$4:$V$3183,0)),"")</f>
        <v/>
      </c>
      <c r="I882" s="29">
        <f>IF($B882="","",IFERROR(INDEX($U$4:$U$3183,MATCH(SMALL($V$4:$V$3183,879),$V$4:$V$3183,0)),""))</f>
        <v/>
      </c>
      <c r="J882">
        <f>IF($B882="","",IF($D882&gt;$F$2,"À venir",IF($E882&lt;$D$2,"Passé","Dans la période")))</f>
        <v/>
      </c>
      <c r="K882">
        <f>IF(OR($B882="",NOT(ISNUMBER($D882))),"",IF(AND($E882&lt;$D$2,$G882&lt;&gt;"X",$F882&lt;&gt;"Réalisé",$F882&lt;&gt;"Clôturé"),"RETARD",""))</f>
        <v/>
      </c>
      <c r="L882">
        <f>IF(OR($B882="",NOT(ISNUMBER($D882))),"",IF(AND($D882&gt;=$D$2,$D882&lt;=$H$2,$G882&lt;&gt;"X",$F882&lt;&gt;"Réalisé",$F882&lt;&gt;"Clôturé"),"≤ 7 j",""))</f>
        <v/>
      </c>
      <c r="M882" s="29">
        <f>IF($B882="","",IFERROR(INDEX($T$4:$T$3183,MATCH(SMALL($V$4:$V$3183,879),$V$4:$V$3183,0)),""))</f>
        <v/>
      </c>
      <c r="O882">
        <f>IF(INDEX(Suivi!$B:$B,899)="","",INDEX(Suivi!$B:$B,899))</f>
        <v/>
      </c>
      <c r="P882">
        <f>IF($O882="","",IF(INDEX(Suivi!$D:$D,899)="",INDEX(Suivi!$C:$C,899),INDEX(Suivi!$D:$D,899)))</f>
        <v/>
      </c>
      <c r="Q882">
        <f>IF($O882="","",INDEX(Suivi!$E:$E,899))</f>
        <v/>
      </c>
      <c r="R882">
        <f>IF($O882="","",INDEX(Suivi!$F:$F,899))</f>
        <v/>
      </c>
      <c r="S882">
        <f>IF($O882="","",INDEX(Suivi!$G:$G,899))</f>
        <v/>
      </c>
      <c r="T882">
        <f>IF($O882="","",IF(INDEX(Dossiers!$F$4:$F$63,17)="","",INDEX(Dossiers!$F$4:$F$63,17)))</f>
        <v/>
      </c>
      <c r="U882">
        <f>IF($O882="","",IF(INDEX(Dossiers!$G$4:$G$63,17)="","",INDEX(Dossiers!$G$4:$G$63,17)))</f>
        <v/>
      </c>
      <c r="V882">
        <f>IF(OR($O882="",NOT(ISNUMBER($Q882))),"",$Q882*1000000+882)</f>
        <v/>
      </c>
      <c r="W882" s="29">
        <f>IF($B882="","",IFERROR(INDEX($U$4:$U$3183,MATCH(SMALL($V$4:$V$3183,879),$V$4:$V$3183,0)),""))</f>
        <v/>
      </c>
    </row>
    <row r="883">
      <c r="A883">
        <f>IFERROR(INDEX($N$4:$N$3183,MATCH(SMALL($V$4:$V$3183,880),$V$4:$V$3183,0)),"")</f>
        <v/>
      </c>
      <c r="B883">
        <f>IFERROR(INDEX($O$4:$O$3183,MATCH(SMALL($V$4:$V$3183,880),$V$4:$V$3183,0)),"")</f>
        <v/>
      </c>
      <c r="C883">
        <f>IFERROR(INDEX($P$4:$P$3183,MATCH(SMALL($V$4:$V$3183,880),$V$4:$V$3183,0)),"")</f>
        <v/>
      </c>
      <c r="D883" s="29">
        <f>IFERROR(INDEX($Q$4:$Q$3183,MATCH(SMALL($V$4:$V$3183,880),$V$4:$V$3183,0)),"")</f>
        <v/>
      </c>
      <c r="E883" s="29">
        <f>IFERROR(INDEX($R$4:$R$3183,MATCH(SMALL($V$4:$V$3183,880),$V$4:$V$3183,0)),"")</f>
        <v/>
      </c>
      <c r="F883">
        <f>IFERROR(INDEX($S$4:$S$3183,MATCH(SMALL($V$4:$V$3183,880),$V$4:$V$3183,0)),"")</f>
        <v/>
      </c>
      <c r="I883" s="29">
        <f>IF($B883="","",IFERROR(INDEX($U$4:$U$3183,MATCH(SMALL($V$4:$V$3183,880),$V$4:$V$3183,0)),""))</f>
        <v/>
      </c>
      <c r="J883">
        <f>IF($B883="","",IF($D883&gt;$F$2,"À venir",IF($E883&lt;$D$2,"Passé","Dans la période")))</f>
        <v/>
      </c>
      <c r="K883">
        <f>IF(OR($B883="",NOT(ISNUMBER($D883))),"",IF(AND($E883&lt;$D$2,$G883&lt;&gt;"X",$F883&lt;&gt;"Réalisé",$F883&lt;&gt;"Clôturé"),"RETARD",""))</f>
        <v/>
      </c>
      <c r="L883">
        <f>IF(OR($B883="",NOT(ISNUMBER($D883))),"",IF(AND($D883&gt;=$D$2,$D883&lt;=$H$2,$G883&lt;&gt;"X",$F883&lt;&gt;"Réalisé",$F883&lt;&gt;"Clôturé"),"≤ 7 j",""))</f>
        <v/>
      </c>
      <c r="M883" s="29">
        <f>IF($B883="","",IFERROR(INDEX($T$4:$T$3183,MATCH(SMALL($V$4:$V$3183,880),$V$4:$V$3183,0)),""))</f>
        <v/>
      </c>
      <c r="O883">
        <f>IF(INDEX(Suivi!$B:$B,900)="","",INDEX(Suivi!$B:$B,900))</f>
        <v/>
      </c>
      <c r="P883">
        <f>IF($O883="","",IF(INDEX(Suivi!$D:$D,900)="",INDEX(Suivi!$C:$C,900),INDEX(Suivi!$D:$D,900)))</f>
        <v/>
      </c>
      <c r="Q883">
        <f>IF($O883="","",INDEX(Suivi!$E:$E,900))</f>
        <v/>
      </c>
      <c r="R883">
        <f>IF($O883="","",INDEX(Suivi!$F:$F,900))</f>
        <v/>
      </c>
      <c r="S883">
        <f>IF($O883="","",INDEX(Suivi!$G:$G,900))</f>
        <v/>
      </c>
      <c r="T883">
        <f>IF($O883="","",IF(INDEX(Dossiers!$F$4:$F$63,17)="","",INDEX(Dossiers!$F$4:$F$63,17)))</f>
        <v/>
      </c>
      <c r="U883">
        <f>IF($O883="","",IF(INDEX(Dossiers!$G$4:$G$63,17)="","",INDEX(Dossiers!$G$4:$G$63,17)))</f>
        <v/>
      </c>
      <c r="V883">
        <f>IF(OR($O883="",NOT(ISNUMBER($Q883))),"",$Q883*1000000+883)</f>
        <v/>
      </c>
      <c r="W883" s="29">
        <f>IF($B883="","",IFERROR(INDEX($U$4:$U$3183,MATCH(SMALL($V$4:$V$3183,880),$V$4:$V$3183,0)),""))</f>
        <v/>
      </c>
    </row>
    <row r="884">
      <c r="A884">
        <f>IFERROR(INDEX($N$4:$N$3183,MATCH(SMALL($V$4:$V$3183,881),$V$4:$V$3183,0)),"")</f>
        <v/>
      </c>
      <c r="B884">
        <f>IFERROR(INDEX($O$4:$O$3183,MATCH(SMALL($V$4:$V$3183,881),$V$4:$V$3183,0)),"")</f>
        <v/>
      </c>
      <c r="C884">
        <f>IFERROR(INDEX($P$4:$P$3183,MATCH(SMALL($V$4:$V$3183,881),$V$4:$V$3183,0)),"")</f>
        <v/>
      </c>
      <c r="D884" s="29">
        <f>IFERROR(INDEX($Q$4:$Q$3183,MATCH(SMALL($V$4:$V$3183,881),$V$4:$V$3183,0)),"")</f>
        <v/>
      </c>
      <c r="E884" s="29">
        <f>IFERROR(INDEX($R$4:$R$3183,MATCH(SMALL($V$4:$V$3183,881),$V$4:$V$3183,0)),"")</f>
        <v/>
      </c>
      <c r="F884">
        <f>IFERROR(INDEX($S$4:$S$3183,MATCH(SMALL($V$4:$V$3183,881),$V$4:$V$3183,0)),"")</f>
        <v/>
      </c>
      <c r="I884" s="29">
        <f>IF($B884="","",IFERROR(INDEX($U$4:$U$3183,MATCH(SMALL($V$4:$V$3183,881),$V$4:$V$3183,0)),""))</f>
        <v/>
      </c>
      <c r="J884">
        <f>IF($B884="","",IF($D884&gt;$F$2,"À venir",IF($E884&lt;$D$2,"Passé","Dans la période")))</f>
        <v/>
      </c>
      <c r="K884">
        <f>IF(OR($B884="",NOT(ISNUMBER($D884))),"",IF(AND($E884&lt;$D$2,$G884&lt;&gt;"X",$F884&lt;&gt;"Réalisé",$F884&lt;&gt;"Clôturé"),"RETARD",""))</f>
        <v/>
      </c>
      <c r="L884">
        <f>IF(OR($B884="",NOT(ISNUMBER($D884))),"",IF(AND($D884&gt;=$D$2,$D884&lt;=$H$2,$G884&lt;&gt;"X",$F884&lt;&gt;"Réalisé",$F884&lt;&gt;"Clôturé"),"≤ 7 j",""))</f>
        <v/>
      </c>
      <c r="M884" s="29">
        <f>IF($B884="","",IFERROR(INDEX($T$4:$T$3183,MATCH(SMALL($V$4:$V$3183,881),$V$4:$V$3183,0)),""))</f>
        <v/>
      </c>
      <c r="O884">
        <f>IF(INDEX(Suivi!$B:$B,901)="","",INDEX(Suivi!$B:$B,901))</f>
        <v/>
      </c>
      <c r="P884">
        <f>IF($O884="","",IF(INDEX(Suivi!$D:$D,901)="",INDEX(Suivi!$C:$C,901),INDEX(Suivi!$D:$D,901)))</f>
        <v/>
      </c>
      <c r="Q884">
        <f>IF($O884="","",INDEX(Suivi!$E:$E,901))</f>
        <v/>
      </c>
      <c r="R884">
        <f>IF($O884="","",INDEX(Suivi!$F:$F,901))</f>
        <v/>
      </c>
      <c r="S884">
        <f>IF($O884="","",INDEX(Suivi!$G:$G,901))</f>
        <v/>
      </c>
      <c r="T884">
        <f>IF($O884="","",IF(INDEX(Dossiers!$F$4:$F$63,17)="","",INDEX(Dossiers!$F$4:$F$63,17)))</f>
        <v/>
      </c>
      <c r="U884">
        <f>IF($O884="","",IF(INDEX(Dossiers!$G$4:$G$63,17)="","",INDEX(Dossiers!$G$4:$G$63,17)))</f>
        <v/>
      </c>
      <c r="V884">
        <f>IF(OR($O884="",NOT(ISNUMBER($Q884))),"",$Q884*1000000+884)</f>
        <v/>
      </c>
      <c r="W884" s="29">
        <f>IF($B884="","",IFERROR(INDEX($U$4:$U$3183,MATCH(SMALL($V$4:$V$3183,881),$V$4:$V$3183,0)),""))</f>
        <v/>
      </c>
    </row>
    <row r="885">
      <c r="A885">
        <f>IFERROR(INDEX($N$4:$N$3183,MATCH(SMALL($V$4:$V$3183,882),$V$4:$V$3183,0)),"")</f>
        <v/>
      </c>
      <c r="B885">
        <f>IFERROR(INDEX($O$4:$O$3183,MATCH(SMALL($V$4:$V$3183,882),$V$4:$V$3183,0)),"")</f>
        <v/>
      </c>
      <c r="C885">
        <f>IFERROR(INDEX($P$4:$P$3183,MATCH(SMALL($V$4:$V$3183,882),$V$4:$V$3183,0)),"")</f>
        <v/>
      </c>
      <c r="D885" s="29">
        <f>IFERROR(INDEX($Q$4:$Q$3183,MATCH(SMALL($V$4:$V$3183,882),$V$4:$V$3183,0)),"")</f>
        <v/>
      </c>
      <c r="E885" s="29">
        <f>IFERROR(INDEX($R$4:$R$3183,MATCH(SMALL($V$4:$V$3183,882),$V$4:$V$3183,0)),"")</f>
        <v/>
      </c>
      <c r="F885">
        <f>IFERROR(INDEX($S$4:$S$3183,MATCH(SMALL($V$4:$V$3183,882),$V$4:$V$3183,0)),"")</f>
        <v/>
      </c>
      <c r="I885" s="29">
        <f>IF($B885="","",IFERROR(INDEX($U$4:$U$3183,MATCH(SMALL($V$4:$V$3183,882),$V$4:$V$3183,0)),""))</f>
        <v/>
      </c>
      <c r="J885">
        <f>IF($B885="","",IF($D885&gt;$F$2,"À venir",IF($E885&lt;$D$2,"Passé","Dans la période")))</f>
        <v/>
      </c>
      <c r="K885">
        <f>IF(OR($B885="",NOT(ISNUMBER($D885))),"",IF(AND($E885&lt;$D$2,$G885&lt;&gt;"X",$F885&lt;&gt;"Réalisé",$F885&lt;&gt;"Clôturé"),"RETARD",""))</f>
        <v/>
      </c>
      <c r="L885">
        <f>IF(OR($B885="",NOT(ISNUMBER($D885))),"",IF(AND($D885&gt;=$D$2,$D885&lt;=$H$2,$G885&lt;&gt;"X",$F885&lt;&gt;"Réalisé",$F885&lt;&gt;"Clôturé"),"≤ 7 j",""))</f>
        <v/>
      </c>
      <c r="M885" s="29">
        <f>IF($B885="","",IFERROR(INDEX($T$4:$T$3183,MATCH(SMALL($V$4:$V$3183,882),$V$4:$V$3183,0)),""))</f>
        <v/>
      </c>
      <c r="O885">
        <f>IF(INDEX(Suivi!$B:$B,902)="","",INDEX(Suivi!$B:$B,902))</f>
        <v/>
      </c>
      <c r="P885">
        <f>IF($O885="","",IF(INDEX(Suivi!$D:$D,902)="",INDEX(Suivi!$C:$C,902),INDEX(Suivi!$D:$D,902)))</f>
        <v/>
      </c>
      <c r="Q885">
        <f>IF($O885="","",INDEX(Suivi!$E:$E,902))</f>
        <v/>
      </c>
      <c r="R885">
        <f>IF($O885="","",INDEX(Suivi!$F:$F,902))</f>
        <v/>
      </c>
      <c r="S885">
        <f>IF($O885="","",INDEX(Suivi!$G:$G,902))</f>
        <v/>
      </c>
      <c r="T885">
        <f>IF($O885="","",IF(INDEX(Dossiers!$F$4:$F$63,17)="","",INDEX(Dossiers!$F$4:$F$63,17)))</f>
        <v/>
      </c>
      <c r="U885">
        <f>IF($O885="","",IF(INDEX(Dossiers!$G$4:$G$63,17)="","",INDEX(Dossiers!$G$4:$G$63,17)))</f>
        <v/>
      </c>
      <c r="V885">
        <f>IF(OR($O885="",NOT(ISNUMBER($Q885))),"",$Q885*1000000+885)</f>
        <v/>
      </c>
      <c r="W885" s="29">
        <f>IF($B885="","",IFERROR(INDEX($U$4:$U$3183,MATCH(SMALL($V$4:$V$3183,882),$V$4:$V$3183,0)),""))</f>
        <v/>
      </c>
    </row>
    <row r="886">
      <c r="A886">
        <f>IFERROR(INDEX($N$4:$N$3183,MATCH(SMALL($V$4:$V$3183,883),$V$4:$V$3183,0)),"")</f>
        <v/>
      </c>
      <c r="B886">
        <f>IFERROR(INDEX($O$4:$O$3183,MATCH(SMALL($V$4:$V$3183,883),$V$4:$V$3183,0)),"")</f>
        <v/>
      </c>
      <c r="C886">
        <f>IFERROR(INDEX($P$4:$P$3183,MATCH(SMALL($V$4:$V$3183,883),$V$4:$V$3183,0)),"")</f>
        <v/>
      </c>
      <c r="D886" s="29">
        <f>IFERROR(INDEX($Q$4:$Q$3183,MATCH(SMALL($V$4:$V$3183,883),$V$4:$V$3183,0)),"")</f>
        <v/>
      </c>
      <c r="E886" s="29">
        <f>IFERROR(INDEX($R$4:$R$3183,MATCH(SMALL($V$4:$V$3183,883),$V$4:$V$3183,0)),"")</f>
        <v/>
      </c>
      <c r="F886">
        <f>IFERROR(INDEX($S$4:$S$3183,MATCH(SMALL($V$4:$V$3183,883),$V$4:$V$3183,0)),"")</f>
        <v/>
      </c>
      <c r="I886" s="29">
        <f>IF($B886="","",IFERROR(INDEX($U$4:$U$3183,MATCH(SMALL($V$4:$V$3183,883),$V$4:$V$3183,0)),""))</f>
        <v/>
      </c>
      <c r="J886">
        <f>IF($B886="","",IF($D886&gt;$F$2,"À venir",IF($E886&lt;$D$2,"Passé","Dans la période")))</f>
        <v/>
      </c>
      <c r="K886">
        <f>IF(OR($B886="",NOT(ISNUMBER($D886))),"",IF(AND($E886&lt;$D$2,$G886&lt;&gt;"X",$F886&lt;&gt;"Réalisé",$F886&lt;&gt;"Clôturé"),"RETARD",""))</f>
        <v/>
      </c>
      <c r="L886">
        <f>IF(OR($B886="",NOT(ISNUMBER($D886))),"",IF(AND($D886&gt;=$D$2,$D886&lt;=$H$2,$G886&lt;&gt;"X",$F886&lt;&gt;"Réalisé",$F886&lt;&gt;"Clôturé"),"≤ 7 j",""))</f>
        <v/>
      </c>
      <c r="M886" s="29">
        <f>IF($B886="","",IFERROR(INDEX($T$4:$T$3183,MATCH(SMALL($V$4:$V$3183,883),$V$4:$V$3183,0)),""))</f>
        <v/>
      </c>
      <c r="O886">
        <f>IF(INDEX(Suivi!$B:$B,903)="","",INDEX(Suivi!$B:$B,903))</f>
        <v/>
      </c>
      <c r="P886">
        <f>IF($O886="","",IF(INDEX(Suivi!$D:$D,903)="",INDEX(Suivi!$C:$C,903),INDEX(Suivi!$D:$D,903)))</f>
        <v/>
      </c>
      <c r="Q886">
        <f>IF($O886="","",INDEX(Suivi!$E:$E,903))</f>
        <v/>
      </c>
      <c r="R886">
        <f>IF($O886="","",INDEX(Suivi!$F:$F,903))</f>
        <v/>
      </c>
      <c r="S886">
        <f>IF($O886="","",INDEX(Suivi!$G:$G,903))</f>
        <v/>
      </c>
      <c r="T886">
        <f>IF($O886="","",IF(INDEX(Dossiers!$F$4:$F$63,17)="","",INDEX(Dossiers!$F$4:$F$63,17)))</f>
        <v/>
      </c>
      <c r="U886">
        <f>IF($O886="","",IF(INDEX(Dossiers!$G$4:$G$63,17)="","",INDEX(Dossiers!$G$4:$G$63,17)))</f>
        <v/>
      </c>
      <c r="V886">
        <f>IF(OR($O886="",NOT(ISNUMBER($Q886))),"",$Q886*1000000+886)</f>
        <v/>
      </c>
      <c r="W886" s="29">
        <f>IF($B886="","",IFERROR(INDEX($U$4:$U$3183,MATCH(SMALL($V$4:$V$3183,883),$V$4:$V$3183,0)),""))</f>
        <v/>
      </c>
    </row>
    <row r="887">
      <c r="A887">
        <f>IFERROR(INDEX($N$4:$N$3183,MATCH(SMALL($V$4:$V$3183,884),$V$4:$V$3183,0)),"")</f>
        <v/>
      </c>
      <c r="B887">
        <f>IFERROR(INDEX($O$4:$O$3183,MATCH(SMALL($V$4:$V$3183,884),$V$4:$V$3183,0)),"")</f>
        <v/>
      </c>
      <c r="C887">
        <f>IFERROR(INDEX($P$4:$P$3183,MATCH(SMALL($V$4:$V$3183,884),$V$4:$V$3183,0)),"")</f>
        <v/>
      </c>
      <c r="D887" s="29">
        <f>IFERROR(INDEX($Q$4:$Q$3183,MATCH(SMALL($V$4:$V$3183,884),$V$4:$V$3183,0)),"")</f>
        <v/>
      </c>
      <c r="E887" s="29">
        <f>IFERROR(INDEX($R$4:$R$3183,MATCH(SMALL($V$4:$V$3183,884),$V$4:$V$3183,0)),"")</f>
        <v/>
      </c>
      <c r="F887">
        <f>IFERROR(INDEX($S$4:$S$3183,MATCH(SMALL($V$4:$V$3183,884),$V$4:$V$3183,0)),"")</f>
        <v/>
      </c>
      <c r="I887" s="29">
        <f>IF($B887="","",IFERROR(INDEX($U$4:$U$3183,MATCH(SMALL($V$4:$V$3183,884),$V$4:$V$3183,0)),""))</f>
        <v/>
      </c>
      <c r="J887">
        <f>IF($B887="","",IF($D887&gt;$F$2,"À venir",IF($E887&lt;$D$2,"Passé","Dans la période")))</f>
        <v/>
      </c>
      <c r="K887">
        <f>IF(OR($B887="",NOT(ISNUMBER($D887))),"",IF(AND($E887&lt;$D$2,$G887&lt;&gt;"X",$F887&lt;&gt;"Réalisé",$F887&lt;&gt;"Clôturé"),"RETARD",""))</f>
        <v/>
      </c>
      <c r="L887">
        <f>IF(OR($B887="",NOT(ISNUMBER($D887))),"",IF(AND($D887&gt;=$D$2,$D887&lt;=$H$2,$G887&lt;&gt;"X",$F887&lt;&gt;"Réalisé",$F887&lt;&gt;"Clôturé"),"≤ 7 j",""))</f>
        <v/>
      </c>
      <c r="M887" s="29">
        <f>IF($B887="","",IFERROR(INDEX($T$4:$T$3183,MATCH(SMALL($V$4:$V$3183,884),$V$4:$V$3183,0)),""))</f>
        <v/>
      </c>
      <c r="O887">
        <f>IF(INDEX(Suivi!$B:$B,904)="","",INDEX(Suivi!$B:$B,904))</f>
        <v/>
      </c>
      <c r="P887">
        <f>IF($O887="","",IF(INDEX(Suivi!$D:$D,904)="",INDEX(Suivi!$C:$C,904),INDEX(Suivi!$D:$D,904)))</f>
        <v/>
      </c>
      <c r="Q887">
        <f>IF($O887="","",INDEX(Suivi!$E:$E,904))</f>
        <v/>
      </c>
      <c r="R887">
        <f>IF($O887="","",INDEX(Suivi!$F:$F,904))</f>
        <v/>
      </c>
      <c r="S887">
        <f>IF($O887="","",INDEX(Suivi!$G:$G,904))</f>
        <v/>
      </c>
      <c r="T887">
        <f>IF($O887="","",IF(INDEX(Dossiers!$F$4:$F$63,17)="","",INDEX(Dossiers!$F$4:$F$63,17)))</f>
        <v/>
      </c>
      <c r="U887">
        <f>IF($O887="","",IF(INDEX(Dossiers!$G$4:$G$63,17)="","",INDEX(Dossiers!$G$4:$G$63,17)))</f>
        <v/>
      </c>
      <c r="V887">
        <f>IF(OR($O887="",NOT(ISNUMBER($Q887))),"",$Q887*1000000+887)</f>
        <v/>
      </c>
      <c r="W887" s="29">
        <f>IF($B887="","",IFERROR(INDEX($U$4:$U$3183,MATCH(SMALL($V$4:$V$3183,884),$V$4:$V$3183,0)),""))</f>
        <v/>
      </c>
    </row>
    <row r="888">
      <c r="A888">
        <f>IFERROR(INDEX($N$4:$N$3183,MATCH(SMALL($V$4:$V$3183,885),$V$4:$V$3183,0)),"")</f>
        <v/>
      </c>
      <c r="B888">
        <f>IFERROR(INDEX($O$4:$O$3183,MATCH(SMALL($V$4:$V$3183,885),$V$4:$V$3183,0)),"")</f>
        <v/>
      </c>
      <c r="C888">
        <f>IFERROR(INDEX($P$4:$P$3183,MATCH(SMALL($V$4:$V$3183,885),$V$4:$V$3183,0)),"")</f>
        <v/>
      </c>
      <c r="D888" s="29">
        <f>IFERROR(INDEX($Q$4:$Q$3183,MATCH(SMALL($V$4:$V$3183,885),$V$4:$V$3183,0)),"")</f>
        <v/>
      </c>
      <c r="E888" s="29">
        <f>IFERROR(INDEX($R$4:$R$3183,MATCH(SMALL($V$4:$V$3183,885),$V$4:$V$3183,0)),"")</f>
        <v/>
      </c>
      <c r="F888">
        <f>IFERROR(INDEX($S$4:$S$3183,MATCH(SMALL($V$4:$V$3183,885),$V$4:$V$3183,0)),"")</f>
        <v/>
      </c>
      <c r="I888" s="29">
        <f>IF($B888="","",IFERROR(INDEX($U$4:$U$3183,MATCH(SMALL($V$4:$V$3183,885),$V$4:$V$3183,0)),""))</f>
        <v/>
      </c>
      <c r="J888">
        <f>IF($B888="","",IF($D888&gt;$F$2,"À venir",IF($E888&lt;$D$2,"Passé","Dans la période")))</f>
        <v/>
      </c>
      <c r="K888">
        <f>IF(OR($B888="",NOT(ISNUMBER($D888))),"",IF(AND($E888&lt;$D$2,$G888&lt;&gt;"X",$F888&lt;&gt;"Réalisé",$F888&lt;&gt;"Clôturé"),"RETARD",""))</f>
        <v/>
      </c>
      <c r="L888">
        <f>IF(OR($B888="",NOT(ISNUMBER($D888))),"",IF(AND($D888&gt;=$D$2,$D888&lt;=$H$2,$G888&lt;&gt;"X",$F888&lt;&gt;"Réalisé",$F888&lt;&gt;"Clôturé"),"≤ 7 j",""))</f>
        <v/>
      </c>
      <c r="M888" s="29">
        <f>IF($B888="","",IFERROR(INDEX($T$4:$T$3183,MATCH(SMALL($V$4:$V$3183,885),$V$4:$V$3183,0)),""))</f>
        <v/>
      </c>
      <c r="O888">
        <f>IF(INDEX(Suivi!$B:$B,905)="","",INDEX(Suivi!$B:$B,905))</f>
        <v/>
      </c>
      <c r="P888">
        <f>IF($O888="","",IF(INDEX(Suivi!$D:$D,905)="",INDEX(Suivi!$C:$C,905),INDEX(Suivi!$D:$D,905)))</f>
        <v/>
      </c>
      <c r="Q888">
        <f>IF($O888="","",INDEX(Suivi!$E:$E,905))</f>
        <v/>
      </c>
      <c r="R888">
        <f>IF($O888="","",INDEX(Suivi!$F:$F,905))</f>
        <v/>
      </c>
      <c r="S888">
        <f>IF($O888="","",INDEX(Suivi!$G:$G,905))</f>
        <v/>
      </c>
      <c r="T888">
        <f>IF($O888="","",IF(INDEX(Dossiers!$F$4:$F$63,17)="","",INDEX(Dossiers!$F$4:$F$63,17)))</f>
        <v/>
      </c>
      <c r="U888">
        <f>IF($O888="","",IF(INDEX(Dossiers!$G$4:$G$63,17)="","",INDEX(Dossiers!$G$4:$G$63,17)))</f>
        <v/>
      </c>
      <c r="V888">
        <f>IF(OR($O888="",NOT(ISNUMBER($Q888))),"",$Q888*1000000+888)</f>
        <v/>
      </c>
      <c r="W888" s="29">
        <f>IF($B888="","",IFERROR(INDEX($U$4:$U$3183,MATCH(SMALL($V$4:$V$3183,885),$V$4:$V$3183,0)),""))</f>
        <v/>
      </c>
    </row>
    <row r="889">
      <c r="A889">
        <f>IFERROR(INDEX($N$4:$N$3183,MATCH(SMALL($V$4:$V$3183,886),$V$4:$V$3183,0)),"")</f>
        <v/>
      </c>
      <c r="B889">
        <f>IFERROR(INDEX($O$4:$O$3183,MATCH(SMALL($V$4:$V$3183,886),$V$4:$V$3183,0)),"")</f>
        <v/>
      </c>
      <c r="C889">
        <f>IFERROR(INDEX($P$4:$P$3183,MATCH(SMALL($V$4:$V$3183,886),$V$4:$V$3183,0)),"")</f>
        <v/>
      </c>
      <c r="D889" s="29">
        <f>IFERROR(INDEX($Q$4:$Q$3183,MATCH(SMALL($V$4:$V$3183,886),$V$4:$V$3183,0)),"")</f>
        <v/>
      </c>
      <c r="E889" s="29">
        <f>IFERROR(INDEX($R$4:$R$3183,MATCH(SMALL($V$4:$V$3183,886),$V$4:$V$3183,0)),"")</f>
        <v/>
      </c>
      <c r="F889">
        <f>IFERROR(INDEX($S$4:$S$3183,MATCH(SMALL($V$4:$V$3183,886),$V$4:$V$3183,0)),"")</f>
        <v/>
      </c>
      <c r="I889" s="29">
        <f>IF($B889="","",IFERROR(INDEX($U$4:$U$3183,MATCH(SMALL($V$4:$V$3183,886),$V$4:$V$3183,0)),""))</f>
        <v/>
      </c>
      <c r="J889">
        <f>IF($B889="","",IF($D889&gt;$F$2,"À venir",IF($E889&lt;$D$2,"Passé","Dans la période")))</f>
        <v/>
      </c>
      <c r="K889">
        <f>IF(OR($B889="",NOT(ISNUMBER($D889))),"",IF(AND($E889&lt;$D$2,$G889&lt;&gt;"X",$F889&lt;&gt;"Réalisé",$F889&lt;&gt;"Clôturé"),"RETARD",""))</f>
        <v/>
      </c>
      <c r="L889">
        <f>IF(OR($B889="",NOT(ISNUMBER($D889))),"",IF(AND($D889&gt;=$D$2,$D889&lt;=$H$2,$G889&lt;&gt;"X",$F889&lt;&gt;"Réalisé",$F889&lt;&gt;"Clôturé"),"≤ 7 j",""))</f>
        <v/>
      </c>
      <c r="M889" s="29">
        <f>IF($B889="","",IFERROR(INDEX($T$4:$T$3183,MATCH(SMALL($V$4:$V$3183,886),$V$4:$V$3183,0)),""))</f>
        <v/>
      </c>
      <c r="O889">
        <f>IF(INDEX(Suivi!$B:$B,906)="","",INDEX(Suivi!$B:$B,906))</f>
        <v/>
      </c>
      <c r="P889">
        <f>IF($O889="","",IF(INDEX(Suivi!$D:$D,906)="",INDEX(Suivi!$C:$C,906),INDEX(Suivi!$D:$D,906)))</f>
        <v/>
      </c>
      <c r="Q889">
        <f>IF($O889="","",INDEX(Suivi!$E:$E,906))</f>
        <v/>
      </c>
      <c r="R889">
        <f>IF($O889="","",INDEX(Suivi!$F:$F,906))</f>
        <v/>
      </c>
      <c r="S889">
        <f>IF($O889="","",INDEX(Suivi!$G:$G,906))</f>
        <v/>
      </c>
      <c r="T889">
        <f>IF($O889="","",IF(INDEX(Dossiers!$F$4:$F$63,17)="","",INDEX(Dossiers!$F$4:$F$63,17)))</f>
        <v/>
      </c>
      <c r="U889">
        <f>IF($O889="","",IF(INDEX(Dossiers!$G$4:$G$63,17)="","",INDEX(Dossiers!$G$4:$G$63,17)))</f>
        <v/>
      </c>
      <c r="V889">
        <f>IF(OR($O889="",NOT(ISNUMBER($Q889))),"",$Q889*1000000+889)</f>
        <v/>
      </c>
      <c r="W889" s="29">
        <f>IF($B889="","",IFERROR(INDEX($U$4:$U$3183,MATCH(SMALL($V$4:$V$3183,886),$V$4:$V$3183,0)),""))</f>
        <v/>
      </c>
    </row>
    <row r="890">
      <c r="A890">
        <f>IFERROR(INDEX($N$4:$N$3183,MATCH(SMALL($V$4:$V$3183,887),$V$4:$V$3183,0)),"")</f>
        <v/>
      </c>
      <c r="B890">
        <f>IFERROR(INDEX($O$4:$O$3183,MATCH(SMALL($V$4:$V$3183,887),$V$4:$V$3183,0)),"")</f>
        <v/>
      </c>
      <c r="C890">
        <f>IFERROR(INDEX($P$4:$P$3183,MATCH(SMALL($V$4:$V$3183,887),$V$4:$V$3183,0)),"")</f>
        <v/>
      </c>
      <c r="D890" s="29">
        <f>IFERROR(INDEX($Q$4:$Q$3183,MATCH(SMALL($V$4:$V$3183,887),$V$4:$V$3183,0)),"")</f>
        <v/>
      </c>
      <c r="E890" s="29">
        <f>IFERROR(INDEX($R$4:$R$3183,MATCH(SMALL($V$4:$V$3183,887),$V$4:$V$3183,0)),"")</f>
        <v/>
      </c>
      <c r="F890">
        <f>IFERROR(INDEX($S$4:$S$3183,MATCH(SMALL($V$4:$V$3183,887),$V$4:$V$3183,0)),"")</f>
        <v/>
      </c>
      <c r="I890" s="29">
        <f>IF($B890="","",IFERROR(INDEX($U$4:$U$3183,MATCH(SMALL($V$4:$V$3183,887),$V$4:$V$3183,0)),""))</f>
        <v/>
      </c>
      <c r="J890">
        <f>IF($B890="","",IF($D890&gt;$F$2,"À venir",IF($E890&lt;$D$2,"Passé","Dans la période")))</f>
        <v/>
      </c>
      <c r="K890">
        <f>IF(OR($B890="",NOT(ISNUMBER($D890))),"",IF(AND($E890&lt;$D$2,$G890&lt;&gt;"X",$F890&lt;&gt;"Réalisé",$F890&lt;&gt;"Clôturé"),"RETARD",""))</f>
        <v/>
      </c>
      <c r="L890">
        <f>IF(OR($B890="",NOT(ISNUMBER($D890))),"",IF(AND($D890&gt;=$D$2,$D890&lt;=$H$2,$G890&lt;&gt;"X",$F890&lt;&gt;"Réalisé",$F890&lt;&gt;"Clôturé"),"≤ 7 j",""))</f>
        <v/>
      </c>
      <c r="M890" s="29">
        <f>IF($B890="","",IFERROR(INDEX($T$4:$T$3183,MATCH(SMALL($V$4:$V$3183,887),$V$4:$V$3183,0)),""))</f>
        <v/>
      </c>
      <c r="O890">
        <f>IF(INDEX(Suivi!$B:$B,907)="","",INDEX(Suivi!$B:$B,907))</f>
        <v/>
      </c>
      <c r="P890">
        <f>IF($O890="","",IF(INDEX(Suivi!$D:$D,907)="",INDEX(Suivi!$C:$C,907),INDEX(Suivi!$D:$D,907)))</f>
        <v/>
      </c>
      <c r="Q890">
        <f>IF($O890="","",INDEX(Suivi!$E:$E,907))</f>
        <v/>
      </c>
      <c r="R890">
        <f>IF($O890="","",INDEX(Suivi!$F:$F,907))</f>
        <v/>
      </c>
      <c r="S890">
        <f>IF($O890="","",INDEX(Suivi!$G:$G,907))</f>
        <v/>
      </c>
      <c r="T890">
        <f>IF($O890="","",IF(INDEX(Dossiers!$F$4:$F$63,17)="","",INDEX(Dossiers!$F$4:$F$63,17)))</f>
        <v/>
      </c>
      <c r="U890">
        <f>IF($O890="","",IF(INDEX(Dossiers!$G$4:$G$63,17)="","",INDEX(Dossiers!$G$4:$G$63,17)))</f>
        <v/>
      </c>
      <c r="V890">
        <f>IF(OR($O890="",NOT(ISNUMBER($Q890))),"",$Q890*1000000+890)</f>
        <v/>
      </c>
      <c r="W890" s="29">
        <f>IF($B890="","",IFERROR(INDEX($U$4:$U$3183,MATCH(SMALL($V$4:$V$3183,887),$V$4:$V$3183,0)),""))</f>
        <v/>
      </c>
    </row>
    <row r="891">
      <c r="A891">
        <f>IFERROR(INDEX($N$4:$N$3183,MATCH(SMALL($V$4:$V$3183,888),$V$4:$V$3183,0)),"")</f>
        <v/>
      </c>
      <c r="B891">
        <f>IFERROR(INDEX($O$4:$O$3183,MATCH(SMALL($V$4:$V$3183,888),$V$4:$V$3183,0)),"")</f>
        <v/>
      </c>
      <c r="C891">
        <f>IFERROR(INDEX($P$4:$P$3183,MATCH(SMALL($V$4:$V$3183,888),$V$4:$V$3183,0)),"")</f>
        <v/>
      </c>
      <c r="D891" s="29">
        <f>IFERROR(INDEX($Q$4:$Q$3183,MATCH(SMALL($V$4:$V$3183,888),$V$4:$V$3183,0)),"")</f>
        <v/>
      </c>
      <c r="E891" s="29">
        <f>IFERROR(INDEX($R$4:$R$3183,MATCH(SMALL($V$4:$V$3183,888),$V$4:$V$3183,0)),"")</f>
        <v/>
      </c>
      <c r="F891">
        <f>IFERROR(INDEX($S$4:$S$3183,MATCH(SMALL($V$4:$V$3183,888),$V$4:$V$3183,0)),"")</f>
        <v/>
      </c>
      <c r="I891" s="29">
        <f>IF($B891="","",IFERROR(INDEX($U$4:$U$3183,MATCH(SMALL($V$4:$V$3183,888),$V$4:$V$3183,0)),""))</f>
        <v/>
      </c>
      <c r="J891">
        <f>IF($B891="","",IF($D891&gt;$F$2,"À venir",IF($E891&lt;$D$2,"Passé","Dans la période")))</f>
        <v/>
      </c>
      <c r="K891">
        <f>IF(OR($B891="",NOT(ISNUMBER($D891))),"",IF(AND($E891&lt;$D$2,$G891&lt;&gt;"X",$F891&lt;&gt;"Réalisé",$F891&lt;&gt;"Clôturé"),"RETARD",""))</f>
        <v/>
      </c>
      <c r="L891">
        <f>IF(OR($B891="",NOT(ISNUMBER($D891))),"",IF(AND($D891&gt;=$D$2,$D891&lt;=$H$2,$G891&lt;&gt;"X",$F891&lt;&gt;"Réalisé",$F891&lt;&gt;"Clôturé"),"≤ 7 j",""))</f>
        <v/>
      </c>
      <c r="M891" s="29">
        <f>IF($B891="","",IFERROR(INDEX($T$4:$T$3183,MATCH(SMALL($V$4:$V$3183,888),$V$4:$V$3183,0)),""))</f>
        <v/>
      </c>
      <c r="O891">
        <f>IF(INDEX(Suivi!$B:$B,908)="","",INDEX(Suivi!$B:$B,908))</f>
        <v/>
      </c>
      <c r="P891">
        <f>IF($O891="","",IF(INDEX(Suivi!$D:$D,908)="",INDEX(Suivi!$C:$C,908),INDEX(Suivi!$D:$D,908)))</f>
        <v/>
      </c>
      <c r="Q891">
        <f>IF($O891="","",INDEX(Suivi!$E:$E,908))</f>
        <v/>
      </c>
      <c r="R891">
        <f>IF($O891="","",INDEX(Suivi!$F:$F,908))</f>
        <v/>
      </c>
      <c r="S891">
        <f>IF($O891="","",INDEX(Suivi!$G:$G,908))</f>
        <v/>
      </c>
      <c r="T891">
        <f>IF($O891="","",IF(INDEX(Dossiers!$F$4:$F$63,17)="","",INDEX(Dossiers!$F$4:$F$63,17)))</f>
        <v/>
      </c>
      <c r="U891">
        <f>IF($O891="","",IF(INDEX(Dossiers!$G$4:$G$63,17)="","",INDEX(Dossiers!$G$4:$G$63,17)))</f>
        <v/>
      </c>
      <c r="V891">
        <f>IF(OR($O891="",NOT(ISNUMBER($Q891))),"",$Q891*1000000+891)</f>
        <v/>
      </c>
      <c r="W891" s="29">
        <f>IF($B891="","",IFERROR(INDEX($U$4:$U$3183,MATCH(SMALL($V$4:$V$3183,888),$V$4:$V$3183,0)),""))</f>
        <v/>
      </c>
    </row>
    <row r="892">
      <c r="A892">
        <f>IFERROR(INDEX($N$4:$N$3183,MATCH(SMALL($V$4:$V$3183,889),$V$4:$V$3183,0)),"")</f>
        <v/>
      </c>
      <c r="B892">
        <f>IFERROR(INDEX($O$4:$O$3183,MATCH(SMALL($V$4:$V$3183,889),$V$4:$V$3183,0)),"")</f>
        <v/>
      </c>
      <c r="C892">
        <f>IFERROR(INDEX($P$4:$P$3183,MATCH(SMALL($V$4:$V$3183,889),$V$4:$V$3183,0)),"")</f>
        <v/>
      </c>
      <c r="D892" s="29">
        <f>IFERROR(INDEX($Q$4:$Q$3183,MATCH(SMALL($V$4:$V$3183,889),$V$4:$V$3183,0)),"")</f>
        <v/>
      </c>
      <c r="E892" s="29">
        <f>IFERROR(INDEX($R$4:$R$3183,MATCH(SMALL($V$4:$V$3183,889),$V$4:$V$3183,0)),"")</f>
        <v/>
      </c>
      <c r="F892">
        <f>IFERROR(INDEX($S$4:$S$3183,MATCH(SMALL($V$4:$V$3183,889),$V$4:$V$3183,0)),"")</f>
        <v/>
      </c>
      <c r="I892" s="29">
        <f>IF($B892="","",IFERROR(INDEX($U$4:$U$3183,MATCH(SMALL($V$4:$V$3183,889),$V$4:$V$3183,0)),""))</f>
        <v/>
      </c>
      <c r="J892">
        <f>IF($B892="","",IF($D892&gt;$F$2,"À venir",IF($E892&lt;$D$2,"Passé","Dans la période")))</f>
        <v/>
      </c>
      <c r="K892">
        <f>IF(OR($B892="",NOT(ISNUMBER($D892))),"",IF(AND($E892&lt;$D$2,$G892&lt;&gt;"X",$F892&lt;&gt;"Réalisé",$F892&lt;&gt;"Clôturé"),"RETARD",""))</f>
        <v/>
      </c>
      <c r="L892">
        <f>IF(OR($B892="",NOT(ISNUMBER($D892))),"",IF(AND($D892&gt;=$D$2,$D892&lt;=$H$2,$G892&lt;&gt;"X",$F892&lt;&gt;"Réalisé",$F892&lt;&gt;"Clôturé"),"≤ 7 j",""))</f>
        <v/>
      </c>
      <c r="M892" s="29">
        <f>IF($B892="","",IFERROR(INDEX($T$4:$T$3183,MATCH(SMALL($V$4:$V$3183,889),$V$4:$V$3183,0)),""))</f>
        <v/>
      </c>
      <c r="O892">
        <f>IF(INDEX(Suivi!$B:$B,909)="","",INDEX(Suivi!$B:$B,909))</f>
        <v/>
      </c>
      <c r="P892">
        <f>IF($O892="","",IF(INDEX(Suivi!$D:$D,909)="",INDEX(Suivi!$C:$C,909),INDEX(Suivi!$D:$D,909)))</f>
        <v/>
      </c>
      <c r="Q892">
        <f>IF($O892="","",INDEX(Suivi!$E:$E,909))</f>
        <v/>
      </c>
      <c r="R892">
        <f>IF($O892="","",INDEX(Suivi!$F:$F,909))</f>
        <v/>
      </c>
      <c r="S892">
        <f>IF($O892="","",INDEX(Suivi!$G:$G,909))</f>
        <v/>
      </c>
      <c r="T892">
        <f>IF($O892="","",IF(INDEX(Dossiers!$F$4:$F$63,17)="","",INDEX(Dossiers!$F$4:$F$63,17)))</f>
        <v/>
      </c>
      <c r="U892">
        <f>IF($O892="","",IF(INDEX(Dossiers!$G$4:$G$63,17)="","",INDEX(Dossiers!$G$4:$G$63,17)))</f>
        <v/>
      </c>
      <c r="V892">
        <f>IF(OR($O892="",NOT(ISNUMBER($Q892))),"",$Q892*1000000+892)</f>
        <v/>
      </c>
      <c r="W892" s="29">
        <f>IF($B892="","",IFERROR(INDEX($U$4:$U$3183,MATCH(SMALL($V$4:$V$3183,889),$V$4:$V$3183,0)),""))</f>
        <v/>
      </c>
    </row>
    <row r="893">
      <c r="A893">
        <f>IFERROR(INDEX($N$4:$N$3183,MATCH(SMALL($V$4:$V$3183,890),$V$4:$V$3183,0)),"")</f>
        <v/>
      </c>
      <c r="B893">
        <f>IFERROR(INDEX($O$4:$O$3183,MATCH(SMALL($V$4:$V$3183,890),$V$4:$V$3183,0)),"")</f>
        <v/>
      </c>
      <c r="C893">
        <f>IFERROR(INDEX($P$4:$P$3183,MATCH(SMALL($V$4:$V$3183,890),$V$4:$V$3183,0)),"")</f>
        <v/>
      </c>
      <c r="D893" s="29">
        <f>IFERROR(INDEX($Q$4:$Q$3183,MATCH(SMALL($V$4:$V$3183,890),$V$4:$V$3183,0)),"")</f>
        <v/>
      </c>
      <c r="E893" s="29">
        <f>IFERROR(INDEX($R$4:$R$3183,MATCH(SMALL($V$4:$V$3183,890),$V$4:$V$3183,0)),"")</f>
        <v/>
      </c>
      <c r="F893">
        <f>IFERROR(INDEX($S$4:$S$3183,MATCH(SMALL($V$4:$V$3183,890),$V$4:$V$3183,0)),"")</f>
        <v/>
      </c>
      <c r="I893" s="29">
        <f>IF($B893="","",IFERROR(INDEX($U$4:$U$3183,MATCH(SMALL($V$4:$V$3183,890),$V$4:$V$3183,0)),""))</f>
        <v/>
      </c>
      <c r="J893">
        <f>IF($B893="","",IF($D893&gt;$F$2,"À venir",IF($E893&lt;$D$2,"Passé","Dans la période")))</f>
        <v/>
      </c>
      <c r="K893">
        <f>IF(OR($B893="",NOT(ISNUMBER($D893))),"",IF(AND($E893&lt;$D$2,$G893&lt;&gt;"X",$F893&lt;&gt;"Réalisé",$F893&lt;&gt;"Clôturé"),"RETARD",""))</f>
        <v/>
      </c>
      <c r="L893">
        <f>IF(OR($B893="",NOT(ISNUMBER($D893))),"",IF(AND($D893&gt;=$D$2,$D893&lt;=$H$2,$G893&lt;&gt;"X",$F893&lt;&gt;"Réalisé",$F893&lt;&gt;"Clôturé"),"≤ 7 j",""))</f>
        <v/>
      </c>
      <c r="M893" s="29">
        <f>IF($B893="","",IFERROR(INDEX($T$4:$T$3183,MATCH(SMALL($V$4:$V$3183,890),$V$4:$V$3183,0)),""))</f>
        <v/>
      </c>
      <c r="O893">
        <f>IF(INDEX(Suivi!$B:$B,910)="","",INDEX(Suivi!$B:$B,910))</f>
        <v/>
      </c>
      <c r="P893">
        <f>IF($O893="","",IF(INDEX(Suivi!$D:$D,910)="",INDEX(Suivi!$C:$C,910),INDEX(Suivi!$D:$D,910)))</f>
        <v/>
      </c>
      <c r="Q893">
        <f>IF($O893="","",INDEX(Suivi!$E:$E,910))</f>
        <v/>
      </c>
      <c r="R893">
        <f>IF($O893="","",INDEX(Suivi!$F:$F,910))</f>
        <v/>
      </c>
      <c r="S893">
        <f>IF($O893="","",INDEX(Suivi!$G:$G,910))</f>
        <v/>
      </c>
      <c r="T893">
        <f>IF($O893="","",IF(INDEX(Dossiers!$F$4:$F$63,17)="","",INDEX(Dossiers!$F$4:$F$63,17)))</f>
        <v/>
      </c>
      <c r="U893">
        <f>IF($O893="","",IF(INDEX(Dossiers!$G$4:$G$63,17)="","",INDEX(Dossiers!$G$4:$G$63,17)))</f>
        <v/>
      </c>
      <c r="V893">
        <f>IF(OR($O893="",NOT(ISNUMBER($Q893))),"",$Q893*1000000+893)</f>
        <v/>
      </c>
      <c r="W893" s="29">
        <f>IF($B893="","",IFERROR(INDEX($U$4:$U$3183,MATCH(SMALL($V$4:$V$3183,890),$V$4:$V$3183,0)),""))</f>
        <v/>
      </c>
    </row>
    <row r="894">
      <c r="A894">
        <f>IFERROR(INDEX($N$4:$N$3183,MATCH(SMALL($V$4:$V$3183,891),$V$4:$V$3183,0)),"")</f>
        <v/>
      </c>
      <c r="B894">
        <f>IFERROR(INDEX($O$4:$O$3183,MATCH(SMALL($V$4:$V$3183,891),$V$4:$V$3183,0)),"")</f>
        <v/>
      </c>
      <c r="C894">
        <f>IFERROR(INDEX($P$4:$P$3183,MATCH(SMALL($V$4:$V$3183,891),$V$4:$V$3183,0)),"")</f>
        <v/>
      </c>
      <c r="D894" s="29">
        <f>IFERROR(INDEX($Q$4:$Q$3183,MATCH(SMALL($V$4:$V$3183,891),$V$4:$V$3183,0)),"")</f>
        <v/>
      </c>
      <c r="E894" s="29">
        <f>IFERROR(INDEX($R$4:$R$3183,MATCH(SMALL($V$4:$V$3183,891),$V$4:$V$3183,0)),"")</f>
        <v/>
      </c>
      <c r="F894">
        <f>IFERROR(INDEX($S$4:$S$3183,MATCH(SMALL($V$4:$V$3183,891),$V$4:$V$3183,0)),"")</f>
        <v/>
      </c>
      <c r="I894" s="29">
        <f>IF($B894="","",IFERROR(INDEX($U$4:$U$3183,MATCH(SMALL($V$4:$V$3183,891),$V$4:$V$3183,0)),""))</f>
        <v/>
      </c>
      <c r="J894">
        <f>IF($B894="","",IF($D894&gt;$F$2,"À venir",IF($E894&lt;$D$2,"Passé","Dans la période")))</f>
        <v/>
      </c>
      <c r="K894">
        <f>IF(OR($B894="",NOT(ISNUMBER($D894))),"",IF(AND($E894&lt;$D$2,$G894&lt;&gt;"X",$F894&lt;&gt;"Réalisé",$F894&lt;&gt;"Clôturé"),"RETARD",""))</f>
        <v/>
      </c>
      <c r="L894">
        <f>IF(OR($B894="",NOT(ISNUMBER($D894))),"",IF(AND($D894&gt;=$D$2,$D894&lt;=$H$2,$G894&lt;&gt;"X",$F894&lt;&gt;"Réalisé",$F894&lt;&gt;"Clôturé"),"≤ 7 j",""))</f>
        <v/>
      </c>
      <c r="M894" s="29">
        <f>IF($B894="","",IFERROR(INDEX($T$4:$T$3183,MATCH(SMALL($V$4:$V$3183,891),$V$4:$V$3183,0)),""))</f>
        <v/>
      </c>
      <c r="O894">
        <f>IF(INDEX(Suivi!$B:$B,911)="","",INDEX(Suivi!$B:$B,911))</f>
        <v/>
      </c>
      <c r="P894">
        <f>IF($O894="","",IF(INDEX(Suivi!$D:$D,911)="",INDEX(Suivi!$C:$C,911),INDEX(Suivi!$D:$D,911)))</f>
        <v/>
      </c>
      <c r="Q894">
        <f>IF($O894="","",INDEX(Suivi!$E:$E,911))</f>
        <v/>
      </c>
      <c r="R894">
        <f>IF($O894="","",INDEX(Suivi!$F:$F,911))</f>
        <v/>
      </c>
      <c r="S894">
        <f>IF($O894="","",INDEX(Suivi!$G:$G,911))</f>
        <v/>
      </c>
      <c r="T894">
        <f>IF($O894="","",IF(INDEX(Dossiers!$F$4:$F$63,17)="","",INDEX(Dossiers!$F$4:$F$63,17)))</f>
        <v/>
      </c>
      <c r="U894">
        <f>IF($O894="","",IF(INDEX(Dossiers!$G$4:$G$63,17)="","",INDEX(Dossiers!$G$4:$G$63,17)))</f>
        <v/>
      </c>
      <c r="V894">
        <f>IF(OR($O894="",NOT(ISNUMBER($Q894))),"",$Q894*1000000+894)</f>
        <v/>
      </c>
      <c r="W894" s="29">
        <f>IF($B894="","",IFERROR(INDEX($U$4:$U$3183,MATCH(SMALL($V$4:$V$3183,891),$V$4:$V$3183,0)),""))</f>
        <v/>
      </c>
    </row>
    <row r="895">
      <c r="A895">
        <f>IFERROR(INDEX($N$4:$N$3183,MATCH(SMALL($V$4:$V$3183,892),$V$4:$V$3183,0)),"")</f>
        <v/>
      </c>
      <c r="B895">
        <f>IFERROR(INDEX($O$4:$O$3183,MATCH(SMALL($V$4:$V$3183,892),$V$4:$V$3183,0)),"")</f>
        <v/>
      </c>
      <c r="C895">
        <f>IFERROR(INDEX($P$4:$P$3183,MATCH(SMALL($V$4:$V$3183,892),$V$4:$V$3183,0)),"")</f>
        <v/>
      </c>
      <c r="D895" s="29">
        <f>IFERROR(INDEX($Q$4:$Q$3183,MATCH(SMALL($V$4:$V$3183,892),$V$4:$V$3183,0)),"")</f>
        <v/>
      </c>
      <c r="E895" s="29">
        <f>IFERROR(INDEX($R$4:$R$3183,MATCH(SMALL($V$4:$V$3183,892),$V$4:$V$3183,0)),"")</f>
        <v/>
      </c>
      <c r="F895">
        <f>IFERROR(INDEX($S$4:$S$3183,MATCH(SMALL($V$4:$V$3183,892),$V$4:$V$3183,0)),"")</f>
        <v/>
      </c>
      <c r="I895" s="29">
        <f>IF($B895="","",IFERROR(INDEX($U$4:$U$3183,MATCH(SMALL($V$4:$V$3183,892),$V$4:$V$3183,0)),""))</f>
        <v/>
      </c>
      <c r="J895">
        <f>IF($B895="","",IF($D895&gt;$F$2,"À venir",IF($E895&lt;$D$2,"Passé","Dans la période")))</f>
        <v/>
      </c>
      <c r="K895">
        <f>IF(OR($B895="",NOT(ISNUMBER($D895))),"",IF(AND($E895&lt;$D$2,$G895&lt;&gt;"X",$F895&lt;&gt;"Réalisé",$F895&lt;&gt;"Clôturé"),"RETARD",""))</f>
        <v/>
      </c>
      <c r="L895">
        <f>IF(OR($B895="",NOT(ISNUMBER($D895))),"",IF(AND($D895&gt;=$D$2,$D895&lt;=$H$2,$G895&lt;&gt;"X",$F895&lt;&gt;"Réalisé",$F895&lt;&gt;"Clôturé"),"≤ 7 j",""))</f>
        <v/>
      </c>
      <c r="M895" s="29">
        <f>IF($B895="","",IFERROR(INDEX($T$4:$T$3183,MATCH(SMALL($V$4:$V$3183,892),$V$4:$V$3183,0)),""))</f>
        <v/>
      </c>
      <c r="O895">
        <f>IF(INDEX(Suivi!$B:$B,912)="","",INDEX(Suivi!$B:$B,912))</f>
        <v/>
      </c>
      <c r="P895">
        <f>IF($O895="","",IF(INDEX(Suivi!$D:$D,912)="",INDEX(Suivi!$C:$C,912),INDEX(Suivi!$D:$D,912)))</f>
        <v/>
      </c>
      <c r="Q895">
        <f>IF($O895="","",INDEX(Suivi!$E:$E,912))</f>
        <v/>
      </c>
      <c r="R895">
        <f>IF($O895="","",INDEX(Suivi!$F:$F,912))</f>
        <v/>
      </c>
      <c r="S895">
        <f>IF($O895="","",INDEX(Suivi!$G:$G,912))</f>
        <v/>
      </c>
      <c r="T895">
        <f>IF($O895="","",IF(INDEX(Dossiers!$F$4:$F$63,17)="","",INDEX(Dossiers!$F$4:$F$63,17)))</f>
        <v/>
      </c>
      <c r="U895">
        <f>IF($O895="","",IF(INDEX(Dossiers!$G$4:$G$63,17)="","",INDEX(Dossiers!$G$4:$G$63,17)))</f>
        <v/>
      </c>
      <c r="V895">
        <f>IF(OR($O895="",NOT(ISNUMBER($Q895))),"",$Q895*1000000+895)</f>
        <v/>
      </c>
      <c r="W895" s="29">
        <f>IF($B895="","",IFERROR(INDEX($U$4:$U$3183,MATCH(SMALL($V$4:$V$3183,892),$V$4:$V$3183,0)),""))</f>
        <v/>
      </c>
    </row>
    <row r="896">
      <c r="A896">
        <f>IFERROR(INDEX($N$4:$N$3183,MATCH(SMALL($V$4:$V$3183,893),$V$4:$V$3183,0)),"")</f>
        <v/>
      </c>
      <c r="B896">
        <f>IFERROR(INDEX($O$4:$O$3183,MATCH(SMALL($V$4:$V$3183,893),$V$4:$V$3183,0)),"")</f>
        <v/>
      </c>
      <c r="C896">
        <f>IFERROR(INDEX($P$4:$P$3183,MATCH(SMALL($V$4:$V$3183,893),$V$4:$V$3183,0)),"")</f>
        <v/>
      </c>
      <c r="D896" s="29">
        <f>IFERROR(INDEX($Q$4:$Q$3183,MATCH(SMALL($V$4:$V$3183,893),$V$4:$V$3183,0)),"")</f>
        <v/>
      </c>
      <c r="E896" s="29">
        <f>IFERROR(INDEX($R$4:$R$3183,MATCH(SMALL($V$4:$V$3183,893),$V$4:$V$3183,0)),"")</f>
        <v/>
      </c>
      <c r="F896">
        <f>IFERROR(INDEX($S$4:$S$3183,MATCH(SMALL($V$4:$V$3183,893),$V$4:$V$3183,0)),"")</f>
        <v/>
      </c>
      <c r="I896" s="29">
        <f>IF($B896="","",IFERROR(INDEX($U$4:$U$3183,MATCH(SMALL($V$4:$V$3183,893),$V$4:$V$3183,0)),""))</f>
        <v/>
      </c>
      <c r="J896">
        <f>IF($B896="","",IF($D896&gt;$F$2,"À venir",IF($E896&lt;$D$2,"Passé","Dans la période")))</f>
        <v/>
      </c>
      <c r="K896">
        <f>IF(OR($B896="",NOT(ISNUMBER($D896))),"",IF(AND($E896&lt;$D$2,$G896&lt;&gt;"X",$F896&lt;&gt;"Réalisé",$F896&lt;&gt;"Clôturé"),"RETARD",""))</f>
        <v/>
      </c>
      <c r="L896">
        <f>IF(OR($B896="",NOT(ISNUMBER($D896))),"",IF(AND($D896&gt;=$D$2,$D896&lt;=$H$2,$G896&lt;&gt;"X",$F896&lt;&gt;"Réalisé",$F896&lt;&gt;"Clôturé"),"≤ 7 j",""))</f>
        <v/>
      </c>
      <c r="M896" s="29">
        <f>IF($B896="","",IFERROR(INDEX($T$4:$T$3183,MATCH(SMALL($V$4:$V$3183,893),$V$4:$V$3183,0)),""))</f>
        <v/>
      </c>
      <c r="O896">
        <f>IF(INDEX(Suivi!$B:$B,913)="","",INDEX(Suivi!$B:$B,913))</f>
        <v/>
      </c>
      <c r="P896">
        <f>IF($O896="","",IF(INDEX(Suivi!$D:$D,913)="",INDEX(Suivi!$C:$C,913),INDEX(Suivi!$D:$D,913)))</f>
        <v/>
      </c>
      <c r="Q896">
        <f>IF($O896="","",INDEX(Suivi!$E:$E,913))</f>
        <v/>
      </c>
      <c r="R896">
        <f>IF($O896="","",INDEX(Suivi!$F:$F,913))</f>
        <v/>
      </c>
      <c r="S896">
        <f>IF($O896="","",INDEX(Suivi!$G:$G,913))</f>
        <v/>
      </c>
      <c r="T896">
        <f>IF($O896="","",IF(INDEX(Dossiers!$F$4:$F$63,17)="","",INDEX(Dossiers!$F$4:$F$63,17)))</f>
        <v/>
      </c>
      <c r="U896">
        <f>IF($O896="","",IF(INDEX(Dossiers!$G$4:$G$63,17)="","",INDEX(Dossiers!$G$4:$G$63,17)))</f>
        <v/>
      </c>
      <c r="V896">
        <f>IF(OR($O896="",NOT(ISNUMBER($Q896))),"",$Q896*1000000+896)</f>
        <v/>
      </c>
      <c r="W896" s="29">
        <f>IF($B896="","",IFERROR(INDEX($U$4:$U$3183,MATCH(SMALL($V$4:$V$3183,893),$V$4:$V$3183,0)),""))</f>
        <v/>
      </c>
    </row>
    <row r="897">
      <c r="A897">
        <f>IFERROR(INDEX($N$4:$N$3183,MATCH(SMALL($V$4:$V$3183,894),$V$4:$V$3183,0)),"")</f>
        <v/>
      </c>
      <c r="B897">
        <f>IFERROR(INDEX($O$4:$O$3183,MATCH(SMALL($V$4:$V$3183,894),$V$4:$V$3183,0)),"")</f>
        <v/>
      </c>
      <c r="C897">
        <f>IFERROR(INDEX($P$4:$P$3183,MATCH(SMALL($V$4:$V$3183,894),$V$4:$V$3183,0)),"")</f>
        <v/>
      </c>
      <c r="D897" s="29">
        <f>IFERROR(INDEX($Q$4:$Q$3183,MATCH(SMALL($V$4:$V$3183,894),$V$4:$V$3183,0)),"")</f>
        <v/>
      </c>
      <c r="E897" s="29">
        <f>IFERROR(INDEX($R$4:$R$3183,MATCH(SMALL($V$4:$V$3183,894),$V$4:$V$3183,0)),"")</f>
        <v/>
      </c>
      <c r="F897">
        <f>IFERROR(INDEX($S$4:$S$3183,MATCH(SMALL($V$4:$V$3183,894),$V$4:$V$3183,0)),"")</f>
        <v/>
      </c>
      <c r="I897" s="29">
        <f>IF($B897="","",IFERROR(INDEX($U$4:$U$3183,MATCH(SMALL($V$4:$V$3183,894),$V$4:$V$3183,0)),""))</f>
        <v/>
      </c>
      <c r="J897">
        <f>IF($B897="","",IF($D897&gt;$F$2,"À venir",IF($E897&lt;$D$2,"Passé","Dans la période")))</f>
        <v/>
      </c>
      <c r="K897">
        <f>IF(OR($B897="",NOT(ISNUMBER($D897))),"",IF(AND($E897&lt;$D$2,$G897&lt;&gt;"X",$F897&lt;&gt;"Réalisé",$F897&lt;&gt;"Clôturé"),"RETARD",""))</f>
        <v/>
      </c>
      <c r="L897">
        <f>IF(OR($B897="",NOT(ISNUMBER($D897))),"",IF(AND($D897&gt;=$D$2,$D897&lt;=$H$2,$G897&lt;&gt;"X",$F897&lt;&gt;"Réalisé",$F897&lt;&gt;"Clôturé"),"≤ 7 j",""))</f>
        <v/>
      </c>
      <c r="M897" s="29">
        <f>IF($B897="","",IFERROR(INDEX($T$4:$T$3183,MATCH(SMALL($V$4:$V$3183,894),$V$4:$V$3183,0)),""))</f>
        <v/>
      </c>
      <c r="O897">
        <f>IF(INDEX(Suivi!$B:$B,914)="","",INDEX(Suivi!$B:$B,914))</f>
        <v/>
      </c>
      <c r="P897">
        <f>IF($O897="","",IF(INDEX(Suivi!$D:$D,914)="",INDEX(Suivi!$C:$C,914),INDEX(Suivi!$D:$D,914)))</f>
        <v/>
      </c>
      <c r="Q897">
        <f>IF($O897="","",INDEX(Suivi!$E:$E,914))</f>
        <v/>
      </c>
      <c r="R897">
        <f>IF($O897="","",INDEX(Suivi!$F:$F,914))</f>
        <v/>
      </c>
      <c r="S897">
        <f>IF($O897="","",INDEX(Suivi!$G:$G,914))</f>
        <v/>
      </c>
      <c r="T897">
        <f>IF($O897="","",IF(INDEX(Dossiers!$F$4:$F$63,17)="","",INDEX(Dossiers!$F$4:$F$63,17)))</f>
        <v/>
      </c>
      <c r="U897">
        <f>IF($O897="","",IF(INDEX(Dossiers!$G$4:$G$63,17)="","",INDEX(Dossiers!$G$4:$G$63,17)))</f>
        <v/>
      </c>
      <c r="V897">
        <f>IF(OR($O897="",NOT(ISNUMBER($Q897))),"",$Q897*1000000+897)</f>
        <v/>
      </c>
      <c r="W897" s="29">
        <f>IF($B897="","",IFERROR(INDEX($U$4:$U$3183,MATCH(SMALL($V$4:$V$3183,894),$V$4:$V$3183,0)),""))</f>
        <v/>
      </c>
    </row>
    <row r="898">
      <c r="A898">
        <f>IFERROR(INDEX($N$4:$N$3183,MATCH(SMALL($V$4:$V$3183,895),$V$4:$V$3183,0)),"")</f>
        <v/>
      </c>
      <c r="B898">
        <f>IFERROR(INDEX($O$4:$O$3183,MATCH(SMALL($V$4:$V$3183,895),$V$4:$V$3183,0)),"")</f>
        <v/>
      </c>
      <c r="C898">
        <f>IFERROR(INDEX($P$4:$P$3183,MATCH(SMALL($V$4:$V$3183,895),$V$4:$V$3183,0)),"")</f>
        <v/>
      </c>
      <c r="D898" s="29">
        <f>IFERROR(INDEX($Q$4:$Q$3183,MATCH(SMALL($V$4:$V$3183,895),$V$4:$V$3183,0)),"")</f>
        <v/>
      </c>
      <c r="E898" s="29">
        <f>IFERROR(INDEX($R$4:$R$3183,MATCH(SMALL($V$4:$V$3183,895),$V$4:$V$3183,0)),"")</f>
        <v/>
      </c>
      <c r="F898">
        <f>IFERROR(INDEX($S$4:$S$3183,MATCH(SMALL($V$4:$V$3183,895),$V$4:$V$3183,0)),"")</f>
        <v/>
      </c>
      <c r="I898" s="29">
        <f>IF($B898="","",IFERROR(INDEX($U$4:$U$3183,MATCH(SMALL($V$4:$V$3183,895),$V$4:$V$3183,0)),""))</f>
        <v/>
      </c>
      <c r="J898">
        <f>IF($B898="","",IF($D898&gt;$F$2,"À venir",IF($E898&lt;$D$2,"Passé","Dans la période")))</f>
        <v/>
      </c>
      <c r="K898">
        <f>IF(OR($B898="",NOT(ISNUMBER($D898))),"",IF(AND($E898&lt;$D$2,$G898&lt;&gt;"X",$F898&lt;&gt;"Réalisé",$F898&lt;&gt;"Clôturé"),"RETARD",""))</f>
        <v/>
      </c>
      <c r="L898">
        <f>IF(OR($B898="",NOT(ISNUMBER($D898))),"",IF(AND($D898&gt;=$D$2,$D898&lt;=$H$2,$G898&lt;&gt;"X",$F898&lt;&gt;"Réalisé",$F898&lt;&gt;"Clôturé"),"≤ 7 j",""))</f>
        <v/>
      </c>
      <c r="M898" s="29">
        <f>IF($B898="","",IFERROR(INDEX($T$4:$T$3183,MATCH(SMALL($V$4:$V$3183,895),$V$4:$V$3183,0)),""))</f>
        <v/>
      </c>
      <c r="O898">
        <f>IF(INDEX(Suivi!$B:$B,915)="","",INDEX(Suivi!$B:$B,915))</f>
        <v/>
      </c>
      <c r="P898">
        <f>IF($O898="","",IF(INDEX(Suivi!$D:$D,915)="",INDEX(Suivi!$C:$C,915),INDEX(Suivi!$D:$D,915)))</f>
        <v/>
      </c>
      <c r="Q898">
        <f>IF($O898="","",INDEX(Suivi!$E:$E,915))</f>
        <v/>
      </c>
      <c r="R898">
        <f>IF($O898="","",INDEX(Suivi!$F:$F,915))</f>
        <v/>
      </c>
      <c r="S898">
        <f>IF($O898="","",INDEX(Suivi!$G:$G,915))</f>
        <v/>
      </c>
      <c r="T898">
        <f>IF($O898="","",IF(INDEX(Dossiers!$F$4:$F$63,17)="","",INDEX(Dossiers!$F$4:$F$63,17)))</f>
        <v/>
      </c>
      <c r="U898">
        <f>IF($O898="","",IF(INDEX(Dossiers!$G$4:$G$63,17)="","",INDEX(Dossiers!$G$4:$G$63,17)))</f>
        <v/>
      </c>
      <c r="V898">
        <f>IF(OR($O898="",NOT(ISNUMBER($Q898))),"",$Q898*1000000+898)</f>
        <v/>
      </c>
      <c r="W898" s="29">
        <f>IF($B898="","",IFERROR(INDEX($U$4:$U$3183,MATCH(SMALL($V$4:$V$3183,895),$V$4:$V$3183,0)),""))</f>
        <v/>
      </c>
    </row>
    <row r="899">
      <c r="A899">
        <f>IFERROR(INDEX($N$4:$N$3183,MATCH(SMALL($V$4:$V$3183,896),$V$4:$V$3183,0)),"")</f>
        <v/>
      </c>
      <c r="B899">
        <f>IFERROR(INDEX($O$4:$O$3183,MATCH(SMALL($V$4:$V$3183,896),$V$4:$V$3183,0)),"")</f>
        <v/>
      </c>
      <c r="C899">
        <f>IFERROR(INDEX($P$4:$P$3183,MATCH(SMALL($V$4:$V$3183,896),$V$4:$V$3183,0)),"")</f>
        <v/>
      </c>
      <c r="D899" s="29">
        <f>IFERROR(INDEX($Q$4:$Q$3183,MATCH(SMALL($V$4:$V$3183,896),$V$4:$V$3183,0)),"")</f>
        <v/>
      </c>
      <c r="E899" s="29">
        <f>IFERROR(INDEX($R$4:$R$3183,MATCH(SMALL($V$4:$V$3183,896),$V$4:$V$3183,0)),"")</f>
        <v/>
      </c>
      <c r="F899">
        <f>IFERROR(INDEX($S$4:$S$3183,MATCH(SMALL($V$4:$V$3183,896),$V$4:$V$3183,0)),"")</f>
        <v/>
      </c>
      <c r="I899" s="29">
        <f>IF($B899="","",IFERROR(INDEX($U$4:$U$3183,MATCH(SMALL($V$4:$V$3183,896),$V$4:$V$3183,0)),""))</f>
        <v/>
      </c>
      <c r="J899">
        <f>IF($B899="","",IF($D899&gt;$F$2,"À venir",IF($E899&lt;$D$2,"Passé","Dans la période")))</f>
        <v/>
      </c>
      <c r="K899">
        <f>IF(OR($B899="",NOT(ISNUMBER($D899))),"",IF(AND($E899&lt;$D$2,$G899&lt;&gt;"X",$F899&lt;&gt;"Réalisé",$F899&lt;&gt;"Clôturé"),"RETARD",""))</f>
        <v/>
      </c>
      <c r="L899">
        <f>IF(OR($B899="",NOT(ISNUMBER($D899))),"",IF(AND($D899&gt;=$D$2,$D899&lt;=$H$2,$G899&lt;&gt;"X",$F899&lt;&gt;"Réalisé",$F899&lt;&gt;"Clôturé"),"≤ 7 j",""))</f>
        <v/>
      </c>
      <c r="M899" s="29">
        <f>IF($B899="","",IFERROR(INDEX($T$4:$T$3183,MATCH(SMALL($V$4:$V$3183,896),$V$4:$V$3183,0)),""))</f>
        <v/>
      </c>
      <c r="O899">
        <f>IF(INDEX(Suivi!$B:$B,916)="","",INDEX(Suivi!$B:$B,916))</f>
        <v/>
      </c>
      <c r="P899">
        <f>IF($O899="","",IF(INDEX(Suivi!$D:$D,916)="",INDEX(Suivi!$C:$C,916),INDEX(Suivi!$D:$D,916)))</f>
        <v/>
      </c>
      <c r="Q899">
        <f>IF($O899="","",INDEX(Suivi!$E:$E,916))</f>
        <v/>
      </c>
      <c r="R899">
        <f>IF($O899="","",INDEX(Suivi!$F:$F,916))</f>
        <v/>
      </c>
      <c r="S899">
        <f>IF($O899="","",INDEX(Suivi!$G:$G,916))</f>
        <v/>
      </c>
      <c r="T899">
        <f>IF($O899="","",IF(INDEX(Dossiers!$F$4:$F$63,17)="","",INDEX(Dossiers!$F$4:$F$63,17)))</f>
        <v/>
      </c>
      <c r="U899">
        <f>IF($O899="","",IF(INDEX(Dossiers!$G$4:$G$63,17)="","",INDEX(Dossiers!$G$4:$G$63,17)))</f>
        <v/>
      </c>
      <c r="V899">
        <f>IF(OR($O899="",NOT(ISNUMBER($Q899))),"",$Q899*1000000+899)</f>
        <v/>
      </c>
      <c r="W899" s="29">
        <f>IF($B899="","",IFERROR(INDEX($U$4:$U$3183,MATCH(SMALL($V$4:$V$3183,896),$V$4:$V$3183,0)),""))</f>
        <v/>
      </c>
    </row>
    <row r="900">
      <c r="A900">
        <f>IFERROR(INDEX($N$4:$N$3183,MATCH(SMALL($V$4:$V$3183,897),$V$4:$V$3183,0)),"")</f>
        <v/>
      </c>
      <c r="B900">
        <f>IFERROR(INDEX($O$4:$O$3183,MATCH(SMALL($V$4:$V$3183,897),$V$4:$V$3183,0)),"")</f>
        <v/>
      </c>
      <c r="C900">
        <f>IFERROR(INDEX($P$4:$P$3183,MATCH(SMALL($V$4:$V$3183,897),$V$4:$V$3183,0)),"")</f>
        <v/>
      </c>
      <c r="D900" s="29">
        <f>IFERROR(INDEX($Q$4:$Q$3183,MATCH(SMALL($V$4:$V$3183,897),$V$4:$V$3183,0)),"")</f>
        <v/>
      </c>
      <c r="E900" s="29">
        <f>IFERROR(INDEX($R$4:$R$3183,MATCH(SMALL($V$4:$V$3183,897),$V$4:$V$3183,0)),"")</f>
        <v/>
      </c>
      <c r="F900">
        <f>IFERROR(INDEX($S$4:$S$3183,MATCH(SMALL($V$4:$V$3183,897),$V$4:$V$3183,0)),"")</f>
        <v/>
      </c>
      <c r="I900" s="29">
        <f>IF($B900="","",IFERROR(INDEX($U$4:$U$3183,MATCH(SMALL($V$4:$V$3183,897),$V$4:$V$3183,0)),""))</f>
        <v/>
      </c>
      <c r="J900">
        <f>IF($B900="","",IF($D900&gt;$F$2,"À venir",IF($E900&lt;$D$2,"Passé","Dans la période")))</f>
        <v/>
      </c>
      <c r="K900">
        <f>IF(OR($B900="",NOT(ISNUMBER($D900))),"",IF(AND($E900&lt;$D$2,$G900&lt;&gt;"X",$F900&lt;&gt;"Réalisé",$F900&lt;&gt;"Clôturé"),"RETARD",""))</f>
        <v/>
      </c>
      <c r="L900">
        <f>IF(OR($B900="",NOT(ISNUMBER($D900))),"",IF(AND($D900&gt;=$D$2,$D900&lt;=$H$2,$G900&lt;&gt;"X",$F900&lt;&gt;"Réalisé",$F900&lt;&gt;"Clôturé"),"≤ 7 j",""))</f>
        <v/>
      </c>
      <c r="M900" s="29">
        <f>IF($B900="","",IFERROR(INDEX($T$4:$T$3183,MATCH(SMALL($V$4:$V$3183,897),$V$4:$V$3183,0)),""))</f>
        <v/>
      </c>
      <c r="O900">
        <f>IF(INDEX(Suivi!$B:$B,917)="","",INDEX(Suivi!$B:$B,917))</f>
        <v/>
      </c>
      <c r="P900">
        <f>IF($O900="","",IF(INDEX(Suivi!$D:$D,917)="",INDEX(Suivi!$C:$C,917),INDEX(Suivi!$D:$D,917)))</f>
        <v/>
      </c>
      <c r="Q900">
        <f>IF($O900="","",INDEX(Suivi!$E:$E,917))</f>
        <v/>
      </c>
      <c r="R900">
        <f>IF($O900="","",INDEX(Suivi!$F:$F,917))</f>
        <v/>
      </c>
      <c r="S900">
        <f>IF($O900="","",INDEX(Suivi!$G:$G,917))</f>
        <v/>
      </c>
      <c r="T900">
        <f>IF($O900="","",IF(INDEX(Dossiers!$F$4:$F$63,17)="","",INDEX(Dossiers!$F$4:$F$63,17)))</f>
        <v/>
      </c>
      <c r="U900">
        <f>IF($O900="","",IF(INDEX(Dossiers!$G$4:$G$63,17)="","",INDEX(Dossiers!$G$4:$G$63,17)))</f>
        <v/>
      </c>
      <c r="V900">
        <f>IF(OR($O900="",NOT(ISNUMBER($Q900))),"",$Q900*1000000+900)</f>
        <v/>
      </c>
      <c r="W900" s="29">
        <f>IF($B900="","",IFERROR(INDEX($U$4:$U$3183,MATCH(SMALL($V$4:$V$3183,897),$V$4:$V$3183,0)),""))</f>
        <v/>
      </c>
    </row>
    <row r="901">
      <c r="A901">
        <f>IFERROR(INDEX($N$4:$N$3183,MATCH(SMALL($V$4:$V$3183,898),$V$4:$V$3183,0)),"")</f>
        <v/>
      </c>
      <c r="B901">
        <f>IFERROR(INDEX($O$4:$O$3183,MATCH(SMALL($V$4:$V$3183,898),$V$4:$V$3183,0)),"")</f>
        <v/>
      </c>
      <c r="C901">
        <f>IFERROR(INDEX($P$4:$P$3183,MATCH(SMALL($V$4:$V$3183,898),$V$4:$V$3183,0)),"")</f>
        <v/>
      </c>
      <c r="D901" s="29">
        <f>IFERROR(INDEX($Q$4:$Q$3183,MATCH(SMALL($V$4:$V$3183,898),$V$4:$V$3183,0)),"")</f>
        <v/>
      </c>
      <c r="E901" s="29">
        <f>IFERROR(INDEX($R$4:$R$3183,MATCH(SMALL($V$4:$V$3183,898),$V$4:$V$3183,0)),"")</f>
        <v/>
      </c>
      <c r="F901">
        <f>IFERROR(INDEX($S$4:$S$3183,MATCH(SMALL($V$4:$V$3183,898),$V$4:$V$3183,0)),"")</f>
        <v/>
      </c>
      <c r="I901" s="29">
        <f>IF($B901="","",IFERROR(INDEX($U$4:$U$3183,MATCH(SMALL($V$4:$V$3183,898),$V$4:$V$3183,0)),""))</f>
        <v/>
      </c>
      <c r="J901">
        <f>IF($B901="","",IF($D901&gt;$F$2,"À venir",IF($E901&lt;$D$2,"Passé","Dans la période")))</f>
        <v/>
      </c>
      <c r="K901">
        <f>IF(OR($B901="",NOT(ISNUMBER($D901))),"",IF(AND($E901&lt;$D$2,$G901&lt;&gt;"X",$F901&lt;&gt;"Réalisé",$F901&lt;&gt;"Clôturé"),"RETARD",""))</f>
        <v/>
      </c>
      <c r="L901">
        <f>IF(OR($B901="",NOT(ISNUMBER($D901))),"",IF(AND($D901&gt;=$D$2,$D901&lt;=$H$2,$G901&lt;&gt;"X",$F901&lt;&gt;"Réalisé",$F901&lt;&gt;"Clôturé"),"≤ 7 j",""))</f>
        <v/>
      </c>
      <c r="M901" s="29">
        <f>IF($B901="","",IFERROR(INDEX($T$4:$T$3183,MATCH(SMALL($V$4:$V$3183,898),$V$4:$V$3183,0)),""))</f>
        <v/>
      </c>
      <c r="O901">
        <f>IF(INDEX(Suivi!$B:$B,918)="","",INDEX(Suivi!$B:$B,918))</f>
        <v/>
      </c>
      <c r="P901">
        <f>IF($O901="","",IF(INDEX(Suivi!$D:$D,918)="",INDEX(Suivi!$C:$C,918),INDEX(Suivi!$D:$D,918)))</f>
        <v/>
      </c>
      <c r="Q901">
        <f>IF($O901="","",INDEX(Suivi!$E:$E,918))</f>
        <v/>
      </c>
      <c r="R901">
        <f>IF($O901="","",INDEX(Suivi!$F:$F,918))</f>
        <v/>
      </c>
      <c r="S901">
        <f>IF($O901="","",INDEX(Suivi!$G:$G,918))</f>
        <v/>
      </c>
      <c r="T901">
        <f>IF($O901="","",IF(INDEX(Dossiers!$F$4:$F$63,17)="","",INDEX(Dossiers!$F$4:$F$63,17)))</f>
        <v/>
      </c>
      <c r="U901">
        <f>IF($O901="","",IF(INDEX(Dossiers!$G$4:$G$63,17)="","",INDEX(Dossiers!$G$4:$G$63,17)))</f>
        <v/>
      </c>
      <c r="V901">
        <f>IF(OR($O901="",NOT(ISNUMBER($Q901))),"",$Q901*1000000+901)</f>
        <v/>
      </c>
      <c r="W901" s="29">
        <f>IF($B901="","",IFERROR(INDEX($U$4:$U$3183,MATCH(SMALL($V$4:$V$3183,898),$V$4:$V$3183,0)),""))</f>
        <v/>
      </c>
    </row>
    <row r="902">
      <c r="A902">
        <f>IFERROR(INDEX($N$4:$N$3183,MATCH(SMALL($V$4:$V$3183,899),$V$4:$V$3183,0)),"")</f>
        <v/>
      </c>
      <c r="B902">
        <f>IFERROR(INDEX($O$4:$O$3183,MATCH(SMALL($V$4:$V$3183,899),$V$4:$V$3183,0)),"")</f>
        <v/>
      </c>
      <c r="C902">
        <f>IFERROR(INDEX($P$4:$P$3183,MATCH(SMALL($V$4:$V$3183,899),$V$4:$V$3183,0)),"")</f>
        <v/>
      </c>
      <c r="D902" s="29">
        <f>IFERROR(INDEX($Q$4:$Q$3183,MATCH(SMALL($V$4:$V$3183,899),$V$4:$V$3183,0)),"")</f>
        <v/>
      </c>
      <c r="E902" s="29">
        <f>IFERROR(INDEX($R$4:$R$3183,MATCH(SMALL($V$4:$V$3183,899),$V$4:$V$3183,0)),"")</f>
        <v/>
      </c>
      <c r="F902">
        <f>IFERROR(INDEX($S$4:$S$3183,MATCH(SMALL($V$4:$V$3183,899),$V$4:$V$3183,0)),"")</f>
        <v/>
      </c>
      <c r="I902" s="29">
        <f>IF($B902="","",IFERROR(INDEX($U$4:$U$3183,MATCH(SMALL($V$4:$V$3183,899),$V$4:$V$3183,0)),""))</f>
        <v/>
      </c>
      <c r="J902">
        <f>IF($B902="","",IF($D902&gt;$F$2,"À venir",IF($E902&lt;$D$2,"Passé","Dans la période")))</f>
        <v/>
      </c>
      <c r="K902">
        <f>IF(OR($B902="",NOT(ISNUMBER($D902))),"",IF(AND($E902&lt;$D$2,$G902&lt;&gt;"X",$F902&lt;&gt;"Réalisé",$F902&lt;&gt;"Clôturé"),"RETARD",""))</f>
        <v/>
      </c>
      <c r="L902">
        <f>IF(OR($B902="",NOT(ISNUMBER($D902))),"",IF(AND($D902&gt;=$D$2,$D902&lt;=$H$2,$G902&lt;&gt;"X",$F902&lt;&gt;"Réalisé",$F902&lt;&gt;"Clôturé"),"≤ 7 j",""))</f>
        <v/>
      </c>
      <c r="M902" s="29">
        <f>IF($B902="","",IFERROR(INDEX($T$4:$T$3183,MATCH(SMALL($V$4:$V$3183,899),$V$4:$V$3183,0)),""))</f>
        <v/>
      </c>
      <c r="O902">
        <f>IF(INDEX(Suivi!$B:$B,919)="","",INDEX(Suivi!$B:$B,919))</f>
        <v/>
      </c>
      <c r="P902">
        <f>IF($O902="","",IF(INDEX(Suivi!$D:$D,919)="",INDEX(Suivi!$C:$C,919),INDEX(Suivi!$D:$D,919)))</f>
        <v/>
      </c>
      <c r="Q902">
        <f>IF($O902="","",INDEX(Suivi!$E:$E,919))</f>
        <v/>
      </c>
      <c r="R902">
        <f>IF($O902="","",INDEX(Suivi!$F:$F,919))</f>
        <v/>
      </c>
      <c r="S902">
        <f>IF($O902="","",INDEX(Suivi!$G:$G,919))</f>
        <v/>
      </c>
      <c r="T902">
        <f>IF($O902="","",IF(INDEX(Dossiers!$F$4:$F$63,17)="","",INDEX(Dossiers!$F$4:$F$63,17)))</f>
        <v/>
      </c>
      <c r="U902">
        <f>IF($O902="","",IF(INDEX(Dossiers!$G$4:$G$63,17)="","",INDEX(Dossiers!$G$4:$G$63,17)))</f>
        <v/>
      </c>
      <c r="V902">
        <f>IF(OR($O902="",NOT(ISNUMBER($Q902))),"",$Q902*1000000+902)</f>
        <v/>
      </c>
      <c r="W902" s="29">
        <f>IF($B902="","",IFERROR(INDEX($U$4:$U$3183,MATCH(SMALL($V$4:$V$3183,899),$V$4:$V$3183,0)),""))</f>
        <v/>
      </c>
    </row>
    <row r="903">
      <c r="A903">
        <f>IFERROR(INDEX($N$4:$N$3183,MATCH(SMALL($V$4:$V$3183,900),$V$4:$V$3183,0)),"")</f>
        <v/>
      </c>
      <c r="B903">
        <f>IFERROR(INDEX($O$4:$O$3183,MATCH(SMALL($V$4:$V$3183,900),$V$4:$V$3183,0)),"")</f>
        <v/>
      </c>
      <c r="C903">
        <f>IFERROR(INDEX($P$4:$P$3183,MATCH(SMALL($V$4:$V$3183,900),$V$4:$V$3183,0)),"")</f>
        <v/>
      </c>
      <c r="D903" s="29">
        <f>IFERROR(INDEX($Q$4:$Q$3183,MATCH(SMALL($V$4:$V$3183,900),$V$4:$V$3183,0)),"")</f>
        <v/>
      </c>
      <c r="E903" s="29">
        <f>IFERROR(INDEX($R$4:$R$3183,MATCH(SMALL($V$4:$V$3183,900),$V$4:$V$3183,0)),"")</f>
        <v/>
      </c>
      <c r="F903">
        <f>IFERROR(INDEX($S$4:$S$3183,MATCH(SMALL($V$4:$V$3183,900),$V$4:$V$3183,0)),"")</f>
        <v/>
      </c>
      <c r="I903" s="29">
        <f>IF($B903="","",IFERROR(INDEX($U$4:$U$3183,MATCH(SMALL($V$4:$V$3183,900),$V$4:$V$3183,0)),""))</f>
        <v/>
      </c>
      <c r="J903">
        <f>IF($B903="","",IF($D903&gt;$F$2,"À venir",IF($E903&lt;$D$2,"Passé","Dans la période")))</f>
        <v/>
      </c>
      <c r="K903">
        <f>IF(OR($B903="",NOT(ISNUMBER($D903))),"",IF(AND($E903&lt;$D$2,$G903&lt;&gt;"X",$F903&lt;&gt;"Réalisé",$F903&lt;&gt;"Clôturé"),"RETARD",""))</f>
        <v/>
      </c>
      <c r="L903">
        <f>IF(OR($B903="",NOT(ISNUMBER($D903))),"",IF(AND($D903&gt;=$D$2,$D903&lt;=$H$2,$G903&lt;&gt;"X",$F903&lt;&gt;"Réalisé",$F903&lt;&gt;"Clôturé"),"≤ 7 j",""))</f>
        <v/>
      </c>
      <c r="M903" s="29">
        <f>IF($B903="","",IFERROR(INDEX($T$4:$T$3183,MATCH(SMALL($V$4:$V$3183,900),$V$4:$V$3183,0)),""))</f>
        <v/>
      </c>
      <c r="O903">
        <f>IF(INDEX(Suivi!$B:$B,920)="","",INDEX(Suivi!$B:$B,920))</f>
        <v/>
      </c>
      <c r="P903">
        <f>IF($O903="","",IF(INDEX(Suivi!$D:$D,920)="",INDEX(Suivi!$C:$C,920),INDEX(Suivi!$D:$D,920)))</f>
        <v/>
      </c>
      <c r="Q903">
        <f>IF($O903="","",INDEX(Suivi!$E:$E,920))</f>
        <v/>
      </c>
      <c r="R903">
        <f>IF($O903="","",INDEX(Suivi!$F:$F,920))</f>
        <v/>
      </c>
      <c r="S903">
        <f>IF($O903="","",INDEX(Suivi!$G:$G,920))</f>
        <v/>
      </c>
      <c r="T903">
        <f>IF($O903="","",IF(INDEX(Dossiers!$F$4:$F$63,17)="","",INDEX(Dossiers!$F$4:$F$63,17)))</f>
        <v/>
      </c>
      <c r="U903">
        <f>IF($O903="","",IF(INDEX(Dossiers!$G$4:$G$63,17)="","",INDEX(Dossiers!$G$4:$G$63,17)))</f>
        <v/>
      </c>
      <c r="V903">
        <f>IF(OR($O903="",NOT(ISNUMBER($Q903))),"",$Q903*1000000+903)</f>
        <v/>
      </c>
      <c r="W903" s="29">
        <f>IF($B903="","",IFERROR(INDEX($U$4:$U$3183,MATCH(SMALL($V$4:$V$3183,900),$V$4:$V$3183,0)),""))</f>
        <v/>
      </c>
    </row>
    <row r="904">
      <c r="A904">
        <f>IFERROR(INDEX($N$4:$N$3183,MATCH(SMALL($V$4:$V$3183,901),$V$4:$V$3183,0)),"")</f>
        <v/>
      </c>
      <c r="B904">
        <f>IFERROR(INDEX($O$4:$O$3183,MATCH(SMALL($V$4:$V$3183,901),$V$4:$V$3183,0)),"")</f>
        <v/>
      </c>
      <c r="C904">
        <f>IFERROR(INDEX($P$4:$P$3183,MATCH(SMALL($V$4:$V$3183,901),$V$4:$V$3183,0)),"")</f>
        <v/>
      </c>
      <c r="D904" s="29">
        <f>IFERROR(INDEX($Q$4:$Q$3183,MATCH(SMALL($V$4:$V$3183,901),$V$4:$V$3183,0)),"")</f>
        <v/>
      </c>
      <c r="E904" s="29">
        <f>IFERROR(INDEX($R$4:$R$3183,MATCH(SMALL($V$4:$V$3183,901),$V$4:$V$3183,0)),"")</f>
        <v/>
      </c>
      <c r="F904">
        <f>IFERROR(INDEX($S$4:$S$3183,MATCH(SMALL($V$4:$V$3183,901),$V$4:$V$3183,0)),"")</f>
        <v/>
      </c>
      <c r="I904" s="29">
        <f>IF($B904="","",IFERROR(INDEX($U$4:$U$3183,MATCH(SMALL($V$4:$V$3183,901),$V$4:$V$3183,0)),""))</f>
        <v/>
      </c>
      <c r="J904">
        <f>IF($B904="","",IF($D904&gt;$F$2,"À venir",IF($E904&lt;$D$2,"Passé","Dans la période")))</f>
        <v/>
      </c>
      <c r="K904">
        <f>IF(OR($B904="",NOT(ISNUMBER($D904))),"",IF(AND($E904&lt;$D$2,$G904&lt;&gt;"X",$F904&lt;&gt;"Réalisé",$F904&lt;&gt;"Clôturé"),"RETARD",""))</f>
        <v/>
      </c>
      <c r="L904">
        <f>IF(OR($B904="",NOT(ISNUMBER($D904))),"",IF(AND($D904&gt;=$D$2,$D904&lt;=$H$2,$G904&lt;&gt;"X",$F904&lt;&gt;"Réalisé",$F904&lt;&gt;"Clôturé"),"≤ 7 j",""))</f>
        <v/>
      </c>
      <c r="M904" s="29">
        <f>IF($B904="","",IFERROR(INDEX($T$4:$T$3183,MATCH(SMALL($V$4:$V$3183,901),$V$4:$V$3183,0)),""))</f>
        <v/>
      </c>
      <c r="O904">
        <f>IF(INDEX(Suivi!$B:$B,921)="","",INDEX(Suivi!$B:$B,921))</f>
        <v/>
      </c>
      <c r="P904">
        <f>IF($O904="","",IF(INDEX(Suivi!$D:$D,921)="",INDEX(Suivi!$C:$C,921),INDEX(Suivi!$D:$D,921)))</f>
        <v/>
      </c>
      <c r="Q904">
        <f>IF($O904="","",INDEX(Suivi!$E:$E,921))</f>
        <v/>
      </c>
      <c r="R904">
        <f>IF($O904="","",INDEX(Suivi!$F:$F,921))</f>
        <v/>
      </c>
      <c r="S904">
        <f>IF($O904="","",INDEX(Suivi!$G:$G,921))</f>
        <v/>
      </c>
      <c r="T904">
        <f>IF($O904="","",IF(INDEX(Dossiers!$F$4:$F$63,17)="","",INDEX(Dossiers!$F$4:$F$63,17)))</f>
        <v/>
      </c>
      <c r="U904">
        <f>IF($O904="","",IF(INDEX(Dossiers!$G$4:$G$63,17)="","",INDEX(Dossiers!$G$4:$G$63,17)))</f>
        <v/>
      </c>
      <c r="V904">
        <f>IF(OR($O904="",NOT(ISNUMBER($Q904))),"",$Q904*1000000+904)</f>
        <v/>
      </c>
      <c r="W904" s="29">
        <f>IF($B904="","",IFERROR(INDEX($U$4:$U$3183,MATCH(SMALL($V$4:$V$3183,901),$V$4:$V$3183,0)),""))</f>
        <v/>
      </c>
    </row>
    <row r="905">
      <c r="A905">
        <f>IFERROR(INDEX($N$4:$N$3183,MATCH(SMALL($V$4:$V$3183,902),$V$4:$V$3183,0)),"")</f>
        <v/>
      </c>
      <c r="B905">
        <f>IFERROR(INDEX($O$4:$O$3183,MATCH(SMALL($V$4:$V$3183,902),$V$4:$V$3183,0)),"")</f>
        <v/>
      </c>
      <c r="C905">
        <f>IFERROR(INDEX($P$4:$P$3183,MATCH(SMALL($V$4:$V$3183,902),$V$4:$V$3183,0)),"")</f>
        <v/>
      </c>
      <c r="D905" s="29">
        <f>IFERROR(INDEX($Q$4:$Q$3183,MATCH(SMALL($V$4:$V$3183,902),$V$4:$V$3183,0)),"")</f>
        <v/>
      </c>
      <c r="E905" s="29">
        <f>IFERROR(INDEX($R$4:$R$3183,MATCH(SMALL($V$4:$V$3183,902),$V$4:$V$3183,0)),"")</f>
        <v/>
      </c>
      <c r="F905">
        <f>IFERROR(INDEX($S$4:$S$3183,MATCH(SMALL($V$4:$V$3183,902),$V$4:$V$3183,0)),"")</f>
        <v/>
      </c>
      <c r="I905" s="29">
        <f>IF($B905="","",IFERROR(INDEX($U$4:$U$3183,MATCH(SMALL($V$4:$V$3183,902),$V$4:$V$3183,0)),""))</f>
        <v/>
      </c>
      <c r="J905">
        <f>IF($B905="","",IF($D905&gt;$F$2,"À venir",IF($E905&lt;$D$2,"Passé","Dans la période")))</f>
        <v/>
      </c>
      <c r="K905">
        <f>IF(OR($B905="",NOT(ISNUMBER($D905))),"",IF(AND($E905&lt;$D$2,$G905&lt;&gt;"X",$F905&lt;&gt;"Réalisé",$F905&lt;&gt;"Clôturé"),"RETARD",""))</f>
        <v/>
      </c>
      <c r="L905">
        <f>IF(OR($B905="",NOT(ISNUMBER($D905))),"",IF(AND($D905&gt;=$D$2,$D905&lt;=$H$2,$G905&lt;&gt;"X",$F905&lt;&gt;"Réalisé",$F905&lt;&gt;"Clôturé"),"≤ 7 j",""))</f>
        <v/>
      </c>
      <c r="M905" s="29">
        <f>IF($B905="","",IFERROR(INDEX($T$4:$T$3183,MATCH(SMALL($V$4:$V$3183,902),$V$4:$V$3183,0)),""))</f>
        <v/>
      </c>
      <c r="O905">
        <f>IF(INDEX(Suivi!$B:$B,923)="","",INDEX(Suivi!$B:$B,923))</f>
        <v/>
      </c>
      <c r="P905">
        <f>IF($O905="","",IF(INDEX(Suivi!$D:$D,923)="",INDEX(Suivi!$C:$C,923),INDEX(Suivi!$D:$D,923)))</f>
        <v/>
      </c>
      <c r="Q905">
        <f>IF($O905="","",INDEX(Suivi!$E:$E,923))</f>
        <v/>
      </c>
      <c r="R905">
        <f>IF($O905="","",INDEX(Suivi!$F:$F,923))</f>
        <v/>
      </c>
      <c r="S905">
        <f>IF($O905="","",INDEX(Suivi!$G:$G,923))</f>
        <v/>
      </c>
      <c r="T905">
        <f>IF($O905="","",IF(INDEX(Dossiers!$F$4:$F$63,18)="","",INDEX(Dossiers!$F$4:$F$63,18)))</f>
        <v/>
      </c>
      <c r="U905">
        <f>IF($O905="","",IF(INDEX(Dossiers!$G$4:$G$63,18)="","",INDEX(Dossiers!$G$4:$G$63,18)))</f>
        <v/>
      </c>
      <c r="V905">
        <f>IF(OR($O905="",NOT(ISNUMBER($Q905))),"",$Q905*1000000+905)</f>
        <v/>
      </c>
      <c r="W905" s="29">
        <f>IF($B905="","",IFERROR(INDEX($U$4:$U$3183,MATCH(SMALL($V$4:$V$3183,902),$V$4:$V$3183,0)),""))</f>
        <v/>
      </c>
    </row>
    <row r="906">
      <c r="A906">
        <f>IFERROR(INDEX($N$4:$N$3183,MATCH(SMALL($V$4:$V$3183,903),$V$4:$V$3183,0)),"")</f>
        <v/>
      </c>
      <c r="B906">
        <f>IFERROR(INDEX($O$4:$O$3183,MATCH(SMALL($V$4:$V$3183,903),$V$4:$V$3183,0)),"")</f>
        <v/>
      </c>
      <c r="C906">
        <f>IFERROR(INDEX($P$4:$P$3183,MATCH(SMALL($V$4:$V$3183,903),$V$4:$V$3183,0)),"")</f>
        <v/>
      </c>
      <c r="D906" s="29">
        <f>IFERROR(INDEX($Q$4:$Q$3183,MATCH(SMALL($V$4:$V$3183,903),$V$4:$V$3183,0)),"")</f>
        <v/>
      </c>
      <c r="E906" s="29">
        <f>IFERROR(INDEX($R$4:$R$3183,MATCH(SMALL($V$4:$V$3183,903),$V$4:$V$3183,0)),"")</f>
        <v/>
      </c>
      <c r="F906">
        <f>IFERROR(INDEX($S$4:$S$3183,MATCH(SMALL($V$4:$V$3183,903),$V$4:$V$3183,0)),"")</f>
        <v/>
      </c>
      <c r="I906" s="29">
        <f>IF($B906="","",IFERROR(INDEX($U$4:$U$3183,MATCH(SMALL($V$4:$V$3183,903),$V$4:$V$3183,0)),""))</f>
        <v/>
      </c>
      <c r="J906">
        <f>IF($B906="","",IF($D906&gt;$F$2,"À venir",IF($E906&lt;$D$2,"Passé","Dans la période")))</f>
        <v/>
      </c>
      <c r="K906">
        <f>IF(OR($B906="",NOT(ISNUMBER($D906))),"",IF(AND($E906&lt;$D$2,$G906&lt;&gt;"X",$F906&lt;&gt;"Réalisé",$F906&lt;&gt;"Clôturé"),"RETARD",""))</f>
        <v/>
      </c>
      <c r="L906">
        <f>IF(OR($B906="",NOT(ISNUMBER($D906))),"",IF(AND($D906&gt;=$D$2,$D906&lt;=$H$2,$G906&lt;&gt;"X",$F906&lt;&gt;"Réalisé",$F906&lt;&gt;"Clôturé"),"≤ 7 j",""))</f>
        <v/>
      </c>
      <c r="M906" s="29">
        <f>IF($B906="","",IFERROR(INDEX($T$4:$T$3183,MATCH(SMALL($V$4:$V$3183,903),$V$4:$V$3183,0)),""))</f>
        <v/>
      </c>
      <c r="O906">
        <f>IF(INDEX(Suivi!$B:$B,924)="","",INDEX(Suivi!$B:$B,924))</f>
        <v/>
      </c>
      <c r="P906">
        <f>IF($O906="","",IF(INDEX(Suivi!$D:$D,924)="",INDEX(Suivi!$C:$C,924),INDEX(Suivi!$D:$D,924)))</f>
        <v/>
      </c>
      <c r="Q906">
        <f>IF($O906="","",INDEX(Suivi!$E:$E,924))</f>
        <v/>
      </c>
      <c r="R906">
        <f>IF($O906="","",INDEX(Suivi!$F:$F,924))</f>
        <v/>
      </c>
      <c r="S906">
        <f>IF($O906="","",INDEX(Suivi!$G:$G,924))</f>
        <v/>
      </c>
      <c r="T906">
        <f>IF($O906="","",IF(INDEX(Dossiers!$F$4:$F$63,18)="","",INDEX(Dossiers!$F$4:$F$63,18)))</f>
        <v/>
      </c>
      <c r="U906">
        <f>IF($O906="","",IF(INDEX(Dossiers!$G$4:$G$63,18)="","",INDEX(Dossiers!$G$4:$G$63,18)))</f>
        <v/>
      </c>
      <c r="V906">
        <f>IF(OR($O906="",NOT(ISNUMBER($Q906))),"",$Q906*1000000+906)</f>
        <v/>
      </c>
      <c r="W906" s="29">
        <f>IF($B906="","",IFERROR(INDEX($U$4:$U$3183,MATCH(SMALL($V$4:$V$3183,903),$V$4:$V$3183,0)),""))</f>
        <v/>
      </c>
    </row>
    <row r="907">
      <c r="A907">
        <f>IFERROR(INDEX($N$4:$N$3183,MATCH(SMALL($V$4:$V$3183,904),$V$4:$V$3183,0)),"")</f>
        <v/>
      </c>
      <c r="B907">
        <f>IFERROR(INDEX($O$4:$O$3183,MATCH(SMALL($V$4:$V$3183,904),$V$4:$V$3183,0)),"")</f>
        <v/>
      </c>
      <c r="C907">
        <f>IFERROR(INDEX($P$4:$P$3183,MATCH(SMALL($V$4:$V$3183,904),$V$4:$V$3183,0)),"")</f>
        <v/>
      </c>
      <c r="D907" s="29">
        <f>IFERROR(INDEX($Q$4:$Q$3183,MATCH(SMALL($V$4:$V$3183,904),$V$4:$V$3183,0)),"")</f>
        <v/>
      </c>
      <c r="E907" s="29">
        <f>IFERROR(INDEX($R$4:$R$3183,MATCH(SMALL($V$4:$V$3183,904),$V$4:$V$3183,0)),"")</f>
        <v/>
      </c>
      <c r="F907">
        <f>IFERROR(INDEX($S$4:$S$3183,MATCH(SMALL($V$4:$V$3183,904),$V$4:$V$3183,0)),"")</f>
        <v/>
      </c>
      <c r="I907" s="29">
        <f>IF($B907="","",IFERROR(INDEX($U$4:$U$3183,MATCH(SMALL($V$4:$V$3183,904),$V$4:$V$3183,0)),""))</f>
        <v/>
      </c>
      <c r="J907">
        <f>IF($B907="","",IF($D907&gt;$F$2,"À venir",IF($E907&lt;$D$2,"Passé","Dans la période")))</f>
        <v/>
      </c>
      <c r="K907">
        <f>IF(OR($B907="",NOT(ISNUMBER($D907))),"",IF(AND($E907&lt;$D$2,$G907&lt;&gt;"X",$F907&lt;&gt;"Réalisé",$F907&lt;&gt;"Clôturé"),"RETARD",""))</f>
        <v/>
      </c>
      <c r="L907">
        <f>IF(OR($B907="",NOT(ISNUMBER($D907))),"",IF(AND($D907&gt;=$D$2,$D907&lt;=$H$2,$G907&lt;&gt;"X",$F907&lt;&gt;"Réalisé",$F907&lt;&gt;"Clôturé"),"≤ 7 j",""))</f>
        <v/>
      </c>
      <c r="M907" s="29">
        <f>IF($B907="","",IFERROR(INDEX($T$4:$T$3183,MATCH(SMALL($V$4:$V$3183,904),$V$4:$V$3183,0)),""))</f>
        <v/>
      </c>
      <c r="O907">
        <f>IF(INDEX(Suivi!$B:$B,925)="","",INDEX(Suivi!$B:$B,925))</f>
        <v/>
      </c>
      <c r="P907">
        <f>IF($O907="","",IF(INDEX(Suivi!$D:$D,925)="",INDEX(Suivi!$C:$C,925),INDEX(Suivi!$D:$D,925)))</f>
        <v/>
      </c>
      <c r="Q907">
        <f>IF($O907="","",INDEX(Suivi!$E:$E,925))</f>
        <v/>
      </c>
      <c r="R907">
        <f>IF($O907="","",INDEX(Suivi!$F:$F,925))</f>
        <v/>
      </c>
      <c r="S907">
        <f>IF($O907="","",INDEX(Suivi!$G:$G,925))</f>
        <v/>
      </c>
      <c r="T907">
        <f>IF($O907="","",IF(INDEX(Dossiers!$F$4:$F$63,18)="","",INDEX(Dossiers!$F$4:$F$63,18)))</f>
        <v/>
      </c>
      <c r="U907">
        <f>IF($O907="","",IF(INDEX(Dossiers!$G$4:$G$63,18)="","",INDEX(Dossiers!$G$4:$G$63,18)))</f>
        <v/>
      </c>
      <c r="V907">
        <f>IF(OR($O907="",NOT(ISNUMBER($Q907))),"",$Q907*1000000+907)</f>
        <v/>
      </c>
      <c r="W907" s="29">
        <f>IF($B907="","",IFERROR(INDEX($U$4:$U$3183,MATCH(SMALL($V$4:$V$3183,904),$V$4:$V$3183,0)),""))</f>
        <v/>
      </c>
    </row>
    <row r="908">
      <c r="A908">
        <f>IFERROR(INDEX($N$4:$N$3183,MATCH(SMALL($V$4:$V$3183,905),$V$4:$V$3183,0)),"")</f>
        <v/>
      </c>
      <c r="B908">
        <f>IFERROR(INDEX($O$4:$O$3183,MATCH(SMALL($V$4:$V$3183,905),$V$4:$V$3183,0)),"")</f>
        <v/>
      </c>
      <c r="C908">
        <f>IFERROR(INDEX($P$4:$P$3183,MATCH(SMALL($V$4:$V$3183,905),$V$4:$V$3183,0)),"")</f>
        <v/>
      </c>
      <c r="D908" s="29">
        <f>IFERROR(INDEX($Q$4:$Q$3183,MATCH(SMALL($V$4:$V$3183,905),$V$4:$V$3183,0)),"")</f>
        <v/>
      </c>
      <c r="E908" s="29">
        <f>IFERROR(INDEX($R$4:$R$3183,MATCH(SMALL($V$4:$V$3183,905),$V$4:$V$3183,0)),"")</f>
        <v/>
      </c>
      <c r="F908">
        <f>IFERROR(INDEX($S$4:$S$3183,MATCH(SMALL($V$4:$V$3183,905),$V$4:$V$3183,0)),"")</f>
        <v/>
      </c>
      <c r="I908" s="29">
        <f>IF($B908="","",IFERROR(INDEX($U$4:$U$3183,MATCH(SMALL($V$4:$V$3183,905),$V$4:$V$3183,0)),""))</f>
        <v/>
      </c>
      <c r="J908">
        <f>IF($B908="","",IF($D908&gt;$F$2,"À venir",IF($E908&lt;$D$2,"Passé","Dans la période")))</f>
        <v/>
      </c>
      <c r="K908">
        <f>IF(OR($B908="",NOT(ISNUMBER($D908))),"",IF(AND($E908&lt;$D$2,$G908&lt;&gt;"X",$F908&lt;&gt;"Réalisé",$F908&lt;&gt;"Clôturé"),"RETARD",""))</f>
        <v/>
      </c>
      <c r="L908">
        <f>IF(OR($B908="",NOT(ISNUMBER($D908))),"",IF(AND($D908&gt;=$D$2,$D908&lt;=$H$2,$G908&lt;&gt;"X",$F908&lt;&gt;"Réalisé",$F908&lt;&gt;"Clôturé"),"≤ 7 j",""))</f>
        <v/>
      </c>
      <c r="M908" s="29">
        <f>IF($B908="","",IFERROR(INDEX($T$4:$T$3183,MATCH(SMALL($V$4:$V$3183,905),$V$4:$V$3183,0)),""))</f>
        <v/>
      </c>
      <c r="O908">
        <f>IF(INDEX(Suivi!$B:$B,926)="","",INDEX(Suivi!$B:$B,926))</f>
        <v/>
      </c>
      <c r="P908">
        <f>IF($O908="","",IF(INDEX(Suivi!$D:$D,926)="",INDEX(Suivi!$C:$C,926),INDEX(Suivi!$D:$D,926)))</f>
        <v/>
      </c>
      <c r="Q908">
        <f>IF($O908="","",INDEX(Suivi!$E:$E,926))</f>
        <v/>
      </c>
      <c r="R908">
        <f>IF($O908="","",INDEX(Suivi!$F:$F,926))</f>
        <v/>
      </c>
      <c r="S908">
        <f>IF($O908="","",INDEX(Suivi!$G:$G,926))</f>
        <v/>
      </c>
      <c r="T908">
        <f>IF($O908="","",IF(INDEX(Dossiers!$F$4:$F$63,18)="","",INDEX(Dossiers!$F$4:$F$63,18)))</f>
        <v/>
      </c>
      <c r="U908">
        <f>IF($O908="","",IF(INDEX(Dossiers!$G$4:$G$63,18)="","",INDEX(Dossiers!$G$4:$G$63,18)))</f>
        <v/>
      </c>
      <c r="V908">
        <f>IF(OR($O908="",NOT(ISNUMBER($Q908))),"",$Q908*1000000+908)</f>
        <v/>
      </c>
      <c r="W908" s="29">
        <f>IF($B908="","",IFERROR(INDEX($U$4:$U$3183,MATCH(SMALL($V$4:$V$3183,905),$V$4:$V$3183,0)),""))</f>
        <v/>
      </c>
    </row>
    <row r="909">
      <c r="A909">
        <f>IFERROR(INDEX($N$4:$N$3183,MATCH(SMALL($V$4:$V$3183,906),$V$4:$V$3183,0)),"")</f>
        <v/>
      </c>
      <c r="B909">
        <f>IFERROR(INDEX($O$4:$O$3183,MATCH(SMALL($V$4:$V$3183,906),$V$4:$V$3183,0)),"")</f>
        <v/>
      </c>
      <c r="C909">
        <f>IFERROR(INDEX($P$4:$P$3183,MATCH(SMALL($V$4:$V$3183,906),$V$4:$V$3183,0)),"")</f>
        <v/>
      </c>
      <c r="D909" s="29">
        <f>IFERROR(INDEX($Q$4:$Q$3183,MATCH(SMALL($V$4:$V$3183,906),$V$4:$V$3183,0)),"")</f>
        <v/>
      </c>
      <c r="E909" s="29">
        <f>IFERROR(INDEX($R$4:$R$3183,MATCH(SMALL($V$4:$V$3183,906),$V$4:$V$3183,0)),"")</f>
        <v/>
      </c>
      <c r="F909">
        <f>IFERROR(INDEX($S$4:$S$3183,MATCH(SMALL($V$4:$V$3183,906),$V$4:$V$3183,0)),"")</f>
        <v/>
      </c>
      <c r="I909" s="29">
        <f>IF($B909="","",IFERROR(INDEX($U$4:$U$3183,MATCH(SMALL($V$4:$V$3183,906),$V$4:$V$3183,0)),""))</f>
        <v/>
      </c>
      <c r="J909">
        <f>IF($B909="","",IF($D909&gt;$F$2,"À venir",IF($E909&lt;$D$2,"Passé","Dans la période")))</f>
        <v/>
      </c>
      <c r="K909">
        <f>IF(OR($B909="",NOT(ISNUMBER($D909))),"",IF(AND($E909&lt;$D$2,$G909&lt;&gt;"X",$F909&lt;&gt;"Réalisé",$F909&lt;&gt;"Clôturé"),"RETARD",""))</f>
        <v/>
      </c>
      <c r="L909">
        <f>IF(OR($B909="",NOT(ISNUMBER($D909))),"",IF(AND($D909&gt;=$D$2,$D909&lt;=$H$2,$G909&lt;&gt;"X",$F909&lt;&gt;"Réalisé",$F909&lt;&gt;"Clôturé"),"≤ 7 j",""))</f>
        <v/>
      </c>
      <c r="M909" s="29">
        <f>IF($B909="","",IFERROR(INDEX($T$4:$T$3183,MATCH(SMALL($V$4:$V$3183,906),$V$4:$V$3183,0)),""))</f>
        <v/>
      </c>
      <c r="O909">
        <f>IF(INDEX(Suivi!$B:$B,927)="","",INDEX(Suivi!$B:$B,927))</f>
        <v/>
      </c>
      <c r="P909">
        <f>IF($O909="","",IF(INDEX(Suivi!$D:$D,927)="",INDEX(Suivi!$C:$C,927),INDEX(Suivi!$D:$D,927)))</f>
        <v/>
      </c>
      <c r="Q909">
        <f>IF($O909="","",INDEX(Suivi!$E:$E,927))</f>
        <v/>
      </c>
      <c r="R909">
        <f>IF($O909="","",INDEX(Suivi!$F:$F,927))</f>
        <v/>
      </c>
      <c r="S909">
        <f>IF($O909="","",INDEX(Suivi!$G:$G,927))</f>
        <v/>
      </c>
      <c r="T909">
        <f>IF($O909="","",IF(INDEX(Dossiers!$F$4:$F$63,18)="","",INDEX(Dossiers!$F$4:$F$63,18)))</f>
        <v/>
      </c>
      <c r="U909">
        <f>IF($O909="","",IF(INDEX(Dossiers!$G$4:$G$63,18)="","",INDEX(Dossiers!$G$4:$G$63,18)))</f>
        <v/>
      </c>
      <c r="V909">
        <f>IF(OR($O909="",NOT(ISNUMBER($Q909))),"",$Q909*1000000+909)</f>
        <v/>
      </c>
      <c r="W909" s="29">
        <f>IF($B909="","",IFERROR(INDEX($U$4:$U$3183,MATCH(SMALL($V$4:$V$3183,906),$V$4:$V$3183,0)),""))</f>
        <v/>
      </c>
    </row>
    <row r="910">
      <c r="A910">
        <f>IFERROR(INDEX($N$4:$N$3183,MATCH(SMALL($V$4:$V$3183,907),$V$4:$V$3183,0)),"")</f>
        <v/>
      </c>
      <c r="B910">
        <f>IFERROR(INDEX($O$4:$O$3183,MATCH(SMALL($V$4:$V$3183,907),$V$4:$V$3183,0)),"")</f>
        <v/>
      </c>
      <c r="C910">
        <f>IFERROR(INDEX($P$4:$P$3183,MATCH(SMALL($V$4:$V$3183,907),$V$4:$V$3183,0)),"")</f>
        <v/>
      </c>
      <c r="D910" s="29">
        <f>IFERROR(INDEX($Q$4:$Q$3183,MATCH(SMALL($V$4:$V$3183,907),$V$4:$V$3183,0)),"")</f>
        <v/>
      </c>
      <c r="E910" s="29">
        <f>IFERROR(INDEX($R$4:$R$3183,MATCH(SMALL($V$4:$V$3183,907),$V$4:$V$3183,0)),"")</f>
        <v/>
      </c>
      <c r="F910">
        <f>IFERROR(INDEX($S$4:$S$3183,MATCH(SMALL($V$4:$V$3183,907),$V$4:$V$3183,0)),"")</f>
        <v/>
      </c>
      <c r="I910" s="29">
        <f>IF($B910="","",IFERROR(INDEX($U$4:$U$3183,MATCH(SMALL($V$4:$V$3183,907),$V$4:$V$3183,0)),""))</f>
        <v/>
      </c>
      <c r="J910">
        <f>IF($B910="","",IF($D910&gt;$F$2,"À venir",IF($E910&lt;$D$2,"Passé","Dans la période")))</f>
        <v/>
      </c>
      <c r="K910">
        <f>IF(OR($B910="",NOT(ISNUMBER($D910))),"",IF(AND($E910&lt;$D$2,$G910&lt;&gt;"X",$F910&lt;&gt;"Réalisé",$F910&lt;&gt;"Clôturé"),"RETARD",""))</f>
        <v/>
      </c>
      <c r="L910">
        <f>IF(OR($B910="",NOT(ISNUMBER($D910))),"",IF(AND($D910&gt;=$D$2,$D910&lt;=$H$2,$G910&lt;&gt;"X",$F910&lt;&gt;"Réalisé",$F910&lt;&gt;"Clôturé"),"≤ 7 j",""))</f>
        <v/>
      </c>
      <c r="M910" s="29">
        <f>IF($B910="","",IFERROR(INDEX($T$4:$T$3183,MATCH(SMALL($V$4:$V$3183,907),$V$4:$V$3183,0)),""))</f>
        <v/>
      </c>
      <c r="O910">
        <f>IF(INDEX(Suivi!$B:$B,928)="","",INDEX(Suivi!$B:$B,928))</f>
        <v/>
      </c>
      <c r="P910">
        <f>IF($O910="","",IF(INDEX(Suivi!$D:$D,928)="",INDEX(Suivi!$C:$C,928),INDEX(Suivi!$D:$D,928)))</f>
        <v/>
      </c>
      <c r="Q910">
        <f>IF($O910="","",INDEX(Suivi!$E:$E,928))</f>
        <v/>
      </c>
      <c r="R910">
        <f>IF($O910="","",INDEX(Suivi!$F:$F,928))</f>
        <v/>
      </c>
      <c r="S910">
        <f>IF($O910="","",INDEX(Suivi!$G:$G,928))</f>
        <v/>
      </c>
      <c r="T910">
        <f>IF($O910="","",IF(INDEX(Dossiers!$F$4:$F$63,18)="","",INDEX(Dossiers!$F$4:$F$63,18)))</f>
        <v/>
      </c>
      <c r="U910">
        <f>IF($O910="","",IF(INDEX(Dossiers!$G$4:$G$63,18)="","",INDEX(Dossiers!$G$4:$G$63,18)))</f>
        <v/>
      </c>
      <c r="V910">
        <f>IF(OR($O910="",NOT(ISNUMBER($Q910))),"",$Q910*1000000+910)</f>
        <v/>
      </c>
      <c r="W910" s="29">
        <f>IF($B910="","",IFERROR(INDEX($U$4:$U$3183,MATCH(SMALL($V$4:$V$3183,907),$V$4:$V$3183,0)),""))</f>
        <v/>
      </c>
    </row>
    <row r="911">
      <c r="A911">
        <f>IFERROR(INDEX($N$4:$N$3183,MATCH(SMALL($V$4:$V$3183,908),$V$4:$V$3183,0)),"")</f>
        <v/>
      </c>
      <c r="B911">
        <f>IFERROR(INDEX($O$4:$O$3183,MATCH(SMALL($V$4:$V$3183,908),$V$4:$V$3183,0)),"")</f>
        <v/>
      </c>
      <c r="C911">
        <f>IFERROR(INDEX($P$4:$P$3183,MATCH(SMALL($V$4:$V$3183,908),$V$4:$V$3183,0)),"")</f>
        <v/>
      </c>
      <c r="D911" s="29">
        <f>IFERROR(INDEX($Q$4:$Q$3183,MATCH(SMALL($V$4:$V$3183,908),$V$4:$V$3183,0)),"")</f>
        <v/>
      </c>
      <c r="E911" s="29">
        <f>IFERROR(INDEX($R$4:$R$3183,MATCH(SMALL($V$4:$V$3183,908),$V$4:$V$3183,0)),"")</f>
        <v/>
      </c>
      <c r="F911">
        <f>IFERROR(INDEX($S$4:$S$3183,MATCH(SMALL($V$4:$V$3183,908),$V$4:$V$3183,0)),"")</f>
        <v/>
      </c>
      <c r="I911" s="29">
        <f>IF($B911="","",IFERROR(INDEX($U$4:$U$3183,MATCH(SMALL($V$4:$V$3183,908),$V$4:$V$3183,0)),""))</f>
        <v/>
      </c>
      <c r="J911">
        <f>IF($B911="","",IF($D911&gt;$F$2,"À venir",IF($E911&lt;$D$2,"Passé","Dans la période")))</f>
        <v/>
      </c>
      <c r="K911">
        <f>IF(OR($B911="",NOT(ISNUMBER($D911))),"",IF(AND($E911&lt;$D$2,$G911&lt;&gt;"X",$F911&lt;&gt;"Réalisé",$F911&lt;&gt;"Clôturé"),"RETARD",""))</f>
        <v/>
      </c>
      <c r="L911">
        <f>IF(OR($B911="",NOT(ISNUMBER($D911))),"",IF(AND($D911&gt;=$D$2,$D911&lt;=$H$2,$G911&lt;&gt;"X",$F911&lt;&gt;"Réalisé",$F911&lt;&gt;"Clôturé"),"≤ 7 j",""))</f>
        <v/>
      </c>
      <c r="M911" s="29">
        <f>IF($B911="","",IFERROR(INDEX($T$4:$T$3183,MATCH(SMALL($V$4:$V$3183,908),$V$4:$V$3183,0)),""))</f>
        <v/>
      </c>
      <c r="O911">
        <f>IF(INDEX(Suivi!$B:$B,929)="","",INDEX(Suivi!$B:$B,929))</f>
        <v/>
      </c>
      <c r="P911">
        <f>IF($O911="","",IF(INDEX(Suivi!$D:$D,929)="",INDEX(Suivi!$C:$C,929),INDEX(Suivi!$D:$D,929)))</f>
        <v/>
      </c>
      <c r="Q911">
        <f>IF($O911="","",INDEX(Suivi!$E:$E,929))</f>
        <v/>
      </c>
      <c r="R911">
        <f>IF($O911="","",INDEX(Suivi!$F:$F,929))</f>
        <v/>
      </c>
      <c r="S911">
        <f>IF($O911="","",INDEX(Suivi!$G:$G,929))</f>
        <v/>
      </c>
      <c r="T911">
        <f>IF($O911="","",IF(INDEX(Dossiers!$F$4:$F$63,18)="","",INDEX(Dossiers!$F$4:$F$63,18)))</f>
        <v/>
      </c>
      <c r="U911">
        <f>IF($O911="","",IF(INDEX(Dossiers!$G$4:$G$63,18)="","",INDEX(Dossiers!$G$4:$G$63,18)))</f>
        <v/>
      </c>
      <c r="V911">
        <f>IF(OR($O911="",NOT(ISNUMBER($Q911))),"",$Q911*1000000+911)</f>
        <v/>
      </c>
      <c r="W911" s="29">
        <f>IF($B911="","",IFERROR(INDEX($U$4:$U$3183,MATCH(SMALL($V$4:$V$3183,908),$V$4:$V$3183,0)),""))</f>
        <v/>
      </c>
    </row>
    <row r="912">
      <c r="A912">
        <f>IFERROR(INDEX($N$4:$N$3183,MATCH(SMALL($V$4:$V$3183,909),$V$4:$V$3183,0)),"")</f>
        <v/>
      </c>
      <c r="B912">
        <f>IFERROR(INDEX($O$4:$O$3183,MATCH(SMALL($V$4:$V$3183,909),$V$4:$V$3183,0)),"")</f>
        <v/>
      </c>
      <c r="C912">
        <f>IFERROR(INDEX($P$4:$P$3183,MATCH(SMALL($V$4:$V$3183,909),$V$4:$V$3183,0)),"")</f>
        <v/>
      </c>
      <c r="D912" s="29">
        <f>IFERROR(INDEX($Q$4:$Q$3183,MATCH(SMALL($V$4:$V$3183,909),$V$4:$V$3183,0)),"")</f>
        <v/>
      </c>
      <c r="E912" s="29">
        <f>IFERROR(INDEX($R$4:$R$3183,MATCH(SMALL($V$4:$V$3183,909),$V$4:$V$3183,0)),"")</f>
        <v/>
      </c>
      <c r="F912">
        <f>IFERROR(INDEX($S$4:$S$3183,MATCH(SMALL($V$4:$V$3183,909),$V$4:$V$3183,0)),"")</f>
        <v/>
      </c>
      <c r="I912" s="29">
        <f>IF($B912="","",IFERROR(INDEX($U$4:$U$3183,MATCH(SMALL($V$4:$V$3183,909),$V$4:$V$3183,0)),""))</f>
        <v/>
      </c>
      <c r="J912">
        <f>IF($B912="","",IF($D912&gt;$F$2,"À venir",IF($E912&lt;$D$2,"Passé","Dans la période")))</f>
        <v/>
      </c>
      <c r="K912">
        <f>IF(OR($B912="",NOT(ISNUMBER($D912))),"",IF(AND($E912&lt;$D$2,$G912&lt;&gt;"X",$F912&lt;&gt;"Réalisé",$F912&lt;&gt;"Clôturé"),"RETARD",""))</f>
        <v/>
      </c>
      <c r="L912">
        <f>IF(OR($B912="",NOT(ISNUMBER($D912))),"",IF(AND($D912&gt;=$D$2,$D912&lt;=$H$2,$G912&lt;&gt;"X",$F912&lt;&gt;"Réalisé",$F912&lt;&gt;"Clôturé"),"≤ 7 j",""))</f>
        <v/>
      </c>
      <c r="M912" s="29">
        <f>IF($B912="","",IFERROR(INDEX($T$4:$T$3183,MATCH(SMALL($V$4:$V$3183,909),$V$4:$V$3183,0)),""))</f>
        <v/>
      </c>
      <c r="O912">
        <f>IF(INDEX(Suivi!$B:$B,930)="","",INDEX(Suivi!$B:$B,930))</f>
        <v/>
      </c>
      <c r="P912">
        <f>IF($O912="","",IF(INDEX(Suivi!$D:$D,930)="",INDEX(Suivi!$C:$C,930),INDEX(Suivi!$D:$D,930)))</f>
        <v/>
      </c>
      <c r="Q912">
        <f>IF($O912="","",INDEX(Suivi!$E:$E,930))</f>
        <v/>
      </c>
      <c r="R912">
        <f>IF($O912="","",INDEX(Suivi!$F:$F,930))</f>
        <v/>
      </c>
      <c r="S912">
        <f>IF($O912="","",INDEX(Suivi!$G:$G,930))</f>
        <v/>
      </c>
      <c r="T912">
        <f>IF($O912="","",IF(INDEX(Dossiers!$F$4:$F$63,18)="","",INDEX(Dossiers!$F$4:$F$63,18)))</f>
        <v/>
      </c>
      <c r="U912">
        <f>IF($O912="","",IF(INDEX(Dossiers!$G$4:$G$63,18)="","",INDEX(Dossiers!$G$4:$G$63,18)))</f>
        <v/>
      </c>
      <c r="V912">
        <f>IF(OR($O912="",NOT(ISNUMBER($Q912))),"",$Q912*1000000+912)</f>
        <v/>
      </c>
      <c r="W912" s="29">
        <f>IF($B912="","",IFERROR(INDEX($U$4:$U$3183,MATCH(SMALL($V$4:$V$3183,909),$V$4:$V$3183,0)),""))</f>
        <v/>
      </c>
    </row>
    <row r="913">
      <c r="A913">
        <f>IFERROR(INDEX($N$4:$N$3183,MATCH(SMALL($V$4:$V$3183,910),$V$4:$V$3183,0)),"")</f>
        <v/>
      </c>
      <c r="B913">
        <f>IFERROR(INDEX($O$4:$O$3183,MATCH(SMALL($V$4:$V$3183,910),$V$4:$V$3183,0)),"")</f>
        <v/>
      </c>
      <c r="C913">
        <f>IFERROR(INDEX($P$4:$P$3183,MATCH(SMALL($V$4:$V$3183,910),$V$4:$V$3183,0)),"")</f>
        <v/>
      </c>
      <c r="D913" s="29">
        <f>IFERROR(INDEX($Q$4:$Q$3183,MATCH(SMALL($V$4:$V$3183,910),$V$4:$V$3183,0)),"")</f>
        <v/>
      </c>
      <c r="E913" s="29">
        <f>IFERROR(INDEX($R$4:$R$3183,MATCH(SMALL($V$4:$V$3183,910),$V$4:$V$3183,0)),"")</f>
        <v/>
      </c>
      <c r="F913">
        <f>IFERROR(INDEX($S$4:$S$3183,MATCH(SMALL($V$4:$V$3183,910),$V$4:$V$3183,0)),"")</f>
        <v/>
      </c>
      <c r="I913" s="29">
        <f>IF($B913="","",IFERROR(INDEX($U$4:$U$3183,MATCH(SMALL($V$4:$V$3183,910),$V$4:$V$3183,0)),""))</f>
        <v/>
      </c>
      <c r="J913">
        <f>IF($B913="","",IF($D913&gt;$F$2,"À venir",IF($E913&lt;$D$2,"Passé","Dans la période")))</f>
        <v/>
      </c>
      <c r="K913">
        <f>IF(OR($B913="",NOT(ISNUMBER($D913))),"",IF(AND($E913&lt;$D$2,$G913&lt;&gt;"X",$F913&lt;&gt;"Réalisé",$F913&lt;&gt;"Clôturé"),"RETARD",""))</f>
        <v/>
      </c>
      <c r="L913">
        <f>IF(OR($B913="",NOT(ISNUMBER($D913))),"",IF(AND($D913&gt;=$D$2,$D913&lt;=$H$2,$G913&lt;&gt;"X",$F913&lt;&gt;"Réalisé",$F913&lt;&gt;"Clôturé"),"≤ 7 j",""))</f>
        <v/>
      </c>
      <c r="M913" s="29">
        <f>IF($B913="","",IFERROR(INDEX($T$4:$T$3183,MATCH(SMALL($V$4:$V$3183,910),$V$4:$V$3183,0)),""))</f>
        <v/>
      </c>
      <c r="O913">
        <f>IF(INDEX(Suivi!$B:$B,931)="","",INDEX(Suivi!$B:$B,931))</f>
        <v/>
      </c>
      <c r="P913">
        <f>IF($O913="","",IF(INDEX(Suivi!$D:$D,931)="",INDEX(Suivi!$C:$C,931),INDEX(Suivi!$D:$D,931)))</f>
        <v/>
      </c>
      <c r="Q913">
        <f>IF($O913="","",INDEX(Suivi!$E:$E,931))</f>
        <v/>
      </c>
      <c r="R913">
        <f>IF($O913="","",INDEX(Suivi!$F:$F,931))</f>
        <v/>
      </c>
      <c r="S913">
        <f>IF($O913="","",INDEX(Suivi!$G:$G,931))</f>
        <v/>
      </c>
      <c r="T913">
        <f>IF($O913="","",IF(INDEX(Dossiers!$F$4:$F$63,18)="","",INDEX(Dossiers!$F$4:$F$63,18)))</f>
        <v/>
      </c>
      <c r="U913">
        <f>IF($O913="","",IF(INDEX(Dossiers!$G$4:$G$63,18)="","",INDEX(Dossiers!$G$4:$G$63,18)))</f>
        <v/>
      </c>
      <c r="V913">
        <f>IF(OR($O913="",NOT(ISNUMBER($Q913))),"",$Q913*1000000+913)</f>
        <v/>
      </c>
      <c r="W913" s="29">
        <f>IF($B913="","",IFERROR(INDEX($U$4:$U$3183,MATCH(SMALL($V$4:$V$3183,910),$V$4:$V$3183,0)),""))</f>
        <v/>
      </c>
    </row>
    <row r="914">
      <c r="A914">
        <f>IFERROR(INDEX($N$4:$N$3183,MATCH(SMALL($V$4:$V$3183,911),$V$4:$V$3183,0)),"")</f>
        <v/>
      </c>
      <c r="B914">
        <f>IFERROR(INDEX($O$4:$O$3183,MATCH(SMALL($V$4:$V$3183,911),$V$4:$V$3183,0)),"")</f>
        <v/>
      </c>
      <c r="C914">
        <f>IFERROR(INDEX($P$4:$P$3183,MATCH(SMALL($V$4:$V$3183,911),$V$4:$V$3183,0)),"")</f>
        <v/>
      </c>
      <c r="D914" s="29">
        <f>IFERROR(INDEX($Q$4:$Q$3183,MATCH(SMALL($V$4:$V$3183,911),$V$4:$V$3183,0)),"")</f>
        <v/>
      </c>
      <c r="E914" s="29">
        <f>IFERROR(INDEX($R$4:$R$3183,MATCH(SMALL($V$4:$V$3183,911),$V$4:$V$3183,0)),"")</f>
        <v/>
      </c>
      <c r="F914">
        <f>IFERROR(INDEX($S$4:$S$3183,MATCH(SMALL($V$4:$V$3183,911),$V$4:$V$3183,0)),"")</f>
        <v/>
      </c>
      <c r="I914" s="29">
        <f>IF($B914="","",IFERROR(INDEX($U$4:$U$3183,MATCH(SMALL($V$4:$V$3183,911),$V$4:$V$3183,0)),""))</f>
        <v/>
      </c>
      <c r="J914">
        <f>IF($B914="","",IF($D914&gt;$F$2,"À venir",IF($E914&lt;$D$2,"Passé","Dans la période")))</f>
        <v/>
      </c>
      <c r="K914">
        <f>IF(OR($B914="",NOT(ISNUMBER($D914))),"",IF(AND($E914&lt;$D$2,$G914&lt;&gt;"X",$F914&lt;&gt;"Réalisé",$F914&lt;&gt;"Clôturé"),"RETARD",""))</f>
        <v/>
      </c>
      <c r="L914">
        <f>IF(OR($B914="",NOT(ISNUMBER($D914))),"",IF(AND($D914&gt;=$D$2,$D914&lt;=$H$2,$G914&lt;&gt;"X",$F914&lt;&gt;"Réalisé",$F914&lt;&gt;"Clôturé"),"≤ 7 j",""))</f>
        <v/>
      </c>
      <c r="M914" s="29">
        <f>IF($B914="","",IFERROR(INDEX($T$4:$T$3183,MATCH(SMALL($V$4:$V$3183,911),$V$4:$V$3183,0)),""))</f>
        <v/>
      </c>
      <c r="O914">
        <f>IF(INDEX(Suivi!$B:$B,932)="","",INDEX(Suivi!$B:$B,932))</f>
        <v/>
      </c>
      <c r="P914">
        <f>IF($O914="","",IF(INDEX(Suivi!$D:$D,932)="",INDEX(Suivi!$C:$C,932),INDEX(Suivi!$D:$D,932)))</f>
        <v/>
      </c>
      <c r="Q914">
        <f>IF($O914="","",INDEX(Suivi!$E:$E,932))</f>
        <v/>
      </c>
      <c r="R914">
        <f>IF($O914="","",INDEX(Suivi!$F:$F,932))</f>
        <v/>
      </c>
      <c r="S914">
        <f>IF($O914="","",INDEX(Suivi!$G:$G,932))</f>
        <v/>
      </c>
      <c r="T914">
        <f>IF($O914="","",IF(INDEX(Dossiers!$F$4:$F$63,18)="","",INDEX(Dossiers!$F$4:$F$63,18)))</f>
        <v/>
      </c>
      <c r="U914">
        <f>IF($O914="","",IF(INDEX(Dossiers!$G$4:$G$63,18)="","",INDEX(Dossiers!$G$4:$G$63,18)))</f>
        <v/>
      </c>
      <c r="V914">
        <f>IF(OR($O914="",NOT(ISNUMBER($Q914))),"",$Q914*1000000+914)</f>
        <v/>
      </c>
      <c r="W914" s="29">
        <f>IF($B914="","",IFERROR(INDEX($U$4:$U$3183,MATCH(SMALL($V$4:$V$3183,911),$V$4:$V$3183,0)),""))</f>
        <v/>
      </c>
    </row>
    <row r="915">
      <c r="A915">
        <f>IFERROR(INDEX($N$4:$N$3183,MATCH(SMALL($V$4:$V$3183,912),$V$4:$V$3183,0)),"")</f>
        <v/>
      </c>
      <c r="B915">
        <f>IFERROR(INDEX($O$4:$O$3183,MATCH(SMALL($V$4:$V$3183,912),$V$4:$V$3183,0)),"")</f>
        <v/>
      </c>
      <c r="C915">
        <f>IFERROR(INDEX($P$4:$P$3183,MATCH(SMALL($V$4:$V$3183,912),$V$4:$V$3183,0)),"")</f>
        <v/>
      </c>
      <c r="D915" s="29">
        <f>IFERROR(INDEX($Q$4:$Q$3183,MATCH(SMALL($V$4:$V$3183,912),$V$4:$V$3183,0)),"")</f>
        <v/>
      </c>
      <c r="E915" s="29">
        <f>IFERROR(INDEX($R$4:$R$3183,MATCH(SMALL($V$4:$V$3183,912),$V$4:$V$3183,0)),"")</f>
        <v/>
      </c>
      <c r="F915">
        <f>IFERROR(INDEX($S$4:$S$3183,MATCH(SMALL($V$4:$V$3183,912),$V$4:$V$3183,0)),"")</f>
        <v/>
      </c>
      <c r="I915" s="29">
        <f>IF($B915="","",IFERROR(INDEX($U$4:$U$3183,MATCH(SMALL($V$4:$V$3183,912),$V$4:$V$3183,0)),""))</f>
        <v/>
      </c>
      <c r="J915">
        <f>IF($B915="","",IF($D915&gt;$F$2,"À venir",IF($E915&lt;$D$2,"Passé","Dans la période")))</f>
        <v/>
      </c>
      <c r="K915">
        <f>IF(OR($B915="",NOT(ISNUMBER($D915))),"",IF(AND($E915&lt;$D$2,$G915&lt;&gt;"X",$F915&lt;&gt;"Réalisé",$F915&lt;&gt;"Clôturé"),"RETARD",""))</f>
        <v/>
      </c>
      <c r="L915">
        <f>IF(OR($B915="",NOT(ISNUMBER($D915))),"",IF(AND($D915&gt;=$D$2,$D915&lt;=$H$2,$G915&lt;&gt;"X",$F915&lt;&gt;"Réalisé",$F915&lt;&gt;"Clôturé"),"≤ 7 j",""))</f>
        <v/>
      </c>
      <c r="M915" s="29">
        <f>IF($B915="","",IFERROR(INDEX($T$4:$T$3183,MATCH(SMALL($V$4:$V$3183,912),$V$4:$V$3183,0)),""))</f>
        <v/>
      </c>
      <c r="O915">
        <f>IF(INDEX(Suivi!$B:$B,933)="","",INDEX(Suivi!$B:$B,933))</f>
        <v/>
      </c>
      <c r="P915">
        <f>IF($O915="","",IF(INDEX(Suivi!$D:$D,933)="",INDEX(Suivi!$C:$C,933),INDEX(Suivi!$D:$D,933)))</f>
        <v/>
      </c>
      <c r="Q915">
        <f>IF($O915="","",INDEX(Suivi!$E:$E,933))</f>
        <v/>
      </c>
      <c r="R915">
        <f>IF($O915="","",INDEX(Suivi!$F:$F,933))</f>
        <v/>
      </c>
      <c r="S915">
        <f>IF($O915="","",INDEX(Suivi!$G:$G,933))</f>
        <v/>
      </c>
      <c r="T915">
        <f>IF($O915="","",IF(INDEX(Dossiers!$F$4:$F$63,18)="","",INDEX(Dossiers!$F$4:$F$63,18)))</f>
        <v/>
      </c>
      <c r="U915">
        <f>IF($O915="","",IF(INDEX(Dossiers!$G$4:$G$63,18)="","",INDEX(Dossiers!$G$4:$G$63,18)))</f>
        <v/>
      </c>
      <c r="V915">
        <f>IF(OR($O915="",NOT(ISNUMBER($Q915))),"",$Q915*1000000+915)</f>
        <v/>
      </c>
      <c r="W915" s="29">
        <f>IF($B915="","",IFERROR(INDEX($U$4:$U$3183,MATCH(SMALL($V$4:$V$3183,912),$V$4:$V$3183,0)),""))</f>
        <v/>
      </c>
    </row>
    <row r="916">
      <c r="A916">
        <f>IFERROR(INDEX($N$4:$N$3183,MATCH(SMALL($V$4:$V$3183,913),$V$4:$V$3183,0)),"")</f>
        <v/>
      </c>
      <c r="B916">
        <f>IFERROR(INDEX($O$4:$O$3183,MATCH(SMALL($V$4:$V$3183,913),$V$4:$V$3183,0)),"")</f>
        <v/>
      </c>
      <c r="C916">
        <f>IFERROR(INDEX($P$4:$P$3183,MATCH(SMALL($V$4:$V$3183,913),$V$4:$V$3183,0)),"")</f>
        <v/>
      </c>
      <c r="D916" s="29">
        <f>IFERROR(INDEX($Q$4:$Q$3183,MATCH(SMALL($V$4:$V$3183,913),$V$4:$V$3183,0)),"")</f>
        <v/>
      </c>
      <c r="E916" s="29">
        <f>IFERROR(INDEX($R$4:$R$3183,MATCH(SMALL($V$4:$V$3183,913),$V$4:$V$3183,0)),"")</f>
        <v/>
      </c>
      <c r="F916">
        <f>IFERROR(INDEX($S$4:$S$3183,MATCH(SMALL($V$4:$V$3183,913),$V$4:$V$3183,0)),"")</f>
        <v/>
      </c>
      <c r="I916" s="29">
        <f>IF($B916="","",IFERROR(INDEX($U$4:$U$3183,MATCH(SMALL($V$4:$V$3183,913),$V$4:$V$3183,0)),""))</f>
        <v/>
      </c>
      <c r="J916">
        <f>IF($B916="","",IF($D916&gt;$F$2,"À venir",IF($E916&lt;$D$2,"Passé","Dans la période")))</f>
        <v/>
      </c>
      <c r="K916">
        <f>IF(OR($B916="",NOT(ISNUMBER($D916))),"",IF(AND($E916&lt;$D$2,$G916&lt;&gt;"X",$F916&lt;&gt;"Réalisé",$F916&lt;&gt;"Clôturé"),"RETARD",""))</f>
        <v/>
      </c>
      <c r="L916">
        <f>IF(OR($B916="",NOT(ISNUMBER($D916))),"",IF(AND($D916&gt;=$D$2,$D916&lt;=$H$2,$G916&lt;&gt;"X",$F916&lt;&gt;"Réalisé",$F916&lt;&gt;"Clôturé"),"≤ 7 j",""))</f>
        <v/>
      </c>
      <c r="M916" s="29">
        <f>IF($B916="","",IFERROR(INDEX($T$4:$T$3183,MATCH(SMALL($V$4:$V$3183,913),$V$4:$V$3183,0)),""))</f>
        <v/>
      </c>
      <c r="O916">
        <f>IF(INDEX(Suivi!$B:$B,934)="","",INDEX(Suivi!$B:$B,934))</f>
        <v/>
      </c>
      <c r="P916">
        <f>IF($O916="","",IF(INDEX(Suivi!$D:$D,934)="",INDEX(Suivi!$C:$C,934),INDEX(Suivi!$D:$D,934)))</f>
        <v/>
      </c>
      <c r="Q916">
        <f>IF($O916="","",INDEX(Suivi!$E:$E,934))</f>
        <v/>
      </c>
      <c r="R916">
        <f>IF($O916="","",INDEX(Suivi!$F:$F,934))</f>
        <v/>
      </c>
      <c r="S916">
        <f>IF($O916="","",INDEX(Suivi!$G:$G,934))</f>
        <v/>
      </c>
      <c r="T916">
        <f>IF($O916="","",IF(INDEX(Dossiers!$F$4:$F$63,18)="","",INDEX(Dossiers!$F$4:$F$63,18)))</f>
        <v/>
      </c>
      <c r="U916">
        <f>IF($O916="","",IF(INDEX(Dossiers!$G$4:$G$63,18)="","",INDEX(Dossiers!$G$4:$G$63,18)))</f>
        <v/>
      </c>
      <c r="V916">
        <f>IF(OR($O916="",NOT(ISNUMBER($Q916))),"",$Q916*1000000+916)</f>
        <v/>
      </c>
      <c r="W916" s="29">
        <f>IF($B916="","",IFERROR(INDEX($U$4:$U$3183,MATCH(SMALL($V$4:$V$3183,913),$V$4:$V$3183,0)),""))</f>
        <v/>
      </c>
    </row>
    <row r="917">
      <c r="A917">
        <f>IFERROR(INDEX($N$4:$N$3183,MATCH(SMALL($V$4:$V$3183,914),$V$4:$V$3183,0)),"")</f>
        <v/>
      </c>
      <c r="B917">
        <f>IFERROR(INDEX($O$4:$O$3183,MATCH(SMALL($V$4:$V$3183,914),$V$4:$V$3183,0)),"")</f>
        <v/>
      </c>
      <c r="C917">
        <f>IFERROR(INDEX($P$4:$P$3183,MATCH(SMALL($V$4:$V$3183,914),$V$4:$V$3183,0)),"")</f>
        <v/>
      </c>
      <c r="D917" s="29">
        <f>IFERROR(INDEX($Q$4:$Q$3183,MATCH(SMALL($V$4:$V$3183,914),$V$4:$V$3183,0)),"")</f>
        <v/>
      </c>
      <c r="E917" s="29">
        <f>IFERROR(INDEX($R$4:$R$3183,MATCH(SMALL($V$4:$V$3183,914),$V$4:$V$3183,0)),"")</f>
        <v/>
      </c>
      <c r="F917">
        <f>IFERROR(INDEX($S$4:$S$3183,MATCH(SMALL($V$4:$V$3183,914),$V$4:$V$3183,0)),"")</f>
        <v/>
      </c>
      <c r="I917" s="29">
        <f>IF($B917="","",IFERROR(INDEX($U$4:$U$3183,MATCH(SMALL($V$4:$V$3183,914),$V$4:$V$3183,0)),""))</f>
        <v/>
      </c>
      <c r="J917">
        <f>IF($B917="","",IF($D917&gt;$F$2,"À venir",IF($E917&lt;$D$2,"Passé","Dans la période")))</f>
        <v/>
      </c>
      <c r="K917">
        <f>IF(OR($B917="",NOT(ISNUMBER($D917))),"",IF(AND($E917&lt;$D$2,$G917&lt;&gt;"X",$F917&lt;&gt;"Réalisé",$F917&lt;&gt;"Clôturé"),"RETARD",""))</f>
        <v/>
      </c>
      <c r="L917">
        <f>IF(OR($B917="",NOT(ISNUMBER($D917))),"",IF(AND($D917&gt;=$D$2,$D917&lt;=$H$2,$G917&lt;&gt;"X",$F917&lt;&gt;"Réalisé",$F917&lt;&gt;"Clôturé"),"≤ 7 j",""))</f>
        <v/>
      </c>
      <c r="M917" s="29">
        <f>IF($B917="","",IFERROR(INDEX($T$4:$T$3183,MATCH(SMALL($V$4:$V$3183,914),$V$4:$V$3183,0)),""))</f>
        <v/>
      </c>
      <c r="O917">
        <f>IF(INDEX(Suivi!$B:$B,935)="","",INDEX(Suivi!$B:$B,935))</f>
        <v/>
      </c>
      <c r="P917">
        <f>IF($O917="","",IF(INDEX(Suivi!$D:$D,935)="",INDEX(Suivi!$C:$C,935),INDEX(Suivi!$D:$D,935)))</f>
        <v/>
      </c>
      <c r="Q917">
        <f>IF($O917="","",INDEX(Suivi!$E:$E,935))</f>
        <v/>
      </c>
      <c r="R917">
        <f>IF($O917="","",INDEX(Suivi!$F:$F,935))</f>
        <v/>
      </c>
      <c r="S917">
        <f>IF($O917="","",INDEX(Suivi!$G:$G,935))</f>
        <v/>
      </c>
      <c r="T917">
        <f>IF($O917="","",IF(INDEX(Dossiers!$F$4:$F$63,18)="","",INDEX(Dossiers!$F$4:$F$63,18)))</f>
        <v/>
      </c>
      <c r="U917">
        <f>IF($O917="","",IF(INDEX(Dossiers!$G$4:$G$63,18)="","",INDEX(Dossiers!$G$4:$G$63,18)))</f>
        <v/>
      </c>
      <c r="V917">
        <f>IF(OR($O917="",NOT(ISNUMBER($Q917))),"",$Q917*1000000+917)</f>
        <v/>
      </c>
      <c r="W917" s="29">
        <f>IF($B917="","",IFERROR(INDEX($U$4:$U$3183,MATCH(SMALL($V$4:$V$3183,914),$V$4:$V$3183,0)),""))</f>
        <v/>
      </c>
    </row>
    <row r="918">
      <c r="A918">
        <f>IFERROR(INDEX($N$4:$N$3183,MATCH(SMALL($V$4:$V$3183,915),$V$4:$V$3183,0)),"")</f>
        <v/>
      </c>
      <c r="B918">
        <f>IFERROR(INDEX($O$4:$O$3183,MATCH(SMALL($V$4:$V$3183,915),$V$4:$V$3183,0)),"")</f>
        <v/>
      </c>
      <c r="C918">
        <f>IFERROR(INDEX($P$4:$P$3183,MATCH(SMALL($V$4:$V$3183,915),$V$4:$V$3183,0)),"")</f>
        <v/>
      </c>
      <c r="D918" s="29">
        <f>IFERROR(INDEX($Q$4:$Q$3183,MATCH(SMALL($V$4:$V$3183,915),$V$4:$V$3183,0)),"")</f>
        <v/>
      </c>
      <c r="E918" s="29">
        <f>IFERROR(INDEX($R$4:$R$3183,MATCH(SMALL($V$4:$V$3183,915),$V$4:$V$3183,0)),"")</f>
        <v/>
      </c>
      <c r="F918">
        <f>IFERROR(INDEX($S$4:$S$3183,MATCH(SMALL($V$4:$V$3183,915),$V$4:$V$3183,0)),"")</f>
        <v/>
      </c>
      <c r="I918" s="29">
        <f>IF($B918="","",IFERROR(INDEX($U$4:$U$3183,MATCH(SMALL($V$4:$V$3183,915),$V$4:$V$3183,0)),""))</f>
        <v/>
      </c>
      <c r="J918">
        <f>IF($B918="","",IF($D918&gt;$F$2,"À venir",IF($E918&lt;$D$2,"Passé","Dans la période")))</f>
        <v/>
      </c>
      <c r="K918">
        <f>IF(OR($B918="",NOT(ISNUMBER($D918))),"",IF(AND($E918&lt;$D$2,$G918&lt;&gt;"X",$F918&lt;&gt;"Réalisé",$F918&lt;&gt;"Clôturé"),"RETARD",""))</f>
        <v/>
      </c>
      <c r="L918">
        <f>IF(OR($B918="",NOT(ISNUMBER($D918))),"",IF(AND($D918&gt;=$D$2,$D918&lt;=$H$2,$G918&lt;&gt;"X",$F918&lt;&gt;"Réalisé",$F918&lt;&gt;"Clôturé"),"≤ 7 j",""))</f>
        <v/>
      </c>
      <c r="M918" s="29">
        <f>IF($B918="","",IFERROR(INDEX($T$4:$T$3183,MATCH(SMALL($V$4:$V$3183,915),$V$4:$V$3183,0)),""))</f>
        <v/>
      </c>
      <c r="O918">
        <f>IF(INDEX(Suivi!$B:$B,936)="","",INDEX(Suivi!$B:$B,936))</f>
        <v/>
      </c>
      <c r="P918">
        <f>IF($O918="","",IF(INDEX(Suivi!$D:$D,936)="",INDEX(Suivi!$C:$C,936),INDEX(Suivi!$D:$D,936)))</f>
        <v/>
      </c>
      <c r="Q918">
        <f>IF($O918="","",INDEX(Suivi!$E:$E,936))</f>
        <v/>
      </c>
      <c r="R918">
        <f>IF($O918="","",INDEX(Suivi!$F:$F,936))</f>
        <v/>
      </c>
      <c r="S918">
        <f>IF($O918="","",INDEX(Suivi!$G:$G,936))</f>
        <v/>
      </c>
      <c r="T918">
        <f>IF($O918="","",IF(INDEX(Dossiers!$F$4:$F$63,18)="","",INDEX(Dossiers!$F$4:$F$63,18)))</f>
        <v/>
      </c>
      <c r="U918">
        <f>IF($O918="","",IF(INDEX(Dossiers!$G$4:$G$63,18)="","",INDEX(Dossiers!$G$4:$G$63,18)))</f>
        <v/>
      </c>
      <c r="V918">
        <f>IF(OR($O918="",NOT(ISNUMBER($Q918))),"",$Q918*1000000+918)</f>
        <v/>
      </c>
      <c r="W918" s="29">
        <f>IF($B918="","",IFERROR(INDEX($U$4:$U$3183,MATCH(SMALL($V$4:$V$3183,915),$V$4:$V$3183,0)),""))</f>
        <v/>
      </c>
    </row>
    <row r="919">
      <c r="A919">
        <f>IFERROR(INDEX($N$4:$N$3183,MATCH(SMALL($V$4:$V$3183,916),$V$4:$V$3183,0)),"")</f>
        <v/>
      </c>
      <c r="B919">
        <f>IFERROR(INDEX($O$4:$O$3183,MATCH(SMALL($V$4:$V$3183,916),$V$4:$V$3183,0)),"")</f>
        <v/>
      </c>
      <c r="C919">
        <f>IFERROR(INDEX($P$4:$P$3183,MATCH(SMALL($V$4:$V$3183,916),$V$4:$V$3183,0)),"")</f>
        <v/>
      </c>
      <c r="D919" s="29">
        <f>IFERROR(INDEX($Q$4:$Q$3183,MATCH(SMALL($V$4:$V$3183,916),$V$4:$V$3183,0)),"")</f>
        <v/>
      </c>
      <c r="E919" s="29">
        <f>IFERROR(INDEX($R$4:$R$3183,MATCH(SMALL($V$4:$V$3183,916),$V$4:$V$3183,0)),"")</f>
        <v/>
      </c>
      <c r="F919">
        <f>IFERROR(INDEX($S$4:$S$3183,MATCH(SMALL($V$4:$V$3183,916),$V$4:$V$3183,0)),"")</f>
        <v/>
      </c>
      <c r="I919" s="29">
        <f>IF($B919="","",IFERROR(INDEX($U$4:$U$3183,MATCH(SMALL($V$4:$V$3183,916),$V$4:$V$3183,0)),""))</f>
        <v/>
      </c>
      <c r="J919">
        <f>IF($B919="","",IF($D919&gt;$F$2,"À venir",IF($E919&lt;$D$2,"Passé","Dans la période")))</f>
        <v/>
      </c>
      <c r="K919">
        <f>IF(OR($B919="",NOT(ISNUMBER($D919))),"",IF(AND($E919&lt;$D$2,$G919&lt;&gt;"X",$F919&lt;&gt;"Réalisé",$F919&lt;&gt;"Clôturé"),"RETARD",""))</f>
        <v/>
      </c>
      <c r="L919">
        <f>IF(OR($B919="",NOT(ISNUMBER($D919))),"",IF(AND($D919&gt;=$D$2,$D919&lt;=$H$2,$G919&lt;&gt;"X",$F919&lt;&gt;"Réalisé",$F919&lt;&gt;"Clôturé"),"≤ 7 j",""))</f>
        <v/>
      </c>
      <c r="M919" s="29">
        <f>IF($B919="","",IFERROR(INDEX($T$4:$T$3183,MATCH(SMALL($V$4:$V$3183,916),$V$4:$V$3183,0)),""))</f>
        <v/>
      </c>
      <c r="O919">
        <f>IF(INDEX(Suivi!$B:$B,937)="","",INDEX(Suivi!$B:$B,937))</f>
        <v/>
      </c>
      <c r="P919">
        <f>IF($O919="","",IF(INDEX(Suivi!$D:$D,937)="",INDEX(Suivi!$C:$C,937),INDEX(Suivi!$D:$D,937)))</f>
        <v/>
      </c>
      <c r="Q919">
        <f>IF($O919="","",INDEX(Suivi!$E:$E,937))</f>
        <v/>
      </c>
      <c r="R919">
        <f>IF($O919="","",INDEX(Suivi!$F:$F,937))</f>
        <v/>
      </c>
      <c r="S919">
        <f>IF($O919="","",INDEX(Suivi!$G:$G,937))</f>
        <v/>
      </c>
      <c r="T919">
        <f>IF($O919="","",IF(INDEX(Dossiers!$F$4:$F$63,18)="","",INDEX(Dossiers!$F$4:$F$63,18)))</f>
        <v/>
      </c>
      <c r="U919">
        <f>IF($O919="","",IF(INDEX(Dossiers!$G$4:$G$63,18)="","",INDEX(Dossiers!$G$4:$G$63,18)))</f>
        <v/>
      </c>
      <c r="V919">
        <f>IF(OR($O919="",NOT(ISNUMBER($Q919))),"",$Q919*1000000+919)</f>
        <v/>
      </c>
      <c r="W919" s="29">
        <f>IF($B919="","",IFERROR(INDEX($U$4:$U$3183,MATCH(SMALL($V$4:$V$3183,916),$V$4:$V$3183,0)),""))</f>
        <v/>
      </c>
    </row>
    <row r="920">
      <c r="A920">
        <f>IFERROR(INDEX($N$4:$N$3183,MATCH(SMALL($V$4:$V$3183,917),$V$4:$V$3183,0)),"")</f>
        <v/>
      </c>
      <c r="B920">
        <f>IFERROR(INDEX($O$4:$O$3183,MATCH(SMALL($V$4:$V$3183,917),$V$4:$V$3183,0)),"")</f>
        <v/>
      </c>
      <c r="C920">
        <f>IFERROR(INDEX($P$4:$P$3183,MATCH(SMALL($V$4:$V$3183,917),$V$4:$V$3183,0)),"")</f>
        <v/>
      </c>
      <c r="D920" s="29">
        <f>IFERROR(INDEX($Q$4:$Q$3183,MATCH(SMALL($V$4:$V$3183,917),$V$4:$V$3183,0)),"")</f>
        <v/>
      </c>
      <c r="E920" s="29">
        <f>IFERROR(INDEX($R$4:$R$3183,MATCH(SMALL($V$4:$V$3183,917),$V$4:$V$3183,0)),"")</f>
        <v/>
      </c>
      <c r="F920">
        <f>IFERROR(INDEX($S$4:$S$3183,MATCH(SMALL($V$4:$V$3183,917),$V$4:$V$3183,0)),"")</f>
        <v/>
      </c>
      <c r="I920" s="29">
        <f>IF($B920="","",IFERROR(INDEX($U$4:$U$3183,MATCH(SMALL($V$4:$V$3183,917),$V$4:$V$3183,0)),""))</f>
        <v/>
      </c>
      <c r="J920">
        <f>IF($B920="","",IF($D920&gt;$F$2,"À venir",IF($E920&lt;$D$2,"Passé","Dans la période")))</f>
        <v/>
      </c>
      <c r="K920">
        <f>IF(OR($B920="",NOT(ISNUMBER($D920))),"",IF(AND($E920&lt;$D$2,$G920&lt;&gt;"X",$F920&lt;&gt;"Réalisé",$F920&lt;&gt;"Clôturé"),"RETARD",""))</f>
        <v/>
      </c>
      <c r="L920">
        <f>IF(OR($B920="",NOT(ISNUMBER($D920))),"",IF(AND($D920&gt;=$D$2,$D920&lt;=$H$2,$G920&lt;&gt;"X",$F920&lt;&gt;"Réalisé",$F920&lt;&gt;"Clôturé"),"≤ 7 j",""))</f>
        <v/>
      </c>
      <c r="M920" s="29">
        <f>IF($B920="","",IFERROR(INDEX($T$4:$T$3183,MATCH(SMALL($V$4:$V$3183,917),$V$4:$V$3183,0)),""))</f>
        <v/>
      </c>
      <c r="O920">
        <f>IF(INDEX(Suivi!$B:$B,938)="","",INDEX(Suivi!$B:$B,938))</f>
        <v/>
      </c>
      <c r="P920">
        <f>IF($O920="","",IF(INDEX(Suivi!$D:$D,938)="",INDEX(Suivi!$C:$C,938),INDEX(Suivi!$D:$D,938)))</f>
        <v/>
      </c>
      <c r="Q920">
        <f>IF($O920="","",INDEX(Suivi!$E:$E,938))</f>
        <v/>
      </c>
      <c r="R920">
        <f>IF($O920="","",INDEX(Suivi!$F:$F,938))</f>
        <v/>
      </c>
      <c r="S920">
        <f>IF($O920="","",INDEX(Suivi!$G:$G,938))</f>
        <v/>
      </c>
      <c r="T920">
        <f>IF($O920="","",IF(INDEX(Dossiers!$F$4:$F$63,18)="","",INDEX(Dossiers!$F$4:$F$63,18)))</f>
        <v/>
      </c>
      <c r="U920">
        <f>IF($O920="","",IF(INDEX(Dossiers!$G$4:$G$63,18)="","",INDEX(Dossiers!$G$4:$G$63,18)))</f>
        <v/>
      </c>
      <c r="V920">
        <f>IF(OR($O920="",NOT(ISNUMBER($Q920))),"",$Q920*1000000+920)</f>
        <v/>
      </c>
      <c r="W920" s="29">
        <f>IF($B920="","",IFERROR(INDEX($U$4:$U$3183,MATCH(SMALL($V$4:$V$3183,917),$V$4:$V$3183,0)),""))</f>
        <v/>
      </c>
    </row>
    <row r="921">
      <c r="A921">
        <f>IFERROR(INDEX($N$4:$N$3183,MATCH(SMALL($V$4:$V$3183,918),$V$4:$V$3183,0)),"")</f>
        <v/>
      </c>
      <c r="B921">
        <f>IFERROR(INDEX($O$4:$O$3183,MATCH(SMALL($V$4:$V$3183,918),$V$4:$V$3183,0)),"")</f>
        <v/>
      </c>
      <c r="C921">
        <f>IFERROR(INDEX($P$4:$P$3183,MATCH(SMALL($V$4:$V$3183,918),$V$4:$V$3183,0)),"")</f>
        <v/>
      </c>
      <c r="D921" s="29">
        <f>IFERROR(INDEX($Q$4:$Q$3183,MATCH(SMALL($V$4:$V$3183,918),$V$4:$V$3183,0)),"")</f>
        <v/>
      </c>
      <c r="E921" s="29">
        <f>IFERROR(INDEX($R$4:$R$3183,MATCH(SMALL($V$4:$V$3183,918),$V$4:$V$3183,0)),"")</f>
        <v/>
      </c>
      <c r="F921">
        <f>IFERROR(INDEX($S$4:$S$3183,MATCH(SMALL($V$4:$V$3183,918),$V$4:$V$3183,0)),"")</f>
        <v/>
      </c>
      <c r="I921" s="29">
        <f>IF($B921="","",IFERROR(INDEX($U$4:$U$3183,MATCH(SMALL($V$4:$V$3183,918),$V$4:$V$3183,0)),""))</f>
        <v/>
      </c>
      <c r="J921">
        <f>IF($B921="","",IF($D921&gt;$F$2,"À venir",IF($E921&lt;$D$2,"Passé","Dans la période")))</f>
        <v/>
      </c>
      <c r="K921">
        <f>IF(OR($B921="",NOT(ISNUMBER($D921))),"",IF(AND($E921&lt;$D$2,$G921&lt;&gt;"X",$F921&lt;&gt;"Réalisé",$F921&lt;&gt;"Clôturé"),"RETARD",""))</f>
        <v/>
      </c>
      <c r="L921">
        <f>IF(OR($B921="",NOT(ISNUMBER($D921))),"",IF(AND($D921&gt;=$D$2,$D921&lt;=$H$2,$G921&lt;&gt;"X",$F921&lt;&gt;"Réalisé",$F921&lt;&gt;"Clôturé"),"≤ 7 j",""))</f>
        <v/>
      </c>
      <c r="M921" s="29">
        <f>IF($B921="","",IFERROR(INDEX($T$4:$T$3183,MATCH(SMALL($V$4:$V$3183,918),$V$4:$V$3183,0)),""))</f>
        <v/>
      </c>
      <c r="O921">
        <f>IF(INDEX(Suivi!$B:$B,939)="","",INDEX(Suivi!$B:$B,939))</f>
        <v/>
      </c>
      <c r="P921">
        <f>IF($O921="","",IF(INDEX(Suivi!$D:$D,939)="",INDEX(Suivi!$C:$C,939),INDEX(Suivi!$D:$D,939)))</f>
        <v/>
      </c>
      <c r="Q921">
        <f>IF($O921="","",INDEX(Suivi!$E:$E,939))</f>
        <v/>
      </c>
      <c r="R921">
        <f>IF($O921="","",INDEX(Suivi!$F:$F,939))</f>
        <v/>
      </c>
      <c r="S921">
        <f>IF($O921="","",INDEX(Suivi!$G:$G,939))</f>
        <v/>
      </c>
      <c r="T921">
        <f>IF($O921="","",IF(INDEX(Dossiers!$F$4:$F$63,18)="","",INDEX(Dossiers!$F$4:$F$63,18)))</f>
        <v/>
      </c>
      <c r="U921">
        <f>IF($O921="","",IF(INDEX(Dossiers!$G$4:$G$63,18)="","",INDEX(Dossiers!$G$4:$G$63,18)))</f>
        <v/>
      </c>
      <c r="V921">
        <f>IF(OR($O921="",NOT(ISNUMBER($Q921))),"",$Q921*1000000+921)</f>
        <v/>
      </c>
      <c r="W921" s="29">
        <f>IF($B921="","",IFERROR(INDEX($U$4:$U$3183,MATCH(SMALL($V$4:$V$3183,918),$V$4:$V$3183,0)),""))</f>
        <v/>
      </c>
    </row>
    <row r="922">
      <c r="A922">
        <f>IFERROR(INDEX($N$4:$N$3183,MATCH(SMALL($V$4:$V$3183,919),$V$4:$V$3183,0)),"")</f>
        <v/>
      </c>
      <c r="B922">
        <f>IFERROR(INDEX($O$4:$O$3183,MATCH(SMALL($V$4:$V$3183,919),$V$4:$V$3183,0)),"")</f>
        <v/>
      </c>
      <c r="C922">
        <f>IFERROR(INDEX($P$4:$P$3183,MATCH(SMALL($V$4:$V$3183,919),$V$4:$V$3183,0)),"")</f>
        <v/>
      </c>
      <c r="D922" s="29">
        <f>IFERROR(INDEX($Q$4:$Q$3183,MATCH(SMALL($V$4:$V$3183,919),$V$4:$V$3183,0)),"")</f>
        <v/>
      </c>
      <c r="E922" s="29">
        <f>IFERROR(INDEX($R$4:$R$3183,MATCH(SMALL($V$4:$V$3183,919),$V$4:$V$3183,0)),"")</f>
        <v/>
      </c>
      <c r="F922">
        <f>IFERROR(INDEX($S$4:$S$3183,MATCH(SMALL($V$4:$V$3183,919),$V$4:$V$3183,0)),"")</f>
        <v/>
      </c>
      <c r="I922" s="29">
        <f>IF($B922="","",IFERROR(INDEX($U$4:$U$3183,MATCH(SMALL($V$4:$V$3183,919),$V$4:$V$3183,0)),""))</f>
        <v/>
      </c>
      <c r="J922">
        <f>IF($B922="","",IF($D922&gt;$F$2,"À venir",IF($E922&lt;$D$2,"Passé","Dans la période")))</f>
        <v/>
      </c>
      <c r="K922">
        <f>IF(OR($B922="",NOT(ISNUMBER($D922))),"",IF(AND($E922&lt;$D$2,$G922&lt;&gt;"X",$F922&lt;&gt;"Réalisé",$F922&lt;&gt;"Clôturé"),"RETARD",""))</f>
        <v/>
      </c>
      <c r="L922">
        <f>IF(OR($B922="",NOT(ISNUMBER($D922))),"",IF(AND($D922&gt;=$D$2,$D922&lt;=$H$2,$G922&lt;&gt;"X",$F922&lt;&gt;"Réalisé",$F922&lt;&gt;"Clôturé"),"≤ 7 j",""))</f>
        <v/>
      </c>
      <c r="M922" s="29">
        <f>IF($B922="","",IFERROR(INDEX($T$4:$T$3183,MATCH(SMALL($V$4:$V$3183,919),$V$4:$V$3183,0)),""))</f>
        <v/>
      </c>
      <c r="O922">
        <f>IF(INDEX(Suivi!$B:$B,940)="","",INDEX(Suivi!$B:$B,940))</f>
        <v/>
      </c>
      <c r="P922">
        <f>IF($O922="","",IF(INDEX(Suivi!$D:$D,940)="",INDEX(Suivi!$C:$C,940),INDEX(Suivi!$D:$D,940)))</f>
        <v/>
      </c>
      <c r="Q922">
        <f>IF($O922="","",INDEX(Suivi!$E:$E,940))</f>
        <v/>
      </c>
      <c r="R922">
        <f>IF($O922="","",INDEX(Suivi!$F:$F,940))</f>
        <v/>
      </c>
      <c r="S922">
        <f>IF($O922="","",INDEX(Suivi!$G:$G,940))</f>
        <v/>
      </c>
      <c r="T922">
        <f>IF($O922="","",IF(INDEX(Dossiers!$F$4:$F$63,18)="","",INDEX(Dossiers!$F$4:$F$63,18)))</f>
        <v/>
      </c>
      <c r="U922">
        <f>IF($O922="","",IF(INDEX(Dossiers!$G$4:$G$63,18)="","",INDEX(Dossiers!$G$4:$G$63,18)))</f>
        <v/>
      </c>
      <c r="V922">
        <f>IF(OR($O922="",NOT(ISNUMBER($Q922))),"",$Q922*1000000+922)</f>
        <v/>
      </c>
      <c r="W922" s="29">
        <f>IF($B922="","",IFERROR(INDEX($U$4:$U$3183,MATCH(SMALL($V$4:$V$3183,919),$V$4:$V$3183,0)),""))</f>
        <v/>
      </c>
    </row>
    <row r="923">
      <c r="A923">
        <f>IFERROR(INDEX($N$4:$N$3183,MATCH(SMALL($V$4:$V$3183,920),$V$4:$V$3183,0)),"")</f>
        <v/>
      </c>
      <c r="B923">
        <f>IFERROR(INDEX($O$4:$O$3183,MATCH(SMALL($V$4:$V$3183,920),$V$4:$V$3183,0)),"")</f>
        <v/>
      </c>
      <c r="C923">
        <f>IFERROR(INDEX($P$4:$P$3183,MATCH(SMALL($V$4:$V$3183,920),$V$4:$V$3183,0)),"")</f>
        <v/>
      </c>
      <c r="D923" s="29">
        <f>IFERROR(INDEX($Q$4:$Q$3183,MATCH(SMALL($V$4:$V$3183,920),$V$4:$V$3183,0)),"")</f>
        <v/>
      </c>
      <c r="E923" s="29">
        <f>IFERROR(INDEX($R$4:$R$3183,MATCH(SMALL($V$4:$V$3183,920),$V$4:$V$3183,0)),"")</f>
        <v/>
      </c>
      <c r="F923">
        <f>IFERROR(INDEX($S$4:$S$3183,MATCH(SMALL($V$4:$V$3183,920),$V$4:$V$3183,0)),"")</f>
        <v/>
      </c>
      <c r="I923" s="29">
        <f>IF($B923="","",IFERROR(INDEX($U$4:$U$3183,MATCH(SMALL($V$4:$V$3183,920),$V$4:$V$3183,0)),""))</f>
        <v/>
      </c>
      <c r="J923">
        <f>IF($B923="","",IF($D923&gt;$F$2,"À venir",IF($E923&lt;$D$2,"Passé","Dans la période")))</f>
        <v/>
      </c>
      <c r="K923">
        <f>IF(OR($B923="",NOT(ISNUMBER($D923))),"",IF(AND($E923&lt;$D$2,$G923&lt;&gt;"X",$F923&lt;&gt;"Réalisé",$F923&lt;&gt;"Clôturé"),"RETARD",""))</f>
        <v/>
      </c>
      <c r="L923">
        <f>IF(OR($B923="",NOT(ISNUMBER($D923))),"",IF(AND($D923&gt;=$D$2,$D923&lt;=$H$2,$G923&lt;&gt;"X",$F923&lt;&gt;"Réalisé",$F923&lt;&gt;"Clôturé"),"≤ 7 j",""))</f>
        <v/>
      </c>
      <c r="M923" s="29">
        <f>IF($B923="","",IFERROR(INDEX($T$4:$T$3183,MATCH(SMALL($V$4:$V$3183,920),$V$4:$V$3183,0)),""))</f>
        <v/>
      </c>
      <c r="O923">
        <f>IF(INDEX(Suivi!$B:$B,941)="","",INDEX(Suivi!$B:$B,941))</f>
        <v/>
      </c>
      <c r="P923">
        <f>IF($O923="","",IF(INDEX(Suivi!$D:$D,941)="",INDEX(Suivi!$C:$C,941),INDEX(Suivi!$D:$D,941)))</f>
        <v/>
      </c>
      <c r="Q923">
        <f>IF($O923="","",INDEX(Suivi!$E:$E,941))</f>
        <v/>
      </c>
      <c r="R923">
        <f>IF($O923="","",INDEX(Suivi!$F:$F,941))</f>
        <v/>
      </c>
      <c r="S923">
        <f>IF($O923="","",INDEX(Suivi!$G:$G,941))</f>
        <v/>
      </c>
      <c r="T923">
        <f>IF($O923="","",IF(INDEX(Dossiers!$F$4:$F$63,18)="","",INDEX(Dossiers!$F$4:$F$63,18)))</f>
        <v/>
      </c>
      <c r="U923">
        <f>IF($O923="","",IF(INDEX(Dossiers!$G$4:$G$63,18)="","",INDEX(Dossiers!$G$4:$G$63,18)))</f>
        <v/>
      </c>
      <c r="V923">
        <f>IF(OR($O923="",NOT(ISNUMBER($Q923))),"",$Q923*1000000+923)</f>
        <v/>
      </c>
      <c r="W923" s="29">
        <f>IF($B923="","",IFERROR(INDEX($U$4:$U$3183,MATCH(SMALL($V$4:$V$3183,920),$V$4:$V$3183,0)),""))</f>
        <v/>
      </c>
    </row>
    <row r="924">
      <c r="A924">
        <f>IFERROR(INDEX($N$4:$N$3183,MATCH(SMALL($V$4:$V$3183,921),$V$4:$V$3183,0)),"")</f>
        <v/>
      </c>
      <c r="B924">
        <f>IFERROR(INDEX($O$4:$O$3183,MATCH(SMALL($V$4:$V$3183,921),$V$4:$V$3183,0)),"")</f>
        <v/>
      </c>
      <c r="C924">
        <f>IFERROR(INDEX($P$4:$P$3183,MATCH(SMALL($V$4:$V$3183,921),$V$4:$V$3183,0)),"")</f>
        <v/>
      </c>
      <c r="D924" s="29">
        <f>IFERROR(INDEX($Q$4:$Q$3183,MATCH(SMALL($V$4:$V$3183,921),$V$4:$V$3183,0)),"")</f>
        <v/>
      </c>
      <c r="E924" s="29">
        <f>IFERROR(INDEX($R$4:$R$3183,MATCH(SMALL($V$4:$V$3183,921),$V$4:$V$3183,0)),"")</f>
        <v/>
      </c>
      <c r="F924">
        <f>IFERROR(INDEX($S$4:$S$3183,MATCH(SMALL($V$4:$V$3183,921),$V$4:$V$3183,0)),"")</f>
        <v/>
      </c>
      <c r="I924" s="29">
        <f>IF($B924="","",IFERROR(INDEX($U$4:$U$3183,MATCH(SMALL($V$4:$V$3183,921),$V$4:$V$3183,0)),""))</f>
        <v/>
      </c>
      <c r="J924">
        <f>IF($B924="","",IF($D924&gt;$F$2,"À venir",IF($E924&lt;$D$2,"Passé","Dans la période")))</f>
        <v/>
      </c>
      <c r="K924">
        <f>IF(OR($B924="",NOT(ISNUMBER($D924))),"",IF(AND($E924&lt;$D$2,$G924&lt;&gt;"X",$F924&lt;&gt;"Réalisé",$F924&lt;&gt;"Clôturé"),"RETARD",""))</f>
        <v/>
      </c>
      <c r="L924">
        <f>IF(OR($B924="",NOT(ISNUMBER($D924))),"",IF(AND($D924&gt;=$D$2,$D924&lt;=$H$2,$G924&lt;&gt;"X",$F924&lt;&gt;"Réalisé",$F924&lt;&gt;"Clôturé"),"≤ 7 j",""))</f>
        <v/>
      </c>
      <c r="M924" s="29">
        <f>IF($B924="","",IFERROR(INDEX($T$4:$T$3183,MATCH(SMALL($V$4:$V$3183,921),$V$4:$V$3183,0)),""))</f>
        <v/>
      </c>
      <c r="O924">
        <f>IF(INDEX(Suivi!$B:$B,942)="","",INDEX(Suivi!$B:$B,942))</f>
        <v/>
      </c>
      <c r="P924">
        <f>IF($O924="","",IF(INDEX(Suivi!$D:$D,942)="",INDEX(Suivi!$C:$C,942),INDEX(Suivi!$D:$D,942)))</f>
        <v/>
      </c>
      <c r="Q924">
        <f>IF($O924="","",INDEX(Suivi!$E:$E,942))</f>
        <v/>
      </c>
      <c r="R924">
        <f>IF($O924="","",INDEX(Suivi!$F:$F,942))</f>
        <v/>
      </c>
      <c r="S924">
        <f>IF($O924="","",INDEX(Suivi!$G:$G,942))</f>
        <v/>
      </c>
      <c r="T924">
        <f>IF($O924="","",IF(INDEX(Dossiers!$F$4:$F$63,18)="","",INDEX(Dossiers!$F$4:$F$63,18)))</f>
        <v/>
      </c>
      <c r="U924">
        <f>IF($O924="","",IF(INDEX(Dossiers!$G$4:$G$63,18)="","",INDEX(Dossiers!$G$4:$G$63,18)))</f>
        <v/>
      </c>
      <c r="V924">
        <f>IF(OR($O924="",NOT(ISNUMBER($Q924))),"",$Q924*1000000+924)</f>
        <v/>
      </c>
      <c r="W924" s="29">
        <f>IF($B924="","",IFERROR(INDEX($U$4:$U$3183,MATCH(SMALL($V$4:$V$3183,921),$V$4:$V$3183,0)),""))</f>
        <v/>
      </c>
    </row>
    <row r="925">
      <c r="A925">
        <f>IFERROR(INDEX($N$4:$N$3183,MATCH(SMALL($V$4:$V$3183,922),$V$4:$V$3183,0)),"")</f>
        <v/>
      </c>
      <c r="B925">
        <f>IFERROR(INDEX($O$4:$O$3183,MATCH(SMALL($V$4:$V$3183,922),$V$4:$V$3183,0)),"")</f>
        <v/>
      </c>
      <c r="C925">
        <f>IFERROR(INDEX($P$4:$P$3183,MATCH(SMALL($V$4:$V$3183,922),$V$4:$V$3183,0)),"")</f>
        <v/>
      </c>
      <c r="D925" s="29">
        <f>IFERROR(INDEX($Q$4:$Q$3183,MATCH(SMALL($V$4:$V$3183,922),$V$4:$V$3183,0)),"")</f>
        <v/>
      </c>
      <c r="E925" s="29">
        <f>IFERROR(INDEX($R$4:$R$3183,MATCH(SMALL($V$4:$V$3183,922),$V$4:$V$3183,0)),"")</f>
        <v/>
      </c>
      <c r="F925">
        <f>IFERROR(INDEX($S$4:$S$3183,MATCH(SMALL($V$4:$V$3183,922),$V$4:$V$3183,0)),"")</f>
        <v/>
      </c>
      <c r="I925" s="29">
        <f>IF($B925="","",IFERROR(INDEX($U$4:$U$3183,MATCH(SMALL($V$4:$V$3183,922),$V$4:$V$3183,0)),""))</f>
        <v/>
      </c>
      <c r="J925">
        <f>IF($B925="","",IF($D925&gt;$F$2,"À venir",IF($E925&lt;$D$2,"Passé","Dans la période")))</f>
        <v/>
      </c>
      <c r="K925">
        <f>IF(OR($B925="",NOT(ISNUMBER($D925))),"",IF(AND($E925&lt;$D$2,$G925&lt;&gt;"X",$F925&lt;&gt;"Réalisé",$F925&lt;&gt;"Clôturé"),"RETARD",""))</f>
        <v/>
      </c>
      <c r="L925">
        <f>IF(OR($B925="",NOT(ISNUMBER($D925))),"",IF(AND($D925&gt;=$D$2,$D925&lt;=$H$2,$G925&lt;&gt;"X",$F925&lt;&gt;"Réalisé",$F925&lt;&gt;"Clôturé"),"≤ 7 j",""))</f>
        <v/>
      </c>
      <c r="M925" s="29">
        <f>IF($B925="","",IFERROR(INDEX($T$4:$T$3183,MATCH(SMALL($V$4:$V$3183,922),$V$4:$V$3183,0)),""))</f>
        <v/>
      </c>
      <c r="O925">
        <f>IF(INDEX(Suivi!$B:$B,943)="","",INDEX(Suivi!$B:$B,943))</f>
        <v/>
      </c>
      <c r="P925">
        <f>IF($O925="","",IF(INDEX(Suivi!$D:$D,943)="",INDEX(Suivi!$C:$C,943),INDEX(Suivi!$D:$D,943)))</f>
        <v/>
      </c>
      <c r="Q925">
        <f>IF($O925="","",INDEX(Suivi!$E:$E,943))</f>
        <v/>
      </c>
      <c r="R925">
        <f>IF($O925="","",INDEX(Suivi!$F:$F,943))</f>
        <v/>
      </c>
      <c r="S925">
        <f>IF($O925="","",INDEX(Suivi!$G:$G,943))</f>
        <v/>
      </c>
      <c r="T925">
        <f>IF($O925="","",IF(INDEX(Dossiers!$F$4:$F$63,18)="","",INDEX(Dossiers!$F$4:$F$63,18)))</f>
        <v/>
      </c>
      <c r="U925">
        <f>IF($O925="","",IF(INDEX(Dossiers!$G$4:$G$63,18)="","",INDEX(Dossiers!$G$4:$G$63,18)))</f>
        <v/>
      </c>
      <c r="V925">
        <f>IF(OR($O925="",NOT(ISNUMBER($Q925))),"",$Q925*1000000+925)</f>
        <v/>
      </c>
      <c r="W925" s="29">
        <f>IF($B925="","",IFERROR(INDEX($U$4:$U$3183,MATCH(SMALL($V$4:$V$3183,922),$V$4:$V$3183,0)),""))</f>
        <v/>
      </c>
    </row>
    <row r="926">
      <c r="A926">
        <f>IFERROR(INDEX($N$4:$N$3183,MATCH(SMALL($V$4:$V$3183,923),$V$4:$V$3183,0)),"")</f>
        <v/>
      </c>
      <c r="B926">
        <f>IFERROR(INDEX($O$4:$O$3183,MATCH(SMALL($V$4:$V$3183,923),$V$4:$V$3183,0)),"")</f>
        <v/>
      </c>
      <c r="C926">
        <f>IFERROR(INDEX($P$4:$P$3183,MATCH(SMALL($V$4:$V$3183,923),$V$4:$V$3183,0)),"")</f>
        <v/>
      </c>
      <c r="D926" s="29">
        <f>IFERROR(INDEX($Q$4:$Q$3183,MATCH(SMALL($V$4:$V$3183,923),$V$4:$V$3183,0)),"")</f>
        <v/>
      </c>
      <c r="E926" s="29">
        <f>IFERROR(INDEX($R$4:$R$3183,MATCH(SMALL($V$4:$V$3183,923),$V$4:$V$3183,0)),"")</f>
        <v/>
      </c>
      <c r="F926">
        <f>IFERROR(INDEX($S$4:$S$3183,MATCH(SMALL($V$4:$V$3183,923),$V$4:$V$3183,0)),"")</f>
        <v/>
      </c>
      <c r="I926" s="29">
        <f>IF($B926="","",IFERROR(INDEX($U$4:$U$3183,MATCH(SMALL($V$4:$V$3183,923),$V$4:$V$3183,0)),""))</f>
        <v/>
      </c>
      <c r="J926">
        <f>IF($B926="","",IF($D926&gt;$F$2,"À venir",IF($E926&lt;$D$2,"Passé","Dans la période")))</f>
        <v/>
      </c>
      <c r="K926">
        <f>IF(OR($B926="",NOT(ISNUMBER($D926))),"",IF(AND($E926&lt;$D$2,$G926&lt;&gt;"X",$F926&lt;&gt;"Réalisé",$F926&lt;&gt;"Clôturé"),"RETARD",""))</f>
        <v/>
      </c>
      <c r="L926">
        <f>IF(OR($B926="",NOT(ISNUMBER($D926))),"",IF(AND($D926&gt;=$D$2,$D926&lt;=$H$2,$G926&lt;&gt;"X",$F926&lt;&gt;"Réalisé",$F926&lt;&gt;"Clôturé"),"≤ 7 j",""))</f>
        <v/>
      </c>
      <c r="M926" s="29">
        <f>IF($B926="","",IFERROR(INDEX($T$4:$T$3183,MATCH(SMALL($V$4:$V$3183,923),$V$4:$V$3183,0)),""))</f>
        <v/>
      </c>
      <c r="O926">
        <f>IF(INDEX(Suivi!$B:$B,944)="","",INDEX(Suivi!$B:$B,944))</f>
        <v/>
      </c>
      <c r="P926">
        <f>IF($O926="","",IF(INDEX(Suivi!$D:$D,944)="",INDEX(Suivi!$C:$C,944),INDEX(Suivi!$D:$D,944)))</f>
        <v/>
      </c>
      <c r="Q926">
        <f>IF($O926="","",INDEX(Suivi!$E:$E,944))</f>
        <v/>
      </c>
      <c r="R926">
        <f>IF($O926="","",INDEX(Suivi!$F:$F,944))</f>
        <v/>
      </c>
      <c r="S926">
        <f>IF($O926="","",INDEX(Suivi!$G:$G,944))</f>
        <v/>
      </c>
      <c r="T926">
        <f>IF($O926="","",IF(INDEX(Dossiers!$F$4:$F$63,18)="","",INDEX(Dossiers!$F$4:$F$63,18)))</f>
        <v/>
      </c>
      <c r="U926">
        <f>IF($O926="","",IF(INDEX(Dossiers!$G$4:$G$63,18)="","",INDEX(Dossiers!$G$4:$G$63,18)))</f>
        <v/>
      </c>
      <c r="V926">
        <f>IF(OR($O926="",NOT(ISNUMBER($Q926))),"",$Q926*1000000+926)</f>
        <v/>
      </c>
      <c r="W926" s="29">
        <f>IF($B926="","",IFERROR(INDEX($U$4:$U$3183,MATCH(SMALL($V$4:$V$3183,923),$V$4:$V$3183,0)),""))</f>
        <v/>
      </c>
    </row>
    <row r="927">
      <c r="A927">
        <f>IFERROR(INDEX($N$4:$N$3183,MATCH(SMALL($V$4:$V$3183,924),$V$4:$V$3183,0)),"")</f>
        <v/>
      </c>
      <c r="B927">
        <f>IFERROR(INDEX($O$4:$O$3183,MATCH(SMALL($V$4:$V$3183,924),$V$4:$V$3183,0)),"")</f>
        <v/>
      </c>
      <c r="C927">
        <f>IFERROR(INDEX($P$4:$P$3183,MATCH(SMALL($V$4:$V$3183,924),$V$4:$V$3183,0)),"")</f>
        <v/>
      </c>
      <c r="D927" s="29">
        <f>IFERROR(INDEX($Q$4:$Q$3183,MATCH(SMALL($V$4:$V$3183,924),$V$4:$V$3183,0)),"")</f>
        <v/>
      </c>
      <c r="E927" s="29">
        <f>IFERROR(INDEX($R$4:$R$3183,MATCH(SMALL($V$4:$V$3183,924),$V$4:$V$3183,0)),"")</f>
        <v/>
      </c>
      <c r="F927">
        <f>IFERROR(INDEX($S$4:$S$3183,MATCH(SMALL($V$4:$V$3183,924),$V$4:$V$3183,0)),"")</f>
        <v/>
      </c>
      <c r="I927" s="29">
        <f>IF($B927="","",IFERROR(INDEX($U$4:$U$3183,MATCH(SMALL($V$4:$V$3183,924),$V$4:$V$3183,0)),""))</f>
        <v/>
      </c>
      <c r="J927">
        <f>IF($B927="","",IF($D927&gt;$F$2,"À venir",IF($E927&lt;$D$2,"Passé","Dans la période")))</f>
        <v/>
      </c>
      <c r="K927">
        <f>IF(OR($B927="",NOT(ISNUMBER($D927))),"",IF(AND($E927&lt;$D$2,$G927&lt;&gt;"X",$F927&lt;&gt;"Réalisé",$F927&lt;&gt;"Clôturé"),"RETARD",""))</f>
        <v/>
      </c>
      <c r="L927">
        <f>IF(OR($B927="",NOT(ISNUMBER($D927))),"",IF(AND($D927&gt;=$D$2,$D927&lt;=$H$2,$G927&lt;&gt;"X",$F927&lt;&gt;"Réalisé",$F927&lt;&gt;"Clôturé"),"≤ 7 j",""))</f>
        <v/>
      </c>
      <c r="M927" s="29">
        <f>IF($B927="","",IFERROR(INDEX($T$4:$T$3183,MATCH(SMALL($V$4:$V$3183,924),$V$4:$V$3183,0)),""))</f>
        <v/>
      </c>
      <c r="O927">
        <f>IF(INDEX(Suivi!$B:$B,945)="","",INDEX(Suivi!$B:$B,945))</f>
        <v/>
      </c>
      <c r="P927">
        <f>IF($O927="","",IF(INDEX(Suivi!$D:$D,945)="",INDEX(Suivi!$C:$C,945),INDEX(Suivi!$D:$D,945)))</f>
        <v/>
      </c>
      <c r="Q927">
        <f>IF($O927="","",INDEX(Suivi!$E:$E,945))</f>
        <v/>
      </c>
      <c r="R927">
        <f>IF($O927="","",INDEX(Suivi!$F:$F,945))</f>
        <v/>
      </c>
      <c r="S927">
        <f>IF($O927="","",INDEX(Suivi!$G:$G,945))</f>
        <v/>
      </c>
      <c r="T927">
        <f>IF($O927="","",IF(INDEX(Dossiers!$F$4:$F$63,18)="","",INDEX(Dossiers!$F$4:$F$63,18)))</f>
        <v/>
      </c>
      <c r="U927">
        <f>IF($O927="","",IF(INDEX(Dossiers!$G$4:$G$63,18)="","",INDEX(Dossiers!$G$4:$G$63,18)))</f>
        <v/>
      </c>
      <c r="V927">
        <f>IF(OR($O927="",NOT(ISNUMBER($Q927))),"",$Q927*1000000+927)</f>
        <v/>
      </c>
      <c r="W927" s="29">
        <f>IF($B927="","",IFERROR(INDEX($U$4:$U$3183,MATCH(SMALL($V$4:$V$3183,924),$V$4:$V$3183,0)),""))</f>
        <v/>
      </c>
    </row>
    <row r="928">
      <c r="A928">
        <f>IFERROR(INDEX($N$4:$N$3183,MATCH(SMALL($V$4:$V$3183,925),$V$4:$V$3183,0)),"")</f>
        <v/>
      </c>
      <c r="B928">
        <f>IFERROR(INDEX($O$4:$O$3183,MATCH(SMALL($V$4:$V$3183,925),$V$4:$V$3183,0)),"")</f>
        <v/>
      </c>
      <c r="C928">
        <f>IFERROR(INDEX($P$4:$P$3183,MATCH(SMALL($V$4:$V$3183,925),$V$4:$V$3183,0)),"")</f>
        <v/>
      </c>
      <c r="D928" s="29">
        <f>IFERROR(INDEX($Q$4:$Q$3183,MATCH(SMALL($V$4:$V$3183,925),$V$4:$V$3183,0)),"")</f>
        <v/>
      </c>
      <c r="E928" s="29">
        <f>IFERROR(INDEX($R$4:$R$3183,MATCH(SMALL($V$4:$V$3183,925),$V$4:$V$3183,0)),"")</f>
        <v/>
      </c>
      <c r="F928">
        <f>IFERROR(INDEX($S$4:$S$3183,MATCH(SMALL($V$4:$V$3183,925),$V$4:$V$3183,0)),"")</f>
        <v/>
      </c>
      <c r="I928" s="29">
        <f>IF($B928="","",IFERROR(INDEX($U$4:$U$3183,MATCH(SMALL($V$4:$V$3183,925),$V$4:$V$3183,0)),""))</f>
        <v/>
      </c>
      <c r="J928">
        <f>IF($B928="","",IF($D928&gt;$F$2,"À venir",IF($E928&lt;$D$2,"Passé","Dans la période")))</f>
        <v/>
      </c>
      <c r="K928">
        <f>IF(OR($B928="",NOT(ISNUMBER($D928))),"",IF(AND($E928&lt;$D$2,$G928&lt;&gt;"X",$F928&lt;&gt;"Réalisé",$F928&lt;&gt;"Clôturé"),"RETARD",""))</f>
        <v/>
      </c>
      <c r="L928">
        <f>IF(OR($B928="",NOT(ISNUMBER($D928))),"",IF(AND($D928&gt;=$D$2,$D928&lt;=$H$2,$G928&lt;&gt;"X",$F928&lt;&gt;"Réalisé",$F928&lt;&gt;"Clôturé"),"≤ 7 j",""))</f>
        <v/>
      </c>
      <c r="M928" s="29">
        <f>IF($B928="","",IFERROR(INDEX($T$4:$T$3183,MATCH(SMALL($V$4:$V$3183,925),$V$4:$V$3183,0)),""))</f>
        <v/>
      </c>
      <c r="O928">
        <f>IF(INDEX(Suivi!$B:$B,946)="","",INDEX(Suivi!$B:$B,946))</f>
        <v/>
      </c>
      <c r="P928">
        <f>IF($O928="","",IF(INDEX(Suivi!$D:$D,946)="",INDEX(Suivi!$C:$C,946),INDEX(Suivi!$D:$D,946)))</f>
        <v/>
      </c>
      <c r="Q928">
        <f>IF($O928="","",INDEX(Suivi!$E:$E,946))</f>
        <v/>
      </c>
      <c r="R928">
        <f>IF($O928="","",INDEX(Suivi!$F:$F,946))</f>
        <v/>
      </c>
      <c r="S928">
        <f>IF($O928="","",INDEX(Suivi!$G:$G,946))</f>
        <v/>
      </c>
      <c r="T928">
        <f>IF($O928="","",IF(INDEX(Dossiers!$F$4:$F$63,18)="","",INDEX(Dossiers!$F$4:$F$63,18)))</f>
        <v/>
      </c>
      <c r="U928">
        <f>IF($O928="","",IF(INDEX(Dossiers!$G$4:$G$63,18)="","",INDEX(Dossiers!$G$4:$G$63,18)))</f>
        <v/>
      </c>
      <c r="V928">
        <f>IF(OR($O928="",NOT(ISNUMBER($Q928))),"",$Q928*1000000+928)</f>
        <v/>
      </c>
      <c r="W928" s="29">
        <f>IF($B928="","",IFERROR(INDEX($U$4:$U$3183,MATCH(SMALL($V$4:$V$3183,925),$V$4:$V$3183,0)),""))</f>
        <v/>
      </c>
    </row>
    <row r="929">
      <c r="A929">
        <f>IFERROR(INDEX($N$4:$N$3183,MATCH(SMALL($V$4:$V$3183,926),$V$4:$V$3183,0)),"")</f>
        <v/>
      </c>
      <c r="B929">
        <f>IFERROR(INDEX($O$4:$O$3183,MATCH(SMALL($V$4:$V$3183,926),$V$4:$V$3183,0)),"")</f>
        <v/>
      </c>
      <c r="C929">
        <f>IFERROR(INDEX($P$4:$P$3183,MATCH(SMALL($V$4:$V$3183,926),$V$4:$V$3183,0)),"")</f>
        <v/>
      </c>
      <c r="D929" s="29">
        <f>IFERROR(INDEX($Q$4:$Q$3183,MATCH(SMALL($V$4:$V$3183,926),$V$4:$V$3183,0)),"")</f>
        <v/>
      </c>
      <c r="E929" s="29">
        <f>IFERROR(INDEX($R$4:$R$3183,MATCH(SMALL($V$4:$V$3183,926),$V$4:$V$3183,0)),"")</f>
        <v/>
      </c>
      <c r="F929">
        <f>IFERROR(INDEX($S$4:$S$3183,MATCH(SMALL($V$4:$V$3183,926),$V$4:$V$3183,0)),"")</f>
        <v/>
      </c>
      <c r="I929" s="29">
        <f>IF($B929="","",IFERROR(INDEX($U$4:$U$3183,MATCH(SMALL($V$4:$V$3183,926),$V$4:$V$3183,0)),""))</f>
        <v/>
      </c>
      <c r="J929">
        <f>IF($B929="","",IF($D929&gt;$F$2,"À venir",IF($E929&lt;$D$2,"Passé","Dans la période")))</f>
        <v/>
      </c>
      <c r="K929">
        <f>IF(OR($B929="",NOT(ISNUMBER($D929))),"",IF(AND($E929&lt;$D$2,$G929&lt;&gt;"X",$F929&lt;&gt;"Réalisé",$F929&lt;&gt;"Clôturé"),"RETARD",""))</f>
        <v/>
      </c>
      <c r="L929">
        <f>IF(OR($B929="",NOT(ISNUMBER($D929))),"",IF(AND($D929&gt;=$D$2,$D929&lt;=$H$2,$G929&lt;&gt;"X",$F929&lt;&gt;"Réalisé",$F929&lt;&gt;"Clôturé"),"≤ 7 j",""))</f>
        <v/>
      </c>
      <c r="M929" s="29">
        <f>IF($B929="","",IFERROR(INDEX($T$4:$T$3183,MATCH(SMALL($V$4:$V$3183,926),$V$4:$V$3183,0)),""))</f>
        <v/>
      </c>
      <c r="O929">
        <f>IF(INDEX(Suivi!$B:$B,947)="","",INDEX(Suivi!$B:$B,947))</f>
        <v/>
      </c>
      <c r="P929">
        <f>IF($O929="","",IF(INDEX(Suivi!$D:$D,947)="",INDEX(Suivi!$C:$C,947),INDEX(Suivi!$D:$D,947)))</f>
        <v/>
      </c>
      <c r="Q929">
        <f>IF($O929="","",INDEX(Suivi!$E:$E,947))</f>
        <v/>
      </c>
      <c r="R929">
        <f>IF($O929="","",INDEX(Suivi!$F:$F,947))</f>
        <v/>
      </c>
      <c r="S929">
        <f>IF($O929="","",INDEX(Suivi!$G:$G,947))</f>
        <v/>
      </c>
      <c r="T929">
        <f>IF($O929="","",IF(INDEX(Dossiers!$F$4:$F$63,18)="","",INDEX(Dossiers!$F$4:$F$63,18)))</f>
        <v/>
      </c>
      <c r="U929">
        <f>IF($O929="","",IF(INDEX(Dossiers!$G$4:$G$63,18)="","",INDEX(Dossiers!$G$4:$G$63,18)))</f>
        <v/>
      </c>
      <c r="V929">
        <f>IF(OR($O929="",NOT(ISNUMBER($Q929))),"",$Q929*1000000+929)</f>
        <v/>
      </c>
      <c r="W929" s="29">
        <f>IF($B929="","",IFERROR(INDEX($U$4:$U$3183,MATCH(SMALL($V$4:$V$3183,926),$V$4:$V$3183,0)),""))</f>
        <v/>
      </c>
    </row>
    <row r="930">
      <c r="A930">
        <f>IFERROR(INDEX($N$4:$N$3183,MATCH(SMALL($V$4:$V$3183,927),$V$4:$V$3183,0)),"")</f>
        <v/>
      </c>
      <c r="B930">
        <f>IFERROR(INDEX($O$4:$O$3183,MATCH(SMALL($V$4:$V$3183,927),$V$4:$V$3183,0)),"")</f>
        <v/>
      </c>
      <c r="C930">
        <f>IFERROR(INDEX($P$4:$P$3183,MATCH(SMALL($V$4:$V$3183,927),$V$4:$V$3183,0)),"")</f>
        <v/>
      </c>
      <c r="D930" s="29">
        <f>IFERROR(INDEX($Q$4:$Q$3183,MATCH(SMALL($V$4:$V$3183,927),$V$4:$V$3183,0)),"")</f>
        <v/>
      </c>
      <c r="E930" s="29">
        <f>IFERROR(INDEX($R$4:$R$3183,MATCH(SMALL($V$4:$V$3183,927),$V$4:$V$3183,0)),"")</f>
        <v/>
      </c>
      <c r="F930">
        <f>IFERROR(INDEX($S$4:$S$3183,MATCH(SMALL($V$4:$V$3183,927),$V$4:$V$3183,0)),"")</f>
        <v/>
      </c>
      <c r="I930" s="29">
        <f>IF($B930="","",IFERROR(INDEX($U$4:$U$3183,MATCH(SMALL($V$4:$V$3183,927),$V$4:$V$3183,0)),""))</f>
        <v/>
      </c>
      <c r="J930">
        <f>IF($B930="","",IF($D930&gt;$F$2,"À venir",IF($E930&lt;$D$2,"Passé","Dans la période")))</f>
        <v/>
      </c>
      <c r="K930">
        <f>IF(OR($B930="",NOT(ISNUMBER($D930))),"",IF(AND($E930&lt;$D$2,$G930&lt;&gt;"X",$F930&lt;&gt;"Réalisé",$F930&lt;&gt;"Clôturé"),"RETARD",""))</f>
        <v/>
      </c>
      <c r="L930">
        <f>IF(OR($B930="",NOT(ISNUMBER($D930))),"",IF(AND($D930&gt;=$D$2,$D930&lt;=$H$2,$G930&lt;&gt;"X",$F930&lt;&gt;"Réalisé",$F930&lt;&gt;"Clôturé"),"≤ 7 j",""))</f>
        <v/>
      </c>
      <c r="M930" s="29">
        <f>IF($B930="","",IFERROR(INDEX($T$4:$T$3183,MATCH(SMALL($V$4:$V$3183,927),$V$4:$V$3183,0)),""))</f>
        <v/>
      </c>
      <c r="O930">
        <f>IF(INDEX(Suivi!$B:$B,948)="","",INDEX(Suivi!$B:$B,948))</f>
        <v/>
      </c>
      <c r="P930">
        <f>IF($O930="","",IF(INDEX(Suivi!$D:$D,948)="",INDEX(Suivi!$C:$C,948),INDEX(Suivi!$D:$D,948)))</f>
        <v/>
      </c>
      <c r="Q930">
        <f>IF($O930="","",INDEX(Suivi!$E:$E,948))</f>
        <v/>
      </c>
      <c r="R930">
        <f>IF($O930="","",INDEX(Suivi!$F:$F,948))</f>
        <v/>
      </c>
      <c r="S930">
        <f>IF($O930="","",INDEX(Suivi!$G:$G,948))</f>
        <v/>
      </c>
      <c r="T930">
        <f>IF($O930="","",IF(INDEX(Dossiers!$F$4:$F$63,18)="","",INDEX(Dossiers!$F$4:$F$63,18)))</f>
        <v/>
      </c>
      <c r="U930">
        <f>IF($O930="","",IF(INDEX(Dossiers!$G$4:$G$63,18)="","",INDEX(Dossiers!$G$4:$G$63,18)))</f>
        <v/>
      </c>
      <c r="V930">
        <f>IF(OR($O930="",NOT(ISNUMBER($Q930))),"",$Q930*1000000+930)</f>
        <v/>
      </c>
      <c r="W930" s="29">
        <f>IF($B930="","",IFERROR(INDEX($U$4:$U$3183,MATCH(SMALL($V$4:$V$3183,927),$V$4:$V$3183,0)),""))</f>
        <v/>
      </c>
    </row>
    <row r="931">
      <c r="A931">
        <f>IFERROR(INDEX($N$4:$N$3183,MATCH(SMALL($V$4:$V$3183,928),$V$4:$V$3183,0)),"")</f>
        <v/>
      </c>
      <c r="B931">
        <f>IFERROR(INDEX($O$4:$O$3183,MATCH(SMALL($V$4:$V$3183,928),$V$4:$V$3183,0)),"")</f>
        <v/>
      </c>
      <c r="C931">
        <f>IFERROR(INDEX($P$4:$P$3183,MATCH(SMALL($V$4:$V$3183,928),$V$4:$V$3183,0)),"")</f>
        <v/>
      </c>
      <c r="D931" s="29">
        <f>IFERROR(INDEX($Q$4:$Q$3183,MATCH(SMALL($V$4:$V$3183,928),$V$4:$V$3183,0)),"")</f>
        <v/>
      </c>
      <c r="E931" s="29">
        <f>IFERROR(INDEX($R$4:$R$3183,MATCH(SMALL($V$4:$V$3183,928),$V$4:$V$3183,0)),"")</f>
        <v/>
      </c>
      <c r="F931">
        <f>IFERROR(INDEX($S$4:$S$3183,MATCH(SMALL($V$4:$V$3183,928),$V$4:$V$3183,0)),"")</f>
        <v/>
      </c>
      <c r="I931" s="29">
        <f>IF($B931="","",IFERROR(INDEX($U$4:$U$3183,MATCH(SMALL($V$4:$V$3183,928),$V$4:$V$3183,0)),""))</f>
        <v/>
      </c>
      <c r="J931">
        <f>IF($B931="","",IF($D931&gt;$F$2,"À venir",IF($E931&lt;$D$2,"Passé","Dans la période")))</f>
        <v/>
      </c>
      <c r="K931">
        <f>IF(OR($B931="",NOT(ISNUMBER($D931))),"",IF(AND($E931&lt;$D$2,$G931&lt;&gt;"X",$F931&lt;&gt;"Réalisé",$F931&lt;&gt;"Clôturé"),"RETARD",""))</f>
        <v/>
      </c>
      <c r="L931">
        <f>IF(OR($B931="",NOT(ISNUMBER($D931))),"",IF(AND($D931&gt;=$D$2,$D931&lt;=$H$2,$G931&lt;&gt;"X",$F931&lt;&gt;"Réalisé",$F931&lt;&gt;"Clôturé"),"≤ 7 j",""))</f>
        <v/>
      </c>
      <c r="M931" s="29">
        <f>IF($B931="","",IFERROR(INDEX($T$4:$T$3183,MATCH(SMALL($V$4:$V$3183,928),$V$4:$V$3183,0)),""))</f>
        <v/>
      </c>
      <c r="O931">
        <f>IF(INDEX(Suivi!$B:$B,949)="","",INDEX(Suivi!$B:$B,949))</f>
        <v/>
      </c>
      <c r="P931">
        <f>IF($O931="","",IF(INDEX(Suivi!$D:$D,949)="",INDEX(Suivi!$C:$C,949),INDEX(Suivi!$D:$D,949)))</f>
        <v/>
      </c>
      <c r="Q931">
        <f>IF($O931="","",INDEX(Suivi!$E:$E,949))</f>
        <v/>
      </c>
      <c r="R931">
        <f>IF($O931="","",INDEX(Suivi!$F:$F,949))</f>
        <v/>
      </c>
      <c r="S931">
        <f>IF($O931="","",INDEX(Suivi!$G:$G,949))</f>
        <v/>
      </c>
      <c r="T931">
        <f>IF($O931="","",IF(INDEX(Dossiers!$F$4:$F$63,18)="","",INDEX(Dossiers!$F$4:$F$63,18)))</f>
        <v/>
      </c>
      <c r="U931">
        <f>IF($O931="","",IF(INDEX(Dossiers!$G$4:$G$63,18)="","",INDEX(Dossiers!$G$4:$G$63,18)))</f>
        <v/>
      </c>
      <c r="V931">
        <f>IF(OR($O931="",NOT(ISNUMBER($Q931))),"",$Q931*1000000+931)</f>
        <v/>
      </c>
      <c r="W931" s="29">
        <f>IF($B931="","",IFERROR(INDEX($U$4:$U$3183,MATCH(SMALL($V$4:$V$3183,928),$V$4:$V$3183,0)),""))</f>
        <v/>
      </c>
    </row>
    <row r="932">
      <c r="A932">
        <f>IFERROR(INDEX($N$4:$N$3183,MATCH(SMALL($V$4:$V$3183,929),$V$4:$V$3183,0)),"")</f>
        <v/>
      </c>
      <c r="B932">
        <f>IFERROR(INDEX($O$4:$O$3183,MATCH(SMALL($V$4:$V$3183,929),$V$4:$V$3183,0)),"")</f>
        <v/>
      </c>
      <c r="C932">
        <f>IFERROR(INDEX($P$4:$P$3183,MATCH(SMALL($V$4:$V$3183,929),$V$4:$V$3183,0)),"")</f>
        <v/>
      </c>
      <c r="D932" s="29">
        <f>IFERROR(INDEX($Q$4:$Q$3183,MATCH(SMALL($V$4:$V$3183,929),$V$4:$V$3183,0)),"")</f>
        <v/>
      </c>
      <c r="E932" s="29">
        <f>IFERROR(INDEX($R$4:$R$3183,MATCH(SMALL($V$4:$V$3183,929),$V$4:$V$3183,0)),"")</f>
        <v/>
      </c>
      <c r="F932">
        <f>IFERROR(INDEX($S$4:$S$3183,MATCH(SMALL($V$4:$V$3183,929),$V$4:$V$3183,0)),"")</f>
        <v/>
      </c>
      <c r="I932" s="29">
        <f>IF($B932="","",IFERROR(INDEX($U$4:$U$3183,MATCH(SMALL($V$4:$V$3183,929),$V$4:$V$3183,0)),""))</f>
        <v/>
      </c>
      <c r="J932">
        <f>IF($B932="","",IF($D932&gt;$F$2,"À venir",IF($E932&lt;$D$2,"Passé","Dans la période")))</f>
        <v/>
      </c>
      <c r="K932">
        <f>IF(OR($B932="",NOT(ISNUMBER($D932))),"",IF(AND($E932&lt;$D$2,$G932&lt;&gt;"X",$F932&lt;&gt;"Réalisé",$F932&lt;&gt;"Clôturé"),"RETARD",""))</f>
        <v/>
      </c>
      <c r="L932">
        <f>IF(OR($B932="",NOT(ISNUMBER($D932))),"",IF(AND($D932&gt;=$D$2,$D932&lt;=$H$2,$G932&lt;&gt;"X",$F932&lt;&gt;"Réalisé",$F932&lt;&gt;"Clôturé"),"≤ 7 j",""))</f>
        <v/>
      </c>
      <c r="M932" s="29">
        <f>IF($B932="","",IFERROR(INDEX($T$4:$T$3183,MATCH(SMALL($V$4:$V$3183,929),$V$4:$V$3183,0)),""))</f>
        <v/>
      </c>
      <c r="O932">
        <f>IF(INDEX(Suivi!$B:$B,950)="","",INDEX(Suivi!$B:$B,950))</f>
        <v/>
      </c>
      <c r="P932">
        <f>IF($O932="","",IF(INDEX(Suivi!$D:$D,950)="",INDEX(Suivi!$C:$C,950),INDEX(Suivi!$D:$D,950)))</f>
        <v/>
      </c>
      <c r="Q932">
        <f>IF($O932="","",INDEX(Suivi!$E:$E,950))</f>
        <v/>
      </c>
      <c r="R932">
        <f>IF($O932="","",INDEX(Suivi!$F:$F,950))</f>
        <v/>
      </c>
      <c r="S932">
        <f>IF($O932="","",INDEX(Suivi!$G:$G,950))</f>
        <v/>
      </c>
      <c r="T932">
        <f>IF($O932="","",IF(INDEX(Dossiers!$F$4:$F$63,18)="","",INDEX(Dossiers!$F$4:$F$63,18)))</f>
        <v/>
      </c>
      <c r="U932">
        <f>IF($O932="","",IF(INDEX(Dossiers!$G$4:$G$63,18)="","",INDEX(Dossiers!$G$4:$G$63,18)))</f>
        <v/>
      </c>
      <c r="V932">
        <f>IF(OR($O932="",NOT(ISNUMBER($Q932))),"",$Q932*1000000+932)</f>
        <v/>
      </c>
      <c r="W932" s="29">
        <f>IF($B932="","",IFERROR(INDEX($U$4:$U$3183,MATCH(SMALL($V$4:$V$3183,929),$V$4:$V$3183,0)),""))</f>
        <v/>
      </c>
    </row>
    <row r="933">
      <c r="A933">
        <f>IFERROR(INDEX($N$4:$N$3183,MATCH(SMALL($V$4:$V$3183,930),$V$4:$V$3183,0)),"")</f>
        <v/>
      </c>
      <c r="B933">
        <f>IFERROR(INDEX($O$4:$O$3183,MATCH(SMALL($V$4:$V$3183,930),$V$4:$V$3183,0)),"")</f>
        <v/>
      </c>
      <c r="C933">
        <f>IFERROR(INDEX($P$4:$P$3183,MATCH(SMALL($V$4:$V$3183,930),$V$4:$V$3183,0)),"")</f>
        <v/>
      </c>
      <c r="D933" s="29">
        <f>IFERROR(INDEX($Q$4:$Q$3183,MATCH(SMALL($V$4:$V$3183,930),$V$4:$V$3183,0)),"")</f>
        <v/>
      </c>
      <c r="E933" s="29">
        <f>IFERROR(INDEX($R$4:$R$3183,MATCH(SMALL($V$4:$V$3183,930),$V$4:$V$3183,0)),"")</f>
        <v/>
      </c>
      <c r="F933">
        <f>IFERROR(INDEX($S$4:$S$3183,MATCH(SMALL($V$4:$V$3183,930),$V$4:$V$3183,0)),"")</f>
        <v/>
      </c>
      <c r="I933" s="29">
        <f>IF($B933="","",IFERROR(INDEX($U$4:$U$3183,MATCH(SMALL($V$4:$V$3183,930),$V$4:$V$3183,0)),""))</f>
        <v/>
      </c>
      <c r="J933">
        <f>IF($B933="","",IF($D933&gt;$F$2,"À venir",IF($E933&lt;$D$2,"Passé","Dans la période")))</f>
        <v/>
      </c>
      <c r="K933">
        <f>IF(OR($B933="",NOT(ISNUMBER($D933))),"",IF(AND($E933&lt;$D$2,$G933&lt;&gt;"X",$F933&lt;&gt;"Réalisé",$F933&lt;&gt;"Clôturé"),"RETARD",""))</f>
        <v/>
      </c>
      <c r="L933">
        <f>IF(OR($B933="",NOT(ISNUMBER($D933))),"",IF(AND($D933&gt;=$D$2,$D933&lt;=$H$2,$G933&lt;&gt;"X",$F933&lt;&gt;"Réalisé",$F933&lt;&gt;"Clôturé"),"≤ 7 j",""))</f>
        <v/>
      </c>
      <c r="M933" s="29">
        <f>IF($B933="","",IFERROR(INDEX($T$4:$T$3183,MATCH(SMALL($V$4:$V$3183,930),$V$4:$V$3183,0)),""))</f>
        <v/>
      </c>
      <c r="O933">
        <f>IF(INDEX(Suivi!$B:$B,951)="","",INDEX(Suivi!$B:$B,951))</f>
        <v/>
      </c>
      <c r="P933">
        <f>IF($O933="","",IF(INDEX(Suivi!$D:$D,951)="",INDEX(Suivi!$C:$C,951),INDEX(Suivi!$D:$D,951)))</f>
        <v/>
      </c>
      <c r="Q933">
        <f>IF($O933="","",INDEX(Suivi!$E:$E,951))</f>
        <v/>
      </c>
      <c r="R933">
        <f>IF($O933="","",INDEX(Suivi!$F:$F,951))</f>
        <v/>
      </c>
      <c r="S933">
        <f>IF($O933="","",INDEX(Suivi!$G:$G,951))</f>
        <v/>
      </c>
      <c r="T933">
        <f>IF($O933="","",IF(INDEX(Dossiers!$F$4:$F$63,18)="","",INDEX(Dossiers!$F$4:$F$63,18)))</f>
        <v/>
      </c>
      <c r="U933">
        <f>IF($O933="","",IF(INDEX(Dossiers!$G$4:$G$63,18)="","",INDEX(Dossiers!$G$4:$G$63,18)))</f>
        <v/>
      </c>
      <c r="V933">
        <f>IF(OR($O933="",NOT(ISNUMBER($Q933))),"",$Q933*1000000+933)</f>
        <v/>
      </c>
      <c r="W933" s="29">
        <f>IF($B933="","",IFERROR(INDEX($U$4:$U$3183,MATCH(SMALL($V$4:$V$3183,930),$V$4:$V$3183,0)),""))</f>
        <v/>
      </c>
    </row>
    <row r="934">
      <c r="A934">
        <f>IFERROR(INDEX($N$4:$N$3183,MATCH(SMALL($V$4:$V$3183,931),$V$4:$V$3183,0)),"")</f>
        <v/>
      </c>
      <c r="B934">
        <f>IFERROR(INDEX($O$4:$O$3183,MATCH(SMALL($V$4:$V$3183,931),$V$4:$V$3183,0)),"")</f>
        <v/>
      </c>
      <c r="C934">
        <f>IFERROR(INDEX($P$4:$P$3183,MATCH(SMALL($V$4:$V$3183,931),$V$4:$V$3183,0)),"")</f>
        <v/>
      </c>
      <c r="D934" s="29">
        <f>IFERROR(INDEX($Q$4:$Q$3183,MATCH(SMALL($V$4:$V$3183,931),$V$4:$V$3183,0)),"")</f>
        <v/>
      </c>
      <c r="E934" s="29">
        <f>IFERROR(INDEX($R$4:$R$3183,MATCH(SMALL($V$4:$V$3183,931),$V$4:$V$3183,0)),"")</f>
        <v/>
      </c>
      <c r="F934">
        <f>IFERROR(INDEX($S$4:$S$3183,MATCH(SMALL($V$4:$V$3183,931),$V$4:$V$3183,0)),"")</f>
        <v/>
      </c>
      <c r="I934" s="29">
        <f>IF($B934="","",IFERROR(INDEX($U$4:$U$3183,MATCH(SMALL($V$4:$V$3183,931),$V$4:$V$3183,0)),""))</f>
        <v/>
      </c>
      <c r="J934">
        <f>IF($B934="","",IF($D934&gt;$F$2,"À venir",IF($E934&lt;$D$2,"Passé","Dans la période")))</f>
        <v/>
      </c>
      <c r="K934">
        <f>IF(OR($B934="",NOT(ISNUMBER($D934))),"",IF(AND($E934&lt;$D$2,$G934&lt;&gt;"X",$F934&lt;&gt;"Réalisé",$F934&lt;&gt;"Clôturé"),"RETARD",""))</f>
        <v/>
      </c>
      <c r="L934">
        <f>IF(OR($B934="",NOT(ISNUMBER($D934))),"",IF(AND($D934&gt;=$D$2,$D934&lt;=$H$2,$G934&lt;&gt;"X",$F934&lt;&gt;"Réalisé",$F934&lt;&gt;"Clôturé"),"≤ 7 j",""))</f>
        <v/>
      </c>
      <c r="M934" s="29">
        <f>IF($B934="","",IFERROR(INDEX($T$4:$T$3183,MATCH(SMALL($V$4:$V$3183,931),$V$4:$V$3183,0)),""))</f>
        <v/>
      </c>
      <c r="O934">
        <f>IF(INDEX(Suivi!$B:$B,952)="","",INDEX(Suivi!$B:$B,952))</f>
        <v/>
      </c>
      <c r="P934">
        <f>IF($O934="","",IF(INDEX(Suivi!$D:$D,952)="",INDEX(Suivi!$C:$C,952),INDEX(Suivi!$D:$D,952)))</f>
        <v/>
      </c>
      <c r="Q934">
        <f>IF($O934="","",INDEX(Suivi!$E:$E,952))</f>
        <v/>
      </c>
      <c r="R934">
        <f>IF($O934="","",INDEX(Suivi!$F:$F,952))</f>
        <v/>
      </c>
      <c r="S934">
        <f>IF($O934="","",INDEX(Suivi!$G:$G,952))</f>
        <v/>
      </c>
      <c r="T934">
        <f>IF($O934="","",IF(INDEX(Dossiers!$F$4:$F$63,18)="","",INDEX(Dossiers!$F$4:$F$63,18)))</f>
        <v/>
      </c>
      <c r="U934">
        <f>IF($O934="","",IF(INDEX(Dossiers!$G$4:$G$63,18)="","",INDEX(Dossiers!$G$4:$G$63,18)))</f>
        <v/>
      </c>
      <c r="V934">
        <f>IF(OR($O934="",NOT(ISNUMBER($Q934))),"",$Q934*1000000+934)</f>
        <v/>
      </c>
      <c r="W934" s="29">
        <f>IF($B934="","",IFERROR(INDEX($U$4:$U$3183,MATCH(SMALL($V$4:$V$3183,931),$V$4:$V$3183,0)),""))</f>
        <v/>
      </c>
    </row>
    <row r="935">
      <c r="A935">
        <f>IFERROR(INDEX($N$4:$N$3183,MATCH(SMALL($V$4:$V$3183,932),$V$4:$V$3183,0)),"")</f>
        <v/>
      </c>
      <c r="B935">
        <f>IFERROR(INDEX($O$4:$O$3183,MATCH(SMALL($V$4:$V$3183,932),$V$4:$V$3183,0)),"")</f>
        <v/>
      </c>
      <c r="C935">
        <f>IFERROR(INDEX($P$4:$P$3183,MATCH(SMALL($V$4:$V$3183,932),$V$4:$V$3183,0)),"")</f>
        <v/>
      </c>
      <c r="D935" s="29">
        <f>IFERROR(INDEX($Q$4:$Q$3183,MATCH(SMALL($V$4:$V$3183,932),$V$4:$V$3183,0)),"")</f>
        <v/>
      </c>
      <c r="E935" s="29">
        <f>IFERROR(INDEX($R$4:$R$3183,MATCH(SMALL($V$4:$V$3183,932),$V$4:$V$3183,0)),"")</f>
        <v/>
      </c>
      <c r="F935">
        <f>IFERROR(INDEX($S$4:$S$3183,MATCH(SMALL($V$4:$V$3183,932),$V$4:$V$3183,0)),"")</f>
        <v/>
      </c>
      <c r="I935" s="29">
        <f>IF($B935="","",IFERROR(INDEX($U$4:$U$3183,MATCH(SMALL($V$4:$V$3183,932),$V$4:$V$3183,0)),""))</f>
        <v/>
      </c>
      <c r="J935">
        <f>IF($B935="","",IF($D935&gt;$F$2,"À venir",IF($E935&lt;$D$2,"Passé","Dans la période")))</f>
        <v/>
      </c>
      <c r="K935">
        <f>IF(OR($B935="",NOT(ISNUMBER($D935))),"",IF(AND($E935&lt;$D$2,$G935&lt;&gt;"X",$F935&lt;&gt;"Réalisé",$F935&lt;&gt;"Clôturé"),"RETARD",""))</f>
        <v/>
      </c>
      <c r="L935">
        <f>IF(OR($B935="",NOT(ISNUMBER($D935))),"",IF(AND($D935&gt;=$D$2,$D935&lt;=$H$2,$G935&lt;&gt;"X",$F935&lt;&gt;"Réalisé",$F935&lt;&gt;"Clôturé"),"≤ 7 j",""))</f>
        <v/>
      </c>
      <c r="M935" s="29">
        <f>IF($B935="","",IFERROR(INDEX($T$4:$T$3183,MATCH(SMALL($V$4:$V$3183,932),$V$4:$V$3183,0)),""))</f>
        <v/>
      </c>
      <c r="O935">
        <f>IF(INDEX(Suivi!$B:$B,953)="","",INDEX(Suivi!$B:$B,953))</f>
        <v/>
      </c>
      <c r="P935">
        <f>IF($O935="","",IF(INDEX(Suivi!$D:$D,953)="",INDEX(Suivi!$C:$C,953),INDEX(Suivi!$D:$D,953)))</f>
        <v/>
      </c>
      <c r="Q935">
        <f>IF($O935="","",INDEX(Suivi!$E:$E,953))</f>
        <v/>
      </c>
      <c r="R935">
        <f>IF($O935="","",INDEX(Suivi!$F:$F,953))</f>
        <v/>
      </c>
      <c r="S935">
        <f>IF($O935="","",INDEX(Suivi!$G:$G,953))</f>
        <v/>
      </c>
      <c r="T935">
        <f>IF($O935="","",IF(INDEX(Dossiers!$F$4:$F$63,18)="","",INDEX(Dossiers!$F$4:$F$63,18)))</f>
        <v/>
      </c>
      <c r="U935">
        <f>IF($O935="","",IF(INDEX(Dossiers!$G$4:$G$63,18)="","",INDEX(Dossiers!$G$4:$G$63,18)))</f>
        <v/>
      </c>
      <c r="V935">
        <f>IF(OR($O935="",NOT(ISNUMBER($Q935))),"",$Q935*1000000+935)</f>
        <v/>
      </c>
      <c r="W935" s="29">
        <f>IF($B935="","",IFERROR(INDEX($U$4:$U$3183,MATCH(SMALL($V$4:$V$3183,932),$V$4:$V$3183,0)),""))</f>
        <v/>
      </c>
    </row>
    <row r="936">
      <c r="A936">
        <f>IFERROR(INDEX($N$4:$N$3183,MATCH(SMALL($V$4:$V$3183,933),$V$4:$V$3183,0)),"")</f>
        <v/>
      </c>
      <c r="B936">
        <f>IFERROR(INDEX($O$4:$O$3183,MATCH(SMALL($V$4:$V$3183,933),$V$4:$V$3183,0)),"")</f>
        <v/>
      </c>
      <c r="C936">
        <f>IFERROR(INDEX($P$4:$P$3183,MATCH(SMALL($V$4:$V$3183,933),$V$4:$V$3183,0)),"")</f>
        <v/>
      </c>
      <c r="D936" s="29">
        <f>IFERROR(INDEX($Q$4:$Q$3183,MATCH(SMALL($V$4:$V$3183,933),$V$4:$V$3183,0)),"")</f>
        <v/>
      </c>
      <c r="E936" s="29">
        <f>IFERROR(INDEX($R$4:$R$3183,MATCH(SMALL($V$4:$V$3183,933),$V$4:$V$3183,0)),"")</f>
        <v/>
      </c>
      <c r="F936">
        <f>IFERROR(INDEX($S$4:$S$3183,MATCH(SMALL($V$4:$V$3183,933),$V$4:$V$3183,0)),"")</f>
        <v/>
      </c>
      <c r="I936" s="29">
        <f>IF($B936="","",IFERROR(INDEX($U$4:$U$3183,MATCH(SMALL($V$4:$V$3183,933),$V$4:$V$3183,0)),""))</f>
        <v/>
      </c>
      <c r="J936">
        <f>IF($B936="","",IF($D936&gt;$F$2,"À venir",IF($E936&lt;$D$2,"Passé","Dans la période")))</f>
        <v/>
      </c>
      <c r="K936">
        <f>IF(OR($B936="",NOT(ISNUMBER($D936))),"",IF(AND($E936&lt;$D$2,$G936&lt;&gt;"X",$F936&lt;&gt;"Réalisé",$F936&lt;&gt;"Clôturé"),"RETARD",""))</f>
        <v/>
      </c>
      <c r="L936">
        <f>IF(OR($B936="",NOT(ISNUMBER($D936))),"",IF(AND($D936&gt;=$D$2,$D936&lt;=$H$2,$G936&lt;&gt;"X",$F936&lt;&gt;"Réalisé",$F936&lt;&gt;"Clôturé"),"≤ 7 j",""))</f>
        <v/>
      </c>
      <c r="M936" s="29">
        <f>IF($B936="","",IFERROR(INDEX($T$4:$T$3183,MATCH(SMALL($V$4:$V$3183,933),$V$4:$V$3183,0)),""))</f>
        <v/>
      </c>
      <c r="O936">
        <f>IF(INDEX(Suivi!$B:$B,954)="","",INDEX(Suivi!$B:$B,954))</f>
        <v/>
      </c>
      <c r="P936">
        <f>IF($O936="","",IF(INDEX(Suivi!$D:$D,954)="",INDEX(Suivi!$C:$C,954),INDEX(Suivi!$D:$D,954)))</f>
        <v/>
      </c>
      <c r="Q936">
        <f>IF($O936="","",INDEX(Suivi!$E:$E,954))</f>
        <v/>
      </c>
      <c r="R936">
        <f>IF($O936="","",INDEX(Suivi!$F:$F,954))</f>
        <v/>
      </c>
      <c r="S936">
        <f>IF($O936="","",INDEX(Suivi!$G:$G,954))</f>
        <v/>
      </c>
      <c r="T936">
        <f>IF($O936="","",IF(INDEX(Dossiers!$F$4:$F$63,18)="","",INDEX(Dossiers!$F$4:$F$63,18)))</f>
        <v/>
      </c>
      <c r="U936">
        <f>IF($O936="","",IF(INDEX(Dossiers!$G$4:$G$63,18)="","",INDEX(Dossiers!$G$4:$G$63,18)))</f>
        <v/>
      </c>
      <c r="V936">
        <f>IF(OR($O936="",NOT(ISNUMBER($Q936))),"",$Q936*1000000+936)</f>
        <v/>
      </c>
      <c r="W936" s="29">
        <f>IF($B936="","",IFERROR(INDEX($U$4:$U$3183,MATCH(SMALL($V$4:$V$3183,933),$V$4:$V$3183,0)),""))</f>
        <v/>
      </c>
    </row>
    <row r="937">
      <c r="A937">
        <f>IFERROR(INDEX($N$4:$N$3183,MATCH(SMALL($V$4:$V$3183,934),$V$4:$V$3183,0)),"")</f>
        <v/>
      </c>
      <c r="B937">
        <f>IFERROR(INDEX($O$4:$O$3183,MATCH(SMALL($V$4:$V$3183,934),$V$4:$V$3183,0)),"")</f>
        <v/>
      </c>
      <c r="C937">
        <f>IFERROR(INDEX($P$4:$P$3183,MATCH(SMALL($V$4:$V$3183,934),$V$4:$V$3183,0)),"")</f>
        <v/>
      </c>
      <c r="D937" s="29">
        <f>IFERROR(INDEX($Q$4:$Q$3183,MATCH(SMALL($V$4:$V$3183,934),$V$4:$V$3183,0)),"")</f>
        <v/>
      </c>
      <c r="E937" s="29">
        <f>IFERROR(INDEX($R$4:$R$3183,MATCH(SMALL($V$4:$V$3183,934),$V$4:$V$3183,0)),"")</f>
        <v/>
      </c>
      <c r="F937">
        <f>IFERROR(INDEX($S$4:$S$3183,MATCH(SMALL($V$4:$V$3183,934),$V$4:$V$3183,0)),"")</f>
        <v/>
      </c>
      <c r="I937" s="29">
        <f>IF($B937="","",IFERROR(INDEX($U$4:$U$3183,MATCH(SMALL($V$4:$V$3183,934),$V$4:$V$3183,0)),""))</f>
        <v/>
      </c>
      <c r="J937">
        <f>IF($B937="","",IF($D937&gt;$F$2,"À venir",IF($E937&lt;$D$2,"Passé","Dans la période")))</f>
        <v/>
      </c>
      <c r="K937">
        <f>IF(OR($B937="",NOT(ISNUMBER($D937))),"",IF(AND($E937&lt;$D$2,$G937&lt;&gt;"X",$F937&lt;&gt;"Réalisé",$F937&lt;&gt;"Clôturé"),"RETARD",""))</f>
        <v/>
      </c>
      <c r="L937">
        <f>IF(OR($B937="",NOT(ISNUMBER($D937))),"",IF(AND($D937&gt;=$D$2,$D937&lt;=$H$2,$G937&lt;&gt;"X",$F937&lt;&gt;"Réalisé",$F937&lt;&gt;"Clôturé"),"≤ 7 j",""))</f>
        <v/>
      </c>
      <c r="M937" s="29">
        <f>IF($B937="","",IFERROR(INDEX($T$4:$T$3183,MATCH(SMALL($V$4:$V$3183,934),$V$4:$V$3183,0)),""))</f>
        <v/>
      </c>
      <c r="O937">
        <f>IF(INDEX(Suivi!$B:$B,955)="","",INDEX(Suivi!$B:$B,955))</f>
        <v/>
      </c>
      <c r="P937">
        <f>IF($O937="","",IF(INDEX(Suivi!$D:$D,955)="",INDEX(Suivi!$C:$C,955),INDEX(Suivi!$D:$D,955)))</f>
        <v/>
      </c>
      <c r="Q937">
        <f>IF($O937="","",INDEX(Suivi!$E:$E,955))</f>
        <v/>
      </c>
      <c r="R937">
        <f>IF($O937="","",INDEX(Suivi!$F:$F,955))</f>
        <v/>
      </c>
      <c r="S937">
        <f>IF($O937="","",INDEX(Suivi!$G:$G,955))</f>
        <v/>
      </c>
      <c r="T937">
        <f>IF($O937="","",IF(INDEX(Dossiers!$F$4:$F$63,18)="","",INDEX(Dossiers!$F$4:$F$63,18)))</f>
        <v/>
      </c>
      <c r="U937">
        <f>IF($O937="","",IF(INDEX(Dossiers!$G$4:$G$63,18)="","",INDEX(Dossiers!$G$4:$G$63,18)))</f>
        <v/>
      </c>
      <c r="V937">
        <f>IF(OR($O937="",NOT(ISNUMBER($Q937))),"",$Q937*1000000+937)</f>
        <v/>
      </c>
      <c r="W937" s="29">
        <f>IF($B937="","",IFERROR(INDEX($U$4:$U$3183,MATCH(SMALL($V$4:$V$3183,934),$V$4:$V$3183,0)),""))</f>
        <v/>
      </c>
    </row>
    <row r="938">
      <c r="A938">
        <f>IFERROR(INDEX($N$4:$N$3183,MATCH(SMALL($V$4:$V$3183,935),$V$4:$V$3183,0)),"")</f>
        <v/>
      </c>
      <c r="B938">
        <f>IFERROR(INDEX($O$4:$O$3183,MATCH(SMALL($V$4:$V$3183,935),$V$4:$V$3183,0)),"")</f>
        <v/>
      </c>
      <c r="C938">
        <f>IFERROR(INDEX($P$4:$P$3183,MATCH(SMALL($V$4:$V$3183,935),$V$4:$V$3183,0)),"")</f>
        <v/>
      </c>
      <c r="D938" s="29">
        <f>IFERROR(INDEX($Q$4:$Q$3183,MATCH(SMALL($V$4:$V$3183,935),$V$4:$V$3183,0)),"")</f>
        <v/>
      </c>
      <c r="E938" s="29">
        <f>IFERROR(INDEX($R$4:$R$3183,MATCH(SMALL($V$4:$V$3183,935),$V$4:$V$3183,0)),"")</f>
        <v/>
      </c>
      <c r="F938">
        <f>IFERROR(INDEX($S$4:$S$3183,MATCH(SMALL($V$4:$V$3183,935),$V$4:$V$3183,0)),"")</f>
        <v/>
      </c>
      <c r="I938" s="29">
        <f>IF($B938="","",IFERROR(INDEX($U$4:$U$3183,MATCH(SMALL($V$4:$V$3183,935),$V$4:$V$3183,0)),""))</f>
        <v/>
      </c>
      <c r="J938">
        <f>IF($B938="","",IF($D938&gt;$F$2,"À venir",IF($E938&lt;$D$2,"Passé","Dans la période")))</f>
        <v/>
      </c>
      <c r="K938">
        <f>IF(OR($B938="",NOT(ISNUMBER($D938))),"",IF(AND($E938&lt;$D$2,$G938&lt;&gt;"X",$F938&lt;&gt;"Réalisé",$F938&lt;&gt;"Clôturé"),"RETARD",""))</f>
        <v/>
      </c>
      <c r="L938">
        <f>IF(OR($B938="",NOT(ISNUMBER($D938))),"",IF(AND($D938&gt;=$D$2,$D938&lt;=$H$2,$G938&lt;&gt;"X",$F938&lt;&gt;"Réalisé",$F938&lt;&gt;"Clôturé"),"≤ 7 j",""))</f>
        <v/>
      </c>
      <c r="M938" s="29">
        <f>IF($B938="","",IFERROR(INDEX($T$4:$T$3183,MATCH(SMALL($V$4:$V$3183,935),$V$4:$V$3183,0)),""))</f>
        <v/>
      </c>
      <c r="O938">
        <f>IF(INDEX(Suivi!$B:$B,956)="","",INDEX(Suivi!$B:$B,956))</f>
        <v/>
      </c>
      <c r="P938">
        <f>IF($O938="","",IF(INDEX(Suivi!$D:$D,956)="",INDEX(Suivi!$C:$C,956),INDEX(Suivi!$D:$D,956)))</f>
        <v/>
      </c>
      <c r="Q938">
        <f>IF($O938="","",INDEX(Suivi!$E:$E,956))</f>
        <v/>
      </c>
      <c r="R938">
        <f>IF($O938="","",INDEX(Suivi!$F:$F,956))</f>
        <v/>
      </c>
      <c r="S938">
        <f>IF($O938="","",INDEX(Suivi!$G:$G,956))</f>
        <v/>
      </c>
      <c r="T938">
        <f>IF($O938="","",IF(INDEX(Dossiers!$F$4:$F$63,18)="","",INDEX(Dossiers!$F$4:$F$63,18)))</f>
        <v/>
      </c>
      <c r="U938">
        <f>IF($O938="","",IF(INDEX(Dossiers!$G$4:$G$63,18)="","",INDEX(Dossiers!$G$4:$G$63,18)))</f>
        <v/>
      </c>
      <c r="V938">
        <f>IF(OR($O938="",NOT(ISNUMBER($Q938))),"",$Q938*1000000+938)</f>
        <v/>
      </c>
      <c r="W938" s="29">
        <f>IF($B938="","",IFERROR(INDEX($U$4:$U$3183,MATCH(SMALL($V$4:$V$3183,935),$V$4:$V$3183,0)),""))</f>
        <v/>
      </c>
    </row>
    <row r="939">
      <c r="A939">
        <f>IFERROR(INDEX($N$4:$N$3183,MATCH(SMALL($V$4:$V$3183,936),$V$4:$V$3183,0)),"")</f>
        <v/>
      </c>
      <c r="B939">
        <f>IFERROR(INDEX($O$4:$O$3183,MATCH(SMALL($V$4:$V$3183,936),$V$4:$V$3183,0)),"")</f>
        <v/>
      </c>
      <c r="C939">
        <f>IFERROR(INDEX($P$4:$P$3183,MATCH(SMALL($V$4:$V$3183,936),$V$4:$V$3183,0)),"")</f>
        <v/>
      </c>
      <c r="D939" s="29">
        <f>IFERROR(INDEX($Q$4:$Q$3183,MATCH(SMALL($V$4:$V$3183,936),$V$4:$V$3183,0)),"")</f>
        <v/>
      </c>
      <c r="E939" s="29">
        <f>IFERROR(INDEX($R$4:$R$3183,MATCH(SMALL($V$4:$V$3183,936),$V$4:$V$3183,0)),"")</f>
        <v/>
      </c>
      <c r="F939">
        <f>IFERROR(INDEX($S$4:$S$3183,MATCH(SMALL($V$4:$V$3183,936),$V$4:$V$3183,0)),"")</f>
        <v/>
      </c>
      <c r="I939" s="29">
        <f>IF($B939="","",IFERROR(INDEX($U$4:$U$3183,MATCH(SMALL($V$4:$V$3183,936),$V$4:$V$3183,0)),""))</f>
        <v/>
      </c>
      <c r="J939">
        <f>IF($B939="","",IF($D939&gt;$F$2,"À venir",IF($E939&lt;$D$2,"Passé","Dans la période")))</f>
        <v/>
      </c>
      <c r="K939">
        <f>IF(OR($B939="",NOT(ISNUMBER($D939))),"",IF(AND($E939&lt;$D$2,$G939&lt;&gt;"X",$F939&lt;&gt;"Réalisé",$F939&lt;&gt;"Clôturé"),"RETARD",""))</f>
        <v/>
      </c>
      <c r="L939">
        <f>IF(OR($B939="",NOT(ISNUMBER($D939))),"",IF(AND($D939&gt;=$D$2,$D939&lt;=$H$2,$G939&lt;&gt;"X",$F939&lt;&gt;"Réalisé",$F939&lt;&gt;"Clôturé"),"≤ 7 j",""))</f>
        <v/>
      </c>
      <c r="M939" s="29">
        <f>IF($B939="","",IFERROR(INDEX($T$4:$T$3183,MATCH(SMALL($V$4:$V$3183,936),$V$4:$V$3183,0)),""))</f>
        <v/>
      </c>
      <c r="O939">
        <f>IF(INDEX(Suivi!$B:$B,957)="","",INDEX(Suivi!$B:$B,957))</f>
        <v/>
      </c>
      <c r="P939">
        <f>IF($O939="","",IF(INDEX(Suivi!$D:$D,957)="",INDEX(Suivi!$C:$C,957),INDEX(Suivi!$D:$D,957)))</f>
        <v/>
      </c>
      <c r="Q939">
        <f>IF($O939="","",INDEX(Suivi!$E:$E,957))</f>
        <v/>
      </c>
      <c r="R939">
        <f>IF($O939="","",INDEX(Suivi!$F:$F,957))</f>
        <v/>
      </c>
      <c r="S939">
        <f>IF($O939="","",INDEX(Suivi!$G:$G,957))</f>
        <v/>
      </c>
      <c r="T939">
        <f>IF($O939="","",IF(INDEX(Dossiers!$F$4:$F$63,18)="","",INDEX(Dossiers!$F$4:$F$63,18)))</f>
        <v/>
      </c>
      <c r="U939">
        <f>IF($O939="","",IF(INDEX(Dossiers!$G$4:$G$63,18)="","",INDEX(Dossiers!$G$4:$G$63,18)))</f>
        <v/>
      </c>
      <c r="V939">
        <f>IF(OR($O939="",NOT(ISNUMBER($Q939))),"",$Q939*1000000+939)</f>
        <v/>
      </c>
      <c r="W939" s="29">
        <f>IF($B939="","",IFERROR(INDEX($U$4:$U$3183,MATCH(SMALL($V$4:$V$3183,936),$V$4:$V$3183,0)),""))</f>
        <v/>
      </c>
    </row>
    <row r="940">
      <c r="A940">
        <f>IFERROR(INDEX($N$4:$N$3183,MATCH(SMALL($V$4:$V$3183,937),$V$4:$V$3183,0)),"")</f>
        <v/>
      </c>
      <c r="B940">
        <f>IFERROR(INDEX($O$4:$O$3183,MATCH(SMALL($V$4:$V$3183,937),$V$4:$V$3183,0)),"")</f>
        <v/>
      </c>
      <c r="C940">
        <f>IFERROR(INDEX($P$4:$P$3183,MATCH(SMALL($V$4:$V$3183,937),$V$4:$V$3183,0)),"")</f>
        <v/>
      </c>
      <c r="D940" s="29">
        <f>IFERROR(INDEX($Q$4:$Q$3183,MATCH(SMALL($V$4:$V$3183,937),$V$4:$V$3183,0)),"")</f>
        <v/>
      </c>
      <c r="E940" s="29">
        <f>IFERROR(INDEX($R$4:$R$3183,MATCH(SMALL($V$4:$V$3183,937),$V$4:$V$3183,0)),"")</f>
        <v/>
      </c>
      <c r="F940">
        <f>IFERROR(INDEX($S$4:$S$3183,MATCH(SMALL($V$4:$V$3183,937),$V$4:$V$3183,0)),"")</f>
        <v/>
      </c>
      <c r="I940" s="29">
        <f>IF($B940="","",IFERROR(INDEX($U$4:$U$3183,MATCH(SMALL($V$4:$V$3183,937),$V$4:$V$3183,0)),""))</f>
        <v/>
      </c>
      <c r="J940">
        <f>IF($B940="","",IF($D940&gt;$F$2,"À venir",IF($E940&lt;$D$2,"Passé","Dans la période")))</f>
        <v/>
      </c>
      <c r="K940">
        <f>IF(OR($B940="",NOT(ISNUMBER($D940))),"",IF(AND($E940&lt;$D$2,$G940&lt;&gt;"X",$F940&lt;&gt;"Réalisé",$F940&lt;&gt;"Clôturé"),"RETARD",""))</f>
        <v/>
      </c>
      <c r="L940">
        <f>IF(OR($B940="",NOT(ISNUMBER($D940))),"",IF(AND($D940&gt;=$D$2,$D940&lt;=$H$2,$G940&lt;&gt;"X",$F940&lt;&gt;"Réalisé",$F940&lt;&gt;"Clôturé"),"≤ 7 j",""))</f>
        <v/>
      </c>
      <c r="M940" s="29">
        <f>IF($B940="","",IFERROR(INDEX($T$4:$T$3183,MATCH(SMALL($V$4:$V$3183,937),$V$4:$V$3183,0)),""))</f>
        <v/>
      </c>
      <c r="O940">
        <f>IF(INDEX(Suivi!$B:$B,958)="","",INDEX(Suivi!$B:$B,958))</f>
        <v/>
      </c>
      <c r="P940">
        <f>IF($O940="","",IF(INDEX(Suivi!$D:$D,958)="",INDEX(Suivi!$C:$C,958),INDEX(Suivi!$D:$D,958)))</f>
        <v/>
      </c>
      <c r="Q940">
        <f>IF($O940="","",INDEX(Suivi!$E:$E,958))</f>
        <v/>
      </c>
      <c r="R940">
        <f>IF($O940="","",INDEX(Suivi!$F:$F,958))</f>
        <v/>
      </c>
      <c r="S940">
        <f>IF($O940="","",INDEX(Suivi!$G:$G,958))</f>
        <v/>
      </c>
      <c r="T940">
        <f>IF($O940="","",IF(INDEX(Dossiers!$F$4:$F$63,18)="","",INDEX(Dossiers!$F$4:$F$63,18)))</f>
        <v/>
      </c>
      <c r="U940">
        <f>IF($O940="","",IF(INDEX(Dossiers!$G$4:$G$63,18)="","",INDEX(Dossiers!$G$4:$G$63,18)))</f>
        <v/>
      </c>
      <c r="V940">
        <f>IF(OR($O940="",NOT(ISNUMBER($Q940))),"",$Q940*1000000+940)</f>
        <v/>
      </c>
      <c r="W940" s="29">
        <f>IF($B940="","",IFERROR(INDEX($U$4:$U$3183,MATCH(SMALL($V$4:$V$3183,937),$V$4:$V$3183,0)),""))</f>
        <v/>
      </c>
    </row>
    <row r="941">
      <c r="A941">
        <f>IFERROR(INDEX($N$4:$N$3183,MATCH(SMALL($V$4:$V$3183,938),$V$4:$V$3183,0)),"")</f>
        <v/>
      </c>
      <c r="B941">
        <f>IFERROR(INDEX($O$4:$O$3183,MATCH(SMALL($V$4:$V$3183,938),$V$4:$V$3183,0)),"")</f>
        <v/>
      </c>
      <c r="C941">
        <f>IFERROR(INDEX($P$4:$P$3183,MATCH(SMALL($V$4:$V$3183,938),$V$4:$V$3183,0)),"")</f>
        <v/>
      </c>
      <c r="D941" s="29">
        <f>IFERROR(INDEX($Q$4:$Q$3183,MATCH(SMALL($V$4:$V$3183,938),$V$4:$V$3183,0)),"")</f>
        <v/>
      </c>
      <c r="E941" s="29">
        <f>IFERROR(INDEX($R$4:$R$3183,MATCH(SMALL($V$4:$V$3183,938),$V$4:$V$3183,0)),"")</f>
        <v/>
      </c>
      <c r="F941">
        <f>IFERROR(INDEX($S$4:$S$3183,MATCH(SMALL($V$4:$V$3183,938),$V$4:$V$3183,0)),"")</f>
        <v/>
      </c>
      <c r="I941" s="29">
        <f>IF($B941="","",IFERROR(INDEX($U$4:$U$3183,MATCH(SMALL($V$4:$V$3183,938),$V$4:$V$3183,0)),""))</f>
        <v/>
      </c>
      <c r="J941">
        <f>IF($B941="","",IF($D941&gt;$F$2,"À venir",IF($E941&lt;$D$2,"Passé","Dans la période")))</f>
        <v/>
      </c>
      <c r="K941">
        <f>IF(OR($B941="",NOT(ISNUMBER($D941))),"",IF(AND($E941&lt;$D$2,$G941&lt;&gt;"X",$F941&lt;&gt;"Réalisé",$F941&lt;&gt;"Clôturé"),"RETARD",""))</f>
        <v/>
      </c>
      <c r="L941">
        <f>IF(OR($B941="",NOT(ISNUMBER($D941))),"",IF(AND($D941&gt;=$D$2,$D941&lt;=$H$2,$G941&lt;&gt;"X",$F941&lt;&gt;"Réalisé",$F941&lt;&gt;"Clôturé"),"≤ 7 j",""))</f>
        <v/>
      </c>
      <c r="M941" s="29">
        <f>IF($B941="","",IFERROR(INDEX($T$4:$T$3183,MATCH(SMALL($V$4:$V$3183,938),$V$4:$V$3183,0)),""))</f>
        <v/>
      </c>
      <c r="O941">
        <f>IF(INDEX(Suivi!$B:$B,959)="","",INDEX(Suivi!$B:$B,959))</f>
        <v/>
      </c>
      <c r="P941">
        <f>IF($O941="","",IF(INDEX(Suivi!$D:$D,959)="",INDEX(Suivi!$C:$C,959),INDEX(Suivi!$D:$D,959)))</f>
        <v/>
      </c>
      <c r="Q941">
        <f>IF($O941="","",INDEX(Suivi!$E:$E,959))</f>
        <v/>
      </c>
      <c r="R941">
        <f>IF($O941="","",INDEX(Suivi!$F:$F,959))</f>
        <v/>
      </c>
      <c r="S941">
        <f>IF($O941="","",INDEX(Suivi!$G:$G,959))</f>
        <v/>
      </c>
      <c r="T941">
        <f>IF($O941="","",IF(INDEX(Dossiers!$F$4:$F$63,18)="","",INDEX(Dossiers!$F$4:$F$63,18)))</f>
        <v/>
      </c>
      <c r="U941">
        <f>IF($O941="","",IF(INDEX(Dossiers!$G$4:$G$63,18)="","",INDEX(Dossiers!$G$4:$G$63,18)))</f>
        <v/>
      </c>
      <c r="V941">
        <f>IF(OR($O941="",NOT(ISNUMBER($Q941))),"",$Q941*1000000+941)</f>
        <v/>
      </c>
      <c r="W941" s="29">
        <f>IF($B941="","",IFERROR(INDEX($U$4:$U$3183,MATCH(SMALL($V$4:$V$3183,938),$V$4:$V$3183,0)),""))</f>
        <v/>
      </c>
    </row>
    <row r="942">
      <c r="A942">
        <f>IFERROR(INDEX($N$4:$N$3183,MATCH(SMALL($V$4:$V$3183,939),$V$4:$V$3183,0)),"")</f>
        <v/>
      </c>
      <c r="B942">
        <f>IFERROR(INDEX($O$4:$O$3183,MATCH(SMALL($V$4:$V$3183,939),$V$4:$V$3183,0)),"")</f>
        <v/>
      </c>
      <c r="C942">
        <f>IFERROR(INDEX($P$4:$P$3183,MATCH(SMALL($V$4:$V$3183,939),$V$4:$V$3183,0)),"")</f>
        <v/>
      </c>
      <c r="D942" s="29">
        <f>IFERROR(INDEX($Q$4:$Q$3183,MATCH(SMALL($V$4:$V$3183,939),$V$4:$V$3183,0)),"")</f>
        <v/>
      </c>
      <c r="E942" s="29">
        <f>IFERROR(INDEX($R$4:$R$3183,MATCH(SMALL($V$4:$V$3183,939),$V$4:$V$3183,0)),"")</f>
        <v/>
      </c>
      <c r="F942">
        <f>IFERROR(INDEX($S$4:$S$3183,MATCH(SMALL($V$4:$V$3183,939),$V$4:$V$3183,0)),"")</f>
        <v/>
      </c>
      <c r="I942" s="29">
        <f>IF($B942="","",IFERROR(INDEX($U$4:$U$3183,MATCH(SMALL($V$4:$V$3183,939),$V$4:$V$3183,0)),""))</f>
        <v/>
      </c>
      <c r="J942">
        <f>IF($B942="","",IF($D942&gt;$F$2,"À venir",IF($E942&lt;$D$2,"Passé","Dans la période")))</f>
        <v/>
      </c>
      <c r="K942">
        <f>IF(OR($B942="",NOT(ISNUMBER($D942))),"",IF(AND($E942&lt;$D$2,$G942&lt;&gt;"X",$F942&lt;&gt;"Réalisé",$F942&lt;&gt;"Clôturé"),"RETARD",""))</f>
        <v/>
      </c>
      <c r="L942">
        <f>IF(OR($B942="",NOT(ISNUMBER($D942))),"",IF(AND($D942&gt;=$D$2,$D942&lt;=$H$2,$G942&lt;&gt;"X",$F942&lt;&gt;"Réalisé",$F942&lt;&gt;"Clôturé"),"≤ 7 j",""))</f>
        <v/>
      </c>
      <c r="M942" s="29">
        <f>IF($B942="","",IFERROR(INDEX($T$4:$T$3183,MATCH(SMALL($V$4:$V$3183,939),$V$4:$V$3183,0)),""))</f>
        <v/>
      </c>
      <c r="O942">
        <f>IF(INDEX(Suivi!$B:$B,960)="","",INDEX(Suivi!$B:$B,960))</f>
        <v/>
      </c>
      <c r="P942">
        <f>IF($O942="","",IF(INDEX(Suivi!$D:$D,960)="",INDEX(Suivi!$C:$C,960),INDEX(Suivi!$D:$D,960)))</f>
        <v/>
      </c>
      <c r="Q942">
        <f>IF($O942="","",INDEX(Suivi!$E:$E,960))</f>
        <v/>
      </c>
      <c r="R942">
        <f>IF($O942="","",INDEX(Suivi!$F:$F,960))</f>
        <v/>
      </c>
      <c r="S942">
        <f>IF($O942="","",INDEX(Suivi!$G:$G,960))</f>
        <v/>
      </c>
      <c r="T942">
        <f>IF($O942="","",IF(INDEX(Dossiers!$F$4:$F$63,18)="","",INDEX(Dossiers!$F$4:$F$63,18)))</f>
        <v/>
      </c>
      <c r="U942">
        <f>IF($O942="","",IF(INDEX(Dossiers!$G$4:$G$63,18)="","",INDEX(Dossiers!$G$4:$G$63,18)))</f>
        <v/>
      </c>
      <c r="V942">
        <f>IF(OR($O942="",NOT(ISNUMBER($Q942))),"",$Q942*1000000+942)</f>
        <v/>
      </c>
      <c r="W942" s="29">
        <f>IF($B942="","",IFERROR(INDEX($U$4:$U$3183,MATCH(SMALL($V$4:$V$3183,939),$V$4:$V$3183,0)),""))</f>
        <v/>
      </c>
    </row>
    <row r="943">
      <c r="A943">
        <f>IFERROR(INDEX($N$4:$N$3183,MATCH(SMALL($V$4:$V$3183,940),$V$4:$V$3183,0)),"")</f>
        <v/>
      </c>
      <c r="B943">
        <f>IFERROR(INDEX($O$4:$O$3183,MATCH(SMALL($V$4:$V$3183,940),$V$4:$V$3183,0)),"")</f>
        <v/>
      </c>
      <c r="C943">
        <f>IFERROR(INDEX($P$4:$P$3183,MATCH(SMALL($V$4:$V$3183,940),$V$4:$V$3183,0)),"")</f>
        <v/>
      </c>
      <c r="D943" s="29">
        <f>IFERROR(INDEX($Q$4:$Q$3183,MATCH(SMALL($V$4:$V$3183,940),$V$4:$V$3183,0)),"")</f>
        <v/>
      </c>
      <c r="E943" s="29">
        <f>IFERROR(INDEX($R$4:$R$3183,MATCH(SMALL($V$4:$V$3183,940),$V$4:$V$3183,0)),"")</f>
        <v/>
      </c>
      <c r="F943">
        <f>IFERROR(INDEX($S$4:$S$3183,MATCH(SMALL($V$4:$V$3183,940),$V$4:$V$3183,0)),"")</f>
        <v/>
      </c>
      <c r="I943" s="29">
        <f>IF($B943="","",IFERROR(INDEX($U$4:$U$3183,MATCH(SMALL($V$4:$V$3183,940),$V$4:$V$3183,0)),""))</f>
        <v/>
      </c>
      <c r="J943">
        <f>IF($B943="","",IF($D943&gt;$F$2,"À venir",IF($E943&lt;$D$2,"Passé","Dans la période")))</f>
        <v/>
      </c>
      <c r="K943">
        <f>IF(OR($B943="",NOT(ISNUMBER($D943))),"",IF(AND($E943&lt;$D$2,$G943&lt;&gt;"X",$F943&lt;&gt;"Réalisé",$F943&lt;&gt;"Clôturé"),"RETARD",""))</f>
        <v/>
      </c>
      <c r="L943">
        <f>IF(OR($B943="",NOT(ISNUMBER($D943))),"",IF(AND($D943&gt;=$D$2,$D943&lt;=$H$2,$G943&lt;&gt;"X",$F943&lt;&gt;"Réalisé",$F943&lt;&gt;"Clôturé"),"≤ 7 j",""))</f>
        <v/>
      </c>
      <c r="M943" s="29">
        <f>IF($B943="","",IFERROR(INDEX($T$4:$T$3183,MATCH(SMALL($V$4:$V$3183,940),$V$4:$V$3183,0)),""))</f>
        <v/>
      </c>
      <c r="O943">
        <f>IF(INDEX(Suivi!$B:$B,961)="","",INDEX(Suivi!$B:$B,961))</f>
        <v/>
      </c>
      <c r="P943">
        <f>IF($O943="","",IF(INDEX(Suivi!$D:$D,961)="",INDEX(Suivi!$C:$C,961),INDEX(Suivi!$D:$D,961)))</f>
        <v/>
      </c>
      <c r="Q943">
        <f>IF($O943="","",INDEX(Suivi!$E:$E,961))</f>
        <v/>
      </c>
      <c r="R943">
        <f>IF($O943="","",INDEX(Suivi!$F:$F,961))</f>
        <v/>
      </c>
      <c r="S943">
        <f>IF($O943="","",INDEX(Suivi!$G:$G,961))</f>
        <v/>
      </c>
      <c r="T943">
        <f>IF($O943="","",IF(INDEX(Dossiers!$F$4:$F$63,18)="","",INDEX(Dossiers!$F$4:$F$63,18)))</f>
        <v/>
      </c>
      <c r="U943">
        <f>IF($O943="","",IF(INDEX(Dossiers!$G$4:$G$63,18)="","",INDEX(Dossiers!$G$4:$G$63,18)))</f>
        <v/>
      </c>
      <c r="V943">
        <f>IF(OR($O943="",NOT(ISNUMBER($Q943))),"",$Q943*1000000+943)</f>
        <v/>
      </c>
      <c r="W943" s="29">
        <f>IF($B943="","",IFERROR(INDEX($U$4:$U$3183,MATCH(SMALL($V$4:$V$3183,940),$V$4:$V$3183,0)),""))</f>
        <v/>
      </c>
    </row>
    <row r="944">
      <c r="A944">
        <f>IFERROR(INDEX($N$4:$N$3183,MATCH(SMALL($V$4:$V$3183,941),$V$4:$V$3183,0)),"")</f>
        <v/>
      </c>
      <c r="B944">
        <f>IFERROR(INDEX($O$4:$O$3183,MATCH(SMALL($V$4:$V$3183,941),$V$4:$V$3183,0)),"")</f>
        <v/>
      </c>
      <c r="C944">
        <f>IFERROR(INDEX($P$4:$P$3183,MATCH(SMALL($V$4:$V$3183,941),$V$4:$V$3183,0)),"")</f>
        <v/>
      </c>
      <c r="D944" s="29">
        <f>IFERROR(INDEX($Q$4:$Q$3183,MATCH(SMALL($V$4:$V$3183,941),$V$4:$V$3183,0)),"")</f>
        <v/>
      </c>
      <c r="E944" s="29">
        <f>IFERROR(INDEX($R$4:$R$3183,MATCH(SMALL($V$4:$V$3183,941),$V$4:$V$3183,0)),"")</f>
        <v/>
      </c>
      <c r="F944">
        <f>IFERROR(INDEX($S$4:$S$3183,MATCH(SMALL($V$4:$V$3183,941),$V$4:$V$3183,0)),"")</f>
        <v/>
      </c>
      <c r="I944" s="29">
        <f>IF($B944="","",IFERROR(INDEX($U$4:$U$3183,MATCH(SMALL($V$4:$V$3183,941),$V$4:$V$3183,0)),""))</f>
        <v/>
      </c>
      <c r="J944">
        <f>IF($B944="","",IF($D944&gt;$F$2,"À venir",IF($E944&lt;$D$2,"Passé","Dans la période")))</f>
        <v/>
      </c>
      <c r="K944">
        <f>IF(OR($B944="",NOT(ISNUMBER($D944))),"",IF(AND($E944&lt;$D$2,$G944&lt;&gt;"X",$F944&lt;&gt;"Réalisé",$F944&lt;&gt;"Clôturé"),"RETARD",""))</f>
        <v/>
      </c>
      <c r="L944">
        <f>IF(OR($B944="",NOT(ISNUMBER($D944))),"",IF(AND($D944&gt;=$D$2,$D944&lt;=$H$2,$G944&lt;&gt;"X",$F944&lt;&gt;"Réalisé",$F944&lt;&gt;"Clôturé"),"≤ 7 j",""))</f>
        <v/>
      </c>
      <c r="M944" s="29">
        <f>IF($B944="","",IFERROR(INDEX($T$4:$T$3183,MATCH(SMALL($V$4:$V$3183,941),$V$4:$V$3183,0)),""))</f>
        <v/>
      </c>
      <c r="O944">
        <f>IF(INDEX(Suivi!$B:$B,962)="","",INDEX(Suivi!$B:$B,962))</f>
        <v/>
      </c>
      <c r="P944">
        <f>IF($O944="","",IF(INDEX(Suivi!$D:$D,962)="",INDEX(Suivi!$C:$C,962),INDEX(Suivi!$D:$D,962)))</f>
        <v/>
      </c>
      <c r="Q944">
        <f>IF($O944="","",INDEX(Suivi!$E:$E,962))</f>
        <v/>
      </c>
      <c r="R944">
        <f>IF($O944="","",INDEX(Suivi!$F:$F,962))</f>
        <v/>
      </c>
      <c r="S944">
        <f>IF($O944="","",INDEX(Suivi!$G:$G,962))</f>
        <v/>
      </c>
      <c r="T944">
        <f>IF($O944="","",IF(INDEX(Dossiers!$F$4:$F$63,18)="","",INDEX(Dossiers!$F$4:$F$63,18)))</f>
        <v/>
      </c>
      <c r="U944">
        <f>IF($O944="","",IF(INDEX(Dossiers!$G$4:$G$63,18)="","",INDEX(Dossiers!$G$4:$G$63,18)))</f>
        <v/>
      </c>
      <c r="V944">
        <f>IF(OR($O944="",NOT(ISNUMBER($Q944))),"",$Q944*1000000+944)</f>
        <v/>
      </c>
      <c r="W944" s="29">
        <f>IF($B944="","",IFERROR(INDEX($U$4:$U$3183,MATCH(SMALL($V$4:$V$3183,941),$V$4:$V$3183,0)),""))</f>
        <v/>
      </c>
    </row>
    <row r="945">
      <c r="A945">
        <f>IFERROR(INDEX($N$4:$N$3183,MATCH(SMALL($V$4:$V$3183,942),$V$4:$V$3183,0)),"")</f>
        <v/>
      </c>
      <c r="B945">
        <f>IFERROR(INDEX($O$4:$O$3183,MATCH(SMALL($V$4:$V$3183,942),$V$4:$V$3183,0)),"")</f>
        <v/>
      </c>
      <c r="C945">
        <f>IFERROR(INDEX($P$4:$P$3183,MATCH(SMALL($V$4:$V$3183,942),$V$4:$V$3183,0)),"")</f>
        <v/>
      </c>
      <c r="D945" s="29">
        <f>IFERROR(INDEX($Q$4:$Q$3183,MATCH(SMALL($V$4:$V$3183,942),$V$4:$V$3183,0)),"")</f>
        <v/>
      </c>
      <c r="E945" s="29">
        <f>IFERROR(INDEX($R$4:$R$3183,MATCH(SMALL($V$4:$V$3183,942),$V$4:$V$3183,0)),"")</f>
        <v/>
      </c>
      <c r="F945">
        <f>IFERROR(INDEX($S$4:$S$3183,MATCH(SMALL($V$4:$V$3183,942),$V$4:$V$3183,0)),"")</f>
        <v/>
      </c>
      <c r="I945" s="29">
        <f>IF($B945="","",IFERROR(INDEX($U$4:$U$3183,MATCH(SMALL($V$4:$V$3183,942),$V$4:$V$3183,0)),""))</f>
        <v/>
      </c>
      <c r="J945">
        <f>IF($B945="","",IF($D945&gt;$F$2,"À venir",IF($E945&lt;$D$2,"Passé","Dans la période")))</f>
        <v/>
      </c>
      <c r="K945">
        <f>IF(OR($B945="",NOT(ISNUMBER($D945))),"",IF(AND($E945&lt;$D$2,$G945&lt;&gt;"X",$F945&lt;&gt;"Réalisé",$F945&lt;&gt;"Clôturé"),"RETARD",""))</f>
        <v/>
      </c>
      <c r="L945">
        <f>IF(OR($B945="",NOT(ISNUMBER($D945))),"",IF(AND($D945&gt;=$D$2,$D945&lt;=$H$2,$G945&lt;&gt;"X",$F945&lt;&gt;"Réalisé",$F945&lt;&gt;"Clôturé"),"≤ 7 j",""))</f>
        <v/>
      </c>
      <c r="M945" s="29">
        <f>IF($B945="","",IFERROR(INDEX($T$4:$T$3183,MATCH(SMALL($V$4:$V$3183,942),$V$4:$V$3183,0)),""))</f>
        <v/>
      </c>
      <c r="O945">
        <f>IF(INDEX(Suivi!$B:$B,963)="","",INDEX(Suivi!$B:$B,963))</f>
        <v/>
      </c>
      <c r="P945">
        <f>IF($O945="","",IF(INDEX(Suivi!$D:$D,963)="",INDEX(Suivi!$C:$C,963),INDEX(Suivi!$D:$D,963)))</f>
        <v/>
      </c>
      <c r="Q945">
        <f>IF($O945="","",INDEX(Suivi!$E:$E,963))</f>
        <v/>
      </c>
      <c r="R945">
        <f>IF($O945="","",INDEX(Suivi!$F:$F,963))</f>
        <v/>
      </c>
      <c r="S945">
        <f>IF($O945="","",INDEX(Suivi!$G:$G,963))</f>
        <v/>
      </c>
      <c r="T945">
        <f>IF($O945="","",IF(INDEX(Dossiers!$F$4:$F$63,18)="","",INDEX(Dossiers!$F$4:$F$63,18)))</f>
        <v/>
      </c>
      <c r="U945">
        <f>IF($O945="","",IF(INDEX(Dossiers!$G$4:$G$63,18)="","",INDEX(Dossiers!$G$4:$G$63,18)))</f>
        <v/>
      </c>
      <c r="V945">
        <f>IF(OR($O945="",NOT(ISNUMBER($Q945))),"",$Q945*1000000+945)</f>
        <v/>
      </c>
      <c r="W945" s="29">
        <f>IF($B945="","",IFERROR(INDEX($U$4:$U$3183,MATCH(SMALL($V$4:$V$3183,942),$V$4:$V$3183,0)),""))</f>
        <v/>
      </c>
    </row>
    <row r="946">
      <c r="A946">
        <f>IFERROR(INDEX($N$4:$N$3183,MATCH(SMALL($V$4:$V$3183,943),$V$4:$V$3183,0)),"")</f>
        <v/>
      </c>
      <c r="B946">
        <f>IFERROR(INDEX($O$4:$O$3183,MATCH(SMALL($V$4:$V$3183,943),$V$4:$V$3183,0)),"")</f>
        <v/>
      </c>
      <c r="C946">
        <f>IFERROR(INDEX($P$4:$P$3183,MATCH(SMALL($V$4:$V$3183,943),$V$4:$V$3183,0)),"")</f>
        <v/>
      </c>
      <c r="D946" s="29">
        <f>IFERROR(INDEX($Q$4:$Q$3183,MATCH(SMALL($V$4:$V$3183,943),$V$4:$V$3183,0)),"")</f>
        <v/>
      </c>
      <c r="E946" s="29">
        <f>IFERROR(INDEX($R$4:$R$3183,MATCH(SMALL($V$4:$V$3183,943),$V$4:$V$3183,0)),"")</f>
        <v/>
      </c>
      <c r="F946">
        <f>IFERROR(INDEX($S$4:$S$3183,MATCH(SMALL($V$4:$V$3183,943),$V$4:$V$3183,0)),"")</f>
        <v/>
      </c>
      <c r="I946" s="29">
        <f>IF($B946="","",IFERROR(INDEX($U$4:$U$3183,MATCH(SMALL($V$4:$V$3183,943),$V$4:$V$3183,0)),""))</f>
        <v/>
      </c>
      <c r="J946">
        <f>IF($B946="","",IF($D946&gt;$F$2,"À venir",IF($E946&lt;$D$2,"Passé","Dans la période")))</f>
        <v/>
      </c>
      <c r="K946">
        <f>IF(OR($B946="",NOT(ISNUMBER($D946))),"",IF(AND($E946&lt;$D$2,$G946&lt;&gt;"X",$F946&lt;&gt;"Réalisé",$F946&lt;&gt;"Clôturé"),"RETARD",""))</f>
        <v/>
      </c>
      <c r="L946">
        <f>IF(OR($B946="",NOT(ISNUMBER($D946))),"",IF(AND($D946&gt;=$D$2,$D946&lt;=$H$2,$G946&lt;&gt;"X",$F946&lt;&gt;"Réalisé",$F946&lt;&gt;"Clôturé"),"≤ 7 j",""))</f>
        <v/>
      </c>
      <c r="M946" s="29">
        <f>IF($B946="","",IFERROR(INDEX($T$4:$T$3183,MATCH(SMALL($V$4:$V$3183,943),$V$4:$V$3183,0)),""))</f>
        <v/>
      </c>
      <c r="O946">
        <f>IF(INDEX(Suivi!$B:$B,964)="","",INDEX(Suivi!$B:$B,964))</f>
        <v/>
      </c>
      <c r="P946">
        <f>IF($O946="","",IF(INDEX(Suivi!$D:$D,964)="",INDEX(Suivi!$C:$C,964),INDEX(Suivi!$D:$D,964)))</f>
        <v/>
      </c>
      <c r="Q946">
        <f>IF($O946="","",INDEX(Suivi!$E:$E,964))</f>
        <v/>
      </c>
      <c r="R946">
        <f>IF($O946="","",INDEX(Suivi!$F:$F,964))</f>
        <v/>
      </c>
      <c r="S946">
        <f>IF($O946="","",INDEX(Suivi!$G:$G,964))</f>
        <v/>
      </c>
      <c r="T946">
        <f>IF($O946="","",IF(INDEX(Dossiers!$F$4:$F$63,18)="","",INDEX(Dossiers!$F$4:$F$63,18)))</f>
        <v/>
      </c>
      <c r="U946">
        <f>IF($O946="","",IF(INDEX(Dossiers!$G$4:$G$63,18)="","",INDEX(Dossiers!$G$4:$G$63,18)))</f>
        <v/>
      </c>
      <c r="V946">
        <f>IF(OR($O946="",NOT(ISNUMBER($Q946))),"",$Q946*1000000+946)</f>
        <v/>
      </c>
      <c r="W946" s="29">
        <f>IF($B946="","",IFERROR(INDEX($U$4:$U$3183,MATCH(SMALL($V$4:$V$3183,943),$V$4:$V$3183,0)),""))</f>
        <v/>
      </c>
    </row>
    <row r="947">
      <c r="A947">
        <f>IFERROR(INDEX($N$4:$N$3183,MATCH(SMALL($V$4:$V$3183,944),$V$4:$V$3183,0)),"")</f>
        <v/>
      </c>
      <c r="B947">
        <f>IFERROR(INDEX($O$4:$O$3183,MATCH(SMALL($V$4:$V$3183,944),$V$4:$V$3183,0)),"")</f>
        <v/>
      </c>
      <c r="C947">
        <f>IFERROR(INDEX($P$4:$P$3183,MATCH(SMALL($V$4:$V$3183,944),$V$4:$V$3183,0)),"")</f>
        <v/>
      </c>
      <c r="D947" s="29">
        <f>IFERROR(INDEX($Q$4:$Q$3183,MATCH(SMALL($V$4:$V$3183,944),$V$4:$V$3183,0)),"")</f>
        <v/>
      </c>
      <c r="E947" s="29">
        <f>IFERROR(INDEX($R$4:$R$3183,MATCH(SMALL($V$4:$V$3183,944),$V$4:$V$3183,0)),"")</f>
        <v/>
      </c>
      <c r="F947">
        <f>IFERROR(INDEX($S$4:$S$3183,MATCH(SMALL($V$4:$V$3183,944),$V$4:$V$3183,0)),"")</f>
        <v/>
      </c>
      <c r="I947" s="29">
        <f>IF($B947="","",IFERROR(INDEX($U$4:$U$3183,MATCH(SMALL($V$4:$V$3183,944),$V$4:$V$3183,0)),""))</f>
        <v/>
      </c>
      <c r="J947">
        <f>IF($B947="","",IF($D947&gt;$F$2,"À venir",IF($E947&lt;$D$2,"Passé","Dans la période")))</f>
        <v/>
      </c>
      <c r="K947">
        <f>IF(OR($B947="",NOT(ISNUMBER($D947))),"",IF(AND($E947&lt;$D$2,$G947&lt;&gt;"X",$F947&lt;&gt;"Réalisé",$F947&lt;&gt;"Clôturé"),"RETARD",""))</f>
        <v/>
      </c>
      <c r="L947">
        <f>IF(OR($B947="",NOT(ISNUMBER($D947))),"",IF(AND($D947&gt;=$D$2,$D947&lt;=$H$2,$G947&lt;&gt;"X",$F947&lt;&gt;"Réalisé",$F947&lt;&gt;"Clôturé"),"≤ 7 j",""))</f>
        <v/>
      </c>
      <c r="M947" s="29">
        <f>IF($B947="","",IFERROR(INDEX($T$4:$T$3183,MATCH(SMALL($V$4:$V$3183,944),$V$4:$V$3183,0)),""))</f>
        <v/>
      </c>
      <c r="O947">
        <f>IF(INDEX(Suivi!$B:$B,965)="","",INDEX(Suivi!$B:$B,965))</f>
        <v/>
      </c>
      <c r="P947">
        <f>IF($O947="","",IF(INDEX(Suivi!$D:$D,965)="",INDEX(Suivi!$C:$C,965),INDEX(Suivi!$D:$D,965)))</f>
        <v/>
      </c>
      <c r="Q947">
        <f>IF($O947="","",INDEX(Suivi!$E:$E,965))</f>
        <v/>
      </c>
      <c r="R947">
        <f>IF($O947="","",INDEX(Suivi!$F:$F,965))</f>
        <v/>
      </c>
      <c r="S947">
        <f>IF($O947="","",INDEX(Suivi!$G:$G,965))</f>
        <v/>
      </c>
      <c r="T947">
        <f>IF($O947="","",IF(INDEX(Dossiers!$F$4:$F$63,18)="","",INDEX(Dossiers!$F$4:$F$63,18)))</f>
        <v/>
      </c>
      <c r="U947">
        <f>IF($O947="","",IF(INDEX(Dossiers!$G$4:$G$63,18)="","",INDEX(Dossiers!$G$4:$G$63,18)))</f>
        <v/>
      </c>
      <c r="V947">
        <f>IF(OR($O947="",NOT(ISNUMBER($Q947))),"",$Q947*1000000+947)</f>
        <v/>
      </c>
      <c r="W947" s="29">
        <f>IF($B947="","",IFERROR(INDEX($U$4:$U$3183,MATCH(SMALL($V$4:$V$3183,944),$V$4:$V$3183,0)),""))</f>
        <v/>
      </c>
    </row>
    <row r="948">
      <c r="A948">
        <f>IFERROR(INDEX($N$4:$N$3183,MATCH(SMALL($V$4:$V$3183,945),$V$4:$V$3183,0)),"")</f>
        <v/>
      </c>
      <c r="B948">
        <f>IFERROR(INDEX($O$4:$O$3183,MATCH(SMALL($V$4:$V$3183,945),$V$4:$V$3183,0)),"")</f>
        <v/>
      </c>
      <c r="C948">
        <f>IFERROR(INDEX($P$4:$P$3183,MATCH(SMALL($V$4:$V$3183,945),$V$4:$V$3183,0)),"")</f>
        <v/>
      </c>
      <c r="D948" s="29">
        <f>IFERROR(INDEX($Q$4:$Q$3183,MATCH(SMALL($V$4:$V$3183,945),$V$4:$V$3183,0)),"")</f>
        <v/>
      </c>
      <c r="E948" s="29">
        <f>IFERROR(INDEX($R$4:$R$3183,MATCH(SMALL($V$4:$V$3183,945),$V$4:$V$3183,0)),"")</f>
        <v/>
      </c>
      <c r="F948">
        <f>IFERROR(INDEX($S$4:$S$3183,MATCH(SMALL($V$4:$V$3183,945),$V$4:$V$3183,0)),"")</f>
        <v/>
      </c>
      <c r="I948" s="29">
        <f>IF($B948="","",IFERROR(INDEX($U$4:$U$3183,MATCH(SMALL($V$4:$V$3183,945),$V$4:$V$3183,0)),""))</f>
        <v/>
      </c>
      <c r="J948">
        <f>IF($B948="","",IF($D948&gt;$F$2,"À venir",IF($E948&lt;$D$2,"Passé","Dans la période")))</f>
        <v/>
      </c>
      <c r="K948">
        <f>IF(OR($B948="",NOT(ISNUMBER($D948))),"",IF(AND($E948&lt;$D$2,$G948&lt;&gt;"X",$F948&lt;&gt;"Réalisé",$F948&lt;&gt;"Clôturé"),"RETARD",""))</f>
        <v/>
      </c>
      <c r="L948">
        <f>IF(OR($B948="",NOT(ISNUMBER($D948))),"",IF(AND($D948&gt;=$D$2,$D948&lt;=$H$2,$G948&lt;&gt;"X",$F948&lt;&gt;"Réalisé",$F948&lt;&gt;"Clôturé"),"≤ 7 j",""))</f>
        <v/>
      </c>
      <c r="M948" s="29">
        <f>IF($B948="","",IFERROR(INDEX($T$4:$T$3183,MATCH(SMALL($V$4:$V$3183,945),$V$4:$V$3183,0)),""))</f>
        <v/>
      </c>
      <c r="O948">
        <f>IF(INDEX(Suivi!$B:$B,966)="","",INDEX(Suivi!$B:$B,966))</f>
        <v/>
      </c>
      <c r="P948">
        <f>IF($O948="","",IF(INDEX(Suivi!$D:$D,966)="",INDEX(Suivi!$C:$C,966),INDEX(Suivi!$D:$D,966)))</f>
        <v/>
      </c>
      <c r="Q948">
        <f>IF($O948="","",INDEX(Suivi!$E:$E,966))</f>
        <v/>
      </c>
      <c r="R948">
        <f>IF($O948="","",INDEX(Suivi!$F:$F,966))</f>
        <v/>
      </c>
      <c r="S948">
        <f>IF($O948="","",INDEX(Suivi!$G:$G,966))</f>
        <v/>
      </c>
      <c r="T948">
        <f>IF($O948="","",IF(INDEX(Dossiers!$F$4:$F$63,18)="","",INDEX(Dossiers!$F$4:$F$63,18)))</f>
        <v/>
      </c>
      <c r="U948">
        <f>IF($O948="","",IF(INDEX(Dossiers!$G$4:$G$63,18)="","",INDEX(Dossiers!$G$4:$G$63,18)))</f>
        <v/>
      </c>
      <c r="V948">
        <f>IF(OR($O948="",NOT(ISNUMBER($Q948))),"",$Q948*1000000+948)</f>
        <v/>
      </c>
      <c r="W948" s="29">
        <f>IF($B948="","",IFERROR(INDEX($U$4:$U$3183,MATCH(SMALL($V$4:$V$3183,945),$V$4:$V$3183,0)),""))</f>
        <v/>
      </c>
    </row>
    <row r="949">
      <c r="A949">
        <f>IFERROR(INDEX($N$4:$N$3183,MATCH(SMALL($V$4:$V$3183,946),$V$4:$V$3183,0)),"")</f>
        <v/>
      </c>
      <c r="B949">
        <f>IFERROR(INDEX($O$4:$O$3183,MATCH(SMALL($V$4:$V$3183,946),$V$4:$V$3183,0)),"")</f>
        <v/>
      </c>
      <c r="C949">
        <f>IFERROR(INDEX($P$4:$P$3183,MATCH(SMALL($V$4:$V$3183,946),$V$4:$V$3183,0)),"")</f>
        <v/>
      </c>
      <c r="D949" s="29">
        <f>IFERROR(INDEX($Q$4:$Q$3183,MATCH(SMALL($V$4:$V$3183,946),$V$4:$V$3183,0)),"")</f>
        <v/>
      </c>
      <c r="E949" s="29">
        <f>IFERROR(INDEX($R$4:$R$3183,MATCH(SMALL($V$4:$V$3183,946),$V$4:$V$3183,0)),"")</f>
        <v/>
      </c>
      <c r="F949">
        <f>IFERROR(INDEX($S$4:$S$3183,MATCH(SMALL($V$4:$V$3183,946),$V$4:$V$3183,0)),"")</f>
        <v/>
      </c>
      <c r="I949" s="29">
        <f>IF($B949="","",IFERROR(INDEX($U$4:$U$3183,MATCH(SMALL($V$4:$V$3183,946),$V$4:$V$3183,0)),""))</f>
        <v/>
      </c>
      <c r="J949">
        <f>IF($B949="","",IF($D949&gt;$F$2,"À venir",IF($E949&lt;$D$2,"Passé","Dans la période")))</f>
        <v/>
      </c>
      <c r="K949">
        <f>IF(OR($B949="",NOT(ISNUMBER($D949))),"",IF(AND($E949&lt;$D$2,$G949&lt;&gt;"X",$F949&lt;&gt;"Réalisé",$F949&lt;&gt;"Clôturé"),"RETARD",""))</f>
        <v/>
      </c>
      <c r="L949">
        <f>IF(OR($B949="",NOT(ISNUMBER($D949))),"",IF(AND($D949&gt;=$D$2,$D949&lt;=$H$2,$G949&lt;&gt;"X",$F949&lt;&gt;"Réalisé",$F949&lt;&gt;"Clôturé"),"≤ 7 j",""))</f>
        <v/>
      </c>
      <c r="M949" s="29">
        <f>IF($B949="","",IFERROR(INDEX($T$4:$T$3183,MATCH(SMALL($V$4:$V$3183,946),$V$4:$V$3183,0)),""))</f>
        <v/>
      </c>
      <c r="O949">
        <f>IF(INDEX(Suivi!$B:$B,967)="","",INDEX(Suivi!$B:$B,967))</f>
        <v/>
      </c>
      <c r="P949">
        <f>IF($O949="","",IF(INDEX(Suivi!$D:$D,967)="",INDEX(Suivi!$C:$C,967),INDEX(Suivi!$D:$D,967)))</f>
        <v/>
      </c>
      <c r="Q949">
        <f>IF($O949="","",INDEX(Suivi!$E:$E,967))</f>
        <v/>
      </c>
      <c r="R949">
        <f>IF($O949="","",INDEX(Suivi!$F:$F,967))</f>
        <v/>
      </c>
      <c r="S949">
        <f>IF($O949="","",INDEX(Suivi!$G:$G,967))</f>
        <v/>
      </c>
      <c r="T949">
        <f>IF($O949="","",IF(INDEX(Dossiers!$F$4:$F$63,18)="","",INDEX(Dossiers!$F$4:$F$63,18)))</f>
        <v/>
      </c>
      <c r="U949">
        <f>IF($O949="","",IF(INDEX(Dossiers!$G$4:$G$63,18)="","",INDEX(Dossiers!$G$4:$G$63,18)))</f>
        <v/>
      </c>
      <c r="V949">
        <f>IF(OR($O949="",NOT(ISNUMBER($Q949))),"",$Q949*1000000+949)</f>
        <v/>
      </c>
      <c r="W949" s="29">
        <f>IF($B949="","",IFERROR(INDEX($U$4:$U$3183,MATCH(SMALL($V$4:$V$3183,946),$V$4:$V$3183,0)),""))</f>
        <v/>
      </c>
    </row>
    <row r="950">
      <c r="A950">
        <f>IFERROR(INDEX($N$4:$N$3183,MATCH(SMALL($V$4:$V$3183,947),$V$4:$V$3183,0)),"")</f>
        <v/>
      </c>
      <c r="B950">
        <f>IFERROR(INDEX($O$4:$O$3183,MATCH(SMALL($V$4:$V$3183,947),$V$4:$V$3183,0)),"")</f>
        <v/>
      </c>
      <c r="C950">
        <f>IFERROR(INDEX($P$4:$P$3183,MATCH(SMALL($V$4:$V$3183,947),$V$4:$V$3183,0)),"")</f>
        <v/>
      </c>
      <c r="D950" s="29">
        <f>IFERROR(INDEX($Q$4:$Q$3183,MATCH(SMALL($V$4:$V$3183,947),$V$4:$V$3183,0)),"")</f>
        <v/>
      </c>
      <c r="E950" s="29">
        <f>IFERROR(INDEX($R$4:$R$3183,MATCH(SMALL($V$4:$V$3183,947),$V$4:$V$3183,0)),"")</f>
        <v/>
      </c>
      <c r="F950">
        <f>IFERROR(INDEX($S$4:$S$3183,MATCH(SMALL($V$4:$V$3183,947),$V$4:$V$3183,0)),"")</f>
        <v/>
      </c>
      <c r="I950" s="29">
        <f>IF($B950="","",IFERROR(INDEX($U$4:$U$3183,MATCH(SMALL($V$4:$V$3183,947),$V$4:$V$3183,0)),""))</f>
        <v/>
      </c>
      <c r="J950">
        <f>IF($B950="","",IF($D950&gt;$F$2,"À venir",IF($E950&lt;$D$2,"Passé","Dans la période")))</f>
        <v/>
      </c>
      <c r="K950">
        <f>IF(OR($B950="",NOT(ISNUMBER($D950))),"",IF(AND($E950&lt;$D$2,$G950&lt;&gt;"X",$F950&lt;&gt;"Réalisé",$F950&lt;&gt;"Clôturé"),"RETARD",""))</f>
        <v/>
      </c>
      <c r="L950">
        <f>IF(OR($B950="",NOT(ISNUMBER($D950))),"",IF(AND($D950&gt;=$D$2,$D950&lt;=$H$2,$G950&lt;&gt;"X",$F950&lt;&gt;"Réalisé",$F950&lt;&gt;"Clôturé"),"≤ 7 j",""))</f>
        <v/>
      </c>
      <c r="M950" s="29">
        <f>IF($B950="","",IFERROR(INDEX($T$4:$T$3183,MATCH(SMALL($V$4:$V$3183,947),$V$4:$V$3183,0)),""))</f>
        <v/>
      </c>
      <c r="O950">
        <f>IF(INDEX(Suivi!$B:$B,968)="","",INDEX(Suivi!$B:$B,968))</f>
        <v/>
      </c>
      <c r="P950">
        <f>IF($O950="","",IF(INDEX(Suivi!$D:$D,968)="",INDEX(Suivi!$C:$C,968),INDEX(Suivi!$D:$D,968)))</f>
        <v/>
      </c>
      <c r="Q950">
        <f>IF($O950="","",INDEX(Suivi!$E:$E,968))</f>
        <v/>
      </c>
      <c r="R950">
        <f>IF($O950="","",INDEX(Suivi!$F:$F,968))</f>
        <v/>
      </c>
      <c r="S950">
        <f>IF($O950="","",INDEX(Suivi!$G:$G,968))</f>
        <v/>
      </c>
      <c r="T950">
        <f>IF($O950="","",IF(INDEX(Dossiers!$F$4:$F$63,18)="","",INDEX(Dossiers!$F$4:$F$63,18)))</f>
        <v/>
      </c>
      <c r="U950">
        <f>IF($O950="","",IF(INDEX(Dossiers!$G$4:$G$63,18)="","",INDEX(Dossiers!$G$4:$G$63,18)))</f>
        <v/>
      </c>
      <c r="V950">
        <f>IF(OR($O950="",NOT(ISNUMBER($Q950))),"",$Q950*1000000+950)</f>
        <v/>
      </c>
      <c r="W950" s="29">
        <f>IF($B950="","",IFERROR(INDEX($U$4:$U$3183,MATCH(SMALL($V$4:$V$3183,947),$V$4:$V$3183,0)),""))</f>
        <v/>
      </c>
    </row>
    <row r="951">
      <c r="A951">
        <f>IFERROR(INDEX($N$4:$N$3183,MATCH(SMALL($V$4:$V$3183,948),$V$4:$V$3183,0)),"")</f>
        <v/>
      </c>
      <c r="B951">
        <f>IFERROR(INDEX($O$4:$O$3183,MATCH(SMALL($V$4:$V$3183,948),$V$4:$V$3183,0)),"")</f>
        <v/>
      </c>
      <c r="C951">
        <f>IFERROR(INDEX($P$4:$P$3183,MATCH(SMALL($V$4:$V$3183,948),$V$4:$V$3183,0)),"")</f>
        <v/>
      </c>
      <c r="D951" s="29">
        <f>IFERROR(INDEX($Q$4:$Q$3183,MATCH(SMALL($V$4:$V$3183,948),$V$4:$V$3183,0)),"")</f>
        <v/>
      </c>
      <c r="E951" s="29">
        <f>IFERROR(INDEX($R$4:$R$3183,MATCH(SMALL($V$4:$V$3183,948),$V$4:$V$3183,0)),"")</f>
        <v/>
      </c>
      <c r="F951">
        <f>IFERROR(INDEX($S$4:$S$3183,MATCH(SMALL($V$4:$V$3183,948),$V$4:$V$3183,0)),"")</f>
        <v/>
      </c>
      <c r="I951" s="29">
        <f>IF($B951="","",IFERROR(INDEX($U$4:$U$3183,MATCH(SMALL($V$4:$V$3183,948),$V$4:$V$3183,0)),""))</f>
        <v/>
      </c>
      <c r="J951">
        <f>IF($B951="","",IF($D951&gt;$F$2,"À venir",IF($E951&lt;$D$2,"Passé","Dans la période")))</f>
        <v/>
      </c>
      <c r="K951">
        <f>IF(OR($B951="",NOT(ISNUMBER($D951))),"",IF(AND($E951&lt;$D$2,$G951&lt;&gt;"X",$F951&lt;&gt;"Réalisé",$F951&lt;&gt;"Clôturé"),"RETARD",""))</f>
        <v/>
      </c>
      <c r="L951">
        <f>IF(OR($B951="",NOT(ISNUMBER($D951))),"",IF(AND($D951&gt;=$D$2,$D951&lt;=$H$2,$G951&lt;&gt;"X",$F951&lt;&gt;"Réalisé",$F951&lt;&gt;"Clôturé"),"≤ 7 j",""))</f>
        <v/>
      </c>
      <c r="M951" s="29">
        <f>IF($B951="","",IFERROR(INDEX($T$4:$T$3183,MATCH(SMALL($V$4:$V$3183,948),$V$4:$V$3183,0)),""))</f>
        <v/>
      </c>
      <c r="O951">
        <f>IF(INDEX(Suivi!$B:$B,969)="","",INDEX(Suivi!$B:$B,969))</f>
        <v/>
      </c>
      <c r="P951">
        <f>IF($O951="","",IF(INDEX(Suivi!$D:$D,969)="",INDEX(Suivi!$C:$C,969),INDEX(Suivi!$D:$D,969)))</f>
        <v/>
      </c>
      <c r="Q951">
        <f>IF($O951="","",INDEX(Suivi!$E:$E,969))</f>
        <v/>
      </c>
      <c r="R951">
        <f>IF($O951="","",INDEX(Suivi!$F:$F,969))</f>
        <v/>
      </c>
      <c r="S951">
        <f>IF($O951="","",INDEX(Suivi!$G:$G,969))</f>
        <v/>
      </c>
      <c r="T951">
        <f>IF($O951="","",IF(INDEX(Dossiers!$F$4:$F$63,18)="","",INDEX(Dossiers!$F$4:$F$63,18)))</f>
        <v/>
      </c>
      <c r="U951">
        <f>IF($O951="","",IF(INDEX(Dossiers!$G$4:$G$63,18)="","",INDEX(Dossiers!$G$4:$G$63,18)))</f>
        <v/>
      </c>
      <c r="V951">
        <f>IF(OR($O951="",NOT(ISNUMBER($Q951))),"",$Q951*1000000+951)</f>
        <v/>
      </c>
      <c r="W951" s="29">
        <f>IF($B951="","",IFERROR(INDEX($U$4:$U$3183,MATCH(SMALL($V$4:$V$3183,948),$V$4:$V$3183,0)),""))</f>
        <v/>
      </c>
    </row>
    <row r="952">
      <c r="A952">
        <f>IFERROR(INDEX($N$4:$N$3183,MATCH(SMALL($V$4:$V$3183,949),$V$4:$V$3183,0)),"")</f>
        <v/>
      </c>
      <c r="B952">
        <f>IFERROR(INDEX($O$4:$O$3183,MATCH(SMALL($V$4:$V$3183,949),$V$4:$V$3183,0)),"")</f>
        <v/>
      </c>
      <c r="C952">
        <f>IFERROR(INDEX($P$4:$P$3183,MATCH(SMALL($V$4:$V$3183,949),$V$4:$V$3183,0)),"")</f>
        <v/>
      </c>
      <c r="D952" s="29">
        <f>IFERROR(INDEX($Q$4:$Q$3183,MATCH(SMALL($V$4:$V$3183,949),$V$4:$V$3183,0)),"")</f>
        <v/>
      </c>
      <c r="E952" s="29">
        <f>IFERROR(INDEX($R$4:$R$3183,MATCH(SMALL($V$4:$V$3183,949),$V$4:$V$3183,0)),"")</f>
        <v/>
      </c>
      <c r="F952">
        <f>IFERROR(INDEX($S$4:$S$3183,MATCH(SMALL($V$4:$V$3183,949),$V$4:$V$3183,0)),"")</f>
        <v/>
      </c>
      <c r="I952" s="29">
        <f>IF($B952="","",IFERROR(INDEX($U$4:$U$3183,MATCH(SMALL($V$4:$V$3183,949),$V$4:$V$3183,0)),""))</f>
        <v/>
      </c>
      <c r="J952">
        <f>IF($B952="","",IF($D952&gt;$F$2,"À venir",IF($E952&lt;$D$2,"Passé","Dans la période")))</f>
        <v/>
      </c>
      <c r="K952">
        <f>IF(OR($B952="",NOT(ISNUMBER($D952))),"",IF(AND($E952&lt;$D$2,$G952&lt;&gt;"X",$F952&lt;&gt;"Réalisé",$F952&lt;&gt;"Clôturé"),"RETARD",""))</f>
        <v/>
      </c>
      <c r="L952">
        <f>IF(OR($B952="",NOT(ISNUMBER($D952))),"",IF(AND($D952&gt;=$D$2,$D952&lt;=$H$2,$G952&lt;&gt;"X",$F952&lt;&gt;"Réalisé",$F952&lt;&gt;"Clôturé"),"≤ 7 j",""))</f>
        <v/>
      </c>
      <c r="M952" s="29">
        <f>IF($B952="","",IFERROR(INDEX($T$4:$T$3183,MATCH(SMALL($V$4:$V$3183,949),$V$4:$V$3183,0)),""))</f>
        <v/>
      </c>
      <c r="O952">
        <f>IF(INDEX(Suivi!$B:$B,970)="","",INDEX(Suivi!$B:$B,970))</f>
        <v/>
      </c>
      <c r="P952">
        <f>IF($O952="","",IF(INDEX(Suivi!$D:$D,970)="",INDEX(Suivi!$C:$C,970),INDEX(Suivi!$D:$D,970)))</f>
        <v/>
      </c>
      <c r="Q952">
        <f>IF($O952="","",INDEX(Suivi!$E:$E,970))</f>
        <v/>
      </c>
      <c r="R952">
        <f>IF($O952="","",INDEX(Suivi!$F:$F,970))</f>
        <v/>
      </c>
      <c r="S952">
        <f>IF($O952="","",INDEX(Suivi!$G:$G,970))</f>
        <v/>
      </c>
      <c r="T952">
        <f>IF($O952="","",IF(INDEX(Dossiers!$F$4:$F$63,18)="","",INDEX(Dossiers!$F$4:$F$63,18)))</f>
        <v/>
      </c>
      <c r="U952">
        <f>IF($O952="","",IF(INDEX(Dossiers!$G$4:$G$63,18)="","",INDEX(Dossiers!$G$4:$G$63,18)))</f>
        <v/>
      </c>
      <c r="V952">
        <f>IF(OR($O952="",NOT(ISNUMBER($Q952))),"",$Q952*1000000+952)</f>
        <v/>
      </c>
      <c r="W952" s="29">
        <f>IF($B952="","",IFERROR(INDEX($U$4:$U$3183,MATCH(SMALL($V$4:$V$3183,949),$V$4:$V$3183,0)),""))</f>
        <v/>
      </c>
    </row>
    <row r="953">
      <c r="A953">
        <f>IFERROR(INDEX($N$4:$N$3183,MATCH(SMALL($V$4:$V$3183,950),$V$4:$V$3183,0)),"")</f>
        <v/>
      </c>
      <c r="B953">
        <f>IFERROR(INDEX($O$4:$O$3183,MATCH(SMALL($V$4:$V$3183,950),$V$4:$V$3183,0)),"")</f>
        <v/>
      </c>
      <c r="C953">
        <f>IFERROR(INDEX($P$4:$P$3183,MATCH(SMALL($V$4:$V$3183,950),$V$4:$V$3183,0)),"")</f>
        <v/>
      </c>
      <c r="D953" s="29">
        <f>IFERROR(INDEX($Q$4:$Q$3183,MATCH(SMALL($V$4:$V$3183,950),$V$4:$V$3183,0)),"")</f>
        <v/>
      </c>
      <c r="E953" s="29">
        <f>IFERROR(INDEX($R$4:$R$3183,MATCH(SMALL($V$4:$V$3183,950),$V$4:$V$3183,0)),"")</f>
        <v/>
      </c>
      <c r="F953">
        <f>IFERROR(INDEX($S$4:$S$3183,MATCH(SMALL($V$4:$V$3183,950),$V$4:$V$3183,0)),"")</f>
        <v/>
      </c>
      <c r="I953" s="29">
        <f>IF($B953="","",IFERROR(INDEX($U$4:$U$3183,MATCH(SMALL($V$4:$V$3183,950),$V$4:$V$3183,0)),""))</f>
        <v/>
      </c>
      <c r="J953">
        <f>IF($B953="","",IF($D953&gt;$F$2,"À venir",IF($E953&lt;$D$2,"Passé","Dans la période")))</f>
        <v/>
      </c>
      <c r="K953">
        <f>IF(OR($B953="",NOT(ISNUMBER($D953))),"",IF(AND($E953&lt;$D$2,$G953&lt;&gt;"X",$F953&lt;&gt;"Réalisé",$F953&lt;&gt;"Clôturé"),"RETARD",""))</f>
        <v/>
      </c>
      <c r="L953">
        <f>IF(OR($B953="",NOT(ISNUMBER($D953))),"",IF(AND($D953&gt;=$D$2,$D953&lt;=$H$2,$G953&lt;&gt;"X",$F953&lt;&gt;"Réalisé",$F953&lt;&gt;"Clôturé"),"≤ 7 j",""))</f>
        <v/>
      </c>
      <c r="M953" s="29">
        <f>IF($B953="","",IFERROR(INDEX($T$4:$T$3183,MATCH(SMALL($V$4:$V$3183,950),$V$4:$V$3183,0)),""))</f>
        <v/>
      </c>
      <c r="O953">
        <f>IF(INDEX(Suivi!$B:$B,971)="","",INDEX(Suivi!$B:$B,971))</f>
        <v/>
      </c>
      <c r="P953">
        <f>IF($O953="","",IF(INDEX(Suivi!$D:$D,971)="",INDEX(Suivi!$C:$C,971),INDEX(Suivi!$D:$D,971)))</f>
        <v/>
      </c>
      <c r="Q953">
        <f>IF($O953="","",INDEX(Suivi!$E:$E,971))</f>
        <v/>
      </c>
      <c r="R953">
        <f>IF($O953="","",INDEX(Suivi!$F:$F,971))</f>
        <v/>
      </c>
      <c r="S953">
        <f>IF($O953="","",INDEX(Suivi!$G:$G,971))</f>
        <v/>
      </c>
      <c r="T953">
        <f>IF($O953="","",IF(INDEX(Dossiers!$F$4:$F$63,18)="","",INDEX(Dossiers!$F$4:$F$63,18)))</f>
        <v/>
      </c>
      <c r="U953">
        <f>IF($O953="","",IF(INDEX(Dossiers!$G$4:$G$63,18)="","",INDEX(Dossiers!$G$4:$G$63,18)))</f>
        <v/>
      </c>
      <c r="V953">
        <f>IF(OR($O953="",NOT(ISNUMBER($Q953))),"",$Q953*1000000+953)</f>
        <v/>
      </c>
      <c r="W953" s="29">
        <f>IF($B953="","",IFERROR(INDEX($U$4:$U$3183,MATCH(SMALL($V$4:$V$3183,950),$V$4:$V$3183,0)),""))</f>
        <v/>
      </c>
    </row>
    <row r="954">
      <c r="A954">
        <f>IFERROR(INDEX($N$4:$N$3183,MATCH(SMALL($V$4:$V$3183,951),$V$4:$V$3183,0)),"")</f>
        <v/>
      </c>
      <c r="B954">
        <f>IFERROR(INDEX($O$4:$O$3183,MATCH(SMALL($V$4:$V$3183,951),$V$4:$V$3183,0)),"")</f>
        <v/>
      </c>
      <c r="C954">
        <f>IFERROR(INDEX($P$4:$P$3183,MATCH(SMALL($V$4:$V$3183,951),$V$4:$V$3183,0)),"")</f>
        <v/>
      </c>
      <c r="D954" s="29">
        <f>IFERROR(INDEX($Q$4:$Q$3183,MATCH(SMALL($V$4:$V$3183,951),$V$4:$V$3183,0)),"")</f>
        <v/>
      </c>
      <c r="E954" s="29">
        <f>IFERROR(INDEX($R$4:$R$3183,MATCH(SMALL($V$4:$V$3183,951),$V$4:$V$3183,0)),"")</f>
        <v/>
      </c>
      <c r="F954">
        <f>IFERROR(INDEX($S$4:$S$3183,MATCH(SMALL($V$4:$V$3183,951),$V$4:$V$3183,0)),"")</f>
        <v/>
      </c>
      <c r="I954" s="29">
        <f>IF($B954="","",IFERROR(INDEX($U$4:$U$3183,MATCH(SMALL($V$4:$V$3183,951),$V$4:$V$3183,0)),""))</f>
        <v/>
      </c>
      <c r="J954">
        <f>IF($B954="","",IF($D954&gt;$F$2,"À venir",IF($E954&lt;$D$2,"Passé","Dans la période")))</f>
        <v/>
      </c>
      <c r="K954">
        <f>IF(OR($B954="",NOT(ISNUMBER($D954))),"",IF(AND($E954&lt;$D$2,$G954&lt;&gt;"X",$F954&lt;&gt;"Réalisé",$F954&lt;&gt;"Clôturé"),"RETARD",""))</f>
        <v/>
      </c>
      <c r="L954">
        <f>IF(OR($B954="",NOT(ISNUMBER($D954))),"",IF(AND($D954&gt;=$D$2,$D954&lt;=$H$2,$G954&lt;&gt;"X",$F954&lt;&gt;"Réalisé",$F954&lt;&gt;"Clôturé"),"≤ 7 j",""))</f>
        <v/>
      </c>
      <c r="M954" s="29">
        <f>IF($B954="","",IFERROR(INDEX($T$4:$T$3183,MATCH(SMALL($V$4:$V$3183,951),$V$4:$V$3183,0)),""))</f>
        <v/>
      </c>
      <c r="O954">
        <f>IF(INDEX(Suivi!$B:$B,972)="","",INDEX(Suivi!$B:$B,972))</f>
        <v/>
      </c>
      <c r="P954">
        <f>IF($O954="","",IF(INDEX(Suivi!$D:$D,972)="",INDEX(Suivi!$C:$C,972),INDEX(Suivi!$D:$D,972)))</f>
        <v/>
      </c>
      <c r="Q954">
        <f>IF($O954="","",INDEX(Suivi!$E:$E,972))</f>
        <v/>
      </c>
      <c r="R954">
        <f>IF($O954="","",INDEX(Suivi!$F:$F,972))</f>
        <v/>
      </c>
      <c r="S954">
        <f>IF($O954="","",INDEX(Suivi!$G:$G,972))</f>
        <v/>
      </c>
      <c r="T954">
        <f>IF($O954="","",IF(INDEX(Dossiers!$F$4:$F$63,18)="","",INDEX(Dossiers!$F$4:$F$63,18)))</f>
        <v/>
      </c>
      <c r="U954">
        <f>IF($O954="","",IF(INDEX(Dossiers!$G$4:$G$63,18)="","",INDEX(Dossiers!$G$4:$G$63,18)))</f>
        <v/>
      </c>
      <c r="V954">
        <f>IF(OR($O954="",NOT(ISNUMBER($Q954))),"",$Q954*1000000+954)</f>
        <v/>
      </c>
      <c r="W954" s="29">
        <f>IF($B954="","",IFERROR(INDEX($U$4:$U$3183,MATCH(SMALL($V$4:$V$3183,951),$V$4:$V$3183,0)),""))</f>
        <v/>
      </c>
    </row>
    <row r="955">
      <c r="A955">
        <f>IFERROR(INDEX($N$4:$N$3183,MATCH(SMALL($V$4:$V$3183,952),$V$4:$V$3183,0)),"")</f>
        <v/>
      </c>
      <c r="B955">
        <f>IFERROR(INDEX($O$4:$O$3183,MATCH(SMALL($V$4:$V$3183,952),$V$4:$V$3183,0)),"")</f>
        <v/>
      </c>
      <c r="C955">
        <f>IFERROR(INDEX($P$4:$P$3183,MATCH(SMALL($V$4:$V$3183,952),$V$4:$V$3183,0)),"")</f>
        <v/>
      </c>
      <c r="D955" s="29">
        <f>IFERROR(INDEX($Q$4:$Q$3183,MATCH(SMALL($V$4:$V$3183,952),$V$4:$V$3183,0)),"")</f>
        <v/>
      </c>
      <c r="E955" s="29">
        <f>IFERROR(INDEX($R$4:$R$3183,MATCH(SMALL($V$4:$V$3183,952),$V$4:$V$3183,0)),"")</f>
        <v/>
      </c>
      <c r="F955">
        <f>IFERROR(INDEX($S$4:$S$3183,MATCH(SMALL($V$4:$V$3183,952),$V$4:$V$3183,0)),"")</f>
        <v/>
      </c>
      <c r="I955" s="29">
        <f>IF($B955="","",IFERROR(INDEX($U$4:$U$3183,MATCH(SMALL($V$4:$V$3183,952),$V$4:$V$3183,0)),""))</f>
        <v/>
      </c>
      <c r="J955">
        <f>IF($B955="","",IF($D955&gt;$F$2,"À venir",IF($E955&lt;$D$2,"Passé","Dans la période")))</f>
        <v/>
      </c>
      <c r="K955">
        <f>IF(OR($B955="",NOT(ISNUMBER($D955))),"",IF(AND($E955&lt;$D$2,$G955&lt;&gt;"X",$F955&lt;&gt;"Réalisé",$F955&lt;&gt;"Clôturé"),"RETARD",""))</f>
        <v/>
      </c>
      <c r="L955">
        <f>IF(OR($B955="",NOT(ISNUMBER($D955))),"",IF(AND($D955&gt;=$D$2,$D955&lt;=$H$2,$G955&lt;&gt;"X",$F955&lt;&gt;"Réalisé",$F955&lt;&gt;"Clôturé"),"≤ 7 j",""))</f>
        <v/>
      </c>
      <c r="M955" s="29">
        <f>IF($B955="","",IFERROR(INDEX($T$4:$T$3183,MATCH(SMALL($V$4:$V$3183,952),$V$4:$V$3183,0)),""))</f>
        <v/>
      </c>
      <c r="O955">
        <f>IF(INDEX(Suivi!$B:$B,973)="","",INDEX(Suivi!$B:$B,973))</f>
        <v/>
      </c>
      <c r="P955">
        <f>IF($O955="","",IF(INDEX(Suivi!$D:$D,973)="",INDEX(Suivi!$C:$C,973),INDEX(Suivi!$D:$D,973)))</f>
        <v/>
      </c>
      <c r="Q955">
        <f>IF($O955="","",INDEX(Suivi!$E:$E,973))</f>
        <v/>
      </c>
      <c r="R955">
        <f>IF($O955="","",INDEX(Suivi!$F:$F,973))</f>
        <v/>
      </c>
      <c r="S955">
        <f>IF($O955="","",INDEX(Suivi!$G:$G,973))</f>
        <v/>
      </c>
      <c r="T955">
        <f>IF($O955="","",IF(INDEX(Dossiers!$F$4:$F$63,18)="","",INDEX(Dossiers!$F$4:$F$63,18)))</f>
        <v/>
      </c>
      <c r="U955">
        <f>IF($O955="","",IF(INDEX(Dossiers!$G$4:$G$63,18)="","",INDEX(Dossiers!$G$4:$G$63,18)))</f>
        <v/>
      </c>
      <c r="V955">
        <f>IF(OR($O955="",NOT(ISNUMBER($Q955))),"",$Q955*1000000+955)</f>
        <v/>
      </c>
      <c r="W955" s="29">
        <f>IF($B955="","",IFERROR(INDEX($U$4:$U$3183,MATCH(SMALL($V$4:$V$3183,952),$V$4:$V$3183,0)),""))</f>
        <v/>
      </c>
    </row>
    <row r="956">
      <c r="A956">
        <f>IFERROR(INDEX($N$4:$N$3183,MATCH(SMALL($V$4:$V$3183,953),$V$4:$V$3183,0)),"")</f>
        <v/>
      </c>
      <c r="B956">
        <f>IFERROR(INDEX($O$4:$O$3183,MATCH(SMALL($V$4:$V$3183,953),$V$4:$V$3183,0)),"")</f>
        <v/>
      </c>
      <c r="C956">
        <f>IFERROR(INDEX($P$4:$P$3183,MATCH(SMALL($V$4:$V$3183,953),$V$4:$V$3183,0)),"")</f>
        <v/>
      </c>
      <c r="D956" s="29">
        <f>IFERROR(INDEX($Q$4:$Q$3183,MATCH(SMALL($V$4:$V$3183,953),$V$4:$V$3183,0)),"")</f>
        <v/>
      </c>
      <c r="E956" s="29">
        <f>IFERROR(INDEX($R$4:$R$3183,MATCH(SMALL($V$4:$V$3183,953),$V$4:$V$3183,0)),"")</f>
        <v/>
      </c>
      <c r="F956">
        <f>IFERROR(INDEX($S$4:$S$3183,MATCH(SMALL($V$4:$V$3183,953),$V$4:$V$3183,0)),"")</f>
        <v/>
      </c>
      <c r="I956" s="29">
        <f>IF($B956="","",IFERROR(INDEX($U$4:$U$3183,MATCH(SMALL($V$4:$V$3183,953),$V$4:$V$3183,0)),""))</f>
        <v/>
      </c>
      <c r="J956">
        <f>IF($B956="","",IF($D956&gt;$F$2,"À venir",IF($E956&lt;$D$2,"Passé","Dans la période")))</f>
        <v/>
      </c>
      <c r="K956">
        <f>IF(OR($B956="",NOT(ISNUMBER($D956))),"",IF(AND($E956&lt;$D$2,$G956&lt;&gt;"X",$F956&lt;&gt;"Réalisé",$F956&lt;&gt;"Clôturé"),"RETARD",""))</f>
        <v/>
      </c>
      <c r="L956">
        <f>IF(OR($B956="",NOT(ISNUMBER($D956))),"",IF(AND($D956&gt;=$D$2,$D956&lt;=$H$2,$G956&lt;&gt;"X",$F956&lt;&gt;"Réalisé",$F956&lt;&gt;"Clôturé"),"≤ 7 j",""))</f>
        <v/>
      </c>
      <c r="M956" s="29">
        <f>IF($B956="","",IFERROR(INDEX($T$4:$T$3183,MATCH(SMALL($V$4:$V$3183,953),$V$4:$V$3183,0)),""))</f>
        <v/>
      </c>
      <c r="O956">
        <f>IF(INDEX(Suivi!$B:$B,974)="","",INDEX(Suivi!$B:$B,974))</f>
        <v/>
      </c>
      <c r="P956">
        <f>IF($O956="","",IF(INDEX(Suivi!$D:$D,974)="",INDEX(Suivi!$C:$C,974),INDEX(Suivi!$D:$D,974)))</f>
        <v/>
      </c>
      <c r="Q956">
        <f>IF($O956="","",INDEX(Suivi!$E:$E,974))</f>
        <v/>
      </c>
      <c r="R956">
        <f>IF($O956="","",INDEX(Suivi!$F:$F,974))</f>
        <v/>
      </c>
      <c r="S956">
        <f>IF($O956="","",INDEX(Suivi!$G:$G,974))</f>
        <v/>
      </c>
      <c r="T956">
        <f>IF($O956="","",IF(INDEX(Dossiers!$F$4:$F$63,18)="","",INDEX(Dossiers!$F$4:$F$63,18)))</f>
        <v/>
      </c>
      <c r="U956">
        <f>IF($O956="","",IF(INDEX(Dossiers!$G$4:$G$63,18)="","",INDEX(Dossiers!$G$4:$G$63,18)))</f>
        <v/>
      </c>
      <c r="V956">
        <f>IF(OR($O956="",NOT(ISNUMBER($Q956))),"",$Q956*1000000+956)</f>
        <v/>
      </c>
      <c r="W956" s="29">
        <f>IF($B956="","",IFERROR(INDEX($U$4:$U$3183,MATCH(SMALL($V$4:$V$3183,953),$V$4:$V$3183,0)),""))</f>
        <v/>
      </c>
    </row>
    <row r="957">
      <c r="A957">
        <f>IFERROR(INDEX($N$4:$N$3183,MATCH(SMALL($V$4:$V$3183,954),$V$4:$V$3183,0)),"")</f>
        <v/>
      </c>
      <c r="B957">
        <f>IFERROR(INDEX($O$4:$O$3183,MATCH(SMALL($V$4:$V$3183,954),$V$4:$V$3183,0)),"")</f>
        <v/>
      </c>
      <c r="C957">
        <f>IFERROR(INDEX($P$4:$P$3183,MATCH(SMALL($V$4:$V$3183,954),$V$4:$V$3183,0)),"")</f>
        <v/>
      </c>
      <c r="D957" s="29">
        <f>IFERROR(INDEX($Q$4:$Q$3183,MATCH(SMALL($V$4:$V$3183,954),$V$4:$V$3183,0)),"")</f>
        <v/>
      </c>
      <c r="E957" s="29">
        <f>IFERROR(INDEX($R$4:$R$3183,MATCH(SMALL($V$4:$V$3183,954),$V$4:$V$3183,0)),"")</f>
        <v/>
      </c>
      <c r="F957">
        <f>IFERROR(INDEX($S$4:$S$3183,MATCH(SMALL($V$4:$V$3183,954),$V$4:$V$3183,0)),"")</f>
        <v/>
      </c>
      <c r="I957" s="29">
        <f>IF($B957="","",IFERROR(INDEX($U$4:$U$3183,MATCH(SMALL($V$4:$V$3183,954),$V$4:$V$3183,0)),""))</f>
        <v/>
      </c>
      <c r="J957">
        <f>IF($B957="","",IF($D957&gt;$F$2,"À venir",IF($E957&lt;$D$2,"Passé","Dans la période")))</f>
        <v/>
      </c>
      <c r="K957">
        <f>IF(OR($B957="",NOT(ISNUMBER($D957))),"",IF(AND($E957&lt;$D$2,$G957&lt;&gt;"X",$F957&lt;&gt;"Réalisé",$F957&lt;&gt;"Clôturé"),"RETARD",""))</f>
        <v/>
      </c>
      <c r="L957">
        <f>IF(OR($B957="",NOT(ISNUMBER($D957))),"",IF(AND($D957&gt;=$D$2,$D957&lt;=$H$2,$G957&lt;&gt;"X",$F957&lt;&gt;"Réalisé",$F957&lt;&gt;"Clôturé"),"≤ 7 j",""))</f>
        <v/>
      </c>
      <c r="M957" s="29">
        <f>IF($B957="","",IFERROR(INDEX($T$4:$T$3183,MATCH(SMALL($V$4:$V$3183,954),$V$4:$V$3183,0)),""))</f>
        <v/>
      </c>
      <c r="O957">
        <f>IF(INDEX(Suivi!$B:$B,975)="","",INDEX(Suivi!$B:$B,975))</f>
        <v/>
      </c>
      <c r="P957">
        <f>IF($O957="","",IF(INDEX(Suivi!$D:$D,975)="",INDEX(Suivi!$C:$C,975),INDEX(Suivi!$D:$D,975)))</f>
        <v/>
      </c>
      <c r="Q957">
        <f>IF($O957="","",INDEX(Suivi!$E:$E,975))</f>
        <v/>
      </c>
      <c r="R957">
        <f>IF($O957="","",INDEX(Suivi!$F:$F,975))</f>
        <v/>
      </c>
      <c r="S957">
        <f>IF($O957="","",INDEX(Suivi!$G:$G,975))</f>
        <v/>
      </c>
      <c r="T957">
        <f>IF($O957="","",IF(INDEX(Dossiers!$F$4:$F$63,18)="","",INDEX(Dossiers!$F$4:$F$63,18)))</f>
        <v/>
      </c>
      <c r="U957">
        <f>IF($O957="","",IF(INDEX(Dossiers!$G$4:$G$63,18)="","",INDEX(Dossiers!$G$4:$G$63,18)))</f>
        <v/>
      </c>
      <c r="V957">
        <f>IF(OR($O957="",NOT(ISNUMBER($Q957))),"",$Q957*1000000+957)</f>
        <v/>
      </c>
      <c r="W957" s="29">
        <f>IF($B957="","",IFERROR(INDEX($U$4:$U$3183,MATCH(SMALL($V$4:$V$3183,954),$V$4:$V$3183,0)),""))</f>
        <v/>
      </c>
    </row>
    <row r="958">
      <c r="A958">
        <f>IFERROR(INDEX($N$4:$N$3183,MATCH(SMALL($V$4:$V$3183,955),$V$4:$V$3183,0)),"")</f>
        <v/>
      </c>
      <c r="B958">
        <f>IFERROR(INDEX($O$4:$O$3183,MATCH(SMALL($V$4:$V$3183,955),$V$4:$V$3183,0)),"")</f>
        <v/>
      </c>
      <c r="C958">
        <f>IFERROR(INDEX($P$4:$P$3183,MATCH(SMALL($V$4:$V$3183,955),$V$4:$V$3183,0)),"")</f>
        <v/>
      </c>
      <c r="D958" s="29">
        <f>IFERROR(INDEX($Q$4:$Q$3183,MATCH(SMALL($V$4:$V$3183,955),$V$4:$V$3183,0)),"")</f>
        <v/>
      </c>
      <c r="E958" s="29">
        <f>IFERROR(INDEX($R$4:$R$3183,MATCH(SMALL($V$4:$V$3183,955),$V$4:$V$3183,0)),"")</f>
        <v/>
      </c>
      <c r="F958">
        <f>IFERROR(INDEX($S$4:$S$3183,MATCH(SMALL($V$4:$V$3183,955),$V$4:$V$3183,0)),"")</f>
        <v/>
      </c>
      <c r="I958" s="29">
        <f>IF($B958="","",IFERROR(INDEX($U$4:$U$3183,MATCH(SMALL($V$4:$V$3183,955),$V$4:$V$3183,0)),""))</f>
        <v/>
      </c>
      <c r="J958">
        <f>IF($B958="","",IF($D958&gt;$F$2,"À venir",IF($E958&lt;$D$2,"Passé","Dans la période")))</f>
        <v/>
      </c>
      <c r="K958">
        <f>IF(OR($B958="",NOT(ISNUMBER($D958))),"",IF(AND($E958&lt;$D$2,$G958&lt;&gt;"X",$F958&lt;&gt;"Réalisé",$F958&lt;&gt;"Clôturé"),"RETARD",""))</f>
        <v/>
      </c>
      <c r="L958">
        <f>IF(OR($B958="",NOT(ISNUMBER($D958))),"",IF(AND($D958&gt;=$D$2,$D958&lt;=$H$2,$G958&lt;&gt;"X",$F958&lt;&gt;"Réalisé",$F958&lt;&gt;"Clôturé"),"≤ 7 j",""))</f>
        <v/>
      </c>
      <c r="M958" s="29">
        <f>IF($B958="","",IFERROR(INDEX($T$4:$T$3183,MATCH(SMALL($V$4:$V$3183,955),$V$4:$V$3183,0)),""))</f>
        <v/>
      </c>
      <c r="O958">
        <f>IF(INDEX(Suivi!$B:$B,977)="","",INDEX(Suivi!$B:$B,977))</f>
        <v/>
      </c>
      <c r="P958">
        <f>IF($O958="","",IF(INDEX(Suivi!$D:$D,977)="",INDEX(Suivi!$C:$C,977),INDEX(Suivi!$D:$D,977)))</f>
        <v/>
      </c>
      <c r="Q958">
        <f>IF($O958="","",INDEX(Suivi!$E:$E,977))</f>
        <v/>
      </c>
      <c r="R958">
        <f>IF($O958="","",INDEX(Suivi!$F:$F,977))</f>
        <v/>
      </c>
      <c r="S958">
        <f>IF($O958="","",INDEX(Suivi!$G:$G,977))</f>
        <v/>
      </c>
      <c r="T958">
        <f>IF($O958="","",IF(INDEX(Dossiers!$F$4:$F$63,19)="","",INDEX(Dossiers!$F$4:$F$63,19)))</f>
        <v/>
      </c>
      <c r="U958">
        <f>IF($O958="","",IF(INDEX(Dossiers!$G$4:$G$63,19)="","",INDEX(Dossiers!$G$4:$G$63,19)))</f>
        <v/>
      </c>
      <c r="V958">
        <f>IF(OR($O958="",NOT(ISNUMBER($Q958))),"",$Q958*1000000+958)</f>
        <v/>
      </c>
      <c r="W958" s="29">
        <f>IF($B958="","",IFERROR(INDEX($U$4:$U$3183,MATCH(SMALL($V$4:$V$3183,955),$V$4:$V$3183,0)),""))</f>
        <v/>
      </c>
    </row>
    <row r="959">
      <c r="A959">
        <f>IFERROR(INDEX($N$4:$N$3183,MATCH(SMALL($V$4:$V$3183,956),$V$4:$V$3183,0)),"")</f>
        <v/>
      </c>
      <c r="B959">
        <f>IFERROR(INDEX($O$4:$O$3183,MATCH(SMALL($V$4:$V$3183,956),$V$4:$V$3183,0)),"")</f>
        <v/>
      </c>
      <c r="C959">
        <f>IFERROR(INDEX($P$4:$P$3183,MATCH(SMALL($V$4:$V$3183,956),$V$4:$V$3183,0)),"")</f>
        <v/>
      </c>
      <c r="D959" s="29">
        <f>IFERROR(INDEX($Q$4:$Q$3183,MATCH(SMALL($V$4:$V$3183,956),$V$4:$V$3183,0)),"")</f>
        <v/>
      </c>
      <c r="E959" s="29">
        <f>IFERROR(INDEX($R$4:$R$3183,MATCH(SMALL($V$4:$V$3183,956),$V$4:$V$3183,0)),"")</f>
        <v/>
      </c>
      <c r="F959">
        <f>IFERROR(INDEX($S$4:$S$3183,MATCH(SMALL($V$4:$V$3183,956),$V$4:$V$3183,0)),"")</f>
        <v/>
      </c>
      <c r="I959" s="29">
        <f>IF($B959="","",IFERROR(INDEX($U$4:$U$3183,MATCH(SMALL($V$4:$V$3183,956),$V$4:$V$3183,0)),""))</f>
        <v/>
      </c>
      <c r="J959">
        <f>IF($B959="","",IF($D959&gt;$F$2,"À venir",IF($E959&lt;$D$2,"Passé","Dans la période")))</f>
        <v/>
      </c>
      <c r="K959">
        <f>IF(OR($B959="",NOT(ISNUMBER($D959))),"",IF(AND($E959&lt;$D$2,$G959&lt;&gt;"X",$F959&lt;&gt;"Réalisé",$F959&lt;&gt;"Clôturé"),"RETARD",""))</f>
        <v/>
      </c>
      <c r="L959">
        <f>IF(OR($B959="",NOT(ISNUMBER($D959))),"",IF(AND($D959&gt;=$D$2,$D959&lt;=$H$2,$G959&lt;&gt;"X",$F959&lt;&gt;"Réalisé",$F959&lt;&gt;"Clôturé"),"≤ 7 j",""))</f>
        <v/>
      </c>
      <c r="M959" s="29">
        <f>IF($B959="","",IFERROR(INDEX($T$4:$T$3183,MATCH(SMALL($V$4:$V$3183,956),$V$4:$V$3183,0)),""))</f>
        <v/>
      </c>
      <c r="O959">
        <f>IF(INDEX(Suivi!$B:$B,978)="","",INDEX(Suivi!$B:$B,978))</f>
        <v/>
      </c>
      <c r="P959">
        <f>IF($O959="","",IF(INDEX(Suivi!$D:$D,978)="",INDEX(Suivi!$C:$C,978),INDEX(Suivi!$D:$D,978)))</f>
        <v/>
      </c>
      <c r="Q959">
        <f>IF($O959="","",INDEX(Suivi!$E:$E,978))</f>
        <v/>
      </c>
      <c r="R959">
        <f>IF($O959="","",INDEX(Suivi!$F:$F,978))</f>
        <v/>
      </c>
      <c r="S959">
        <f>IF($O959="","",INDEX(Suivi!$G:$G,978))</f>
        <v/>
      </c>
      <c r="T959">
        <f>IF($O959="","",IF(INDEX(Dossiers!$F$4:$F$63,19)="","",INDEX(Dossiers!$F$4:$F$63,19)))</f>
        <v/>
      </c>
      <c r="U959">
        <f>IF($O959="","",IF(INDEX(Dossiers!$G$4:$G$63,19)="","",INDEX(Dossiers!$G$4:$G$63,19)))</f>
        <v/>
      </c>
      <c r="V959">
        <f>IF(OR($O959="",NOT(ISNUMBER($Q959))),"",$Q959*1000000+959)</f>
        <v/>
      </c>
      <c r="W959" s="29">
        <f>IF($B959="","",IFERROR(INDEX($U$4:$U$3183,MATCH(SMALL($V$4:$V$3183,956),$V$4:$V$3183,0)),""))</f>
        <v/>
      </c>
    </row>
    <row r="960">
      <c r="A960">
        <f>IFERROR(INDEX($N$4:$N$3183,MATCH(SMALL($V$4:$V$3183,957),$V$4:$V$3183,0)),"")</f>
        <v/>
      </c>
      <c r="B960">
        <f>IFERROR(INDEX($O$4:$O$3183,MATCH(SMALL($V$4:$V$3183,957),$V$4:$V$3183,0)),"")</f>
        <v/>
      </c>
      <c r="C960">
        <f>IFERROR(INDEX($P$4:$P$3183,MATCH(SMALL($V$4:$V$3183,957),$V$4:$V$3183,0)),"")</f>
        <v/>
      </c>
      <c r="D960" s="29">
        <f>IFERROR(INDEX($Q$4:$Q$3183,MATCH(SMALL($V$4:$V$3183,957),$V$4:$V$3183,0)),"")</f>
        <v/>
      </c>
      <c r="E960" s="29">
        <f>IFERROR(INDEX($R$4:$R$3183,MATCH(SMALL($V$4:$V$3183,957),$V$4:$V$3183,0)),"")</f>
        <v/>
      </c>
      <c r="F960">
        <f>IFERROR(INDEX($S$4:$S$3183,MATCH(SMALL($V$4:$V$3183,957),$V$4:$V$3183,0)),"")</f>
        <v/>
      </c>
      <c r="I960" s="29">
        <f>IF($B960="","",IFERROR(INDEX($U$4:$U$3183,MATCH(SMALL($V$4:$V$3183,957),$V$4:$V$3183,0)),""))</f>
        <v/>
      </c>
      <c r="J960">
        <f>IF($B960="","",IF($D960&gt;$F$2,"À venir",IF($E960&lt;$D$2,"Passé","Dans la période")))</f>
        <v/>
      </c>
      <c r="K960">
        <f>IF(OR($B960="",NOT(ISNUMBER($D960))),"",IF(AND($E960&lt;$D$2,$G960&lt;&gt;"X",$F960&lt;&gt;"Réalisé",$F960&lt;&gt;"Clôturé"),"RETARD",""))</f>
        <v/>
      </c>
      <c r="L960">
        <f>IF(OR($B960="",NOT(ISNUMBER($D960))),"",IF(AND($D960&gt;=$D$2,$D960&lt;=$H$2,$G960&lt;&gt;"X",$F960&lt;&gt;"Réalisé",$F960&lt;&gt;"Clôturé"),"≤ 7 j",""))</f>
        <v/>
      </c>
      <c r="M960" s="29">
        <f>IF($B960="","",IFERROR(INDEX($T$4:$T$3183,MATCH(SMALL($V$4:$V$3183,957),$V$4:$V$3183,0)),""))</f>
        <v/>
      </c>
      <c r="O960">
        <f>IF(INDEX(Suivi!$B:$B,979)="","",INDEX(Suivi!$B:$B,979))</f>
        <v/>
      </c>
      <c r="P960">
        <f>IF($O960="","",IF(INDEX(Suivi!$D:$D,979)="",INDEX(Suivi!$C:$C,979),INDEX(Suivi!$D:$D,979)))</f>
        <v/>
      </c>
      <c r="Q960">
        <f>IF($O960="","",INDEX(Suivi!$E:$E,979))</f>
        <v/>
      </c>
      <c r="R960">
        <f>IF($O960="","",INDEX(Suivi!$F:$F,979))</f>
        <v/>
      </c>
      <c r="S960">
        <f>IF($O960="","",INDEX(Suivi!$G:$G,979))</f>
        <v/>
      </c>
      <c r="T960">
        <f>IF($O960="","",IF(INDEX(Dossiers!$F$4:$F$63,19)="","",INDEX(Dossiers!$F$4:$F$63,19)))</f>
        <v/>
      </c>
      <c r="U960">
        <f>IF($O960="","",IF(INDEX(Dossiers!$G$4:$G$63,19)="","",INDEX(Dossiers!$G$4:$G$63,19)))</f>
        <v/>
      </c>
      <c r="V960">
        <f>IF(OR($O960="",NOT(ISNUMBER($Q960))),"",$Q960*1000000+960)</f>
        <v/>
      </c>
      <c r="W960" s="29">
        <f>IF($B960="","",IFERROR(INDEX($U$4:$U$3183,MATCH(SMALL($V$4:$V$3183,957),$V$4:$V$3183,0)),""))</f>
        <v/>
      </c>
    </row>
    <row r="961">
      <c r="A961">
        <f>IFERROR(INDEX($N$4:$N$3183,MATCH(SMALL($V$4:$V$3183,958),$V$4:$V$3183,0)),"")</f>
        <v/>
      </c>
      <c r="B961">
        <f>IFERROR(INDEX($O$4:$O$3183,MATCH(SMALL($V$4:$V$3183,958),$V$4:$V$3183,0)),"")</f>
        <v/>
      </c>
      <c r="C961">
        <f>IFERROR(INDEX($P$4:$P$3183,MATCH(SMALL($V$4:$V$3183,958),$V$4:$V$3183,0)),"")</f>
        <v/>
      </c>
      <c r="D961" s="29">
        <f>IFERROR(INDEX($Q$4:$Q$3183,MATCH(SMALL($V$4:$V$3183,958),$V$4:$V$3183,0)),"")</f>
        <v/>
      </c>
      <c r="E961" s="29">
        <f>IFERROR(INDEX($R$4:$R$3183,MATCH(SMALL($V$4:$V$3183,958),$V$4:$V$3183,0)),"")</f>
        <v/>
      </c>
      <c r="F961">
        <f>IFERROR(INDEX($S$4:$S$3183,MATCH(SMALL($V$4:$V$3183,958),$V$4:$V$3183,0)),"")</f>
        <v/>
      </c>
      <c r="I961" s="29">
        <f>IF($B961="","",IFERROR(INDEX($U$4:$U$3183,MATCH(SMALL($V$4:$V$3183,958),$V$4:$V$3183,0)),""))</f>
        <v/>
      </c>
      <c r="J961">
        <f>IF($B961="","",IF($D961&gt;$F$2,"À venir",IF($E961&lt;$D$2,"Passé","Dans la période")))</f>
        <v/>
      </c>
      <c r="K961">
        <f>IF(OR($B961="",NOT(ISNUMBER($D961))),"",IF(AND($E961&lt;$D$2,$G961&lt;&gt;"X",$F961&lt;&gt;"Réalisé",$F961&lt;&gt;"Clôturé"),"RETARD",""))</f>
        <v/>
      </c>
      <c r="L961">
        <f>IF(OR($B961="",NOT(ISNUMBER($D961))),"",IF(AND($D961&gt;=$D$2,$D961&lt;=$H$2,$G961&lt;&gt;"X",$F961&lt;&gt;"Réalisé",$F961&lt;&gt;"Clôturé"),"≤ 7 j",""))</f>
        <v/>
      </c>
      <c r="M961" s="29">
        <f>IF($B961="","",IFERROR(INDEX($T$4:$T$3183,MATCH(SMALL($V$4:$V$3183,958),$V$4:$V$3183,0)),""))</f>
        <v/>
      </c>
      <c r="O961">
        <f>IF(INDEX(Suivi!$B:$B,980)="","",INDEX(Suivi!$B:$B,980))</f>
        <v/>
      </c>
      <c r="P961">
        <f>IF($O961="","",IF(INDEX(Suivi!$D:$D,980)="",INDEX(Suivi!$C:$C,980),INDEX(Suivi!$D:$D,980)))</f>
        <v/>
      </c>
      <c r="Q961">
        <f>IF($O961="","",INDEX(Suivi!$E:$E,980))</f>
        <v/>
      </c>
      <c r="R961">
        <f>IF($O961="","",INDEX(Suivi!$F:$F,980))</f>
        <v/>
      </c>
      <c r="S961">
        <f>IF($O961="","",INDEX(Suivi!$G:$G,980))</f>
        <v/>
      </c>
      <c r="T961">
        <f>IF($O961="","",IF(INDEX(Dossiers!$F$4:$F$63,19)="","",INDEX(Dossiers!$F$4:$F$63,19)))</f>
        <v/>
      </c>
      <c r="U961">
        <f>IF($O961="","",IF(INDEX(Dossiers!$G$4:$G$63,19)="","",INDEX(Dossiers!$G$4:$G$63,19)))</f>
        <v/>
      </c>
      <c r="V961">
        <f>IF(OR($O961="",NOT(ISNUMBER($Q961))),"",$Q961*1000000+961)</f>
        <v/>
      </c>
      <c r="W961" s="29">
        <f>IF($B961="","",IFERROR(INDEX($U$4:$U$3183,MATCH(SMALL($V$4:$V$3183,958),$V$4:$V$3183,0)),""))</f>
        <v/>
      </c>
    </row>
    <row r="962">
      <c r="A962">
        <f>IFERROR(INDEX($N$4:$N$3183,MATCH(SMALL($V$4:$V$3183,959),$V$4:$V$3183,0)),"")</f>
        <v/>
      </c>
      <c r="B962">
        <f>IFERROR(INDEX($O$4:$O$3183,MATCH(SMALL($V$4:$V$3183,959),$V$4:$V$3183,0)),"")</f>
        <v/>
      </c>
      <c r="C962">
        <f>IFERROR(INDEX($P$4:$P$3183,MATCH(SMALL($V$4:$V$3183,959),$V$4:$V$3183,0)),"")</f>
        <v/>
      </c>
      <c r="D962" s="29">
        <f>IFERROR(INDEX($Q$4:$Q$3183,MATCH(SMALL($V$4:$V$3183,959),$V$4:$V$3183,0)),"")</f>
        <v/>
      </c>
      <c r="E962" s="29">
        <f>IFERROR(INDEX($R$4:$R$3183,MATCH(SMALL($V$4:$V$3183,959),$V$4:$V$3183,0)),"")</f>
        <v/>
      </c>
      <c r="F962">
        <f>IFERROR(INDEX($S$4:$S$3183,MATCH(SMALL($V$4:$V$3183,959),$V$4:$V$3183,0)),"")</f>
        <v/>
      </c>
      <c r="I962" s="29">
        <f>IF($B962="","",IFERROR(INDEX($U$4:$U$3183,MATCH(SMALL($V$4:$V$3183,959),$V$4:$V$3183,0)),""))</f>
        <v/>
      </c>
      <c r="J962">
        <f>IF($B962="","",IF($D962&gt;$F$2,"À venir",IF($E962&lt;$D$2,"Passé","Dans la période")))</f>
        <v/>
      </c>
      <c r="K962">
        <f>IF(OR($B962="",NOT(ISNUMBER($D962))),"",IF(AND($E962&lt;$D$2,$G962&lt;&gt;"X",$F962&lt;&gt;"Réalisé",$F962&lt;&gt;"Clôturé"),"RETARD",""))</f>
        <v/>
      </c>
      <c r="L962">
        <f>IF(OR($B962="",NOT(ISNUMBER($D962))),"",IF(AND($D962&gt;=$D$2,$D962&lt;=$H$2,$G962&lt;&gt;"X",$F962&lt;&gt;"Réalisé",$F962&lt;&gt;"Clôturé"),"≤ 7 j",""))</f>
        <v/>
      </c>
      <c r="M962" s="29">
        <f>IF($B962="","",IFERROR(INDEX($T$4:$T$3183,MATCH(SMALL($V$4:$V$3183,959),$V$4:$V$3183,0)),""))</f>
        <v/>
      </c>
      <c r="O962">
        <f>IF(INDEX(Suivi!$B:$B,981)="","",INDEX(Suivi!$B:$B,981))</f>
        <v/>
      </c>
      <c r="P962">
        <f>IF($O962="","",IF(INDEX(Suivi!$D:$D,981)="",INDEX(Suivi!$C:$C,981),INDEX(Suivi!$D:$D,981)))</f>
        <v/>
      </c>
      <c r="Q962">
        <f>IF($O962="","",INDEX(Suivi!$E:$E,981))</f>
        <v/>
      </c>
      <c r="R962">
        <f>IF($O962="","",INDEX(Suivi!$F:$F,981))</f>
        <v/>
      </c>
      <c r="S962">
        <f>IF($O962="","",INDEX(Suivi!$G:$G,981))</f>
        <v/>
      </c>
      <c r="T962">
        <f>IF($O962="","",IF(INDEX(Dossiers!$F$4:$F$63,19)="","",INDEX(Dossiers!$F$4:$F$63,19)))</f>
        <v/>
      </c>
      <c r="U962">
        <f>IF($O962="","",IF(INDEX(Dossiers!$G$4:$G$63,19)="","",INDEX(Dossiers!$G$4:$G$63,19)))</f>
        <v/>
      </c>
      <c r="V962">
        <f>IF(OR($O962="",NOT(ISNUMBER($Q962))),"",$Q962*1000000+962)</f>
        <v/>
      </c>
      <c r="W962" s="29">
        <f>IF($B962="","",IFERROR(INDEX($U$4:$U$3183,MATCH(SMALL($V$4:$V$3183,959),$V$4:$V$3183,0)),""))</f>
        <v/>
      </c>
    </row>
    <row r="963">
      <c r="A963">
        <f>IFERROR(INDEX($N$4:$N$3183,MATCH(SMALL($V$4:$V$3183,960),$V$4:$V$3183,0)),"")</f>
        <v/>
      </c>
      <c r="B963">
        <f>IFERROR(INDEX($O$4:$O$3183,MATCH(SMALL($V$4:$V$3183,960),$V$4:$V$3183,0)),"")</f>
        <v/>
      </c>
      <c r="C963">
        <f>IFERROR(INDEX($P$4:$P$3183,MATCH(SMALL($V$4:$V$3183,960),$V$4:$V$3183,0)),"")</f>
        <v/>
      </c>
      <c r="D963" s="29">
        <f>IFERROR(INDEX($Q$4:$Q$3183,MATCH(SMALL($V$4:$V$3183,960),$V$4:$V$3183,0)),"")</f>
        <v/>
      </c>
      <c r="E963" s="29">
        <f>IFERROR(INDEX($R$4:$R$3183,MATCH(SMALL($V$4:$V$3183,960),$V$4:$V$3183,0)),"")</f>
        <v/>
      </c>
      <c r="F963">
        <f>IFERROR(INDEX($S$4:$S$3183,MATCH(SMALL($V$4:$V$3183,960),$V$4:$V$3183,0)),"")</f>
        <v/>
      </c>
      <c r="I963" s="29">
        <f>IF($B963="","",IFERROR(INDEX($U$4:$U$3183,MATCH(SMALL($V$4:$V$3183,960),$V$4:$V$3183,0)),""))</f>
        <v/>
      </c>
      <c r="J963">
        <f>IF($B963="","",IF($D963&gt;$F$2,"À venir",IF($E963&lt;$D$2,"Passé","Dans la période")))</f>
        <v/>
      </c>
      <c r="K963">
        <f>IF(OR($B963="",NOT(ISNUMBER($D963))),"",IF(AND($E963&lt;$D$2,$G963&lt;&gt;"X",$F963&lt;&gt;"Réalisé",$F963&lt;&gt;"Clôturé"),"RETARD",""))</f>
        <v/>
      </c>
      <c r="L963">
        <f>IF(OR($B963="",NOT(ISNUMBER($D963))),"",IF(AND($D963&gt;=$D$2,$D963&lt;=$H$2,$G963&lt;&gt;"X",$F963&lt;&gt;"Réalisé",$F963&lt;&gt;"Clôturé"),"≤ 7 j",""))</f>
        <v/>
      </c>
      <c r="M963" s="29">
        <f>IF($B963="","",IFERROR(INDEX($T$4:$T$3183,MATCH(SMALL($V$4:$V$3183,960),$V$4:$V$3183,0)),""))</f>
        <v/>
      </c>
      <c r="O963">
        <f>IF(INDEX(Suivi!$B:$B,982)="","",INDEX(Suivi!$B:$B,982))</f>
        <v/>
      </c>
      <c r="P963">
        <f>IF($O963="","",IF(INDEX(Suivi!$D:$D,982)="",INDEX(Suivi!$C:$C,982),INDEX(Suivi!$D:$D,982)))</f>
        <v/>
      </c>
      <c r="Q963">
        <f>IF($O963="","",INDEX(Suivi!$E:$E,982))</f>
        <v/>
      </c>
      <c r="R963">
        <f>IF($O963="","",INDEX(Suivi!$F:$F,982))</f>
        <v/>
      </c>
      <c r="S963">
        <f>IF($O963="","",INDEX(Suivi!$G:$G,982))</f>
        <v/>
      </c>
      <c r="T963">
        <f>IF($O963="","",IF(INDEX(Dossiers!$F$4:$F$63,19)="","",INDEX(Dossiers!$F$4:$F$63,19)))</f>
        <v/>
      </c>
      <c r="U963">
        <f>IF($O963="","",IF(INDEX(Dossiers!$G$4:$G$63,19)="","",INDEX(Dossiers!$G$4:$G$63,19)))</f>
        <v/>
      </c>
      <c r="V963">
        <f>IF(OR($O963="",NOT(ISNUMBER($Q963))),"",$Q963*1000000+963)</f>
        <v/>
      </c>
      <c r="W963" s="29">
        <f>IF($B963="","",IFERROR(INDEX($U$4:$U$3183,MATCH(SMALL($V$4:$V$3183,960),$V$4:$V$3183,0)),""))</f>
        <v/>
      </c>
    </row>
    <row r="964">
      <c r="A964">
        <f>IFERROR(INDEX($N$4:$N$3183,MATCH(SMALL($V$4:$V$3183,961),$V$4:$V$3183,0)),"")</f>
        <v/>
      </c>
      <c r="B964">
        <f>IFERROR(INDEX($O$4:$O$3183,MATCH(SMALL($V$4:$V$3183,961),$V$4:$V$3183,0)),"")</f>
        <v/>
      </c>
      <c r="C964">
        <f>IFERROR(INDEX($P$4:$P$3183,MATCH(SMALL($V$4:$V$3183,961),$V$4:$V$3183,0)),"")</f>
        <v/>
      </c>
      <c r="D964" s="29">
        <f>IFERROR(INDEX($Q$4:$Q$3183,MATCH(SMALL($V$4:$V$3183,961),$V$4:$V$3183,0)),"")</f>
        <v/>
      </c>
      <c r="E964" s="29">
        <f>IFERROR(INDEX($R$4:$R$3183,MATCH(SMALL($V$4:$V$3183,961),$V$4:$V$3183,0)),"")</f>
        <v/>
      </c>
      <c r="F964">
        <f>IFERROR(INDEX($S$4:$S$3183,MATCH(SMALL($V$4:$V$3183,961),$V$4:$V$3183,0)),"")</f>
        <v/>
      </c>
      <c r="I964" s="29">
        <f>IF($B964="","",IFERROR(INDEX($U$4:$U$3183,MATCH(SMALL($V$4:$V$3183,961),$V$4:$V$3183,0)),""))</f>
        <v/>
      </c>
      <c r="J964">
        <f>IF($B964="","",IF($D964&gt;$F$2,"À venir",IF($E964&lt;$D$2,"Passé","Dans la période")))</f>
        <v/>
      </c>
      <c r="K964">
        <f>IF(OR($B964="",NOT(ISNUMBER($D964))),"",IF(AND($E964&lt;$D$2,$G964&lt;&gt;"X",$F964&lt;&gt;"Réalisé",$F964&lt;&gt;"Clôturé"),"RETARD",""))</f>
        <v/>
      </c>
      <c r="L964">
        <f>IF(OR($B964="",NOT(ISNUMBER($D964))),"",IF(AND($D964&gt;=$D$2,$D964&lt;=$H$2,$G964&lt;&gt;"X",$F964&lt;&gt;"Réalisé",$F964&lt;&gt;"Clôturé"),"≤ 7 j",""))</f>
        <v/>
      </c>
      <c r="M964" s="29">
        <f>IF($B964="","",IFERROR(INDEX($T$4:$T$3183,MATCH(SMALL($V$4:$V$3183,961),$V$4:$V$3183,0)),""))</f>
        <v/>
      </c>
      <c r="O964">
        <f>IF(INDEX(Suivi!$B:$B,983)="","",INDEX(Suivi!$B:$B,983))</f>
        <v/>
      </c>
      <c r="P964">
        <f>IF($O964="","",IF(INDEX(Suivi!$D:$D,983)="",INDEX(Suivi!$C:$C,983),INDEX(Suivi!$D:$D,983)))</f>
        <v/>
      </c>
      <c r="Q964">
        <f>IF($O964="","",INDEX(Suivi!$E:$E,983))</f>
        <v/>
      </c>
      <c r="R964">
        <f>IF($O964="","",INDEX(Suivi!$F:$F,983))</f>
        <v/>
      </c>
      <c r="S964">
        <f>IF($O964="","",INDEX(Suivi!$G:$G,983))</f>
        <v/>
      </c>
      <c r="T964">
        <f>IF($O964="","",IF(INDEX(Dossiers!$F$4:$F$63,19)="","",INDEX(Dossiers!$F$4:$F$63,19)))</f>
        <v/>
      </c>
      <c r="U964">
        <f>IF($O964="","",IF(INDEX(Dossiers!$G$4:$G$63,19)="","",INDEX(Dossiers!$G$4:$G$63,19)))</f>
        <v/>
      </c>
      <c r="V964">
        <f>IF(OR($O964="",NOT(ISNUMBER($Q964))),"",$Q964*1000000+964)</f>
        <v/>
      </c>
      <c r="W964" s="29">
        <f>IF($B964="","",IFERROR(INDEX($U$4:$U$3183,MATCH(SMALL($V$4:$V$3183,961),$V$4:$V$3183,0)),""))</f>
        <v/>
      </c>
    </row>
    <row r="965">
      <c r="A965">
        <f>IFERROR(INDEX($N$4:$N$3183,MATCH(SMALL($V$4:$V$3183,962),$V$4:$V$3183,0)),"")</f>
        <v/>
      </c>
      <c r="B965">
        <f>IFERROR(INDEX($O$4:$O$3183,MATCH(SMALL($V$4:$V$3183,962),$V$4:$V$3183,0)),"")</f>
        <v/>
      </c>
      <c r="C965">
        <f>IFERROR(INDEX($P$4:$P$3183,MATCH(SMALL($V$4:$V$3183,962),$V$4:$V$3183,0)),"")</f>
        <v/>
      </c>
      <c r="D965" s="29">
        <f>IFERROR(INDEX($Q$4:$Q$3183,MATCH(SMALL($V$4:$V$3183,962),$V$4:$V$3183,0)),"")</f>
        <v/>
      </c>
      <c r="E965" s="29">
        <f>IFERROR(INDEX($R$4:$R$3183,MATCH(SMALL($V$4:$V$3183,962),$V$4:$V$3183,0)),"")</f>
        <v/>
      </c>
      <c r="F965">
        <f>IFERROR(INDEX($S$4:$S$3183,MATCH(SMALL($V$4:$V$3183,962),$V$4:$V$3183,0)),"")</f>
        <v/>
      </c>
      <c r="I965" s="29">
        <f>IF($B965="","",IFERROR(INDEX($U$4:$U$3183,MATCH(SMALL($V$4:$V$3183,962),$V$4:$V$3183,0)),""))</f>
        <v/>
      </c>
      <c r="J965">
        <f>IF($B965="","",IF($D965&gt;$F$2,"À venir",IF($E965&lt;$D$2,"Passé","Dans la période")))</f>
        <v/>
      </c>
      <c r="K965">
        <f>IF(OR($B965="",NOT(ISNUMBER($D965))),"",IF(AND($E965&lt;$D$2,$G965&lt;&gt;"X",$F965&lt;&gt;"Réalisé",$F965&lt;&gt;"Clôturé"),"RETARD",""))</f>
        <v/>
      </c>
      <c r="L965">
        <f>IF(OR($B965="",NOT(ISNUMBER($D965))),"",IF(AND($D965&gt;=$D$2,$D965&lt;=$H$2,$G965&lt;&gt;"X",$F965&lt;&gt;"Réalisé",$F965&lt;&gt;"Clôturé"),"≤ 7 j",""))</f>
        <v/>
      </c>
      <c r="M965" s="29">
        <f>IF($B965="","",IFERROR(INDEX($T$4:$T$3183,MATCH(SMALL($V$4:$V$3183,962),$V$4:$V$3183,0)),""))</f>
        <v/>
      </c>
      <c r="O965">
        <f>IF(INDEX(Suivi!$B:$B,984)="","",INDEX(Suivi!$B:$B,984))</f>
        <v/>
      </c>
      <c r="P965">
        <f>IF($O965="","",IF(INDEX(Suivi!$D:$D,984)="",INDEX(Suivi!$C:$C,984),INDEX(Suivi!$D:$D,984)))</f>
        <v/>
      </c>
      <c r="Q965">
        <f>IF($O965="","",INDEX(Suivi!$E:$E,984))</f>
        <v/>
      </c>
      <c r="R965">
        <f>IF($O965="","",INDEX(Suivi!$F:$F,984))</f>
        <v/>
      </c>
      <c r="S965">
        <f>IF($O965="","",INDEX(Suivi!$G:$G,984))</f>
        <v/>
      </c>
      <c r="T965">
        <f>IF($O965="","",IF(INDEX(Dossiers!$F$4:$F$63,19)="","",INDEX(Dossiers!$F$4:$F$63,19)))</f>
        <v/>
      </c>
      <c r="U965">
        <f>IF($O965="","",IF(INDEX(Dossiers!$G$4:$G$63,19)="","",INDEX(Dossiers!$G$4:$G$63,19)))</f>
        <v/>
      </c>
      <c r="V965">
        <f>IF(OR($O965="",NOT(ISNUMBER($Q965))),"",$Q965*1000000+965)</f>
        <v/>
      </c>
      <c r="W965" s="29">
        <f>IF($B965="","",IFERROR(INDEX($U$4:$U$3183,MATCH(SMALL($V$4:$V$3183,962),$V$4:$V$3183,0)),""))</f>
        <v/>
      </c>
    </row>
    <row r="966">
      <c r="A966">
        <f>IFERROR(INDEX($N$4:$N$3183,MATCH(SMALL($V$4:$V$3183,963),$V$4:$V$3183,0)),"")</f>
        <v/>
      </c>
      <c r="B966">
        <f>IFERROR(INDEX($O$4:$O$3183,MATCH(SMALL($V$4:$V$3183,963),$V$4:$V$3183,0)),"")</f>
        <v/>
      </c>
      <c r="C966">
        <f>IFERROR(INDEX($P$4:$P$3183,MATCH(SMALL($V$4:$V$3183,963),$V$4:$V$3183,0)),"")</f>
        <v/>
      </c>
      <c r="D966" s="29">
        <f>IFERROR(INDEX($Q$4:$Q$3183,MATCH(SMALL($V$4:$V$3183,963),$V$4:$V$3183,0)),"")</f>
        <v/>
      </c>
      <c r="E966" s="29">
        <f>IFERROR(INDEX($R$4:$R$3183,MATCH(SMALL($V$4:$V$3183,963),$V$4:$V$3183,0)),"")</f>
        <v/>
      </c>
      <c r="F966">
        <f>IFERROR(INDEX($S$4:$S$3183,MATCH(SMALL($V$4:$V$3183,963),$V$4:$V$3183,0)),"")</f>
        <v/>
      </c>
      <c r="I966" s="29">
        <f>IF($B966="","",IFERROR(INDEX($U$4:$U$3183,MATCH(SMALL($V$4:$V$3183,963),$V$4:$V$3183,0)),""))</f>
        <v/>
      </c>
      <c r="J966">
        <f>IF($B966="","",IF($D966&gt;$F$2,"À venir",IF($E966&lt;$D$2,"Passé","Dans la période")))</f>
        <v/>
      </c>
      <c r="K966">
        <f>IF(OR($B966="",NOT(ISNUMBER($D966))),"",IF(AND($E966&lt;$D$2,$G966&lt;&gt;"X",$F966&lt;&gt;"Réalisé",$F966&lt;&gt;"Clôturé"),"RETARD",""))</f>
        <v/>
      </c>
      <c r="L966">
        <f>IF(OR($B966="",NOT(ISNUMBER($D966))),"",IF(AND($D966&gt;=$D$2,$D966&lt;=$H$2,$G966&lt;&gt;"X",$F966&lt;&gt;"Réalisé",$F966&lt;&gt;"Clôturé"),"≤ 7 j",""))</f>
        <v/>
      </c>
      <c r="M966" s="29">
        <f>IF($B966="","",IFERROR(INDEX($T$4:$T$3183,MATCH(SMALL($V$4:$V$3183,963),$V$4:$V$3183,0)),""))</f>
        <v/>
      </c>
      <c r="O966">
        <f>IF(INDEX(Suivi!$B:$B,985)="","",INDEX(Suivi!$B:$B,985))</f>
        <v/>
      </c>
      <c r="P966">
        <f>IF($O966="","",IF(INDEX(Suivi!$D:$D,985)="",INDEX(Suivi!$C:$C,985),INDEX(Suivi!$D:$D,985)))</f>
        <v/>
      </c>
      <c r="Q966">
        <f>IF($O966="","",INDEX(Suivi!$E:$E,985))</f>
        <v/>
      </c>
      <c r="R966">
        <f>IF($O966="","",INDEX(Suivi!$F:$F,985))</f>
        <v/>
      </c>
      <c r="S966">
        <f>IF($O966="","",INDEX(Suivi!$G:$G,985))</f>
        <v/>
      </c>
      <c r="T966">
        <f>IF($O966="","",IF(INDEX(Dossiers!$F$4:$F$63,19)="","",INDEX(Dossiers!$F$4:$F$63,19)))</f>
        <v/>
      </c>
      <c r="U966">
        <f>IF($O966="","",IF(INDEX(Dossiers!$G$4:$G$63,19)="","",INDEX(Dossiers!$G$4:$G$63,19)))</f>
        <v/>
      </c>
      <c r="V966">
        <f>IF(OR($O966="",NOT(ISNUMBER($Q966))),"",$Q966*1000000+966)</f>
        <v/>
      </c>
      <c r="W966" s="29">
        <f>IF($B966="","",IFERROR(INDEX($U$4:$U$3183,MATCH(SMALL($V$4:$V$3183,963),$V$4:$V$3183,0)),""))</f>
        <v/>
      </c>
    </row>
    <row r="967">
      <c r="A967">
        <f>IFERROR(INDEX($N$4:$N$3183,MATCH(SMALL($V$4:$V$3183,964),$V$4:$V$3183,0)),"")</f>
        <v/>
      </c>
      <c r="B967">
        <f>IFERROR(INDEX($O$4:$O$3183,MATCH(SMALL($V$4:$V$3183,964),$V$4:$V$3183,0)),"")</f>
        <v/>
      </c>
      <c r="C967">
        <f>IFERROR(INDEX($P$4:$P$3183,MATCH(SMALL($V$4:$V$3183,964),$V$4:$V$3183,0)),"")</f>
        <v/>
      </c>
      <c r="D967" s="29">
        <f>IFERROR(INDEX($Q$4:$Q$3183,MATCH(SMALL($V$4:$V$3183,964),$V$4:$V$3183,0)),"")</f>
        <v/>
      </c>
      <c r="E967" s="29">
        <f>IFERROR(INDEX($R$4:$R$3183,MATCH(SMALL($V$4:$V$3183,964),$V$4:$V$3183,0)),"")</f>
        <v/>
      </c>
      <c r="F967">
        <f>IFERROR(INDEX($S$4:$S$3183,MATCH(SMALL($V$4:$V$3183,964),$V$4:$V$3183,0)),"")</f>
        <v/>
      </c>
      <c r="I967" s="29">
        <f>IF($B967="","",IFERROR(INDEX($U$4:$U$3183,MATCH(SMALL($V$4:$V$3183,964),$V$4:$V$3183,0)),""))</f>
        <v/>
      </c>
      <c r="J967">
        <f>IF($B967="","",IF($D967&gt;$F$2,"À venir",IF($E967&lt;$D$2,"Passé","Dans la période")))</f>
        <v/>
      </c>
      <c r="K967">
        <f>IF(OR($B967="",NOT(ISNUMBER($D967))),"",IF(AND($E967&lt;$D$2,$G967&lt;&gt;"X",$F967&lt;&gt;"Réalisé",$F967&lt;&gt;"Clôturé"),"RETARD",""))</f>
        <v/>
      </c>
      <c r="L967">
        <f>IF(OR($B967="",NOT(ISNUMBER($D967))),"",IF(AND($D967&gt;=$D$2,$D967&lt;=$H$2,$G967&lt;&gt;"X",$F967&lt;&gt;"Réalisé",$F967&lt;&gt;"Clôturé"),"≤ 7 j",""))</f>
        <v/>
      </c>
      <c r="M967" s="29">
        <f>IF($B967="","",IFERROR(INDEX($T$4:$T$3183,MATCH(SMALL($V$4:$V$3183,964),$V$4:$V$3183,0)),""))</f>
        <v/>
      </c>
      <c r="O967">
        <f>IF(INDEX(Suivi!$B:$B,986)="","",INDEX(Suivi!$B:$B,986))</f>
        <v/>
      </c>
      <c r="P967">
        <f>IF($O967="","",IF(INDEX(Suivi!$D:$D,986)="",INDEX(Suivi!$C:$C,986),INDEX(Suivi!$D:$D,986)))</f>
        <v/>
      </c>
      <c r="Q967">
        <f>IF($O967="","",INDEX(Suivi!$E:$E,986))</f>
        <v/>
      </c>
      <c r="R967">
        <f>IF($O967="","",INDEX(Suivi!$F:$F,986))</f>
        <v/>
      </c>
      <c r="S967">
        <f>IF($O967="","",INDEX(Suivi!$G:$G,986))</f>
        <v/>
      </c>
      <c r="T967">
        <f>IF($O967="","",IF(INDEX(Dossiers!$F$4:$F$63,19)="","",INDEX(Dossiers!$F$4:$F$63,19)))</f>
        <v/>
      </c>
      <c r="U967">
        <f>IF($O967="","",IF(INDEX(Dossiers!$G$4:$G$63,19)="","",INDEX(Dossiers!$G$4:$G$63,19)))</f>
        <v/>
      </c>
      <c r="V967">
        <f>IF(OR($O967="",NOT(ISNUMBER($Q967))),"",$Q967*1000000+967)</f>
        <v/>
      </c>
      <c r="W967" s="29">
        <f>IF($B967="","",IFERROR(INDEX($U$4:$U$3183,MATCH(SMALL($V$4:$V$3183,964),$V$4:$V$3183,0)),""))</f>
        <v/>
      </c>
    </row>
    <row r="968">
      <c r="A968">
        <f>IFERROR(INDEX($N$4:$N$3183,MATCH(SMALL($V$4:$V$3183,965),$V$4:$V$3183,0)),"")</f>
        <v/>
      </c>
      <c r="B968">
        <f>IFERROR(INDEX($O$4:$O$3183,MATCH(SMALL($V$4:$V$3183,965),$V$4:$V$3183,0)),"")</f>
        <v/>
      </c>
      <c r="C968">
        <f>IFERROR(INDEX($P$4:$P$3183,MATCH(SMALL($V$4:$V$3183,965),$V$4:$V$3183,0)),"")</f>
        <v/>
      </c>
      <c r="D968" s="29">
        <f>IFERROR(INDEX($Q$4:$Q$3183,MATCH(SMALL($V$4:$V$3183,965),$V$4:$V$3183,0)),"")</f>
        <v/>
      </c>
      <c r="E968" s="29">
        <f>IFERROR(INDEX($R$4:$R$3183,MATCH(SMALL($V$4:$V$3183,965),$V$4:$V$3183,0)),"")</f>
        <v/>
      </c>
      <c r="F968">
        <f>IFERROR(INDEX($S$4:$S$3183,MATCH(SMALL($V$4:$V$3183,965),$V$4:$V$3183,0)),"")</f>
        <v/>
      </c>
      <c r="I968" s="29">
        <f>IF($B968="","",IFERROR(INDEX($U$4:$U$3183,MATCH(SMALL($V$4:$V$3183,965),$V$4:$V$3183,0)),""))</f>
        <v/>
      </c>
      <c r="J968">
        <f>IF($B968="","",IF($D968&gt;$F$2,"À venir",IF($E968&lt;$D$2,"Passé","Dans la période")))</f>
        <v/>
      </c>
      <c r="K968">
        <f>IF(OR($B968="",NOT(ISNUMBER($D968))),"",IF(AND($E968&lt;$D$2,$G968&lt;&gt;"X",$F968&lt;&gt;"Réalisé",$F968&lt;&gt;"Clôturé"),"RETARD",""))</f>
        <v/>
      </c>
      <c r="L968">
        <f>IF(OR($B968="",NOT(ISNUMBER($D968))),"",IF(AND($D968&gt;=$D$2,$D968&lt;=$H$2,$G968&lt;&gt;"X",$F968&lt;&gt;"Réalisé",$F968&lt;&gt;"Clôturé"),"≤ 7 j",""))</f>
        <v/>
      </c>
      <c r="M968" s="29">
        <f>IF($B968="","",IFERROR(INDEX($T$4:$T$3183,MATCH(SMALL($V$4:$V$3183,965),$V$4:$V$3183,0)),""))</f>
        <v/>
      </c>
      <c r="O968">
        <f>IF(INDEX(Suivi!$B:$B,987)="","",INDEX(Suivi!$B:$B,987))</f>
        <v/>
      </c>
      <c r="P968">
        <f>IF($O968="","",IF(INDEX(Suivi!$D:$D,987)="",INDEX(Suivi!$C:$C,987),INDEX(Suivi!$D:$D,987)))</f>
        <v/>
      </c>
      <c r="Q968">
        <f>IF($O968="","",INDEX(Suivi!$E:$E,987))</f>
        <v/>
      </c>
      <c r="R968">
        <f>IF($O968="","",INDEX(Suivi!$F:$F,987))</f>
        <v/>
      </c>
      <c r="S968">
        <f>IF($O968="","",INDEX(Suivi!$G:$G,987))</f>
        <v/>
      </c>
      <c r="T968">
        <f>IF($O968="","",IF(INDEX(Dossiers!$F$4:$F$63,19)="","",INDEX(Dossiers!$F$4:$F$63,19)))</f>
        <v/>
      </c>
      <c r="U968">
        <f>IF($O968="","",IF(INDEX(Dossiers!$G$4:$G$63,19)="","",INDEX(Dossiers!$G$4:$G$63,19)))</f>
        <v/>
      </c>
      <c r="V968">
        <f>IF(OR($O968="",NOT(ISNUMBER($Q968))),"",$Q968*1000000+968)</f>
        <v/>
      </c>
      <c r="W968" s="29">
        <f>IF($B968="","",IFERROR(INDEX($U$4:$U$3183,MATCH(SMALL($V$4:$V$3183,965),$V$4:$V$3183,0)),""))</f>
        <v/>
      </c>
    </row>
    <row r="969">
      <c r="A969">
        <f>IFERROR(INDEX($N$4:$N$3183,MATCH(SMALL($V$4:$V$3183,966),$V$4:$V$3183,0)),"")</f>
        <v/>
      </c>
      <c r="B969">
        <f>IFERROR(INDEX($O$4:$O$3183,MATCH(SMALL($V$4:$V$3183,966),$V$4:$V$3183,0)),"")</f>
        <v/>
      </c>
      <c r="C969">
        <f>IFERROR(INDEX($P$4:$P$3183,MATCH(SMALL($V$4:$V$3183,966),$V$4:$V$3183,0)),"")</f>
        <v/>
      </c>
      <c r="D969" s="29">
        <f>IFERROR(INDEX($Q$4:$Q$3183,MATCH(SMALL($V$4:$V$3183,966),$V$4:$V$3183,0)),"")</f>
        <v/>
      </c>
      <c r="E969" s="29">
        <f>IFERROR(INDEX($R$4:$R$3183,MATCH(SMALL($V$4:$V$3183,966),$V$4:$V$3183,0)),"")</f>
        <v/>
      </c>
      <c r="F969">
        <f>IFERROR(INDEX($S$4:$S$3183,MATCH(SMALL($V$4:$V$3183,966),$V$4:$V$3183,0)),"")</f>
        <v/>
      </c>
      <c r="I969" s="29">
        <f>IF($B969="","",IFERROR(INDEX($U$4:$U$3183,MATCH(SMALL($V$4:$V$3183,966),$V$4:$V$3183,0)),""))</f>
        <v/>
      </c>
      <c r="J969">
        <f>IF($B969="","",IF($D969&gt;$F$2,"À venir",IF($E969&lt;$D$2,"Passé","Dans la période")))</f>
        <v/>
      </c>
      <c r="K969">
        <f>IF(OR($B969="",NOT(ISNUMBER($D969))),"",IF(AND($E969&lt;$D$2,$G969&lt;&gt;"X",$F969&lt;&gt;"Réalisé",$F969&lt;&gt;"Clôturé"),"RETARD",""))</f>
        <v/>
      </c>
      <c r="L969">
        <f>IF(OR($B969="",NOT(ISNUMBER($D969))),"",IF(AND($D969&gt;=$D$2,$D969&lt;=$H$2,$G969&lt;&gt;"X",$F969&lt;&gt;"Réalisé",$F969&lt;&gt;"Clôturé"),"≤ 7 j",""))</f>
        <v/>
      </c>
      <c r="M969" s="29">
        <f>IF($B969="","",IFERROR(INDEX($T$4:$T$3183,MATCH(SMALL($V$4:$V$3183,966),$V$4:$V$3183,0)),""))</f>
        <v/>
      </c>
      <c r="O969">
        <f>IF(INDEX(Suivi!$B:$B,988)="","",INDEX(Suivi!$B:$B,988))</f>
        <v/>
      </c>
      <c r="P969">
        <f>IF($O969="","",IF(INDEX(Suivi!$D:$D,988)="",INDEX(Suivi!$C:$C,988),INDEX(Suivi!$D:$D,988)))</f>
        <v/>
      </c>
      <c r="Q969">
        <f>IF($O969="","",INDEX(Suivi!$E:$E,988))</f>
        <v/>
      </c>
      <c r="R969">
        <f>IF($O969="","",INDEX(Suivi!$F:$F,988))</f>
        <v/>
      </c>
      <c r="S969">
        <f>IF($O969="","",INDEX(Suivi!$G:$G,988))</f>
        <v/>
      </c>
      <c r="T969">
        <f>IF($O969="","",IF(INDEX(Dossiers!$F$4:$F$63,19)="","",INDEX(Dossiers!$F$4:$F$63,19)))</f>
        <v/>
      </c>
      <c r="U969">
        <f>IF($O969="","",IF(INDEX(Dossiers!$G$4:$G$63,19)="","",INDEX(Dossiers!$G$4:$G$63,19)))</f>
        <v/>
      </c>
      <c r="V969">
        <f>IF(OR($O969="",NOT(ISNUMBER($Q969))),"",$Q969*1000000+969)</f>
        <v/>
      </c>
      <c r="W969" s="29">
        <f>IF($B969="","",IFERROR(INDEX($U$4:$U$3183,MATCH(SMALL($V$4:$V$3183,966),$V$4:$V$3183,0)),""))</f>
        <v/>
      </c>
    </row>
    <row r="970">
      <c r="A970">
        <f>IFERROR(INDEX($N$4:$N$3183,MATCH(SMALL($V$4:$V$3183,967),$V$4:$V$3183,0)),"")</f>
        <v/>
      </c>
      <c r="B970">
        <f>IFERROR(INDEX($O$4:$O$3183,MATCH(SMALL($V$4:$V$3183,967),$V$4:$V$3183,0)),"")</f>
        <v/>
      </c>
      <c r="C970">
        <f>IFERROR(INDEX($P$4:$P$3183,MATCH(SMALL($V$4:$V$3183,967),$V$4:$V$3183,0)),"")</f>
        <v/>
      </c>
      <c r="D970" s="29">
        <f>IFERROR(INDEX($Q$4:$Q$3183,MATCH(SMALL($V$4:$V$3183,967),$V$4:$V$3183,0)),"")</f>
        <v/>
      </c>
      <c r="E970" s="29">
        <f>IFERROR(INDEX($R$4:$R$3183,MATCH(SMALL($V$4:$V$3183,967),$V$4:$V$3183,0)),"")</f>
        <v/>
      </c>
      <c r="F970">
        <f>IFERROR(INDEX($S$4:$S$3183,MATCH(SMALL($V$4:$V$3183,967),$V$4:$V$3183,0)),"")</f>
        <v/>
      </c>
      <c r="I970" s="29">
        <f>IF($B970="","",IFERROR(INDEX($U$4:$U$3183,MATCH(SMALL($V$4:$V$3183,967),$V$4:$V$3183,0)),""))</f>
        <v/>
      </c>
      <c r="J970">
        <f>IF($B970="","",IF($D970&gt;$F$2,"À venir",IF($E970&lt;$D$2,"Passé","Dans la période")))</f>
        <v/>
      </c>
      <c r="K970">
        <f>IF(OR($B970="",NOT(ISNUMBER($D970))),"",IF(AND($E970&lt;$D$2,$G970&lt;&gt;"X",$F970&lt;&gt;"Réalisé",$F970&lt;&gt;"Clôturé"),"RETARD",""))</f>
        <v/>
      </c>
      <c r="L970">
        <f>IF(OR($B970="",NOT(ISNUMBER($D970))),"",IF(AND($D970&gt;=$D$2,$D970&lt;=$H$2,$G970&lt;&gt;"X",$F970&lt;&gt;"Réalisé",$F970&lt;&gt;"Clôturé"),"≤ 7 j",""))</f>
        <v/>
      </c>
      <c r="M970" s="29">
        <f>IF($B970="","",IFERROR(INDEX($T$4:$T$3183,MATCH(SMALL($V$4:$V$3183,967),$V$4:$V$3183,0)),""))</f>
        <v/>
      </c>
      <c r="O970">
        <f>IF(INDEX(Suivi!$B:$B,989)="","",INDEX(Suivi!$B:$B,989))</f>
        <v/>
      </c>
      <c r="P970">
        <f>IF($O970="","",IF(INDEX(Suivi!$D:$D,989)="",INDEX(Suivi!$C:$C,989),INDEX(Suivi!$D:$D,989)))</f>
        <v/>
      </c>
      <c r="Q970">
        <f>IF($O970="","",INDEX(Suivi!$E:$E,989))</f>
        <v/>
      </c>
      <c r="R970">
        <f>IF($O970="","",INDEX(Suivi!$F:$F,989))</f>
        <v/>
      </c>
      <c r="S970">
        <f>IF($O970="","",INDEX(Suivi!$G:$G,989))</f>
        <v/>
      </c>
      <c r="T970">
        <f>IF($O970="","",IF(INDEX(Dossiers!$F$4:$F$63,19)="","",INDEX(Dossiers!$F$4:$F$63,19)))</f>
        <v/>
      </c>
      <c r="U970">
        <f>IF($O970="","",IF(INDEX(Dossiers!$G$4:$G$63,19)="","",INDEX(Dossiers!$G$4:$G$63,19)))</f>
        <v/>
      </c>
      <c r="V970">
        <f>IF(OR($O970="",NOT(ISNUMBER($Q970))),"",$Q970*1000000+970)</f>
        <v/>
      </c>
      <c r="W970" s="29">
        <f>IF($B970="","",IFERROR(INDEX($U$4:$U$3183,MATCH(SMALL($V$4:$V$3183,967),$V$4:$V$3183,0)),""))</f>
        <v/>
      </c>
    </row>
    <row r="971">
      <c r="A971">
        <f>IFERROR(INDEX($N$4:$N$3183,MATCH(SMALL($V$4:$V$3183,968),$V$4:$V$3183,0)),"")</f>
        <v/>
      </c>
      <c r="B971">
        <f>IFERROR(INDEX($O$4:$O$3183,MATCH(SMALL($V$4:$V$3183,968),$V$4:$V$3183,0)),"")</f>
        <v/>
      </c>
      <c r="C971">
        <f>IFERROR(INDEX($P$4:$P$3183,MATCH(SMALL($V$4:$V$3183,968),$V$4:$V$3183,0)),"")</f>
        <v/>
      </c>
      <c r="D971" s="29">
        <f>IFERROR(INDEX($Q$4:$Q$3183,MATCH(SMALL($V$4:$V$3183,968),$V$4:$V$3183,0)),"")</f>
        <v/>
      </c>
      <c r="E971" s="29">
        <f>IFERROR(INDEX($R$4:$R$3183,MATCH(SMALL($V$4:$V$3183,968),$V$4:$V$3183,0)),"")</f>
        <v/>
      </c>
      <c r="F971">
        <f>IFERROR(INDEX($S$4:$S$3183,MATCH(SMALL($V$4:$V$3183,968),$V$4:$V$3183,0)),"")</f>
        <v/>
      </c>
      <c r="I971" s="29">
        <f>IF($B971="","",IFERROR(INDEX($U$4:$U$3183,MATCH(SMALL($V$4:$V$3183,968),$V$4:$V$3183,0)),""))</f>
        <v/>
      </c>
      <c r="J971">
        <f>IF($B971="","",IF($D971&gt;$F$2,"À venir",IF($E971&lt;$D$2,"Passé","Dans la période")))</f>
        <v/>
      </c>
      <c r="K971">
        <f>IF(OR($B971="",NOT(ISNUMBER($D971))),"",IF(AND($E971&lt;$D$2,$G971&lt;&gt;"X",$F971&lt;&gt;"Réalisé",$F971&lt;&gt;"Clôturé"),"RETARD",""))</f>
        <v/>
      </c>
      <c r="L971">
        <f>IF(OR($B971="",NOT(ISNUMBER($D971))),"",IF(AND($D971&gt;=$D$2,$D971&lt;=$H$2,$G971&lt;&gt;"X",$F971&lt;&gt;"Réalisé",$F971&lt;&gt;"Clôturé"),"≤ 7 j",""))</f>
        <v/>
      </c>
      <c r="M971" s="29">
        <f>IF($B971="","",IFERROR(INDEX($T$4:$T$3183,MATCH(SMALL($V$4:$V$3183,968),$V$4:$V$3183,0)),""))</f>
        <v/>
      </c>
      <c r="O971">
        <f>IF(INDEX(Suivi!$B:$B,990)="","",INDEX(Suivi!$B:$B,990))</f>
        <v/>
      </c>
      <c r="P971">
        <f>IF($O971="","",IF(INDEX(Suivi!$D:$D,990)="",INDEX(Suivi!$C:$C,990),INDEX(Suivi!$D:$D,990)))</f>
        <v/>
      </c>
      <c r="Q971">
        <f>IF($O971="","",INDEX(Suivi!$E:$E,990))</f>
        <v/>
      </c>
      <c r="R971">
        <f>IF($O971="","",INDEX(Suivi!$F:$F,990))</f>
        <v/>
      </c>
      <c r="S971">
        <f>IF($O971="","",INDEX(Suivi!$G:$G,990))</f>
        <v/>
      </c>
      <c r="T971">
        <f>IF($O971="","",IF(INDEX(Dossiers!$F$4:$F$63,19)="","",INDEX(Dossiers!$F$4:$F$63,19)))</f>
        <v/>
      </c>
      <c r="U971">
        <f>IF($O971="","",IF(INDEX(Dossiers!$G$4:$G$63,19)="","",INDEX(Dossiers!$G$4:$G$63,19)))</f>
        <v/>
      </c>
      <c r="V971">
        <f>IF(OR($O971="",NOT(ISNUMBER($Q971))),"",$Q971*1000000+971)</f>
        <v/>
      </c>
      <c r="W971" s="29">
        <f>IF($B971="","",IFERROR(INDEX($U$4:$U$3183,MATCH(SMALL($V$4:$V$3183,968),$V$4:$V$3183,0)),""))</f>
        <v/>
      </c>
    </row>
    <row r="972">
      <c r="A972">
        <f>IFERROR(INDEX($N$4:$N$3183,MATCH(SMALL($V$4:$V$3183,969),$V$4:$V$3183,0)),"")</f>
        <v/>
      </c>
      <c r="B972">
        <f>IFERROR(INDEX($O$4:$O$3183,MATCH(SMALL($V$4:$V$3183,969),$V$4:$V$3183,0)),"")</f>
        <v/>
      </c>
      <c r="C972">
        <f>IFERROR(INDEX($P$4:$P$3183,MATCH(SMALL($V$4:$V$3183,969),$V$4:$V$3183,0)),"")</f>
        <v/>
      </c>
      <c r="D972" s="29">
        <f>IFERROR(INDEX($Q$4:$Q$3183,MATCH(SMALL($V$4:$V$3183,969),$V$4:$V$3183,0)),"")</f>
        <v/>
      </c>
      <c r="E972" s="29">
        <f>IFERROR(INDEX($R$4:$R$3183,MATCH(SMALL($V$4:$V$3183,969),$V$4:$V$3183,0)),"")</f>
        <v/>
      </c>
      <c r="F972">
        <f>IFERROR(INDEX($S$4:$S$3183,MATCH(SMALL($V$4:$V$3183,969),$V$4:$V$3183,0)),"")</f>
        <v/>
      </c>
      <c r="I972" s="29">
        <f>IF($B972="","",IFERROR(INDEX($U$4:$U$3183,MATCH(SMALL($V$4:$V$3183,969),$V$4:$V$3183,0)),""))</f>
        <v/>
      </c>
      <c r="J972">
        <f>IF($B972="","",IF($D972&gt;$F$2,"À venir",IF($E972&lt;$D$2,"Passé","Dans la période")))</f>
        <v/>
      </c>
      <c r="K972">
        <f>IF(OR($B972="",NOT(ISNUMBER($D972))),"",IF(AND($E972&lt;$D$2,$G972&lt;&gt;"X",$F972&lt;&gt;"Réalisé",$F972&lt;&gt;"Clôturé"),"RETARD",""))</f>
        <v/>
      </c>
      <c r="L972">
        <f>IF(OR($B972="",NOT(ISNUMBER($D972))),"",IF(AND($D972&gt;=$D$2,$D972&lt;=$H$2,$G972&lt;&gt;"X",$F972&lt;&gt;"Réalisé",$F972&lt;&gt;"Clôturé"),"≤ 7 j",""))</f>
        <v/>
      </c>
      <c r="M972" s="29">
        <f>IF($B972="","",IFERROR(INDEX($T$4:$T$3183,MATCH(SMALL($V$4:$V$3183,969),$V$4:$V$3183,0)),""))</f>
        <v/>
      </c>
      <c r="O972">
        <f>IF(INDEX(Suivi!$B:$B,991)="","",INDEX(Suivi!$B:$B,991))</f>
        <v/>
      </c>
      <c r="P972">
        <f>IF($O972="","",IF(INDEX(Suivi!$D:$D,991)="",INDEX(Suivi!$C:$C,991),INDEX(Suivi!$D:$D,991)))</f>
        <v/>
      </c>
      <c r="Q972">
        <f>IF($O972="","",INDEX(Suivi!$E:$E,991))</f>
        <v/>
      </c>
      <c r="R972">
        <f>IF($O972="","",INDEX(Suivi!$F:$F,991))</f>
        <v/>
      </c>
      <c r="S972">
        <f>IF($O972="","",INDEX(Suivi!$G:$G,991))</f>
        <v/>
      </c>
      <c r="T972">
        <f>IF($O972="","",IF(INDEX(Dossiers!$F$4:$F$63,19)="","",INDEX(Dossiers!$F$4:$F$63,19)))</f>
        <v/>
      </c>
      <c r="U972">
        <f>IF($O972="","",IF(INDEX(Dossiers!$G$4:$G$63,19)="","",INDEX(Dossiers!$G$4:$G$63,19)))</f>
        <v/>
      </c>
      <c r="V972">
        <f>IF(OR($O972="",NOT(ISNUMBER($Q972))),"",$Q972*1000000+972)</f>
        <v/>
      </c>
      <c r="W972" s="29">
        <f>IF($B972="","",IFERROR(INDEX($U$4:$U$3183,MATCH(SMALL($V$4:$V$3183,969),$V$4:$V$3183,0)),""))</f>
        <v/>
      </c>
    </row>
    <row r="973">
      <c r="A973">
        <f>IFERROR(INDEX($N$4:$N$3183,MATCH(SMALL($V$4:$V$3183,970),$V$4:$V$3183,0)),"")</f>
        <v/>
      </c>
      <c r="B973">
        <f>IFERROR(INDEX($O$4:$O$3183,MATCH(SMALL($V$4:$V$3183,970),$V$4:$V$3183,0)),"")</f>
        <v/>
      </c>
      <c r="C973">
        <f>IFERROR(INDEX($P$4:$P$3183,MATCH(SMALL($V$4:$V$3183,970),$V$4:$V$3183,0)),"")</f>
        <v/>
      </c>
      <c r="D973" s="29">
        <f>IFERROR(INDEX($Q$4:$Q$3183,MATCH(SMALL($V$4:$V$3183,970),$V$4:$V$3183,0)),"")</f>
        <v/>
      </c>
      <c r="E973" s="29">
        <f>IFERROR(INDEX($R$4:$R$3183,MATCH(SMALL($V$4:$V$3183,970),$V$4:$V$3183,0)),"")</f>
        <v/>
      </c>
      <c r="F973">
        <f>IFERROR(INDEX($S$4:$S$3183,MATCH(SMALL($V$4:$V$3183,970),$V$4:$V$3183,0)),"")</f>
        <v/>
      </c>
      <c r="I973" s="29">
        <f>IF($B973="","",IFERROR(INDEX($U$4:$U$3183,MATCH(SMALL($V$4:$V$3183,970),$V$4:$V$3183,0)),""))</f>
        <v/>
      </c>
      <c r="J973">
        <f>IF($B973="","",IF($D973&gt;$F$2,"À venir",IF($E973&lt;$D$2,"Passé","Dans la période")))</f>
        <v/>
      </c>
      <c r="K973">
        <f>IF(OR($B973="",NOT(ISNUMBER($D973))),"",IF(AND($E973&lt;$D$2,$G973&lt;&gt;"X",$F973&lt;&gt;"Réalisé",$F973&lt;&gt;"Clôturé"),"RETARD",""))</f>
        <v/>
      </c>
      <c r="L973">
        <f>IF(OR($B973="",NOT(ISNUMBER($D973))),"",IF(AND($D973&gt;=$D$2,$D973&lt;=$H$2,$G973&lt;&gt;"X",$F973&lt;&gt;"Réalisé",$F973&lt;&gt;"Clôturé"),"≤ 7 j",""))</f>
        <v/>
      </c>
      <c r="M973" s="29">
        <f>IF($B973="","",IFERROR(INDEX($T$4:$T$3183,MATCH(SMALL($V$4:$V$3183,970),$V$4:$V$3183,0)),""))</f>
        <v/>
      </c>
      <c r="O973">
        <f>IF(INDEX(Suivi!$B:$B,992)="","",INDEX(Suivi!$B:$B,992))</f>
        <v/>
      </c>
      <c r="P973">
        <f>IF($O973="","",IF(INDEX(Suivi!$D:$D,992)="",INDEX(Suivi!$C:$C,992),INDEX(Suivi!$D:$D,992)))</f>
        <v/>
      </c>
      <c r="Q973">
        <f>IF($O973="","",INDEX(Suivi!$E:$E,992))</f>
        <v/>
      </c>
      <c r="R973">
        <f>IF($O973="","",INDEX(Suivi!$F:$F,992))</f>
        <v/>
      </c>
      <c r="S973">
        <f>IF($O973="","",INDEX(Suivi!$G:$G,992))</f>
        <v/>
      </c>
      <c r="T973">
        <f>IF($O973="","",IF(INDEX(Dossiers!$F$4:$F$63,19)="","",INDEX(Dossiers!$F$4:$F$63,19)))</f>
        <v/>
      </c>
      <c r="U973">
        <f>IF($O973="","",IF(INDEX(Dossiers!$G$4:$G$63,19)="","",INDEX(Dossiers!$G$4:$G$63,19)))</f>
        <v/>
      </c>
      <c r="V973">
        <f>IF(OR($O973="",NOT(ISNUMBER($Q973))),"",$Q973*1000000+973)</f>
        <v/>
      </c>
      <c r="W973" s="29">
        <f>IF($B973="","",IFERROR(INDEX($U$4:$U$3183,MATCH(SMALL($V$4:$V$3183,970),$V$4:$V$3183,0)),""))</f>
        <v/>
      </c>
    </row>
    <row r="974">
      <c r="A974">
        <f>IFERROR(INDEX($N$4:$N$3183,MATCH(SMALL($V$4:$V$3183,971),$V$4:$V$3183,0)),"")</f>
        <v/>
      </c>
      <c r="B974">
        <f>IFERROR(INDEX($O$4:$O$3183,MATCH(SMALL($V$4:$V$3183,971),$V$4:$V$3183,0)),"")</f>
        <v/>
      </c>
      <c r="C974">
        <f>IFERROR(INDEX($P$4:$P$3183,MATCH(SMALL($V$4:$V$3183,971),$V$4:$V$3183,0)),"")</f>
        <v/>
      </c>
      <c r="D974" s="29">
        <f>IFERROR(INDEX($Q$4:$Q$3183,MATCH(SMALL($V$4:$V$3183,971),$V$4:$V$3183,0)),"")</f>
        <v/>
      </c>
      <c r="E974" s="29">
        <f>IFERROR(INDEX($R$4:$R$3183,MATCH(SMALL($V$4:$V$3183,971),$V$4:$V$3183,0)),"")</f>
        <v/>
      </c>
      <c r="F974">
        <f>IFERROR(INDEX($S$4:$S$3183,MATCH(SMALL($V$4:$V$3183,971),$V$4:$V$3183,0)),"")</f>
        <v/>
      </c>
      <c r="I974" s="29">
        <f>IF($B974="","",IFERROR(INDEX($U$4:$U$3183,MATCH(SMALL($V$4:$V$3183,971),$V$4:$V$3183,0)),""))</f>
        <v/>
      </c>
      <c r="J974">
        <f>IF($B974="","",IF($D974&gt;$F$2,"À venir",IF($E974&lt;$D$2,"Passé","Dans la période")))</f>
        <v/>
      </c>
      <c r="K974">
        <f>IF(OR($B974="",NOT(ISNUMBER($D974))),"",IF(AND($E974&lt;$D$2,$G974&lt;&gt;"X",$F974&lt;&gt;"Réalisé",$F974&lt;&gt;"Clôturé"),"RETARD",""))</f>
        <v/>
      </c>
      <c r="L974">
        <f>IF(OR($B974="",NOT(ISNUMBER($D974))),"",IF(AND($D974&gt;=$D$2,$D974&lt;=$H$2,$G974&lt;&gt;"X",$F974&lt;&gt;"Réalisé",$F974&lt;&gt;"Clôturé"),"≤ 7 j",""))</f>
        <v/>
      </c>
      <c r="M974" s="29">
        <f>IF($B974="","",IFERROR(INDEX($T$4:$T$3183,MATCH(SMALL($V$4:$V$3183,971),$V$4:$V$3183,0)),""))</f>
        <v/>
      </c>
      <c r="O974">
        <f>IF(INDEX(Suivi!$B:$B,993)="","",INDEX(Suivi!$B:$B,993))</f>
        <v/>
      </c>
      <c r="P974">
        <f>IF($O974="","",IF(INDEX(Suivi!$D:$D,993)="",INDEX(Suivi!$C:$C,993),INDEX(Suivi!$D:$D,993)))</f>
        <v/>
      </c>
      <c r="Q974">
        <f>IF($O974="","",INDEX(Suivi!$E:$E,993))</f>
        <v/>
      </c>
      <c r="R974">
        <f>IF($O974="","",INDEX(Suivi!$F:$F,993))</f>
        <v/>
      </c>
      <c r="S974">
        <f>IF($O974="","",INDEX(Suivi!$G:$G,993))</f>
        <v/>
      </c>
      <c r="T974">
        <f>IF($O974="","",IF(INDEX(Dossiers!$F$4:$F$63,19)="","",INDEX(Dossiers!$F$4:$F$63,19)))</f>
        <v/>
      </c>
      <c r="U974">
        <f>IF($O974="","",IF(INDEX(Dossiers!$G$4:$G$63,19)="","",INDEX(Dossiers!$G$4:$G$63,19)))</f>
        <v/>
      </c>
      <c r="V974">
        <f>IF(OR($O974="",NOT(ISNUMBER($Q974))),"",$Q974*1000000+974)</f>
        <v/>
      </c>
      <c r="W974" s="29">
        <f>IF($B974="","",IFERROR(INDEX($U$4:$U$3183,MATCH(SMALL($V$4:$V$3183,971),$V$4:$V$3183,0)),""))</f>
        <v/>
      </c>
    </row>
    <row r="975">
      <c r="A975">
        <f>IFERROR(INDEX($N$4:$N$3183,MATCH(SMALL($V$4:$V$3183,972),$V$4:$V$3183,0)),"")</f>
        <v/>
      </c>
      <c r="B975">
        <f>IFERROR(INDEX($O$4:$O$3183,MATCH(SMALL($V$4:$V$3183,972),$V$4:$V$3183,0)),"")</f>
        <v/>
      </c>
      <c r="C975">
        <f>IFERROR(INDEX($P$4:$P$3183,MATCH(SMALL($V$4:$V$3183,972),$V$4:$V$3183,0)),"")</f>
        <v/>
      </c>
      <c r="D975" s="29">
        <f>IFERROR(INDEX($Q$4:$Q$3183,MATCH(SMALL($V$4:$V$3183,972),$V$4:$V$3183,0)),"")</f>
        <v/>
      </c>
      <c r="E975" s="29">
        <f>IFERROR(INDEX($R$4:$R$3183,MATCH(SMALL($V$4:$V$3183,972),$V$4:$V$3183,0)),"")</f>
        <v/>
      </c>
      <c r="F975">
        <f>IFERROR(INDEX($S$4:$S$3183,MATCH(SMALL($V$4:$V$3183,972),$V$4:$V$3183,0)),"")</f>
        <v/>
      </c>
      <c r="I975" s="29">
        <f>IF($B975="","",IFERROR(INDEX($U$4:$U$3183,MATCH(SMALL($V$4:$V$3183,972),$V$4:$V$3183,0)),""))</f>
        <v/>
      </c>
      <c r="J975">
        <f>IF($B975="","",IF($D975&gt;$F$2,"À venir",IF($E975&lt;$D$2,"Passé","Dans la période")))</f>
        <v/>
      </c>
      <c r="K975">
        <f>IF(OR($B975="",NOT(ISNUMBER($D975))),"",IF(AND($E975&lt;$D$2,$G975&lt;&gt;"X",$F975&lt;&gt;"Réalisé",$F975&lt;&gt;"Clôturé"),"RETARD",""))</f>
        <v/>
      </c>
      <c r="L975">
        <f>IF(OR($B975="",NOT(ISNUMBER($D975))),"",IF(AND($D975&gt;=$D$2,$D975&lt;=$H$2,$G975&lt;&gt;"X",$F975&lt;&gt;"Réalisé",$F975&lt;&gt;"Clôturé"),"≤ 7 j",""))</f>
        <v/>
      </c>
      <c r="M975" s="29">
        <f>IF($B975="","",IFERROR(INDEX($T$4:$T$3183,MATCH(SMALL($V$4:$V$3183,972),$V$4:$V$3183,0)),""))</f>
        <v/>
      </c>
      <c r="O975">
        <f>IF(INDEX(Suivi!$B:$B,994)="","",INDEX(Suivi!$B:$B,994))</f>
        <v/>
      </c>
      <c r="P975">
        <f>IF($O975="","",IF(INDEX(Suivi!$D:$D,994)="",INDEX(Suivi!$C:$C,994),INDEX(Suivi!$D:$D,994)))</f>
        <v/>
      </c>
      <c r="Q975">
        <f>IF($O975="","",INDEX(Suivi!$E:$E,994))</f>
        <v/>
      </c>
      <c r="R975">
        <f>IF($O975="","",INDEX(Suivi!$F:$F,994))</f>
        <v/>
      </c>
      <c r="S975">
        <f>IF($O975="","",INDEX(Suivi!$G:$G,994))</f>
        <v/>
      </c>
      <c r="T975">
        <f>IF($O975="","",IF(INDEX(Dossiers!$F$4:$F$63,19)="","",INDEX(Dossiers!$F$4:$F$63,19)))</f>
        <v/>
      </c>
      <c r="U975">
        <f>IF($O975="","",IF(INDEX(Dossiers!$G$4:$G$63,19)="","",INDEX(Dossiers!$G$4:$G$63,19)))</f>
        <v/>
      </c>
      <c r="V975">
        <f>IF(OR($O975="",NOT(ISNUMBER($Q975))),"",$Q975*1000000+975)</f>
        <v/>
      </c>
      <c r="W975" s="29">
        <f>IF($B975="","",IFERROR(INDEX($U$4:$U$3183,MATCH(SMALL($V$4:$V$3183,972),$V$4:$V$3183,0)),""))</f>
        <v/>
      </c>
    </row>
    <row r="976">
      <c r="A976">
        <f>IFERROR(INDEX($N$4:$N$3183,MATCH(SMALL($V$4:$V$3183,973),$V$4:$V$3183,0)),"")</f>
        <v/>
      </c>
      <c r="B976">
        <f>IFERROR(INDEX($O$4:$O$3183,MATCH(SMALL($V$4:$V$3183,973),$V$4:$V$3183,0)),"")</f>
        <v/>
      </c>
      <c r="C976">
        <f>IFERROR(INDEX($P$4:$P$3183,MATCH(SMALL($V$4:$V$3183,973),$V$4:$V$3183,0)),"")</f>
        <v/>
      </c>
      <c r="D976" s="29">
        <f>IFERROR(INDEX($Q$4:$Q$3183,MATCH(SMALL($V$4:$V$3183,973),$V$4:$V$3183,0)),"")</f>
        <v/>
      </c>
      <c r="E976" s="29">
        <f>IFERROR(INDEX($R$4:$R$3183,MATCH(SMALL($V$4:$V$3183,973),$V$4:$V$3183,0)),"")</f>
        <v/>
      </c>
      <c r="F976">
        <f>IFERROR(INDEX($S$4:$S$3183,MATCH(SMALL($V$4:$V$3183,973),$V$4:$V$3183,0)),"")</f>
        <v/>
      </c>
      <c r="I976" s="29">
        <f>IF($B976="","",IFERROR(INDEX($U$4:$U$3183,MATCH(SMALL($V$4:$V$3183,973),$V$4:$V$3183,0)),""))</f>
        <v/>
      </c>
      <c r="J976">
        <f>IF($B976="","",IF($D976&gt;$F$2,"À venir",IF($E976&lt;$D$2,"Passé","Dans la période")))</f>
        <v/>
      </c>
      <c r="K976">
        <f>IF(OR($B976="",NOT(ISNUMBER($D976))),"",IF(AND($E976&lt;$D$2,$G976&lt;&gt;"X",$F976&lt;&gt;"Réalisé",$F976&lt;&gt;"Clôturé"),"RETARD",""))</f>
        <v/>
      </c>
      <c r="L976">
        <f>IF(OR($B976="",NOT(ISNUMBER($D976))),"",IF(AND($D976&gt;=$D$2,$D976&lt;=$H$2,$G976&lt;&gt;"X",$F976&lt;&gt;"Réalisé",$F976&lt;&gt;"Clôturé"),"≤ 7 j",""))</f>
        <v/>
      </c>
      <c r="M976" s="29">
        <f>IF($B976="","",IFERROR(INDEX($T$4:$T$3183,MATCH(SMALL($V$4:$V$3183,973),$V$4:$V$3183,0)),""))</f>
        <v/>
      </c>
      <c r="O976">
        <f>IF(INDEX(Suivi!$B:$B,995)="","",INDEX(Suivi!$B:$B,995))</f>
        <v/>
      </c>
      <c r="P976">
        <f>IF($O976="","",IF(INDEX(Suivi!$D:$D,995)="",INDEX(Suivi!$C:$C,995),INDEX(Suivi!$D:$D,995)))</f>
        <v/>
      </c>
      <c r="Q976">
        <f>IF($O976="","",INDEX(Suivi!$E:$E,995))</f>
        <v/>
      </c>
      <c r="R976">
        <f>IF($O976="","",INDEX(Suivi!$F:$F,995))</f>
        <v/>
      </c>
      <c r="S976">
        <f>IF($O976="","",INDEX(Suivi!$G:$G,995))</f>
        <v/>
      </c>
      <c r="T976">
        <f>IF($O976="","",IF(INDEX(Dossiers!$F$4:$F$63,19)="","",INDEX(Dossiers!$F$4:$F$63,19)))</f>
        <v/>
      </c>
      <c r="U976">
        <f>IF($O976="","",IF(INDEX(Dossiers!$G$4:$G$63,19)="","",INDEX(Dossiers!$G$4:$G$63,19)))</f>
        <v/>
      </c>
      <c r="V976">
        <f>IF(OR($O976="",NOT(ISNUMBER($Q976))),"",$Q976*1000000+976)</f>
        <v/>
      </c>
      <c r="W976" s="29">
        <f>IF($B976="","",IFERROR(INDEX($U$4:$U$3183,MATCH(SMALL($V$4:$V$3183,973),$V$4:$V$3183,0)),""))</f>
        <v/>
      </c>
    </row>
    <row r="977">
      <c r="A977">
        <f>IFERROR(INDEX($N$4:$N$3183,MATCH(SMALL($V$4:$V$3183,974),$V$4:$V$3183,0)),"")</f>
        <v/>
      </c>
      <c r="B977">
        <f>IFERROR(INDEX($O$4:$O$3183,MATCH(SMALL($V$4:$V$3183,974),$V$4:$V$3183,0)),"")</f>
        <v/>
      </c>
      <c r="C977">
        <f>IFERROR(INDEX($P$4:$P$3183,MATCH(SMALL($V$4:$V$3183,974),$V$4:$V$3183,0)),"")</f>
        <v/>
      </c>
      <c r="D977" s="29">
        <f>IFERROR(INDEX($Q$4:$Q$3183,MATCH(SMALL($V$4:$V$3183,974),$V$4:$V$3183,0)),"")</f>
        <v/>
      </c>
      <c r="E977" s="29">
        <f>IFERROR(INDEX($R$4:$R$3183,MATCH(SMALL($V$4:$V$3183,974),$V$4:$V$3183,0)),"")</f>
        <v/>
      </c>
      <c r="F977">
        <f>IFERROR(INDEX($S$4:$S$3183,MATCH(SMALL($V$4:$V$3183,974),$V$4:$V$3183,0)),"")</f>
        <v/>
      </c>
      <c r="I977" s="29">
        <f>IF($B977="","",IFERROR(INDEX($U$4:$U$3183,MATCH(SMALL($V$4:$V$3183,974),$V$4:$V$3183,0)),""))</f>
        <v/>
      </c>
      <c r="J977">
        <f>IF($B977="","",IF($D977&gt;$F$2,"À venir",IF($E977&lt;$D$2,"Passé","Dans la période")))</f>
        <v/>
      </c>
      <c r="K977">
        <f>IF(OR($B977="",NOT(ISNUMBER($D977))),"",IF(AND($E977&lt;$D$2,$G977&lt;&gt;"X",$F977&lt;&gt;"Réalisé",$F977&lt;&gt;"Clôturé"),"RETARD",""))</f>
        <v/>
      </c>
      <c r="L977">
        <f>IF(OR($B977="",NOT(ISNUMBER($D977))),"",IF(AND($D977&gt;=$D$2,$D977&lt;=$H$2,$G977&lt;&gt;"X",$F977&lt;&gt;"Réalisé",$F977&lt;&gt;"Clôturé"),"≤ 7 j",""))</f>
        <v/>
      </c>
      <c r="M977" s="29">
        <f>IF($B977="","",IFERROR(INDEX($T$4:$T$3183,MATCH(SMALL($V$4:$V$3183,974),$V$4:$V$3183,0)),""))</f>
        <v/>
      </c>
      <c r="O977">
        <f>IF(INDEX(Suivi!$B:$B,996)="","",INDEX(Suivi!$B:$B,996))</f>
        <v/>
      </c>
      <c r="P977">
        <f>IF($O977="","",IF(INDEX(Suivi!$D:$D,996)="",INDEX(Suivi!$C:$C,996),INDEX(Suivi!$D:$D,996)))</f>
        <v/>
      </c>
      <c r="Q977">
        <f>IF($O977="","",INDEX(Suivi!$E:$E,996))</f>
        <v/>
      </c>
      <c r="R977">
        <f>IF($O977="","",INDEX(Suivi!$F:$F,996))</f>
        <v/>
      </c>
      <c r="S977">
        <f>IF($O977="","",INDEX(Suivi!$G:$G,996))</f>
        <v/>
      </c>
      <c r="T977">
        <f>IF($O977="","",IF(INDEX(Dossiers!$F$4:$F$63,19)="","",INDEX(Dossiers!$F$4:$F$63,19)))</f>
        <v/>
      </c>
      <c r="U977">
        <f>IF($O977="","",IF(INDEX(Dossiers!$G$4:$G$63,19)="","",INDEX(Dossiers!$G$4:$G$63,19)))</f>
        <v/>
      </c>
      <c r="V977">
        <f>IF(OR($O977="",NOT(ISNUMBER($Q977))),"",$Q977*1000000+977)</f>
        <v/>
      </c>
      <c r="W977" s="29">
        <f>IF($B977="","",IFERROR(INDEX($U$4:$U$3183,MATCH(SMALL($V$4:$V$3183,974),$V$4:$V$3183,0)),""))</f>
        <v/>
      </c>
    </row>
    <row r="978">
      <c r="A978">
        <f>IFERROR(INDEX($N$4:$N$3183,MATCH(SMALL($V$4:$V$3183,975),$V$4:$V$3183,0)),"")</f>
        <v/>
      </c>
      <c r="B978">
        <f>IFERROR(INDEX($O$4:$O$3183,MATCH(SMALL($V$4:$V$3183,975),$V$4:$V$3183,0)),"")</f>
        <v/>
      </c>
      <c r="C978">
        <f>IFERROR(INDEX($P$4:$P$3183,MATCH(SMALL($V$4:$V$3183,975),$V$4:$V$3183,0)),"")</f>
        <v/>
      </c>
      <c r="D978" s="29">
        <f>IFERROR(INDEX($Q$4:$Q$3183,MATCH(SMALL($V$4:$V$3183,975),$V$4:$V$3183,0)),"")</f>
        <v/>
      </c>
      <c r="E978" s="29">
        <f>IFERROR(INDEX($R$4:$R$3183,MATCH(SMALL($V$4:$V$3183,975),$V$4:$V$3183,0)),"")</f>
        <v/>
      </c>
      <c r="F978">
        <f>IFERROR(INDEX($S$4:$S$3183,MATCH(SMALL($V$4:$V$3183,975),$V$4:$V$3183,0)),"")</f>
        <v/>
      </c>
      <c r="I978" s="29">
        <f>IF($B978="","",IFERROR(INDEX($U$4:$U$3183,MATCH(SMALL($V$4:$V$3183,975),$V$4:$V$3183,0)),""))</f>
        <v/>
      </c>
      <c r="J978">
        <f>IF($B978="","",IF($D978&gt;$F$2,"À venir",IF($E978&lt;$D$2,"Passé","Dans la période")))</f>
        <v/>
      </c>
      <c r="K978">
        <f>IF(OR($B978="",NOT(ISNUMBER($D978))),"",IF(AND($E978&lt;$D$2,$G978&lt;&gt;"X",$F978&lt;&gt;"Réalisé",$F978&lt;&gt;"Clôturé"),"RETARD",""))</f>
        <v/>
      </c>
      <c r="L978">
        <f>IF(OR($B978="",NOT(ISNUMBER($D978))),"",IF(AND($D978&gt;=$D$2,$D978&lt;=$H$2,$G978&lt;&gt;"X",$F978&lt;&gt;"Réalisé",$F978&lt;&gt;"Clôturé"),"≤ 7 j",""))</f>
        <v/>
      </c>
      <c r="M978" s="29">
        <f>IF($B978="","",IFERROR(INDEX($T$4:$T$3183,MATCH(SMALL($V$4:$V$3183,975),$V$4:$V$3183,0)),""))</f>
        <v/>
      </c>
      <c r="O978">
        <f>IF(INDEX(Suivi!$B:$B,997)="","",INDEX(Suivi!$B:$B,997))</f>
        <v/>
      </c>
      <c r="P978">
        <f>IF($O978="","",IF(INDEX(Suivi!$D:$D,997)="",INDEX(Suivi!$C:$C,997),INDEX(Suivi!$D:$D,997)))</f>
        <v/>
      </c>
      <c r="Q978">
        <f>IF($O978="","",INDEX(Suivi!$E:$E,997))</f>
        <v/>
      </c>
      <c r="R978">
        <f>IF($O978="","",INDEX(Suivi!$F:$F,997))</f>
        <v/>
      </c>
      <c r="S978">
        <f>IF($O978="","",INDEX(Suivi!$G:$G,997))</f>
        <v/>
      </c>
      <c r="T978">
        <f>IF($O978="","",IF(INDEX(Dossiers!$F$4:$F$63,19)="","",INDEX(Dossiers!$F$4:$F$63,19)))</f>
        <v/>
      </c>
      <c r="U978">
        <f>IF($O978="","",IF(INDEX(Dossiers!$G$4:$G$63,19)="","",INDEX(Dossiers!$G$4:$G$63,19)))</f>
        <v/>
      </c>
      <c r="V978">
        <f>IF(OR($O978="",NOT(ISNUMBER($Q978))),"",$Q978*1000000+978)</f>
        <v/>
      </c>
      <c r="W978" s="29">
        <f>IF($B978="","",IFERROR(INDEX($U$4:$U$3183,MATCH(SMALL($V$4:$V$3183,975),$V$4:$V$3183,0)),""))</f>
        <v/>
      </c>
    </row>
    <row r="979">
      <c r="A979">
        <f>IFERROR(INDEX($N$4:$N$3183,MATCH(SMALL($V$4:$V$3183,976),$V$4:$V$3183,0)),"")</f>
        <v/>
      </c>
      <c r="B979">
        <f>IFERROR(INDEX($O$4:$O$3183,MATCH(SMALL($V$4:$V$3183,976),$V$4:$V$3183,0)),"")</f>
        <v/>
      </c>
      <c r="C979">
        <f>IFERROR(INDEX($P$4:$P$3183,MATCH(SMALL($V$4:$V$3183,976),$V$4:$V$3183,0)),"")</f>
        <v/>
      </c>
      <c r="D979" s="29">
        <f>IFERROR(INDEX($Q$4:$Q$3183,MATCH(SMALL($V$4:$V$3183,976),$V$4:$V$3183,0)),"")</f>
        <v/>
      </c>
      <c r="E979" s="29">
        <f>IFERROR(INDEX($R$4:$R$3183,MATCH(SMALL($V$4:$V$3183,976),$V$4:$V$3183,0)),"")</f>
        <v/>
      </c>
      <c r="F979">
        <f>IFERROR(INDEX($S$4:$S$3183,MATCH(SMALL($V$4:$V$3183,976),$V$4:$V$3183,0)),"")</f>
        <v/>
      </c>
      <c r="I979" s="29">
        <f>IF($B979="","",IFERROR(INDEX($U$4:$U$3183,MATCH(SMALL($V$4:$V$3183,976),$V$4:$V$3183,0)),""))</f>
        <v/>
      </c>
      <c r="J979">
        <f>IF($B979="","",IF($D979&gt;$F$2,"À venir",IF($E979&lt;$D$2,"Passé","Dans la période")))</f>
        <v/>
      </c>
      <c r="K979">
        <f>IF(OR($B979="",NOT(ISNUMBER($D979))),"",IF(AND($E979&lt;$D$2,$G979&lt;&gt;"X",$F979&lt;&gt;"Réalisé",$F979&lt;&gt;"Clôturé"),"RETARD",""))</f>
        <v/>
      </c>
      <c r="L979">
        <f>IF(OR($B979="",NOT(ISNUMBER($D979))),"",IF(AND($D979&gt;=$D$2,$D979&lt;=$H$2,$G979&lt;&gt;"X",$F979&lt;&gt;"Réalisé",$F979&lt;&gt;"Clôturé"),"≤ 7 j",""))</f>
        <v/>
      </c>
      <c r="M979" s="29">
        <f>IF($B979="","",IFERROR(INDEX($T$4:$T$3183,MATCH(SMALL($V$4:$V$3183,976),$V$4:$V$3183,0)),""))</f>
        <v/>
      </c>
      <c r="O979">
        <f>IF(INDEX(Suivi!$B:$B,998)="","",INDEX(Suivi!$B:$B,998))</f>
        <v/>
      </c>
      <c r="P979">
        <f>IF($O979="","",IF(INDEX(Suivi!$D:$D,998)="",INDEX(Suivi!$C:$C,998),INDEX(Suivi!$D:$D,998)))</f>
        <v/>
      </c>
      <c r="Q979">
        <f>IF($O979="","",INDEX(Suivi!$E:$E,998))</f>
        <v/>
      </c>
      <c r="R979">
        <f>IF($O979="","",INDEX(Suivi!$F:$F,998))</f>
        <v/>
      </c>
      <c r="S979">
        <f>IF($O979="","",INDEX(Suivi!$G:$G,998))</f>
        <v/>
      </c>
      <c r="T979">
        <f>IF($O979="","",IF(INDEX(Dossiers!$F$4:$F$63,19)="","",INDEX(Dossiers!$F$4:$F$63,19)))</f>
        <v/>
      </c>
      <c r="U979">
        <f>IF($O979="","",IF(INDEX(Dossiers!$G$4:$G$63,19)="","",INDEX(Dossiers!$G$4:$G$63,19)))</f>
        <v/>
      </c>
      <c r="V979">
        <f>IF(OR($O979="",NOT(ISNUMBER($Q979))),"",$Q979*1000000+979)</f>
        <v/>
      </c>
      <c r="W979" s="29">
        <f>IF($B979="","",IFERROR(INDEX($U$4:$U$3183,MATCH(SMALL($V$4:$V$3183,976),$V$4:$V$3183,0)),""))</f>
        <v/>
      </c>
    </row>
    <row r="980">
      <c r="A980">
        <f>IFERROR(INDEX($N$4:$N$3183,MATCH(SMALL($V$4:$V$3183,977),$V$4:$V$3183,0)),"")</f>
        <v/>
      </c>
      <c r="B980">
        <f>IFERROR(INDEX($O$4:$O$3183,MATCH(SMALL($V$4:$V$3183,977),$V$4:$V$3183,0)),"")</f>
        <v/>
      </c>
      <c r="C980">
        <f>IFERROR(INDEX($P$4:$P$3183,MATCH(SMALL($V$4:$V$3183,977),$V$4:$V$3183,0)),"")</f>
        <v/>
      </c>
      <c r="D980" s="29">
        <f>IFERROR(INDEX($Q$4:$Q$3183,MATCH(SMALL($V$4:$V$3183,977),$V$4:$V$3183,0)),"")</f>
        <v/>
      </c>
      <c r="E980" s="29">
        <f>IFERROR(INDEX($R$4:$R$3183,MATCH(SMALL($V$4:$V$3183,977),$V$4:$V$3183,0)),"")</f>
        <v/>
      </c>
      <c r="F980">
        <f>IFERROR(INDEX($S$4:$S$3183,MATCH(SMALL($V$4:$V$3183,977),$V$4:$V$3183,0)),"")</f>
        <v/>
      </c>
      <c r="I980" s="29">
        <f>IF($B980="","",IFERROR(INDEX($U$4:$U$3183,MATCH(SMALL($V$4:$V$3183,977),$V$4:$V$3183,0)),""))</f>
        <v/>
      </c>
      <c r="J980">
        <f>IF($B980="","",IF($D980&gt;$F$2,"À venir",IF($E980&lt;$D$2,"Passé","Dans la période")))</f>
        <v/>
      </c>
      <c r="K980">
        <f>IF(OR($B980="",NOT(ISNUMBER($D980))),"",IF(AND($E980&lt;$D$2,$G980&lt;&gt;"X",$F980&lt;&gt;"Réalisé",$F980&lt;&gt;"Clôturé"),"RETARD",""))</f>
        <v/>
      </c>
      <c r="L980">
        <f>IF(OR($B980="",NOT(ISNUMBER($D980))),"",IF(AND($D980&gt;=$D$2,$D980&lt;=$H$2,$G980&lt;&gt;"X",$F980&lt;&gt;"Réalisé",$F980&lt;&gt;"Clôturé"),"≤ 7 j",""))</f>
        <v/>
      </c>
      <c r="M980" s="29">
        <f>IF($B980="","",IFERROR(INDEX($T$4:$T$3183,MATCH(SMALL($V$4:$V$3183,977),$V$4:$V$3183,0)),""))</f>
        <v/>
      </c>
      <c r="O980">
        <f>IF(INDEX(Suivi!$B:$B,999)="","",INDEX(Suivi!$B:$B,999))</f>
        <v/>
      </c>
      <c r="P980">
        <f>IF($O980="","",IF(INDEX(Suivi!$D:$D,999)="",INDEX(Suivi!$C:$C,999),INDEX(Suivi!$D:$D,999)))</f>
        <v/>
      </c>
      <c r="Q980">
        <f>IF($O980="","",INDEX(Suivi!$E:$E,999))</f>
        <v/>
      </c>
      <c r="R980">
        <f>IF($O980="","",INDEX(Suivi!$F:$F,999))</f>
        <v/>
      </c>
      <c r="S980">
        <f>IF($O980="","",INDEX(Suivi!$G:$G,999))</f>
        <v/>
      </c>
      <c r="T980">
        <f>IF($O980="","",IF(INDEX(Dossiers!$F$4:$F$63,19)="","",INDEX(Dossiers!$F$4:$F$63,19)))</f>
        <v/>
      </c>
      <c r="U980">
        <f>IF($O980="","",IF(INDEX(Dossiers!$G$4:$G$63,19)="","",INDEX(Dossiers!$G$4:$G$63,19)))</f>
        <v/>
      </c>
      <c r="V980">
        <f>IF(OR($O980="",NOT(ISNUMBER($Q980))),"",$Q980*1000000+980)</f>
        <v/>
      </c>
      <c r="W980" s="29">
        <f>IF($B980="","",IFERROR(INDEX($U$4:$U$3183,MATCH(SMALL($V$4:$V$3183,977),$V$4:$V$3183,0)),""))</f>
        <v/>
      </c>
    </row>
    <row r="981">
      <c r="A981">
        <f>IFERROR(INDEX($N$4:$N$3183,MATCH(SMALL($V$4:$V$3183,978),$V$4:$V$3183,0)),"")</f>
        <v/>
      </c>
      <c r="B981">
        <f>IFERROR(INDEX($O$4:$O$3183,MATCH(SMALL($V$4:$V$3183,978),$V$4:$V$3183,0)),"")</f>
        <v/>
      </c>
      <c r="C981">
        <f>IFERROR(INDEX($P$4:$P$3183,MATCH(SMALL($V$4:$V$3183,978),$V$4:$V$3183,0)),"")</f>
        <v/>
      </c>
      <c r="D981" s="29">
        <f>IFERROR(INDEX($Q$4:$Q$3183,MATCH(SMALL($V$4:$V$3183,978),$V$4:$V$3183,0)),"")</f>
        <v/>
      </c>
      <c r="E981" s="29">
        <f>IFERROR(INDEX($R$4:$R$3183,MATCH(SMALL($V$4:$V$3183,978),$V$4:$V$3183,0)),"")</f>
        <v/>
      </c>
      <c r="F981">
        <f>IFERROR(INDEX($S$4:$S$3183,MATCH(SMALL($V$4:$V$3183,978),$V$4:$V$3183,0)),"")</f>
        <v/>
      </c>
      <c r="I981" s="29">
        <f>IF($B981="","",IFERROR(INDEX($U$4:$U$3183,MATCH(SMALL($V$4:$V$3183,978),$V$4:$V$3183,0)),""))</f>
        <v/>
      </c>
      <c r="J981">
        <f>IF($B981="","",IF($D981&gt;$F$2,"À venir",IF($E981&lt;$D$2,"Passé","Dans la période")))</f>
        <v/>
      </c>
      <c r="K981">
        <f>IF(OR($B981="",NOT(ISNUMBER($D981))),"",IF(AND($E981&lt;$D$2,$G981&lt;&gt;"X",$F981&lt;&gt;"Réalisé",$F981&lt;&gt;"Clôturé"),"RETARD",""))</f>
        <v/>
      </c>
      <c r="L981">
        <f>IF(OR($B981="",NOT(ISNUMBER($D981))),"",IF(AND($D981&gt;=$D$2,$D981&lt;=$H$2,$G981&lt;&gt;"X",$F981&lt;&gt;"Réalisé",$F981&lt;&gt;"Clôturé"),"≤ 7 j",""))</f>
        <v/>
      </c>
      <c r="M981" s="29">
        <f>IF($B981="","",IFERROR(INDEX($T$4:$T$3183,MATCH(SMALL($V$4:$V$3183,978),$V$4:$V$3183,0)),""))</f>
        <v/>
      </c>
      <c r="O981">
        <f>IF(INDEX(Suivi!$B:$B,1000)="","",INDEX(Suivi!$B:$B,1000))</f>
        <v/>
      </c>
      <c r="P981">
        <f>IF($O981="","",IF(INDEX(Suivi!$D:$D,1000)="",INDEX(Suivi!$C:$C,1000),INDEX(Suivi!$D:$D,1000)))</f>
        <v/>
      </c>
      <c r="Q981">
        <f>IF($O981="","",INDEX(Suivi!$E:$E,1000))</f>
        <v/>
      </c>
      <c r="R981">
        <f>IF($O981="","",INDEX(Suivi!$F:$F,1000))</f>
        <v/>
      </c>
      <c r="S981">
        <f>IF($O981="","",INDEX(Suivi!$G:$G,1000))</f>
        <v/>
      </c>
      <c r="T981">
        <f>IF($O981="","",IF(INDEX(Dossiers!$F$4:$F$63,19)="","",INDEX(Dossiers!$F$4:$F$63,19)))</f>
        <v/>
      </c>
      <c r="U981">
        <f>IF($O981="","",IF(INDEX(Dossiers!$G$4:$G$63,19)="","",INDEX(Dossiers!$G$4:$G$63,19)))</f>
        <v/>
      </c>
      <c r="V981">
        <f>IF(OR($O981="",NOT(ISNUMBER($Q981))),"",$Q981*1000000+981)</f>
        <v/>
      </c>
      <c r="W981" s="29">
        <f>IF($B981="","",IFERROR(INDEX($U$4:$U$3183,MATCH(SMALL($V$4:$V$3183,978),$V$4:$V$3183,0)),""))</f>
        <v/>
      </c>
    </row>
    <row r="982">
      <c r="A982">
        <f>IFERROR(INDEX($N$4:$N$3183,MATCH(SMALL($V$4:$V$3183,979),$V$4:$V$3183,0)),"")</f>
        <v/>
      </c>
      <c r="B982">
        <f>IFERROR(INDEX($O$4:$O$3183,MATCH(SMALL($V$4:$V$3183,979),$V$4:$V$3183,0)),"")</f>
        <v/>
      </c>
      <c r="C982">
        <f>IFERROR(INDEX($P$4:$P$3183,MATCH(SMALL($V$4:$V$3183,979),$V$4:$V$3183,0)),"")</f>
        <v/>
      </c>
      <c r="D982" s="29">
        <f>IFERROR(INDEX($Q$4:$Q$3183,MATCH(SMALL($V$4:$V$3183,979),$V$4:$V$3183,0)),"")</f>
        <v/>
      </c>
      <c r="E982" s="29">
        <f>IFERROR(INDEX($R$4:$R$3183,MATCH(SMALL($V$4:$V$3183,979),$V$4:$V$3183,0)),"")</f>
        <v/>
      </c>
      <c r="F982">
        <f>IFERROR(INDEX($S$4:$S$3183,MATCH(SMALL($V$4:$V$3183,979),$V$4:$V$3183,0)),"")</f>
        <v/>
      </c>
      <c r="I982" s="29">
        <f>IF($B982="","",IFERROR(INDEX($U$4:$U$3183,MATCH(SMALL($V$4:$V$3183,979),$V$4:$V$3183,0)),""))</f>
        <v/>
      </c>
      <c r="J982">
        <f>IF($B982="","",IF($D982&gt;$F$2,"À venir",IF($E982&lt;$D$2,"Passé","Dans la période")))</f>
        <v/>
      </c>
      <c r="K982">
        <f>IF(OR($B982="",NOT(ISNUMBER($D982))),"",IF(AND($E982&lt;$D$2,$G982&lt;&gt;"X",$F982&lt;&gt;"Réalisé",$F982&lt;&gt;"Clôturé"),"RETARD",""))</f>
        <v/>
      </c>
      <c r="L982">
        <f>IF(OR($B982="",NOT(ISNUMBER($D982))),"",IF(AND($D982&gt;=$D$2,$D982&lt;=$H$2,$G982&lt;&gt;"X",$F982&lt;&gt;"Réalisé",$F982&lt;&gt;"Clôturé"),"≤ 7 j",""))</f>
        <v/>
      </c>
      <c r="M982" s="29">
        <f>IF($B982="","",IFERROR(INDEX($T$4:$T$3183,MATCH(SMALL($V$4:$V$3183,979),$V$4:$V$3183,0)),""))</f>
        <v/>
      </c>
      <c r="O982">
        <f>IF(INDEX(Suivi!$B:$B,1001)="","",INDEX(Suivi!$B:$B,1001))</f>
        <v/>
      </c>
      <c r="P982">
        <f>IF($O982="","",IF(INDEX(Suivi!$D:$D,1001)="",INDEX(Suivi!$C:$C,1001),INDEX(Suivi!$D:$D,1001)))</f>
        <v/>
      </c>
      <c r="Q982">
        <f>IF($O982="","",INDEX(Suivi!$E:$E,1001))</f>
        <v/>
      </c>
      <c r="R982">
        <f>IF($O982="","",INDEX(Suivi!$F:$F,1001))</f>
        <v/>
      </c>
      <c r="S982">
        <f>IF($O982="","",INDEX(Suivi!$G:$G,1001))</f>
        <v/>
      </c>
      <c r="T982">
        <f>IF($O982="","",IF(INDEX(Dossiers!$F$4:$F$63,19)="","",INDEX(Dossiers!$F$4:$F$63,19)))</f>
        <v/>
      </c>
      <c r="U982">
        <f>IF($O982="","",IF(INDEX(Dossiers!$G$4:$G$63,19)="","",INDEX(Dossiers!$G$4:$G$63,19)))</f>
        <v/>
      </c>
      <c r="V982">
        <f>IF(OR($O982="",NOT(ISNUMBER($Q982))),"",$Q982*1000000+982)</f>
        <v/>
      </c>
      <c r="W982" s="29">
        <f>IF($B982="","",IFERROR(INDEX($U$4:$U$3183,MATCH(SMALL($V$4:$V$3183,979),$V$4:$V$3183,0)),""))</f>
        <v/>
      </c>
    </row>
    <row r="983">
      <c r="A983">
        <f>IFERROR(INDEX($N$4:$N$3183,MATCH(SMALL($V$4:$V$3183,980),$V$4:$V$3183,0)),"")</f>
        <v/>
      </c>
      <c r="B983">
        <f>IFERROR(INDEX($O$4:$O$3183,MATCH(SMALL($V$4:$V$3183,980),$V$4:$V$3183,0)),"")</f>
        <v/>
      </c>
      <c r="C983">
        <f>IFERROR(INDEX($P$4:$P$3183,MATCH(SMALL($V$4:$V$3183,980),$V$4:$V$3183,0)),"")</f>
        <v/>
      </c>
      <c r="D983" s="29">
        <f>IFERROR(INDEX($Q$4:$Q$3183,MATCH(SMALL($V$4:$V$3183,980),$V$4:$V$3183,0)),"")</f>
        <v/>
      </c>
      <c r="E983" s="29">
        <f>IFERROR(INDEX($R$4:$R$3183,MATCH(SMALL($V$4:$V$3183,980),$V$4:$V$3183,0)),"")</f>
        <v/>
      </c>
      <c r="F983">
        <f>IFERROR(INDEX($S$4:$S$3183,MATCH(SMALL($V$4:$V$3183,980),$V$4:$V$3183,0)),"")</f>
        <v/>
      </c>
      <c r="I983" s="29">
        <f>IF($B983="","",IFERROR(INDEX($U$4:$U$3183,MATCH(SMALL($V$4:$V$3183,980),$V$4:$V$3183,0)),""))</f>
        <v/>
      </c>
      <c r="J983">
        <f>IF($B983="","",IF($D983&gt;$F$2,"À venir",IF($E983&lt;$D$2,"Passé","Dans la période")))</f>
        <v/>
      </c>
      <c r="K983">
        <f>IF(OR($B983="",NOT(ISNUMBER($D983))),"",IF(AND($E983&lt;$D$2,$G983&lt;&gt;"X",$F983&lt;&gt;"Réalisé",$F983&lt;&gt;"Clôturé"),"RETARD",""))</f>
        <v/>
      </c>
      <c r="L983">
        <f>IF(OR($B983="",NOT(ISNUMBER($D983))),"",IF(AND($D983&gt;=$D$2,$D983&lt;=$H$2,$G983&lt;&gt;"X",$F983&lt;&gt;"Réalisé",$F983&lt;&gt;"Clôturé"),"≤ 7 j",""))</f>
        <v/>
      </c>
      <c r="M983" s="29">
        <f>IF($B983="","",IFERROR(INDEX($T$4:$T$3183,MATCH(SMALL($V$4:$V$3183,980),$V$4:$V$3183,0)),""))</f>
        <v/>
      </c>
      <c r="O983">
        <f>IF(INDEX(Suivi!$B:$B,1002)="","",INDEX(Suivi!$B:$B,1002))</f>
        <v/>
      </c>
      <c r="P983">
        <f>IF($O983="","",IF(INDEX(Suivi!$D:$D,1002)="",INDEX(Suivi!$C:$C,1002),INDEX(Suivi!$D:$D,1002)))</f>
        <v/>
      </c>
      <c r="Q983">
        <f>IF($O983="","",INDEX(Suivi!$E:$E,1002))</f>
        <v/>
      </c>
      <c r="R983">
        <f>IF($O983="","",INDEX(Suivi!$F:$F,1002))</f>
        <v/>
      </c>
      <c r="S983">
        <f>IF($O983="","",INDEX(Suivi!$G:$G,1002))</f>
        <v/>
      </c>
      <c r="T983">
        <f>IF($O983="","",IF(INDEX(Dossiers!$F$4:$F$63,19)="","",INDEX(Dossiers!$F$4:$F$63,19)))</f>
        <v/>
      </c>
      <c r="U983">
        <f>IF($O983="","",IF(INDEX(Dossiers!$G$4:$G$63,19)="","",INDEX(Dossiers!$G$4:$G$63,19)))</f>
        <v/>
      </c>
      <c r="V983">
        <f>IF(OR($O983="",NOT(ISNUMBER($Q983))),"",$Q983*1000000+983)</f>
        <v/>
      </c>
      <c r="W983" s="29">
        <f>IF($B983="","",IFERROR(INDEX($U$4:$U$3183,MATCH(SMALL($V$4:$V$3183,980),$V$4:$V$3183,0)),""))</f>
        <v/>
      </c>
    </row>
    <row r="984">
      <c r="A984">
        <f>IFERROR(INDEX($N$4:$N$3183,MATCH(SMALL($V$4:$V$3183,981),$V$4:$V$3183,0)),"")</f>
        <v/>
      </c>
      <c r="B984">
        <f>IFERROR(INDEX($O$4:$O$3183,MATCH(SMALL($V$4:$V$3183,981),$V$4:$V$3183,0)),"")</f>
        <v/>
      </c>
      <c r="C984">
        <f>IFERROR(INDEX($P$4:$P$3183,MATCH(SMALL($V$4:$V$3183,981),$V$4:$V$3183,0)),"")</f>
        <v/>
      </c>
      <c r="D984" s="29">
        <f>IFERROR(INDEX($Q$4:$Q$3183,MATCH(SMALL($V$4:$V$3183,981),$V$4:$V$3183,0)),"")</f>
        <v/>
      </c>
      <c r="E984" s="29">
        <f>IFERROR(INDEX($R$4:$R$3183,MATCH(SMALL($V$4:$V$3183,981),$V$4:$V$3183,0)),"")</f>
        <v/>
      </c>
      <c r="F984">
        <f>IFERROR(INDEX($S$4:$S$3183,MATCH(SMALL($V$4:$V$3183,981),$V$4:$V$3183,0)),"")</f>
        <v/>
      </c>
      <c r="I984" s="29">
        <f>IF($B984="","",IFERROR(INDEX($U$4:$U$3183,MATCH(SMALL($V$4:$V$3183,981),$V$4:$V$3183,0)),""))</f>
        <v/>
      </c>
      <c r="J984">
        <f>IF($B984="","",IF($D984&gt;$F$2,"À venir",IF($E984&lt;$D$2,"Passé","Dans la période")))</f>
        <v/>
      </c>
      <c r="K984">
        <f>IF(OR($B984="",NOT(ISNUMBER($D984))),"",IF(AND($E984&lt;$D$2,$G984&lt;&gt;"X",$F984&lt;&gt;"Réalisé",$F984&lt;&gt;"Clôturé"),"RETARD",""))</f>
        <v/>
      </c>
      <c r="L984">
        <f>IF(OR($B984="",NOT(ISNUMBER($D984))),"",IF(AND($D984&gt;=$D$2,$D984&lt;=$H$2,$G984&lt;&gt;"X",$F984&lt;&gt;"Réalisé",$F984&lt;&gt;"Clôturé"),"≤ 7 j",""))</f>
        <v/>
      </c>
      <c r="M984" s="29">
        <f>IF($B984="","",IFERROR(INDEX($T$4:$T$3183,MATCH(SMALL($V$4:$V$3183,981),$V$4:$V$3183,0)),""))</f>
        <v/>
      </c>
      <c r="O984">
        <f>IF(INDEX(Suivi!$B:$B,1003)="","",INDEX(Suivi!$B:$B,1003))</f>
        <v/>
      </c>
      <c r="P984">
        <f>IF($O984="","",IF(INDEX(Suivi!$D:$D,1003)="",INDEX(Suivi!$C:$C,1003),INDEX(Suivi!$D:$D,1003)))</f>
        <v/>
      </c>
      <c r="Q984">
        <f>IF($O984="","",INDEX(Suivi!$E:$E,1003))</f>
        <v/>
      </c>
      <c r="R984">
        <f>IF($O984="","",INDEX(Suivi!$F:$F,1003))</f>
        <v/>
      </c>
      <c r="S984">
        <f>IF($O984="","",INDEX(Suivi!$G:$G,1003))</f>
        <v/>
      </c>
      <c r="T984">
        <f>IF($O984="","",IF(INDEX(Dossiers!$F$4:$F$63,19)="","",INDEX(Dossiers!$F$4:$F$63,19)))</f>
        <v/>
      </c>
      <c r="U984">
        <f>IF($O984="","",IF(INDEX(Dossiers!$G$4:$G$63,19)="","",INDEX(Dossiers!$G$4:$G$63,19)))</f>
        <v/>
      </c>
      <c r="V984">
        <f>IF(OR($O984="",NOT(ISNUMBER($Q984))),"",$Q984*1000000+984)</f>
        <v/>
      </c>
      <c r="W984" s="29">
        <f>IF($B984="","",IFERROR(INDEX($U$4:$U$3183,MATCH(SMALL($V$4:$V$3183,981),$V$4:$V$3183,0)),""))</f>
        <v/>
      </c>
    </row>
    <row r="985">
      <c r="A985">
        <f>IFERROR(INDEX($N$4:$N$3183,MATCH(SMALL($V$4:$V$3183,982),$V$4:$V$3183,0)),"")</f>
        <v/>
      </c>
      <c r="B985">
        <f>IFERROR(INDEX($O$4:$O$3183,MATCH(SMALL($V$4:$V$3183,982),$V$4:$V$3183,0)),"")</f>
        <v/>
      </c>
      <c r="C985">
        <f>IFERROR(INDEX($P$4:$P$3183,MATCH(SMALL($V$4:$V$3183,982),$V$4:$V$3183,0)),"")</f>
        <v/>
      </c>
      <c r="D985" s="29">
        <f>IFERROR(INDEX($Q$4:$Q$3183,MATCH(SMALL($V$4:$V$3183,982),$V$4:$V$3183,0)),"")</f>
        <v/>
      </c>
      <c r="E985" s="29">
        <f>IFERROR(INDEX($R$4:$R$3183,MATCH(SMALL($V$4:$V$3183,982),$V$4:$V$3183,0)),"")</f>
        <v/>
      </c>
      <c r="F985">
        <f>IFERROR(INDEX($S$4:$S$3183,MATCH(SMALL($V$4:$V$3183,982),$V$4:$V$3183,0)),"")</f>
        <v/>
      </c>
      <c r="I985" s="29">
        <f>IF($B985="","",IFERROR(INDEX($U$4:$U$3183,MATCH(SMALL($V$4:$V$3183,982),$V$4:$V$3183,0)),""))</f>
        <v/>
      </c>
      <c r="J985">
        <f>IF($B985="","",IF($D985&gt;$F$2,"À venir",IF($E985&lt;$D$2,"Passé","Dans la période")))</f>
        <v/>
      </c>
      <c r="K985">
        <f>IF(OR($B985="",NOT(ISNUMBER($D985))),"",IF(AND($E985&lt;$D$2,$G985&lt;&gt;"X",$F985&lt;&gt;"Réalisé",$F985&lt;&gt;"Clôturé"),"RETARD",""))</f>
        <v/>
      </c>
      <c r="L985">
        <f>IF(OR($B985="",NOT(ISNUMBER($D985))),"",IF(AND($D985&gt;=$D$2,$D985&lt;=$H$2,$G985&lt;&gt;"X",$F985&lt;&gt;"Réalisé",$F985&lt;&gt;"Clôturé"),"≤ 7 j",""))</f>
        <v/>
      </c>
      <c r="M985" s="29">
        <f>IF($B985="","",IFERROR(INDEX($T$4:$T$3183,MATCH(SMALL($V$4:$V$3183,982),$V$4:$V$3183,0)),""))</f>
        <v/>
      </c>
      <c r="O985">
        <f>IF(INDEX(Suivi!$B:$B,1004)="","",INDEX(Suivi!$B:$B,1004))</f>
        <v/>
      </c>
      <c r="P985">
        <f>IF($O985="","",IF(INDEX(Suivi!$D:$D,1004)="",INDEX(Suivi!$C:$C,1004),INDEX(Suivi!$D:$D,1004)))</f>
        <v/>
      </c>
      <c r="Q985">
        <f>IF($O985="","",INDEX(Suivi!$E:$E,1004))</f>
        <v/>
      </c>
      <c r="R985">
        <f>IF($O985="","",INDEX(Suivi!$F:$F,1004))</f>
        <v/>
      </c>
      <c r="S985">
        <f>IF($O985="","",INDEX(Suivi!$G:$G,1004))</f>
        <v/>
      </c>
      <c r="T985">
        <f>IF($O985="","",IF(INDEX(Dossiers!$F$4:$F$63,19)="","",INDEX(Dossiers!$F$4:$F$63,19)))</f>
        <v/>
      </c>
      <c r="U985">
        <f>IF($O985="","",IF(INDEX(Dossiers!$G$4:$G$63,19)="","",INDEX(Dossiers!$G$4:$G$63,19)))</f>
        <v/>
      </c>
      <c r="V985">
        <f>IF(OR($O985="",NOT(ISNUMBER($Q985))),"",$Q985*1000000+985)</f>
        <v/>
      </c>
      <c r="W985" s="29">
        <f>IF($B985="","",IFERROR(INDEX($U$4:$U$3183,MATCH(SMALL($V$4:$V$3183,982),$V$4:$V$3183,0)),""))</f>
        <v/>
      </c>
    </row>
    <row r="986">
      <c r="A986">
        <f>IFERROR(INDEX($N$4:$N$3183,MATCH(SMALL($V$4:$V$3183,983),$V$4:$V$3183,0)),"")</f>
        <v/>
      </c>
      <c r="B986">
        <f>IFERROR(INDEX($O$4:$O$3183,MATCH(SMALL($V$4:$V$3183,983),$V$4:$V$3183,0)),"")</f>
        <v/>
      </c>
      <c r="C986">
        <f>IFERROR(INDEX($P$4:$P$3183,MATCH(SMALL($V$4:$V$3183,983),$V$4:$V$3183,0)),"")</f>
        <v/>
      </c>
      <c r="D986" s="29">
        <f>IFERROR(INDEX($Q$4:$Q$3183,MATCH(SMALL($V$4:$V$3183,983),$V$4:$V$3183,0)),"")</f>
        <v/>
      </c>
      <c r="E986" s="29">
        <f>IFERROR(INDEX($R$4:$R$3183,MATCH(SMALL($V$4:$V$3183,983),$V$4:$V$3183,0)),"")</f>
        <v/>
      </c>
      <c r="F986">
        <f>IFERROR(INDEX($S$4:$S$3183,MATCH(SMALL($V$4:$V$3183,983),$V$4:$V$3183,0)),"")</f>
        <v/>
      </c>
      <c r="I986" s="29">
        <f>IF($B986="","",IFERROR(INDEX($U$4:$U$3183,MATCH(SMALL($V$4:$V$3183,983),$V$4:$V$3183,0)),""))</f>
        <v/>
      </c>
      <c r="J986">
        <f>IF($B986="","",IF($D986&gt;$F$2,"À venir",IF($E986&lt;$D$2,"Passé","Dans la période")))</f>
        <v/>
      </c>
      <c r="K986">
        <f>IF(OR($B986="",NOT(ISNUMBER($D986))),"",IF(AND($E986&lt;$D$2,$G986&lt;&gt;"X",$F986&lt;&gt;"Réalisé",$F986&lt;&gt;"Clôturé"),"RETARD",""))</f>
        <v/>
      </c>
      <c r="L986">
        <f>IF(OR($B986="",NOT(ISNUMBER($D986))),"",IF(AND($D986&gt;=$D$2,$D986&lt;=$H$2,$G986&lt;&gt;"X",$F986&lt;&gt;"Réalisé",$F986&lt;&gt;"Clôturé"),"≤ 7 j",""))</f>
        <v/>
      </c>
      <c r="M986" s="29">
        <f>IF($B986="","",IFERROR(INDEX($T$4:$T$3183,MATCH(SMALL($V$4:$V$3183,983),$V$4:$V$3183,0)),""))</f>
        <v/>
      </c>
      <c r="O986">
        <f>IF(INDEX(Suivi!$B:$B,1005)="","",INDEX(Suivi!$B:$B,1005))</f>
        <v/>
      </c>
      <c r="P986">
        <f>IF($O986="","",IF(INDEX(Suivi!$D:$D,1005)="",INDEX(Suivi!$C:$C,1005),INDEX(Suivi!$D:$D,1005)))</f>
        <v/>
      </c>
      <c r="Q986">
        <f>IF($O986="","",INDEX(Suivi!$E:$E,1005))</f>
        <v/>
      </c>
      <c r="R986">
        <f>IF($O986="","",INDEX(Suivi!$F:$F,1005))</f>
        <v/>
      </c>
      <c r="S986">
        <f>IF($O986="","",INDEX(Suivi!$G:$G,1005))</f>
        <v/>
      </c>
      <c r="T986">
        <f>IF($O986="","",IF(INDEX(Dossiers!$F$4:$F$63,19)="","",INDEX(Dossiers!$F$4:$F$63,19)))</f>
        <v/>
      </c>
      <c r="U986">
        <f>IF($O986="","",IF(INDEX(Dossiers!$G$4:$G$63,19)="","",INDEX(Dossiers!$G$4:$G$63,19)))</f>
        <v/>
      </c>
      <c r="V986">
        <f>IF(OR($O986="",NOT(ISNUMBER($Q986))),"",$Q986*1000000+986)</f>
        <v/>
      </c>
      <c r="W986" s="29">
        <f>IF($B986="","",IFERROR(INDEX($U$4:$U$3183,MATCH(SMALL($V$4:$V$3183,983),$V$4:$V$3183,0)),""))</f>
        <v/>
      </c>
    </row>
    <row r="987">
      <c r="A987">
        <f>IFERROR(INDEX($N$4:$N$3183,MATCH(SMALL($V$4:$V$3183,984),$V$4:$V$3183,0)),"")</f>
        <v/>
      </c>
      <c r="B987">
        <f>IFERROR(INDEX($O$4:$O$3183,MATCH(SMALL($V$4:$V$3183,984),$V$4:$V$3183,0)),"")</f>
        <v/>
      </c>
      <c r="C987">
        <f>IFERROR(INDEX($P$4:$P$3183,MATCH(SMALL($V$4:$V$3183,984),$V$4:$V$3183,0)),"")</f>
        <v/>
      </c>
      <c r="D987" s="29">
        <f>IFERROR(INDEX($Q$4:$Q$3183,MATCH(SMALL($V$4:$V$3183,984),$V$4:$V$3183,0)),"")</f>
        <v/>
      </c>
      <c r="E987" s="29">
        <f>IFERROR(INDEX($R$4:$R$3183,MATCH(SMALL($V$4:$V$3183,984),$V$4:$V$3183,0)),"")</f>
        <v/>
      </c>
      <c r="F987">
        <f>IFERROR(INDEX($S$4:$S$3183,MATCH(SMALL($V$4:$V$3183,984),$V$4:$V$3183,0)),"")</f>
        <v/>
      </c>
      <c r="I987" s="29">
        <f>IF($B987="","",IFERROR(INDEX($U$4:$U$3183,MATCH(SMALL($V$4:$V$3183,984),$V$4:$V$3183,0)),""))</f>
        <v/>
      </c>
      <c r="J987">
        <f>IF($B987="","",IF($D987&gt;$F$2,"À venir",IF($E987&lt;$D$2,"Passé","Dans la période")))</f>
        <v/>
      </c>
      <c r="K987">
        <f>IF(OR($B987="",NOT(ISNUMBER($D987))),"",IF(AND($E987&lt;$D$2,$G987&lt;&gt;"X",$F987&lt;&gt;"Réalisé",$F987&lt;&gt;"Clôturé"),"RETARD",""))</f>
        <v/>
      </c>
      <c r="L987">
        <f>IF(OR($B987="",NOT(ISNUMBER($D987))),"",IF(AND($D987&gt;=$D$2,$D987&lt;=$H$2,$G987&lt;&gt;"X",$F987&lt;&gt;"Réalisé",$F987&lt;&gt;"Clôturé"),"≤ 7 j",""))</f>
        <v/>
      </c>
      <c r="M987" s="29">
        <f>IF($B987="","",IFERROR(INDEX($T$4:$T$3183,MATCH(SMALL($V$4:$V$3183,984),$V$4:$V$3183,0)),""))</f>
        <v/>
      </c>
      <c r="O987">
        <f>IF(INDEX(Suivi!$B:$B,1006)="","",INDEX(Suivi!$B:$B,1006))</f>
        <v/>
      </c>
      <c r="P987">
        <f>IF($O987="","",IF(INDEX(Suivi!$D:$D,1006)="",INDEX(Suivi!$C:$C,1006),INDEX(Suivi!$D:$D,1006)))</f>
        <v/>
      </c>
      <c r="Q987">
        <f>IF($O987="","",INDEX(Suivi!$E:$E,1006))</f>
        <v/>
      </c>
      <c r="R987">
        <f>IF($O987="","",INDEX(Suivi!$F:$F,1006))</f>
        <v/>
      </c>
      <c r="S987">
        <f>IF($O987="","",INDEX(Suivi!$G:$G,1006))</f>
        <v/>
      </c>
      <c r="T987">
        <f>IF($O987="","",IF(INDEX(Dossiers!$F$4:$F$63,19)="","",INDEX(Dossiers!$F$4:$F$63,19)))</f>
        <v/>
      </c>
      <c r="U987">
        <f>IF($O987="","",IF(INDEX(Dossiers!$G$4:$G$63,19)="","",INDEX(Dossiers!$G$4:$G$63,19)))</f>
        <v/>
      </c>
      <c r="V987">
        <f>IF(OR($O987="",NOT(ISNUMBER($Q987))),"",$Q987*1000000+987)</f>
        <v/>
      </c>
      <c r="W987" s="29">
        <f>IF($B987="","",IFERROR(INDEX($U$4:$U$3183,MATCH(SMALL($V$4:$V$3183,984),$V$4:$V$3183,0)),""))</f>
        <v/>
      </c>
    </row>
    <row r="988">
      <c r="A988">
        <f>IFERROR(INDEX($N$4:$N$3183,MATCH(SMALL($V$4:$V$3183,985),$V$4:$V$3183,0)),"")</f>
        <v/>
      </c>
      <c r="B988">
        <f>IFERROR(INDEX($O$4:$O$3183,MATCH(SMALL($V$4:$V$3183,985),$V$4:$V$3183,0)),"")</f>
        <v/>
      </c>
      <c r="C988">
        <f>IFERROR(INDEX($P$4:$P$3183,MATCH(SMALL($V$4:$V$3183,985),$V$4:$V$3183,0)),"")</f>
        <v/>
      </c>
      <c r="D988" s="29">
        <f>IFERROR(INDEX($Q$4:$Q$3183,MATCH(SMALL($V$4:$V$3183,985),$V$4:$V$3183,0)),"")</f>
        <v/>
      </c>
      <c r="E988" s="29">
        <f>IFERROR(INDEX($R$4:$R$3183,MATCH(SMALL($V$4:$V$3183,985),$V$4:$V$3183,0)),"")</f>
        <v/>
      </c>
      <c r="F988">
        <f>IFERROR(INDEX($S$4:$S$3183,MATCH(SMALL($V$4:$V$3183,985),$V$4:$V$3183,0)),"")</f>
        <v/>
      </c>
      <c r="I988" s="29">
        <f>IF($B988="","",IFERROR(INDEX($U$4:$U$3183,MATCH(SMALL($V$4:$V$3183,985),$V$4:$V$3183,0)),""))</f>
        <v/>
      </c>
      <c r="J988">
        <f>IF($B988="","",IF($D988&gt;$F$2,"À venir",IF($E988&lt;$D$2,"Passé","Dans la période")))</f>
        <v/>
      </c>
      <c r="K988">
        <f>IF(OR($B988="",NOT(ISNUMBER($D988))),"",IF(AND($E988&lt;$D$2,$G988&lt;&gt;"X",$F988&lt;&gt;"Réalisé",$F988&lt;&gt;"Clôturé"),"RETARD",""))</f>
        <v/>
      </c>
      <c r="L988">
        <f>IF(OR($B988="",NOT(ISNUMBER($D988))),"",IF(AND($D988&gt;=$D$2,$D988&lt;=$H$2,$G988&lt;&gt;"X",$F988&lt;&gt;"Réalisé",$F988&lt;&gt;"Clôturé"),"≤ 7 j",""))</f>
        <v/>
      </c>
      <c r="M988" s="29">
        <f>IF($B988="","",IFERROR(INDEX($T$4:$T$3183,MATCH(SMALL($V$4:$V$3183,985),$V$4:$V$3183,0)),""))</f>
        <v/>
      </c>
      <c r="O988">
        <f>IF(INDEX(Suivi!$B:$B,1007)="","",INDEX(Suivi!$B:$B,1007))</f>
        <v/>
      </c>
      <c r="P988">
        <f>IF($O988="","",IF(INDEX(Suivi!$D:$D,1007)="",INDEX(Suivi!$C:$C,1007),INDEX(Suivi!$D:$D,1007)))</f>
        <v/>
      </c>
      <c r="Q988">
        <f>IF($O988="","",INDEX(Suivi!$E:$E,1007))</f>
        <v/>
      </c>
      <c r="R988">
        <f>IF($O988="","",INDEX(Suivi!$F:$F,1007))</f>
        <v/>
      </c>
      <c r="S988">
        <f>IF($O988="","",INDEX(Suivi!$G:$G,1007))</f>
        <v/>
      </c>
      <c r="T988">
        <f>IF($O988="","",IF(INDEX(Dossiers!$F$4:$F$63,19)="","",INDEX(Dossiers!$F$4:$F$63,19)))</f>
        <v/>
      </c>
      <c r="U988">
        <f>IF($O988="","",IF(INDEX(Dossiers!$G$4:$G$63,19)="","",INDEX(Dossiers!$G$4:$G$63,19)))</f>
        <v/>
      </c>
      <c r="V988">
        <f>IF(OR($O988="",NOT(ISNUMBER($Q988))),"",$Q988*1000000+988)</f>
        <v/>
      </c>
      <c r="W988" s="29">
        <f>IF($B988="","",IFERROR(INDEX($U$4:$U$3183,MATCH(SMALL($V$4:$V$3183,985),$V$4:$V$3183,0)),""))</f>
        <v/>
      </c>
    </row>
    <row r="989">
      <c r="A989">
        <f>IFERROR(INDEX($N$4:$N$3183,MATCH(SMALL($V$4:$V$3183,986),$V$4:$V$3183,0)),"")</f>
        <v/>
      </c>
      <c r="B989">
        <f>IFERROR(INDEX($O$4:$O$3183,MATCH(SMALL($V$4:$V$3183,986),$V$4:$V$3183,0)),"")</f>
        <v/>
      </c>
      <c r="C989">
        <f>IFERROR(INDEX($P$4:$P$3183,MATCH(SMALL($V$4:$V$3183,986),$V$4:$V$3183,0)),"")</f>
        <v/>
      </c>
      <c r="D989" s="29">
        <f>IFERROR(INDEX($Q$4:$Q$3183,MATCH(SMALL($V$4:$V$3183,986),$V$4:$V$3183,0)),"")</f>
        <v/>
      </c>
      <c r="E989" s="29">
        <f>IFERROR(INDEX($R$4:$R$3183,MATCH(SMALL($V$4:$V$3183,986),$V$4:$V$3183,0)),"")</f>
        <v/>
      </c>
      <c r="F989">
        <f>IFERROR(INDEX($S$4:$S$3183,MATCH(SMALL($V$4:$V$3183,986),$V$4:$V$3183,0)),"")</f>
        <v/>
      </c>
      <c r="I989" s="29">
        <f>IF($B989="","",IFERROR(INDEX($U$4:$U$3183,MATCH(SMALL($V$4:$V$3183,986),$V$4:$V$3183,0)),""))</f>
        <v/>
      </c>
      <c r="J989">
        <f>IF($B989="","",IF($D989&gt;$F$2,"À venir",IF($E989&lt;$D$2,"Passé","Dans la période")))</f>
        <v/>
      </c>
      <c r="K989">
        <f>IF(OR($B989="",NOT(ISNUMBER($D989))),"",IF(AND($E989&lt;$D$2,$G989&lt;&gt;"X",$F989&lt;&gt;"Réalisé",$F989&lt;&gt;"Clôturé"),"RETARD",""))</f>
        <v/>
      </c>
      <c r="L989">
        <f>IF(OR($B989="",NOT(ISNUMBER($D989))),"",IF(AND($D989&gt;=$D$2,$D989&lt;=$H$2,$G989&lt;&gt;"X",$F989&lt;&gt;"Réalisé",$F989&lt;&gt;"Clôturé"),"≤ 7 j",""))</f>
        <v/>
      </c>
      <c r="M989" s="29">
        <f>IF($B989="","",IFERROR(INDEX($T$4:$T$3183,MATCH(SMALL($V$4:$V$3183,986),$V$4:$V$3183,0)),""))</f>
        <v/>
      </c>
      <c r="O989">
        <f>IF(INDEX(Suivi!$B:$B,1008)="","",INDEX(Suivi!$B:$B,1008))</f>
        <v/>
      </c>
      <c r="P989">
        <f>IF($O989="","",IF(INDEX(Suivi!$D:$D,1008)="",INDEX(Suivi!$C:$C,1008),INDEX(Suivi!$D:$D,1008)))</f>
        <v/>
      </c>
      <c r="Q989">
        <f>IF($O989="","",INDEX(Suivi!$E:$E,1008))</f>
        <v/>
      </c>
      <c r="R989">
        <f>IF($O989="","",INDEX(Suivi!$F:$F,1008))</f>
        <v/>
      </c>
      <c r="S989">
        <f>IF($O989="","",INDEX(Suivi!$G:$G,1008))</f>
        <v/>
      </c>
      <c r="T989">
        <f>IF($O989="","",IF(INDEX(Dossiers!$F$4:$F$63,19)="","",INDEX(Dossiers!$F$4:$F$63,19)))</f>
        <v/>
      </c>
      <c r="U989">
        <f>IF($O989="","",IF(INDEX(Dossiers!$G$4:$G$63,19)="","",INDEX(Dossiers!$G$4:$G$63,19)))</f>
        <v/>
      </c>
      <c r="V989">
        <f>IF(OR($O989="",NOT(ISNUMBER($Q989))),"",$Q989*1000000+989)</f>
        <v/>
      </c>
      <c r="W989" s="29">
        <f>IF($B989="","",IFERROR(INDEX($U$4:$U$3183,MATCH(SMALL($V$4:$V$3183,986),$V$4:$V$3183,0)),""))</f>
        <v/>
      </c>
    </row>
    <row r="990">
      <c r="A990">
        <f>IFERROR(INDEX($N$4:$N$3183,MATCH(SMALL($V$4:$V$3183,987),$V$4:$V$3183,0)),"")</f>
        <v/>
      </c>
      <c r="B990">
        <f>IFERROR(INDEX($O$4:$O$3183,MATCH(SMALL($V$4:$V$3183,987),$V$4:$V$3183,0)),"")</f>
        <v/>
      </c>
      <c r="C990">
        <f>IFERROR(INDEX($P$4:$P$3183,MATCH(SMALL($V$4:$V$3183,987),$V$4:$V$3183,0)),"")</f>
        <v/>
      </c>
      <c r="D990" s="29">
        <f>IFERROR(INDEX($Q$4:$Q$3183,MATCH(SMALL($V$4:$V$3183,987),$V$4:$V$3183,0)),"")</f>
        <v/>
      </c>
      <c r="E990" s="29">
        <f>IFERROR(INDEX($R$4:$R$3183,MATCH(SMALL($V$4:$V$3183,987),$V$4:$V$3183,0)),"")</f>
        <v/>
      </c>
      <c r="F990">
        <f>IFERROR(INDEX($S$4:$S$3183,MATCH(SMALL($V$4:$V$3183,987),$V$4:$V$3183,0)),"")</f>
        <v/>
      </c>
      <c r="I990" s="29">
        <f>IF($B990="","",IFERROR(INDEX($U$4:$U$3183,MATCH(SMALL($V$4:$V$3183,987),$V$4:$V$3183,0)),""))</f>
        <v/>
      </c>
      <c r="J990">
        <f>IF($B990="","",IF($D990&gt;$F$2,"À venir",IF($E990&lt;$D$2,"Passé","Dans la période")))</f>
        <v/>
      </c>
      <c r="K990">
        <f>IF(OR($B990="",NOT(ISNUMBER($D990))),"",IF(AND($E990&lt;$D$2,$G990&lt;&gt;"X",$F990&lt;&gt;"Réalisé",$F990&lt;&gt;"Clôturé"),"RETARD",""))</f>
        <v/>
      </c>
      <c r="L990">
        <f>IF(OR($B990="",NOT(ISNUMBER($D990))),"",IF(AND($D990&gt;=$D$2,$D990&lt;=$H$2,$G990&lt;&gt;"X",$F990&lt;&gt;"Réalisé",$F990&lt;&gt;"Clôturé"),"≤ 7 j",""))</f>
        <v/>
      </c>
      <c r="M990" s="29">
        <f>IF($B990="","",IFERROR(INDEX($T$4:$T$3183,MATCH(SMALL($V$4:$V$3183,987),$V$4:$V$3183,0)),""))</f>
        <v/>
      </c>
      <c r="O990">
        <f>IF(INDEX(Suivi!$B:$B,1009)="","",INDEX(Suivi!$B:$B,1009))</f>
        <v/>
      </c>
      <c r="P990">
        <f>IF($O990="","",IF(INDEX(Suivi!$D:$D,1009)="",INDEX(Suivi!$C:$C,1009),INDEX(Suivi!$D:$D,1009)))</f>
        <v/>
      </c>
      <c r="Q990">
        <f>IF($O990="","",INDEX(Suivi!$E:$E,1009))</f>
        <v/>
      </c>
      <c r="R990">
        <f>IF($O990="","",INDEX(Suivi!$F:$F,1009))</f>
        <v/>
      </c>
      <c r="S990">
        <f>IF($O990="","",INDEX(Suivi!$G:$G,1009))</f>
        <v/>
      </c>
      <c r="T990">
        <f>IF($O990="","",IF(INDEX(Dossiers!$F$4:$F$63,19)="","",INDEX(Dossiers!$F$4:$F$63,19)))</f>
        <v/>
      </c>
      <c r="U990">
        <f>IF($O990="","",IF(INDEX(Dossiers!$G$4:$G$63,19)="","",INDEX(Dossiers!$G$4:$G$63,19)))</f>
        <v/>
      </c>
      <c r="V990">
        <f>IF(OR($O990="",NOT(ISNUMBER($Q990))),"",$Q990*1000000+990)</f>
        <v/>
      </c>
      <c r="W990" s="29">
        <f>IF($B990="","",IFERROR(INDEX($U$4:$U$3183,MATCH(SMALL($V$4:$V$3183,987),$V$4:$V$3183,0)),""))</f>
        <v/>
      </c>
    </row>
    <row r="991">
      <c r="A991">
        <f>IFERROR(INDEX($N$4:$N$3183,MATCH(SMALL($V$4:$V$3183,988),$V$4:$V$3183,0)),"")</f>
        <v/>
      </c>
      <c r="B991">
        <f>IFERROR(INDEX($O$4:$O$3183,MATCH(SMALL($V$4:$V$3183,988),$V$4:$V$3183,0)),"")</f>
        <v/>
      </c>
      <c r="C991">
        <f>IFERROR(INDEX($P$4:$P$3183,MATCH(SMALL($V$4:$V$3183,988),$V$4:$V$3183,0)),"")</f>
        <v/>
      </c>
      <c r="D991" s="29">
        <f>IFERROR(INDEX($Q$4:$Q$3183,MATCH(SMALL($V$4:$V$3183,988),$V$4:$V$3183,0)),"")</f>
        <v/>
      </c>
      <c r="E991" s="29">
        <f>IFERROR(INDEX($R$4:$R$3183,MATCH(SMALL($V$4:$V$3183,988),$V$4:$V$3183,0)),"")</f>
        <v/>
      </c>
      <c r="F991">
        <f>IFERROR(INDEX($S$4:$S$3183,MATCH(SMALL($V$4:$V$3183,988),$V$4:$V$3183,0)),"")</f>
        <v/>
      </c>
      <c r="I991" s="29">
        <f>IF($B991="","",IFERROR(INDEX($U$4:$U$3183,MATCH(SMALL($V$4:$V$3183,988),$V$4:$V$3183,0)),""))</f>
        <v/>
      </c>
      <c r="J991">
        <f>IF($B991="","",IF($D991&gt;$F$2,"À venir",IF($E991&lt;$D$2,"Passé","Dans la période")))</f>
        <v/>
      </c>
      <c r="K991">
        <f>IF(OR($B991="",NOT(ISNUMBER($D991))),"",IF(AND($E991&lt;$D$2,$G991&lt;&gt;"X",$F991&lt;&gt;"Réalisé",$F991&lt;&gt;"Clôturé"),"RETARD",""))</f>
        <v/>
      </c>
      <c r="L991">
        <f>IF(OR($B991="",NOT(ISNUMBER($D991))),"",IF(AND($D991&gt;=$D$2,$D991&lt;=$H$2,$G991&lt;&gt;"X",$F991&lt;&gt;"Réalisé",$F991&lt;&gt;"Clôturé"),"≤ 7 j",""))</f>
        <v/>
      </c>
      <c r="M991" s="29">
        <f>IF($B991="","",IFERROR(INDEX($T$4:$T$3183,MATCH(SMALL($V$4:$V$3183,988),$V$4:$V$3183,0)),""))</f>
        <v/>
      </c>
      <c r="O991">
        <f>IF(INDEX(Suivi!$B:$B,1010)="","",INDEX(Suivi!$B:$B,1010))</f>
        <v/>
      </c>
      <c r="P991">
        <f>IF($O991="","",IF(INDEX(Suivi!$D:$D,1010)="",INDEX(Suivi!$C:$C,1010),INDEX(Suivi!$D:$D,1010)))</f>
        <v/>
      </c>
      <c r="Q991">
        <f>IF($O991="","",INDEX(Suivi!$E:$E,1010))</f>
        <v/>
      </c>
      <c r="R991">
        <f>IF($O991="","",INDEX(Suivi!$F:$F,1010))</f>
        <v/>
      </c>
      <c r="S991">
        <f>IF($O991="","",INDEX(Suivi!$G:$G,1010))</f>
        <v/>
      </c>
      <c r="T991">
        <f>IF($O991="","",IF(INDEX(Dossiers!$F$4:$F$63,19)="","",INDEX(Dossiers!$F$4:$F$63,19)))</f>
        <v/>
      </c>
      <c r="U991">
        <f>IF($O991="","",IF(INDEX(Dossiers!$G$4:$G$63,19)="","",INDEX(Dossiers!$G$4:$G$63,19)))</f>
        <v/>
      </c>
      <c r="V991">
        <f>IF(OR($O991="",NOT(ISNUMBER($Q991))),"",$Q991*1000000+991)</f>
        <v/>
      </c>
      <c r="W991" s="29">
        <f>IF($B991="","",IFERROR(INDEX($U$4:$U$3183,MATCH(SMALL($V$4:$V$3183,988),$V$4:$V$3183,0)),""))</f>
        <v/>
      </c>
    </row>
    <row r="992">
      <c r="A992">
        <f>IFERROR(INDEX($N$4:$N$3183,MATCH(SMALL($V$4:$V$3183,989),$V$4:$V$3183,0)),"")</f>
        <v/>
      </c>
      <c r="B992">
        <f>IFERROR(INDEX($O$4:$O$3183,MATCH(SMALL($V$4:$V$3183,989),$V$4:$V$3183,0)),"")</f>
        <v/>
      </c>
      <c r="C992">
        <f>IFERROR(INDEX($P$4:$P$3183,MATCH(SMALL($V$4:$V$3183,989),$V$4:$V$3183,0)),"")</f>
        <v/>
      </c>
      <c r="D992" s="29">
        <f>IFERROR(INDEX($Q$4:$Q$3183,MATCH(SMALL($V$4:$V$3183,989),$V$4:$V$3183,0)),"")</f>
        <v/>
      </c>
      <c r="E992" s="29">
        <f>IFERROR(INDEX($R$4:$R$3183,MATCH(SMALL($V$4:$V$3183,989),$V$4:$V$3183,0)),"")</f>
        <v/>
      </c>
      <c r="F992">
        <f>IFERROR(INDEX($S$4:$S$3183,MATCH(SMALL($V$4:$V$3183,989),$V$4:$V$3183,0)),"")</f>
        <v/>
      </c>
      <c r="I992" s="29">
        <f>IF($B992="","",IFERROR(INDEX($U$4:$U$3183,MATCH(SMALL($V$4:$V$3183,989),$V$4:$V$3183,0)),""))</f>
        <v/>
      </c>
      <c r="J992">
        <f>IF($B992="","",IF($D992&gt;$F$2,"À venir",IF($E992&lt;$D$2,"Passé","Dans la période")))</f>
        <v/>
      </c>
      <c r="K992">
        <f>IF(OR($B992="",NOT(ISNUMBER($D992))),"",IF(AND($E992&lt;$D$2,$G992&lt;&gt;"X",$F992&lt;&gt;"Réalisé",$F992&lt;&gt;"Clôturé"),"RETARD",""))</f>
        <v/>
      </c>
      <c r="L992">
        <f>IF(OR($B992="",NOT(ISNUMBER($D992))),"",IF(AND($D992&gt;=$D$2,$D992&lt;=$H$2,$G992&lt;&gt;"X",$F992&lt;&gt;"Réalisé",$F992&lt;&gt;"Clôturé"),"≤ 7 j",""))</f>
        <v/>
      </c>
      <c r="M992" s="29">
        <f>IF($B992="","",IFERROR(INDEX($T$4:$T$3183,MATCH(SMALL($V$4:$V$3183,989),$V$4:$V$3183,0)),""))</f>
        <v/>
      </c>
      <c r="O992">
        <f>IF(INDEX(Suivi!$B:$B,1011)="","",INDEX(Suivi!$B:$B,1011))</f>
        <v/>
      </c>
      <c r="P992">
        <f>IF($O992="","",IF(INDEX(Suivi!$D:$D,1011)="",INDEX(Suivi!$C:$C,1011),INDEX(Suivi!$D:$D,1011)))</f>
        <v/>
      </c>
      <c r="Q992">
        <f>IF($O992="","",INDEX(Suivi!$E:$E,1011))</f>
        <v/>
      </c>
      <c r="R992">
        <f>IF($O992="","",INDEX(Suivi!$F:$F,1011))</f>
        <v/>
      </c>
      <c r="S992">
        <f>IF($O992="","",INDEX(Suivi!$G:$G,1011))</f>
        <v/>
      </c>
      <c r="T992">
        <f>IF($O992="","",IF(INDEX(Dossiers!$F$4:$F$63,19)="","",INDEX(Dossiers!$F$4:$F$63,19)))</f>
        <v/>
      </c>
      <c r="U992">
        <f>IF($O992="","",IF(INDEX(Dossiers!$G$4:$G$63,19)="","",INDEX(Dossiers!$G$4:$G$63,19)))</f>
        <v/>
      </c>
      <c r="V992">
        <f>IF(OR($O992="",NOT(ISNUMBER($Q992))),"",$Q992*1000000+992)</f>
        <v/>
      </c>
      <c r="W992" s="29">
        <f>IF($B992="","",IFERROR(INDEX($U$4:$U$3183,MATCH(SMALL($V$4:$V$3183,989),$V$4:$V$3183,0)),""))</f>
        <v/>
      </c>
    </row>
    <row r="993">
      <c r="A993">
        <f>IFERROR(INDEX($N$4:$N$3183,MATCH(SMALL($V$4:$V$3183,990),$V$4:$V$3183,0)),"")</f>
        <v/>
      </c>
      <c r="B993">
        <f>IFERROR(INDEX($O$4:$O$3183,MATCH(SMALL($V$4:$V$3183,990),$V$4:$V$3183,0)),"")</f>
        <v/>
      </c>
      <c r="C993">
        <f>IFERROR(INDEX($P$4:$P$3183,MATCH(SMALL($V$4:$V$3183,990),$V$4:$V$3183,0)),"")</f>
        <v/>
      </c>
      <c r="D993" s="29">
        <f>IFERROR(INDEX($Q$4:$Q$3183,MATCH(SMALL($V$4:$V$3183,990),$V$4:$V$3183,0)),"")</f>
        <v/>
      </c>
      <c r="E993" s="29">
        <f>IFERROR(INDEX($R$4:$R$3183,MATCH(SMALL($V$4:$V$3183,990),$V$4:$V$3183,0)),"")</f>
        <v/>
      </c>
      <c r="F993">
        <f>IFERROR(INDEX($S$4:$S$3183,MATCH(SMALL($V$4:$V$3183,990),$V$4:$V$3183,0)),"")</f>
        <v/>
      </c>
      <c r="I993" s="29">
        <f>IF($B993="","",IFERROR(INDEX($U$4:$U$3183,MATCH(SMALL($V$4:$V$3183,990),$V$4:$V$3183,0)),""))</f>
        <v/>
      </c>
      <c r="J993">
        <f>IF($B993="","",IF($D993&gt;$F$2,"À venir",IF($E993&lt;$D$2,"Passé","Dans la période")))</f>
        <v/>
      </c>
      <c r="K993">
        <f>IF(OR($B993="",NOT(ISNUMBER($D993))),"",IF(AND($E993&lt;$D$2,$G993&lt;&gt;"X",$F993&lt;&gt;"Réalisé",$F993&lt;&gt;"Clôturé"),"RETARD",""))</f>
        <v/>
      </c>
      <c r="L993">
        <f>IF(OR($B993="",NOT(ISNUMBER($D993))),"",IF(AND($D993&gt;=$D$2,$D993&lt;=$H$2,$G993&lt;&gt;"X",$F993&lt;&gt;"Réalisé",$F993&lt;&gt;"Clôturé"),"≤ 7 j",""))</f>
        <v/>
      </c>
      <c r="M993" s="29">
        <f>IF($B993="","",IFERROR(INDEX($T$4:$T$3183,MATCH(SMALL($V$4:$V$3183,990),$V$4:$V$3183,0)),""))</f>
        <v/>
      </c>
      <c r="O993">
        <f>IF(INDEX(Suivi!$B:$B,1012)="","",INDEX(Suivi!$B:$B,1012))</f>
        <v/>
      </c>
      <c r="P993">
        <f>IF($O993="","",IF(INDEX(Suivi!$D:$D,1012)="",INDEX(Suivi!$C:$C,1012),INDEX(Suivi!$D:$D,1012)))</f>
        <v/>
      </c>
      <c r="Q993">
        <f>IF($O993="","",INDEX(Suivi!$E:$E,1012))</f>
        <v/>
      </c>
      <c r="R993">
        <f>IF($O993="","",INDEX(Suivi!$F:$F,1012))</f>
        <v/>
      </c>
      <c r="S993">
        <f>IF($O993="","",INDEX(Suivi!$G:$G,1012))</f>
        <v/>
      </c>
      <c r="T993">
        <f>IF($O993="","",IF(INDEX(Dossiers!$F$4:$F$63,19)="","",INDEX(Dossiers!$F$4:$F$63,19)))</f>
        <v/>
      </c>
      <c r="U993">
        <f>IF($O993="","",IF(INDEX(Dossiers!$G$4:$G$63,19)="","",INDEX(Dossiers!$G$4:$G$63,19)))</f>
        <v/>
      </c>
      <c r="V993">
        <f>IF(OR($O993="",NOT(ISNUMBER($Q993))),"",$Q993*1000000+993)</f>
        <v/>
      </c>
      <c r="W993" s="29">
        <f>IF($B993="","",IFERROR(INDEX($U$4:$U$3183,MATCH(SMALL($V$4:$V$3183,990),$V$4:$V$3183,0)),""))</f>
        <v/>
      </c>
    </row>
    <row r="994">
      <c r="A994">
        <f>IFERROR(INDEX($N$4:$N$3183,MATCH(SMALL($V$4:$V$3183,991),$V$4:$V$3183,0)),"")</f>
        <v/>
      </c>
      <c r="B994">
        <f>IFERROR(INDEX($O$4:$O$3183,MATCH(SMALL($V$4:$V$3183,991),$V$4:$V$3183,0)),"")</f>
        <v/>
      </c>
      <c r="C994">
        <f>IFERROR(INDEX($P$4:$P$3183,MATCH(SMALL($V$4:$V$3183,991),$V$4:$V$3183,0)),"")</f>
        <v/>
      </c>
      <c r="D994" s="29">
        <f>IFERROR(INDEX($Q$4:$Q$3183,MATCH(SMALL($V$4:$V$3183,991),$V$4:$V$3183,0)),"")</f>
        <v/>
      </c>
      <c r="E994" s="29">
        <f>IFERROR(INDEX($R$4:$R$3183,MATCH(SMALL($V$4:$V$3183,991),$V$4:$V$3183,0)),"")</f>
        <v/>
      </c>
      <c r="F994">
        <f>IFERROR(INDEX($S$4:$S$3183,MATCH(SMALL($V$4:$V$3183,991),$V$4:$V$3183,0)),"")</f>
        <v/>
      </c>
      <c r="I994" s="29">
        <f>IF($B994="","",IFERROR(INDEX($U$4:$U$3183,MATCH(SMALL($V$4:$V$3183,991),$V$4:$V$3183,0)),""))</f>
        <v/>
      </c>
      <c r="J994">
        <f>IF($B994="","",IF($D994&gt;$F$2,"À venir",IF($E994&lt;$D$2,"Passé","Dans la période")))</f>
        <v/>
      </c>
      <c r="K994">
        <f>IF(OR($B994="",NOT(ISNUMBER($D994))),"",IF(AND($E994&lt;$D$2,$G994&lt;&gt;"X",$F994&lt;&gt;"Réalisé",$F994&lt;&gt;"Clôturé"),"RETARD",""))</f>
        <v/>
      </c>
      <c r="L994">
        <f>IF(OR($B994="",NOT(ISNUMBER($D994))),"",IF(AND($D994&gt;=$D$2,$D994&lt;=$H$2,$G994&lt;&gt;"X",$F994&lt;&gt;"Réalisé",$F994&lt;&gt;"Clôturé"),"≤ 7 j",""))</f>
        <v/>
      </c>
      <c r="M994" s="29">
        <f>IF($B994="","",IFERROR(INDEX($T$4:$T$3183,MATCH(SMALL($V$4:$V$3183,991),$V$4:$V$3183,0)),""))</f>
        <v/>
      </c>
      <c r="O994">
        <f>IF(INDEX(Suivi!$B:$B,1013)="","",INDEX(Suivi!$B:$B,1013))</f>
        <v/>
      </c>
      <c r="P994">
        <f>IF($O994="","",IF(INDEX(Suivi!$D:$D,1013)="",INDEX(Suivi!$C:$C,1013),INDEX(Suivi!$D:$D,1013)))</f>
        <v/>
      </c>
      <c r="Q994">
        <f>IF($O994="","",INDEX(Suivi!$E:$E,1013))</f>
        <v/>
      </c>
      <c r="R994">
        <f>IF($O994="","",INDEX(Suivi!$F:$F,1013))</f>
        <v/>
      </c>
      <c r="S994">
        <f>IF($O994="","",INDEX(Suivi!$G:$G,1013))</f>
        <v/>
      </c>
      <c r="T994">
        <f>IF($O994="","",IF(INDEX(Dossiers!$F$4:$F$63,19)="","",INDEX(Dossiers!$F$4:$F$63,19)))</f>
        <v/>
      </c>
      <c r="U994">
        <f>IF($O994="","",IF(INDEX(Dossiers!$G$4:$G$63,19)="","",INDEX(Dossiers!$G$4:$G$63,19)))</f>
        <v/>
      </c>
      <c r="V994">
        <f>IF(OR($O994="",NOT(ISNUMBER($Q994))),"",$Q994*1000000+994)</f>
        <v/>
      </c>
      <c r="W994" s="29">
        <f>IF($B994="","",IFERROR(INDEX($U$4:$U$3183,MATCH(SMALL($V$4:$V$3183,991),$V$4:$V$3183,0)),""))</f>
        <v/>
      </c>
    </row>
    <row r="995">
      <c r="A995">
        <f>IFERROR(INDEX($N$4:$N$3183,MATCH(SMALL($V$4:$V$3183,992),$V$4:$V$3183,0)),"")</f>
        <v/>
      </c>
      <c r="B995">
        <f>IFERROR(INDEX($O$4:$O$3183,MATCH(SMALL($V$4:$V$3183,992),$V$4:$V$3183,0)),"")</f>
        <v/>
      </c>
      <c r="C995">
        <f>IFERROR(INDEX($P$4:$P$3183,MATCH(SMALL($V$4:$V$3183,992),$V$4:$V$3183,0)),"")</f>
        <v/>
      </c>
      <c r="D995" s="29">
        <f>IFERROR(INDEX($Q$4:$Q$3183,MATCH(SMALL($V$4:$V$3183,992),$V$4:$V$3183,0)),"")</f>
        <v/>
      </c>
      <c r="E995" s="29">
        <f>IFERROR(INDEX($R$4:$R$3183,MATCH(SMALL($V$4:$V$3183,992),$V$4:$V$3183,0)),"")</f>
        <v/>
      </c>
      <c r="F995">
        <f>IFERROR(INDEX($S$4:$S$3183,MATCH(SMALL($V$4:$V$3183,992),$V$4:$V$3183,0)),"")</f>
        <v/>
      </c>
      <c r="I995" s="29">
        <f>IF($B995="","",IFERROR(INDEX($U$4:$U$3183,MATCH(SMALL($V$4:$V$3183,992),$V$4:$V$3183,0)),""))</f>
        <v/>
      </c>
      <c r="J995">
        <f>IF($B995="","",IF($D995&gt;$F$2,"À venir",IF($E995&lt;$D$2,"Passé","Dans la période")))</f>
        <v/>
      </c>
      <c r="K995">
        <f>IF(OR($B995="",NOT(ISNUMBER($D995))),"",IF(AND($E995&lt;$D$2,$G995&lt;&gt;"X",$F995&lt;&gt;"Réalisé",$F995&lt;&gt;"Clôturé"),"RETARD",""))</f>
        <v/>
      </c>
      <c r="L995">
        <f>IF(OR($B995="",NOT(ISNUMBER($D995))),"",IF(AND($D995&gt;=$D$2,$D995&lt;=$H$2,$G995&lt;&gt;"X",$F995&lt;&gt;"Réalisé",$F995&lt;&gt;"Clôturé"),"≤ 7 j",""))</f>
        <v/>
      </c>
      <c r="M995" s="29">
        <f>IF($B995="","",IFERROR(INDEX($T$4:$T$3183,MATCH(SMALL($V$4:$V$3183,992),$V$4:$V$3183,0)),""))</f>
        <v/>
      </c>
      <c r="O995">
        <f>IF(INDEX(Suivi!$B:$B,1014)="","",INDEX(Suivi!$B:$B,1014))</f>
        <v/>
      </c>
      <c r="P995">
        <f>IF($O995="","",IF(INDEX(Suivi!$D:$D,1014)="",INDEX(Suivi!$C:$C,1014),INDEX(Suivi!$D:$D,1014)))</f>
        <v/>
      </c>
      <c r="Q995">
        <f>IF($O995="","",INDEX(Suivi!$E:$E,1014))</f>
        <v/>
      </c>
      <c r="R995">
        <f>IF($O995="","",INDEX(Suivi!$F:$F,1014))</f>
        <v/>
      </c>
      <c r="S995">
        <f>IF($O995="","",INDEX(Suivi!$G:$G,1014))</f>
        <v/>
      </c>
      <c r="T995">
        <f>IF($O995="","",IF(INDEX(Dossiers!$F$4:$F$63,19)="","",INDEX(Dossiers!$F$4:$F$63,19)))</f>
        <v/>
      </c>
      <c r="U995">
        <f>IF($O995="","",IF(INDEX(Dossiers!$G$4:$G$63,19)="","",INDEX(Dossiers!$G$4:$G$63,19)))</f>
        <v/>
      </c>
      <c r="V995">
        <f>IF(OR($O995="",NOT(ISNUMBER($Q995))),"",$Q995*1000000+995)</f>
        <v/>
      </c>
      <c r="W995" s="29">
        <f>IF($B995="","",IFERROR(INDEX($U$4:$U$3183,MATCH(SMALL($V$4:$V$3183,992),$V$4:$V$3183,0)),""))</f>
        <v/>
      </c>
    </row>
    <row r="996">
      <c r="A996">
        <f>IFERROR(INDEX($N$4:$N$3183,MATCH(SMALL($V$4:$V$3183,993),$V$4:$V$3183,0)),"")</f>
        <v/>
      </c>
      <c r="B996">
        <f>IFERROR(INDEX($O$4:$O$3183,MATCH(SMALL($V$4:$V$3183,993),$V$4:$V$3183,0)),"")</f>
        <v/>
      </c>
      <c r="C996">
        <f>IFERROR(INDEX($P$4:$P$3183,MATCH(SMALL($V$4:$V$3183,993),$V$4:$V$3183,0)),"")</f>
        <v/>
      </c>
      <c r="D996" s="29">
        <f>IFERROR(INDEX($Q$4:$Q$3183,MATCH(SMALL($V$4:$V$3183,993),$V$4:$V$3183,0)),"")</f>
        <v/>
      </c>
      <c r="E996" s="29">
        <f>IFERROR(INDEX($R$4:$R$3183,MATCH(SMALL($V$4:$V$3183,993),$V$4:$V$3183,0)),"")</f>
        <v/>
      </c>
      <c r="F996">
        <f>IFERROR(INDEX($S$4:$S$3183,MATCH(SMALL($V$4:$V$3183,993),$V$4:$V$3183,0)),"")</f>
        <v/>
      </c>
      <c r="I996" s="29">
        <f>IF($B996="","",IFERROR(INDEX($U$4:$U$3183,MATCH(SMALL($V$4:$V$3183,993),$V$4:$V$3183,0)),""))</f>
        <v/>
      </c>
      <c r="J996">
        <f>IF($B996="","",IF($D996&gt;$F$2,"À venir",IF($E996&lt;$D$2,"Passé","Dans la période")))</f>
        <v/>
      </c>
      <c r="K996">
        <f>IF(OR($B996="",NOT(ISNUMBER($D996))),"",IF(AND($E996&lt;$D$2,$G996&lt;&gt;"X",$F996&lt;&gt;"Réalisé",$F996&lt;&gt;"Clôturé"),"RETARD",""))</f>
        <v/>
      </c>
      <c r="L996">
        <f>IF(OR($B996="",NOT(ISNUMBER($D996))),"",IF(AND($D996&gt;=$D$2,$D996&lt;=$H$2,$G996&lt;&gt;"X",$F996&lt;&gt;"Réalisé",$F996&lt;&gt;"Clôturé"),"≤ 7 j",""))</f>
        <v/>
      </c>
      <c r="M996" s="29">
        <f>IF($B996="","",IFERROR(INDEX($T$4:$T$3183,MATCH(SMALL($V$4:$V$3183,993),$V$4:$V$3183,0)),""))</f>
        <v/>
      </c>
      <c r="O996">
        <f>IF(INDEX(Suivi!$B:$B,1015)="","",INDEX(Suivi!$B:$B,1015))</f>
        <v/>
      </c>
      <c r="P996">
        <f>IF($O996="","",IF(INDEX(Suivi!$D:$D,1015)="",INDEX(Suivi!$C:$C,1015),INDEX(Suivi!$D:$D,1015)))</f>
        <v/>
      </c>
      <c r="Q996">
        <f>IF($O996="","",INDEX(Suivi!$E:$E,1015))</f>
        <v/>
      </c>
      <c r="R996">
        <f>IF($O996="","",INDEX(Suivi!$F:$F,1015))</f>
        <v/>
      </c>
      <c r="S996">
        <f>IF($O996="","",INDEX(Suivi!$G:$G,1015))</f>
        <v/>
      </c>
      <c r="T996">
        <f>IF($O996="","",IF(INDEX(Dossiers!$F$4:$F$63,19)="","",INDEX(Dossiers!$F$4:$F$63,19)))</f>
        <v/>
      </c>
      <c r="U996">
        <f>IF($O996="","",IF(INDEX(Dossiers!$G$4:$G$63,19)="","",INDEX(Dossiers!$G$4:$G$63,19)))</f>
        <v/>
      </c>
      <c r="V996">
        <f>IF(OR($O996="",NOT(ISNUMBER($Q996))),"",$Q996*1000000+996)</f>
        <v/>
      </c>
      <c r="W996" s="29">
        <f>IF($B996="","",IFERROR(INDEX($U$4:$U$3183,MATCH(SMALL($V$4:$V$3183,993),$V$4:$V$3183,0)),""))</f>
        <v/>
      </c>
    </row>
    <row r="997">
      <c r="A997">
        <f>IFERROR(INDEX($N$4:$N$3183,MATCH(SMALL($V$4:$V$3183,994),$V$4:$V$3183,0)),"")</f>
        <v/>
      </c>
      <c r="B997">
        <f>IFERROR(INDEX($O$4:$O$3183,MATCH(SMALL($V$4:$V$3183,994),$V$4:$V$3183,0)),"")</f>
        <v/>
      </c>
      <c r="C997">
        <f>IFERROR(INDEX($P$4:$P$3183,MATCH(SMALL($V$4:$V$3183,994),$V$4:$V$3183,0)),"")</f>
        <v/>
      </c>
      <c r="D997" s="29">
        <f>IFERROR(INDEX($Q$4:$Q$3183,MATCH(SMALL($V$4:$V$3183,994),$V$4:$V$3183,0)),"")</f>
        <v/>
      </c>
      <c r="E997" s="29">
        <f>IFERROR(INDEX($R$4:$R$3183,MATCH(SMALL($V$4:$V$3183,994),$V$4:$V$3183,0)),"")</f>
        <v/>
      </c>
      <c r="F997">
        <f>IFERROR(INDEX($S$4:$S$3183,MATCH(SMALL($V$4:$V$3183,994),$V$4:$V$3183,0)),"")</f>
        <v/>
      </c>
      <c r="I997" s="29">
        <f>IF($B997="","",IFERROR(INDEX($U$4:$U$3183,MATCH(SMALL($V$4:$V$3183,994),$V$4:$V$3183,0)),""))</f>
        <v/>
      </c>
      <c r="J997">
        <f>IF($B997="","",IF($D997&gt;$F$2,"À venir",IF($E997&lt;$D$2,"Passé","Dans la période")))</f>
        <v/>
      </c>
      <c r="K997">
        <f>IF(OR($B997="",NOT(ISNUMBER($D997))),"",IF(AND($E997&lt;$D$2,$G997&lt;&gt;"X",$F997&lt;&gt;"Réalisé",$F997&lt;&gt;"Clôturé"),"RETARD",""))</f>
        <v/>
      </c>
      <c r="L997">
        <f>IF(OR($B997="",NOT(ISNUMBER($D997))),"",IF(AND($D997&gt;=$D$2,$D997&lt;=$H$2,$G997&lt;&gt;"X",$F997&lt;&gt;"Réalisé",$F997&lt;&gt;"Clôturé"),"≤ 7 j",""))</f>
        <v/>
      </c>
      <c r="M997" s="29">
        <f>IF($B997="","",IFERROR(INDEX($T$4:$T$3183,MATCH(SMALL($V$4:$V$3183,994),$V$4:$V$3183,0)),""))</f>
        <v/>
      </c>
      <c r="O997">
        <f>IF(INDEX(Suivi!$B:$B,1016)="","",INDEX(Suivi!$B:$B,1016))</f>
        <v/>
      </c>
      <c r="P997">
        <f>IF($O997="","",IF(INDEX(Suivi!$D:$D,1016)="",INDEX(Suivi!$C:$C,1016),INDEX(Suivi!$D:$D,1016)))</f>
        <v/>
      </c>
      <c r="Q997">
        <f>IF($O997="","",INDEX(Suivi!$E:$E,1016))</f>
        <v/>
      </c>
      <c r="R997">
        <f>IF($O997="","",INDEX(Suivi!$F:$F,1016))</f>
        <v/>
      </c>
      <c r="S997">
        <f>IF($O997="","",INDEX(Suivi!$G:$G,1016))</f>
        <v/>
      </c>
      <c r="T997">
        <f>IF($O997="","",IF(INDEX(Dossiers!$F$4:$F$63,19)="","",INDEX(Dossiers!$F$4:$F$63,19)))</f>
        <v/>
      </c>
      <c r="U997">
        <f>IF($O997="","",IF(INDEX(Dossiers!$G$4:$G$63,19)="","",INDEX(Dossiers!$G$4:$G$63,19)))</f>
        <v/>
      </c>
      <c r="V997">
        <f>IF(OR($O997="",NOT(ISNUMBER($Q997))),"",$Q997*1000000+997)</f>
        <v/>
      </c>
      <c r="W997" s="29">
        <f>IF($B997="","",IFERROR(INDEX($U$4:$U$3183,MATCH(SMALL($V$4:$V$3183,994),$V$4:$V$3183,0)),""))</f>
        <v/>
      </c>
    </row>
    <row r="998">
      <c r="A998">
        <f>IFERROR(INDEX($N$4:$N$3183,MATCH(SMALL($V$4:$V$3183,995),$V$4:$V$3183,0)),"")</f>
        <v/>
      </c>
      <c r="B998">
        <f>IFERROR(INDEX($O$4:$O$3183,MATCH(SMALL($V$4:$V$3183,995),$V$4:$V$3183,0)),"")</f>
        <v/>
      </c>
      <c r="C998">
        <f>IFERROR(INDEX($P$4:$P$3183,MATCH(SMALL($V$4:$V$3183,995),$V$4:$V$3183,0)),"")</f>
        <v/>
      </c>
      <c r="D998" s="29">
        <f>IFERROR(INDEX($Q$4:$Q$3183,MATCH(SMALL($V$4:$V$3183,995),$V$4:$V$3183,0)),"")</f>
        <v/>
      </c>
      <c r="E998" s="29">
        <f>IFERROR(INDEX($R$4:$R$3183,MATCH(SMALL($V$4:$V$3183,995),$V$4:$V$3183,0)),"")</f>
        <v/>
      </c>
      <c r="F998">
        <f>IFERROR(INDEX($S$4:$S$3183,MATCH(SMALL($V$4:$V$3183,995),$V$4:$V$3183,0)),"")</f>
        <v/>
      </c>
      <c r="I998" s="29">
        <f>IF($B998="","",IFERROR(INDEX($U$4:$U$3183,MATCH(SMALL($V$4:$V$3183,995),$V$4:$V$3183,0)),""))</f>
        <v/>
      </c>
      <c r="J998">
        <f>IF($B998="","",IF($D998&gt;$F$2,"À venir",IF($E998&lt;$D$2,"Passé","Dans la période")))</f>
        <v/>
      </c>
      <c r="K998">
        <f>IF(OR($B998="",NOT(ISNUMBER($D998))),"",IF(AND($E998&lt;$D$2,$G998&lt;&gt;"X",$F998&lt;&gt;"Réalisé",$F998&lt;&gt;"Clôturé"),"RETARD",""))</f>
        <v/>
      </c>
      <c r="L998">
        <f>IF(OR($B998="",NOT(ISNUMBER($D998))),"",IF(AND($D998&gt;=$D$2,$D998&lt;=$H$2,$G998&lt;&gt;"X",$F998&lt;&gt;"Réalisé",$F998&lt;&gt;"Clôturé"),"≤ 7 j",""))</f>
        <v/>
      </c>
      <c r="M998" s="29">
        <f>IF($B998="","",IFERROR(INDEX($T$4:$T$3183,MATCH(SMALL($V$4:$V$3183,995),$V$4:$V$3183,0)),""))</f>
        <v/>
      </c>
      <c r="O998">
        <f>IF(INDEX(Suivi!$B:$B,1017)="","",INDEX(Suivi!$B:$B,1017))</f>
        <v/>
      </c>
      <c r="P998">
        <f>IF($O998="","",IF(INDEX(Suivi!$D:$D,1017)="",INDEX(Suivi!$C:$C,1017),INDEX(Suivi!$D:$D,1017)))</f>
        <v/>
      </c>
      <c r="Q998">
        <f>IF($O998="","",INDEX(Suivi!$E:$E,1017))</f>
        <v/>
      </c>
      <c r="R998">
        <f>IF($O998="","",INDEX(Suivi!$F:$F,1017))</f>
        <v/>
      </c>
      <c r="S998">
        <f>IF($O998="","",INDEX(Suivi!$G:$G,1017))</f>
        <v/>
      </c>
      <c r="T998">
        <f>IF($O998="","",IF(INDEX(Dossiers!$F$4:$F$63,19)="","",INDEX(Dossiers!$F$4:$F$63,19)))</f>
        <v/>
      </c>
      <c r="U998">
        <f>IF($O998="","",IF(INDEX(Dossiers!$G$4:$G$63,19)="","",INDEX(Dossiers!$G$4:$G$63,19)))</f>
        <v/>
      </c>
      <c r="V998">
        <f>IF(OR($O998="",NOT(ISNUMBER($Q998))),"",$Q998*1000000+998)</f>
        <v/>
      </c>
      <c r="W998" s="29">
        <f>IF($B998="","",IFERROR(INDEX($U$4:$U$3183,MATCH(SMALL($V$4:$V$3183,995),$V$4:$V$3183,0)),""))</f>
        <v/>
      </c>
    </row>
    <row r="999">
      <c r="A999">
        <f>IFERROR(INDEX($N$4:$N$3183,MATCH(SMALL($V$4:$V$3183,996),$V$4:$V$3183,0)),"")</f>
        <v/>
      </c>
      <c r="B999">
        <f>IFERROR(INDEX($O$4:$O$3183,MATCH(SMALL($V$4:$V$3183,996),$V$4:$V$3183,0)),"")</f>
        <v/>
      </c>
      <c r="C999">
        <f>IFERROR(INDEX($P$4:$P$3183,MATCH(SMALL($V$4:$V$3183,996),$V$4:$V$3183,0)),"")</f>
        <v/>
      </c>
      <c r="D999" s="29">
        <f>IFERROR(INDEX($Q$4:$Q$3183,MATCH(SMALL($V$4:$V$3183,996),$V$4:$V$3183,0)),"")</f>
        <v/>
      </c>
      <c r="E999" s="29">
        <f>IFERROR(INDEX($R$4:$R$3183,MATCH(SMALL($V$4:$V$3183,996),$V$4:$V$3183,0)),"")</f>
        <v/>
      </c>
      <c r="F999">
        <f>IFERROR(INDEX($S$4:$S$3183,MATCH(SMALL($V$4:$V$3183,996),$V$4:$V$3183,0)),"")</f>
        <v/>
      </c>
      <c r="I999" s="29">
        <f>IF($B999="","",IFERROR(INDEX($U$4:$U$3183,MATCH(SMALL($V$4:$V$3183,996),$V$4:$V$3183,0)),""))</f>
        <v/>
      </c>
      <c r="J999">
        <f>IF($B999="","",IF($D999&gt;$F$2,"À venir",IF($E999&lt;$D$2,"Passé","Dans la période")))</f>
        <v/>
      </c>
      <c r="K999">
        <f>IF(OR($B999="",NOT(ISNUMBER($D999))),"",IF(AND($E999&lt;$D$2,$G999&lt;&gt;"X",$F999&lt;&gt;"Réalisé",$F999&lt;&gt;"Clôturé"),"RETARD",""))</f>
        <v/>
      </c>
      <c r="L999">
        <f>IF(OR($B999="",NOT(ISNUMBER($D999))),"",IF(AND($D999&gt;=$D$2,$D999&lt;=$H$2,$G999&lt;&gt;"X",$F999&lt;&gt;"Réalisé",$F999&lt;&gt;"Clôturé"),"≤ 7 j",""))</f>
        <v/>
      </c>
      <c r="M999" s="29">
        <f>IF($B999="","",IFERROR(INDEX($T$4:$T$3183,MATCH(SMALL($V$4:$V$3183,996),$V$4:$V$3183,0)),""))</f>
        <v/>
      </c>
      <c r="O999">
        <f>IF(INDEX(Suivi!$B:$B,1018)="","",INDEX(Suivi!$B:$B,1018))</f>
        <v/>
      </c>
      <c r="P999">
        <f>IF($O999="","",IF(INDEX(Suivi!$D:$D,1018)="",INDEX(Suivi!$C:$C,1018),INDEX(Suivi!$D:$D,1018)))</f>
        <v/>
      </c>
      <c r="Q999">
        <f>IF($O999="","",INDEX(Suivi!$E:$E,1018))</f>
        <v/>
      </c>
      <c r="R999">
        <f>IF($O999="","",INDEX(Suivi!$F:$F,1018))</f>
        <v/>
      </c>
      <c r="S999">
        <f>IF($O999="","",INDEX(Suivi!$G:$G,1018))</f>
        <v/>
      </c>
      <c r="T999">
        <f>IF($O999="","",IF(INDEX(Dossiers!$F$4:$F$63,19)="","",INDEX(Dossiers!$F$4:$F$63,19)))</f>
        <v/>
      </c>
      <c r="U999">
        <f>IF($O999="","",IF(INDEX(Dossiers!$G$4:$G$63,19)="","",INDEX(Dossiers!$G$4:$G$63,19)))</f>
        <v/>
      </c>
      <c r="V999">
        <f>IF(OR($O999="",NOT(ISNUMBER($Q999))),"",$Q999*1000000+999)</f>
        <v/>
      </c>
      <c r="W999" s="29">
        <f>IF($B999="","",IFERROR(INDEX($U$4:$U$3183,MATCH(SMALL($V$4:$V$3183,996),$V$4:$V$3183,0)),""))</f>
        <v/>
      </c>
    </row>
    <row r="1000">
      <c r="A1000">
        <f>IFERROR(INDEX($N$4:$N$3183,MATCH(SMALL($V$4:$V$3183,997),$V$4:$V$3183,0)),"")</f>
        <v/>
      </c>
      <c r="B1000">
        <f>IFERROR(INDEX($O$4:$O$3183,MATCH(SMALL($V$4:$V$3183,997),$V$4:$V$3183,0)),"")</f>
        <v/>
      </c>
      <c r="C1000">
        <f>IFERROR(INDEX($P$4:$P$3183,MATCH(SMALL($V$4:$V$3183,997),$V$4:$V$3183,0)),"")</f>
        <v/>
      </c>
      <c r="D1000" s="29">
        <f>IFERROR(INDEX($Q$4:$Q$3183,MATCH(SMALL($V$4:$V$3183,997),$V$4:$V$3183,0)),"")</f>
        <v/>
      </c>
      <c r="E1000" s="29">
        <f>IFERROR(INDEX($R$4:$R$3183,MATCH(SMALL($V$4:$V$3183,997),$V$4:$V$3183,0)),"")</f>
        <v/>
      </c>
      <c r="F1000">
        <f>IFERROR(INDEX($S$4:$S$3183,MATCH(SMALL($V$4:$V$3183,997),$V$4:$V$3183,0)),"")</f>
        <v/>
      </c>
      <c r="I1000" s="29">
        <f>IF($B1000="","",IFERROR(INDEX($U$4:$U$3183,MATCH(SMALL($V$4:$V$3183,997),$V$4:$V$3183,0)),""))</f>
        <v/>
      </c>
      <c r="J1000">
        <f>IF($B1000="","",IF($D1000&gt;$F$2,"À venir",IF($E1000&lt;$D$2,"Passé","Dans la période")))</f>
        <v/>
      </c>
      <c r="K1000">
        <f>IF(OR($B1000="",NOT(ISNUMBER($D1000))),"",IF(AND($E1000&lt;$D$2,$G1000&lt;&gt;"X",$F1000&lt;&gt;"Réalisé",$F1000&lt;&gt;"Clôturé"),"RETARD",""))</f>
        <v/>
      </c>
      <c r="L1000">
        <f>IF(OR($B1000="",NOT(ISNUMBER($D1000))),"",IF(AND($D1000&gt;=$D$2,$D1000&lt;=$H$2,$G1000&lt;&gt;"X",$F1000&lt;&gt;"Réalisé",$F1000&lt;&gt;"Clôturé"),"≤ 7 j",""))</f>
        <v/>
      </c>
      <c r="M1000" s="29">
        <f>IF($B1000="","",IFERROR(INDEX($T$4:$T$3183,MATCH(SMALL($V$4:$V$3183,997),$V$4:$V$3183,0)),""))</f>
        <v/>
      </c>
      <c r="O1000">
        <f>IF(INDEX(Suivi!$B:$B,1019)="","",INDEX(Suivi!$B:$B,1019))</f>
        <v/>
      </c>
      <c r="P1000">
        <f>IF($O1000="","",IF(INDEX(Suivi!$D:$D,1019)="",INDEX(Suivi!$C:$C,1019),INDEX(Suivi!$D:$D,1019)))</f>
        <v/>
      </c>
      <c r="Q1000">
        <f>IF($O1000="","",INDEX(Suivi!$E:$E,1019))</f>
        <v/>
      </c>
      <c r="R1000">
        <f>IF($O1000="","",INDEX(Suivi!$F:$F,1019))</f>
        <v/>
      </c>
      <c r="S1000">
        <f>IF($O1000="","",INDEX(Suivi!$G:$G,1019))</f>
        <v/>
      </c>
      <c r="T1000">
        <f>IF($O1000="","",IF(INDEX(Dossiers!$F$4:$F$63,19)="","",INDEX(Dossiers!$F$4:$F$63,19)))</f>
        <v/>
      </c>
      <c r="U1000">
        <f>IF($O1000="","",IF(INDEX(Dossiers!$G$4:$G$63,19)="","",INDEX(Dossiers!$G$4:$G$63,19)))</f>
        <v/>
      </c>
      <c r="V1000">
        <f>IF(OR($O1000="",NOT(ISNUMBER($Q1000))),"",$Q1000*1000000+1000)</f>
        <v/>
      </c>
      <c r="W1000" s="29">
        <f>IF($B1000="","",IFERROR(INDEX($U$4:$U$3183,MATCH(SMALL($V$4:$V$3183,997),$V$4:$V$3183,0)),""))</f>
        <v/>
      </c>
    </row>
    <row r="1001">
      <c r="A1001">
        <f>IFERROR(INDEX($N$4:$N$3183,MATCH(SMALL($V$4:$V$3183,998),$V$4:$V$3183,0)),"")</f>
        <v/>
      </c>
      <c r="B1001">
        <f>IFERROR(INDEX($O$4:$O$3183,MATCH(SMALL($V$4:$V$3183,998),$V$4:$V$3183,0)),"")</f>
        <v/>
      </c>
      <c r="C1001">
        <f>IFERROR(INDEX($P$4:$P$3183,MATCH(SMALL($V$4:$V$3183,998),$V$4:$V$3183,0)),"")</f>
        <v/>
      </c>
      <c r="D1001" s="29">
        <f>IFERROR(INDEX($Q$4:$Q$3183,MATCH(SMALL($V$4:$V$3183,998),$V$4:$V$3183,0)),"")</f>
        <v/>
      </c>
      <c r="E1001" s="29">
        <f>IFERROR(INDEX($R$4:$R$3183,MATCH(SMALL($V$4:$V$3183,998),$V$4:$V$3183,0)),"")</f>
        <v/>
      </c>
      <c r="F1001">
        <f>IFERROR(INDEX($S$4:$S$3183,MATCH(SMALL($V$4:$V$3183,998),$V$4:$V$3183,0)),"")</f>
        <v/>
      </c>
      <c r="I1001" s="29">
        <f>IF($B1001="","",IFERROR(INDEX($U$4:$U$3183,MATCH(SMALL($V$4:$V$3183,998),$V$4:$V$3183,0)),""))</f>
        <v/>
      </c>
      <c r="J1001">
        <f>IF($B1001="","",IF($D1001&gt;$F$2,"À venir",IF($E1001&lt;$D$2,"Passé","Dans la période")))</f>
        <v/>
      </c>
      <c r="K1001">
        <f>IF(OR($B1001="",NOT(ISNUMBER($D1001))),"",IF(AND($E1001&lt;$D$2,$G1001&lt;&gt;"X",$F1001&lt;&gt;"Réalisé",$F1001&lt;&gt;"Clôturé"),"RETARD",""))</f>
        <v/>
      </c>
      <c r="L1001">
        <f>IF(OR($B1001="",NOT(ISNUMBER($D1001))),"",IF(AND($D1001&gt;=$D$2,$D1001&lt;=$H$2,$G1001&lt;&gt;"X",$F1001&lt;&gt;"Réalisé",$F1001&lt;&gt;"Clôturé"),"≤ 7 j",""))</f>
        <v/>
      </c>
      <c r="M1001" s="29">
        <f>IF($B1001="","",IFERROR(INDEX($T$4:$T$3183,MATCH(SMALL($V$4:$V$3183,998),$V$4:$V$3183,0)),""))</f>
        <v/>
      </c>
      <c r="O1001">
        <f>IF(INDEX(Suivi!$B:$B,1020)="","",INDEX(Suivi!$B:$B,1020))</f>
        <v/>
      </c>
      <c r="P1001">
        <f>IF($O1001="","",IF(INDEX(Suivi!$D:$D,1020)="",INDEX(Suivi!$C:$C,1020),INDEX(Suivi!$D:$D,1020)))</f>
        <v/>
      </c>
      <c r="Q1001">
        <f>IF($O1001="","",INDEX(Suivi!$E:$E,1020))</f>
        <v/>
      </c>
      <c r="R1001">
        <f>IF($O1001="","",INDEX(Suivi!$F:$F,1020))</f>
        <v/>
      </c>
      <c r="S1001">
        <f>IF($O1001="","",INDEX(Suivi!$G:$G,1020))</f>
        <v/>
      </c>
      <c r="T1001">
        <f>IF($O1001="","",IF(INDEX(Dossiers!$F$4:$F$63,19)="","",INDEX(Dossiers!$F$4:$F$63,19)))</f>
        <v/>
      </c>
      <c r="U1001">
        <f>IF($O1001="","",IF(INDEX(Dossiers!$G$4:$G$63,19)="","",INDEX(Dossiers!$G$4:$G$63,19)))</f>
        <v/>
      </c>
      <c r="V1001">
        <f>IF(OR($O1001="",NOT(ISNUMBER($Q1001))),"",$Q1001*1000000+1001)</f>
        <v/>
      </c>
      <c r="W1001" s="29">
        <f>IF($B1001="","",IFERROR(INDEX($U$4:$U$3183,MATCH(SMALL($V$4:$V$3183,998),$V$4:$V$3183,0)),""))</f>
        <v/>
      </c>
    </row>
    <row r="1002">
      <c r="A1002">
        <f>IFERROR(INDEX($N$4:$N$3183,MATCH(SMALL($V$4:$V$3183,999),$V$4:$V$3183,0)),"")</f>
        <v/>
      </c>
      <c r="B1002">
        <f>IFERROR(INDEX($O$4:$O$3183,MATCH(SMALL($V$4:$V$3183,999),$V$4:$V$3183,0)),"")</f>
        <v/>
      </c>
      <c r="C1002">
        <f>IFERROR(INDEX($P$4:$P$3183,MATCH(SMALL($V$4:$V$3183,999),$V$4:$V$3183,0)),"")</f>
        <v/>
      </c>
      <c r="D1002" s="29">
        <f>IFERROR(INDEX($Q$4:$Q$3183,MATCH(SMALL($V$4:$V$3183,999),$V$4:$V$3183,0)),"")</f>
        <v/>
      </c>
      <c r="E1002" s="29">
        <f>IFERROR(INDEX($R$4:$R$3183,MATCH(SMALL($V$4:$V$3183,999),$V$4:$V$3183,0)),"")</f>
        <v/>
      </c>
      <c r="F1002">
        <f>IFERROR(INDEX($S$4:$S$3183,MATCH(SMALL($V$4:$V$3183,999),$V$4:$V$3183,0)),"")</f>
        <v/>
      </c>
      <c r="I1002" s="29">
        <f>IF($B1002="","",IFERROR(INDEX($U$4:$U$3183,MATCH(SMALL($V$4:$V$3183,999),$V$4:$V$3183,0)),""))</f>
        <v/>
      </c>
      <c r="J1002">
        <f>IF($B1002="","",IF($D1002&gt;$F$2,"À venir",IF($E1002&lt;$D$2,"Passé","Dans la période")))</f>
        <v/>
      </c>
      <c r="K1002">
        <f>IF(OR($B1002="",NOT(ISNUMBER($D1002))),"",IF(AND($E1002&lt;$D$2,$G1002&lt;&gt;"X",$F1002&lt;&gt;"Réalisé",$F1002&lt;&gt;"Clôturé"),"RETARD",""))</f>
        <v/>
      </c>
      <c r="L1002">
        <f>IF(OR($B1002="",NOT(ISNUMBER($D1002))),"",IF(AND($D1002&gt;=$D$2,$D1002&lt;=$H$2,$G1002&lt;&gt;"X",$F1002&lt;&gt;"Réalisé",$F1002&lt;&gt;"Clôturé"),"≤ 7 j",""))</f>
        <v/>
      </c>
      <c r="M1002" s="29">
        <f>IF($B1002="","",IFERROR(INDEX($T$4:$T$3183,MATCH(SMALL($V$4:$V$3183,999),$V$4:$V$3183,0)),""))</f>
        <v/>
      </c>
      <c r="O1002">
        <f>IF(INDEX(Suivi!$B:$B,1021)="","",INDEX(Suivi!$B:$B,1021))</f>
        <v/>
      </c>
      <c r="P1002">
        <f>IF($O1002="","",IF(INDEX(Suivi!$D:$D,1021)="",INDEX(Suivi!$C:$C,1021),INDEX(Suivi!$D:$D,1021)))</f>
        <v/>
      </c>
      <c r="Q1002">
        <f>IF($O1002="","",INDEX(Suivi!$E:$E,1021))</f>
        <v/>
      </c>
      <c r="R1002">
        <f>IF($O1002="","",INDEX(Suivi!$F:$F,1021))</f>
        <v/>
      </c>
      <c r="S1002">
        <f>IF($O1002="","",INDEX(Suivi!$G:$G,1021))</f>
        <v/>
      </c>
      <c r="T1002">
        <f>IF($O1002="","",IF(INDEX(Dossiers!$F$4:$F$63,19)="","",INDEX(Dossiers!$F$4:$F$63,19)))</f>
        <v/>
      </c>
      <c r="U1002">
        <f>IF($O1002="","",IF(INDEX(Dossiers!$G$4:$G$63,19)="","",INDEX(Dossiers!$G$4:$G$63,19)))</f>
        <v/>
      </c>
      <c r="V1002">
        <f>IF(OR($O1002="",NOT(ISNUMBER($Q1002))),"",$Q1002*1000000+1002)</f>
        <v/>
      </c>
      <c r="W1002" s="29">
        <f>IF($B1002="","",IFERROR(INDEX($U$4:$U$3183,MATCH(SMALL($V$4:$V$3183,999),$V$4:$V$3183,0)),""))</f>
        <v/>
      </c>
    </row>
    <row r="1003">
      <c r="A1003">
        <f>IFERROR(INDEX($N$4:$N$3183,MATCH(SMALL($V$4:$V$3183,1000),$V$4:$V$3183,0)),"")</f>
        <v/>
      </c>
      <c r="B1003">
        <f>IFERROR(INDEX($O$4:$O$3183,MATCH(SMALL($V$4:$V$3183,1000),$V$4:$V$3183,0)),"")</f>
        <v/>
      </c>
      <c r="C1003">
        <f>IFERROR(INDEX($P$4:$P$3183,MATCH(SMALL($V$4:$V$3183,1000),$V$4:$V$3183,0)),"")</f>
        <v/>
      </c>
      <c r="D1003" s="29">
        <f>IFERROR(INDEX($Q$4:$Q$3183,MATCH(SMALL($V$4:$V$3183,1000),$V$4:$V$3183,0)),"")</f>
        <v/>
      </c>
      <c r="E1003" s="29">
        <f>IFERROR(INDEX($R$4:$R$3183,MATCH(SMALL($V$4:$V$3183,1000),$V$4:$V$3183,0)),"")</f>
        <v/>
      </c>
      <c r="F1003">
        <f>IFERROR(INDEX($S$4:$S$3183,MATCH(SMALL($V$4:$V$3183,1000),$V$4:$V$3183,0)),"")</f>
        <v/>
      </c>
      <c r="I1003" s="29">
        <f>IF($B1003="","",IFERROR(INDEX($U$4:$U$3183,MATCH(SMALL($V$4:$V$3183,1000),$V$4:$V$3183,0)),""))</f>
        <v/>
      </c>
      <c r="J1003">
        <f>IF($B1003="","",IF($D1003&gt;$F$2,"À venir",IF($E1003&lt;$D$2,"Passé","Dans la période")))</f>
        <v/>
      </c>
      <c r="K1003">
        <f>IF(OR($B1003="",NOT(ISNUMBER($D1003))),"",IF(AND($E1003&lt;$D$2,$G1003&lt;&gt;"X",$F1003&lt;&gt;"Réalisé",$F1003&lt;&gt;"Clôturé"),"RETARD",""))</f>
        <v/>
      </c>
      <c r="L1003">
        <f>IF(OR($B1003="",NOT(ISNUMBER($D1003))),"",IF(AND($D1003&gt;=$D$2,$D1003&lt;=$H$2,$G1003&lt;&gt;"X",$F1003&lt;&gt;"Réalisé",$F1003&lt;&gt;"Clôturé"),"≤ 7 j",""))</f>
        <v/>
      </c>
      <c r="M1003" s="29">
        <f>IF($B1003="","",IFERROR(INDEX($T$4:$T$3183,MATCH(SMALL($V$4:$V$3183,1000),$V$4:$V$3183,0)),""))</f>
        <v/>
      </c>
      <c r="O1003">
        <f>IF(INDEX(Suivi!$B:$B,1022)="","",INDEX(Suivi!$B:$B,1022))</f>
        <v/>
      </c>
      <c r="P1003">
        <f>IF($O1003="","",IF(INDEX(Suivi!$D:$D,1022)="",INDEX(Suivi!$C:$C,1022),INDEX(Suivi!$D:$D,1022)))</f>
        <v/>
      </c>
      <c r="Q1003">
        <f>IF($O1003="","",INDEX(Suivi!$E:$E,1022))</f>
        <v/>
      </c>
      <c r="R1003">
        <f>IF($O1003="","",INDEX(Suivi!$F:$F,1022))</f>
        <v/>
      </c>
      <c r="S1003">
        <f>IF($O1003="","",INDEX(Suivi!$G:$G,1022))</f>
        <v/>
      </c>
      <c r="T1003">
        <f>IF($O1003="","",IF(INDEX(Dossiers!$F$4:$F$63,19)="","",INDEX(Dossiers!$F$4:$F$63,19)))</f>
        <v/>
      </c>
      <c r="U1003">
        <f>IF($O1003="","",IF(INDEX(Dossiers!$G$4:$G$63,19)="","",INDEX(Dossiers!$G$4:$G$63,19)))</f>
        <v/>
      </c>
      <c r="V1003">
        <f>IF(OR($O1003="",NOT(ISNUMBER($Q1003))),"",$Q1003*1000000+1003)</f>
        <v/>
      </c>
      <c r="W1003" s="29">
        <f>IF($B1003="","",IFERROR(INDEX($U$4:$U$3183,MATCH(SMALL($V$4:$V$3183,1000),$V$4:$V$3183,0)),""))</f>
        <v/>
      </c>
    </row>
    <row r="1004">
      <c r="A1004">
        <f>IFERROR(INDEX($N$4:$N$3183,MATCH(SMALL($V$4:$V$3183,1001),$V$4:$V$3183,0)),"")</f>
        <v/>
      </c>
      <c r="B1004">
        <f>IFERROR(INDEX($O$4:$O$3183,MATCH(SMALL($V$4:$V$3183,1001),$V$4:$V$3183,0)),"")</f>
        <v/>
      </c>
      <c r="C1004">
        <f>IFERROR(INDEX($P$4:$P$3183,MATCH(SMALL($V$4:$V$3183,1001),$V$4:$V$3183,0)),"")</f>
        <v/>
      </c>
      <c r="D1004" s="29">
        <f>IFERROR(INDEX($Q$4:$Q$3183,MATCH(SMALL($V$4:$V$3183,1001),$V$4:$V$3183,0)),"")</f>
        <v/>
      </c>
      <c r="E1004" s="29">
        <f>IFERROR(INDEX($R$4:$R$3183,MATCH(SMALL($V$4:$V$3183,1001),$V$4:$V$3183,0)),"")</f>
        <v/>
      </c>
      <c r="F1004">
        <f>IFERROR(INDEX($S$4:$S$3183,MATCH(SMALL($V$4:$V$3183,1001),$V$4:$V$3183,0)),"")</f>
        <v/>
      </c>
      <c r="I1004" s="29">
        <f>IF($B1004="","",IFERROR(INDEX($U$4:$U$3183,MATCH(SMALL($V$4:$V$3183,1001),$V$4:$V$3183,0)),""))</f>
        <v/>
      </c>
      <c r="J1004">
        <f>IF($B1004="","",IF($D1004&gt;$F$2,"À venir",IF($E1004&lt;$D$2,"Passé","Dans la période")))</f>
        <v/>
      </c>
      <c r="K1004">
        <f>IF(OR($B1004="",NOT(ISNUMBER($D1004))),"",IF(AND($E1004&lt;$D$2,$G1004&lt;&gt;"X",$F1004&lt;&gt;"Réalisé",$F1004&lt;&gt;"Clôturé"),"RETARD",""))</f>
        <v/>
      </c>
      <c r="L1004">
        <f>IF(OR($B1004="",NOT(ISNUMBER($D1004))),"",IF(AND($D1004&gt;=$D$2,$D1004&lt;=$H$2,$G1004&lt;&gt;"X",$F1004&lt;&gt;"Réalisé",$F1004&lt;&gt;"Clôturé"),"≤ 7 j",""))</f>
        <v/>
      </c>
      <c r="M1004" s="29">
        <f>IF($B1004="","",IFERROR(INDEX($T$4:$T$3183,MATCH(SMALL($V$4:$V$3183,1001),$V$4:$V$3183,0)),""))</f>
        <v/>
      </c>
      <c r="O1004">
        <f>IF(INDEX(Suivi!$B:$B,1023)="","",INDEX(Suivi!$B:$B,1023))</f>
        <v/>
      </c>
      <c r="P1004">
        <f>IF($O1004="","",IF(INDEX(Suivi!$D:$D,1023)="",INDEX(Suivi!$C:$C,1023),INDEX(Suivi!$D:$D,1023)))</f>
        <v/>
      </c>
      <c r="Q1004">
        <f>IF($O1004="","",INDEX(Suivi!$E:$E,1023))</f>
        <v/>
      </c>
      <c r="R1004">
        <f>IF($O1004="","",INDEX(Suivi!$F:$F,1023))</f>
        <v/>
      </c>
      <c r="S1004">
        <f>IF($O1004="","",INDEX(Suivi!$G:$G,1023))</f>
        <v/>
      </c>
      <c r="T1004">
        <f>IF($O1004="","",IF(INDEX(Dossiers!$F$4:$F$63,19)="","",INDEX(Dossiers!$F$4:$F$63,19)))</f>
        <v/>
      </c>
      <c r="U1004">
        <f>IF($O1004="","",IF(INDEX(Dossiers!$G$4:$G$63,19)="","",INDEX(Dossiers!$G$4:$G$63,19)))</f>
        <v/>
      </c>
      <c r="V1004">
        <f>IF(OR($O1004="",NOT(ISNUMBER($Q1004))),"",$Q1004*1000000+1004)</f>
        <v/>
      </c>
      <c r="W1004" s="29">
        <f>IF($B1004="","",IFERROR(INDEX($U$4:$U$3183,MATCH(SMALL($V$4:$V$3183,1001),$V$4:$V$3183,0)),""))</f>
        <v/>
      </c>
    </row>
    <row r="1005">
      <c r="A1005">
        <f>IFERROR(INDEX($N$4:$N$3183,MATCH(SMALL($V$4:$V$3183,1002),$V$4:$V$3183,0)),"")</f>
        <v/>
      </c>
      <c r="B1005">
        <f>IFERROR(INDEX($O$4:$O$3183,MATCH(SMALL($V$4:$V$3183,1002),$V$4:$V$3183,0)),"")</f>
        <v/>
      </c>
      <c r="C1005">
        <f>IFERROR(INDEX($P$4:$P$3183,MATCH(SMALL($V$4:$V$3183,1002),$V$4:$V$3183,0)),"")</f>
        <v/>
      </c>
      <c r="D1005" s="29">
        <f>IFERROR(INDEX($Q$4:$Q$3183,MATCH(SMALL($V$4:$V$3183,1002),$V$4:$V$3183,0)),"")</f>
        <v/>
      </c>
      <c r="E1005" s="29">
        <f>IFERROR(INDEX($R$4:$R$3183,MATCH(SMALL($V$4:$V$3183,1002),$V$4:$V$3183,0)),"")</f>
        <v/>
      </c>
      <c r="F1005">
        <f>IFERROR(INDEX($S$4:$S$3183,MATCH(SMALL($V$4:$V$3183,1002),$V$4:$V$3183,0)),"")</f>
        <v/>
      </c>
      <c r="I1005" s="29">
        <f>IF($B1005="","",IFERROR(INDEX($U$4:$U$3183,MATCH(SMALL($V$4:$V$3183,1002),$V$4:$V$3183,0)),""))</f>
        <v/>
      </c>
      <c r="J1005">
        <f>IF($B1005="","",IF($D1005&gt;$F$2,"À venir",IF($E1005&lt;$D$2,"Passé","Dans la période")))</f>
        <v/>
      </c>
      <c r="K1005">
        <f>IF(OR($B1005="",NOT(ISNUMBER($D1005))),"",IF(AND($E1005&lt;$D$2,$G1005&lt;&gt;"X",$F1005&lt;&gt;"Réalisé",$F1005&lt;&gt;"Clôturé"),"RETARD",""))</f>
        <v/>
      </c>
      <c r="L1005">
        <f>IF(OR($B1005="",NOT(ISNUMBER($D1005))),"",IF(AND($D1005&gt;=$D$2,$D1005&lt;=$H$2,$G1005&lt;&gt;"X",$F1005&lt;&gt;"Réalisé",$F1005&lt;&gt;"Clôturé"),"≤ 7 j",""))</f>
        <v/>
      </c>
      <c r="M1005" s="29">
        <f>IF($B1005="","",IFERROR(INDEX($T$4:$T$3183,MATCH(SMALL($V$4:$V$3183,1002),$V$4:$V$3183,0)),""))</f>
        <v/>
      </c>
      <c r="O1005">
        <f>IF(INDEX(Suivi!$B:$B,1024)="","",INDEX(Suivi!$B:$B,1024))</f>
        <v/>
      </c>
      <c r="P1005">
        <f>IF($O1005="","",IF(INDEX(Suivi!$D:$D,1024)="",INDEX(Suivi!$C:$C,1024),INDEX(Suivi!$D:$D,1024)))</f>
        <v/>
      </c>
      <c r="Q1005">
        <f>IF($O1005="","",INDEX(Suivi!$E:$E,1024))</f>
        <v/>
      </c>
      <c r="R1005">
        <f>IF($O1005="","",INDEX(Suivi!$F:$F,1024))</f>
        <v/>
      </c>
      <c r="S1005">
        <f>IF($O1005="","",INDEX(Suivi!$G:$G,1024))</f>
        <v/>
      </c>
      <c r="T1005">
        <f>IF($O1005="","",IF(INDEX(Dossiers!$F$4:$F$63,19)="","",INDEX(Dossiers!$F$4:$F$63,19)))</f>
        <v/>
      </c>
      <c r="U1005">
        <f>IF($O1005="","",IF(INDEX(Dossiers!$G$4:$G$63,19)="","",INDEX(Dossiers!$G$4:$G$63,19)))</f>
        <v/>
      </c>
      <c r="V1005">
        <f>IF(OR($O1005="",NOT(ISNUMBER($Q1005))),"",$Q1005*1000000+1005)</f>
        <v/>
      </c>
      <c r="W1005" s="29">
        <f>IF($B1005="","",IFERROR(INDEX($U$4:$U$3183,MATCH(SMALL($V$4:$V$3183,1002),$V$4:$V$3183,0)),""))</f>
        <v/>
      </c>
    </row>
    <row r="1006">
      <c r="A1006">
        <f>IFERROR(INDEX($N$4:$N$3183,MATCH(SMALL($V$4:$V$3183,1003),$V$4:$V$3183,0)),"")</f>
        <v/>
      </c>
      <c r="B1006">
        <f>IFERROR(INDEX($O$4:$O$3183,MATCH(SMALL($V$4:$V$3183,1003),$V$4:$V$3183,0)),"")</f>
        <v/>
      </c>
      <c r="C1006">
        <f>IFERROR(INDEX($P$4:$P$3183,MATCH(SMALL($V$4:$V$3183,1003),$V$4:$V$3183,0)),"")</f>
        <v/>
      </c>
      <c r="D1006" s="29">
        <f>IFERROR(INDEX($Q$4:$Q$3183,MATCH(SMALL($V$4:$V$3183,1003),$V$4:$V$3183,0)),"")</f>
        <v/>
      </c>
      <c r="E1006" s="29">
        <f>IFERROR(INDEX($R$4:$R$3183,MATCH(SMALL($V$4:$V$3183,1003),$V$4:$V$3183,0)),"")</f>
        <v/>
      </c>
      <c r="F1006">
        <f>IFERROR(INDEX($S$4:$S$3183,MATCH(SMALL($V$4:$V$3183,1003),$V$4:$V$3183,0)),"")</f>
        <v/>
      </c>
      <c r="I1006" s="29">
        <f>IF($B1006="","",IFERROR(INDEX($U$4:$U$3183,MATCH(SMALL($V$4:$V$3183,1003),$V$4:$V$3183,0)),""))</f>
        <v/>
      </c>
      <c r="J1006">
        <f>IF($B1006="","",IF($D1006&gt;$F$2,"À venir",IF($E1006&lt;$D$2,"Passé","Dans la période")))</f>
        <v/>
      </c>
      <c r="K1006">
        <f>IF(OR($B1006="",NOT(ISNUMBER($D1006))),"",IF(AND($E1006&lt;$D$2,$G1006&lt;&gt;"X",$F1006&lt;&gt;"Réalisé",$F1006&lt;&gt;"Clôturé"),"RETARD",""))</f>
        <v/>
      </c>
      <c r="L1006">
        <f>IF(OR($B1006="",NOT(ISNUMBER($D1006))),"",IF(AND($D1006&gt;=$D$2,$D1006&lt;=$H$2,$G1006&lt;&gt;"X",$F1006&lt;&gt;"Réalisé",$F1006&lt;&gt;"Clôturé"),"≤ 7 j",""))</f>
        <v/>
      </c>
      <c r="M1006" s="29">
        <f>IF($B1006="","",IFERROR(INDEX($T$4:$T$3183,MATCH(SMALL($V$4:$V$3183,1003),$V$4:$V$3183,0)),""))</f>
        <v/>
      </c>
      <c r="O1006">
        <f>IF(INDEX(Suivi!$B:$B,1025)="","",INDEX(Suivi!$B:$B,1025))</f>
        <v/>
      </c>
      <c r="P1006">
        <f>IF($O1006="","",IF(INDEX(Suivi!$D:$D,1025)="",INDEX(Suivi!$C:$C,1025),INDEX(Suivi!$D:$D,1025)))</f>
        <v/>
      </c>
      <c r="Q1006">
        <f>IF($O1006="","",INDEX(Suivi!$E:$E,1025))</f>
        <v/>
      </c>
      <c r="R1006">
        <f>IF($O1006="","",INDEX(Suivi!$F:$F,1025))</f>
        <v/>
      </c>
      <c r="S1006">
        <f>IF($O1006="","",INDEX(Suivi!$G:$G,1025))</f>
        <v/>
      </c>
      <c r="T1006">
        <f>IF($O1006="","",IF(INDEX(Dossiers!$F$4:$F$63,19)="","",INDEX(Dossiers!$F$4:$F$63,19)))</f>
        <v/>
      </c>
      <c r="U1006">
        <f>IF($O1006="","",IF(INDEX(Dossiers!$G$4:$G$63,19)="","",INDEX(Dossiers!$G$4:$G$63,19)))</f>
        <v/>
      </c>
      <c r="V1006">
        <f>IF(OR($O1006="",NOT(ISNUMBER($Q1006))),"",$Q1006*1000000+1006)</f>
        <v/>
      </c>
      <c r="W1006" s="29">
        <f>IF($B1006="","",IFERROR(INDEX($U$4:$U$3183,MATCH(SMALL($V$4:$V$3183,1003),$V$4:$V$3183,0)),""))</f>
        <v/>
      </c>
    </row>
    <row r="1007">
      <c r="A1007">
        <f>IFERROR(INDEX($N$4:$N$3183,MATCH(SMALL($V$4:$V$3183,1004),$V$4:$V$3183,0)),"")</f>
        <v/>
      </c>
      <c r="B1007">
        <f>IFERROR(INDEX($O$4:$O$3183,MATCH(SMALL($V$4:$V$3183,1004),$V$4:$V$3183,0)),"")</f>
        <v/>
      </c>
      <c r="C1007">
        <f>IFERROR(INDEX($P$4:$P$3183,MATCH(SMALL($V$4:$V$3183,1004),$V$4:$V$3183,0)),"")</f>
        <v/>
      </c>
      <c r="D1007" s="29">
        <f>IFERROR(INDEX($Q$4:$Q$3183,MATCH(SMALL($V$4:$V$3183,1004),$V$4:$V$3183,0)),"")</f>
        <v/>
      </c>
      <c r="E1007" s="29">
        <f>IFERROR(INDEX($R$4:$R$3183,MATCH(SMALL($V$4:$V$3183,1004),$V$4:$V$3183,0)),"")</f>
        <v/>
      </c>
      <c r="F1007">
        <f>IFERROR(INDEX($S$4:$S$3183,MATCH(SMALL($V$4:$V$3183,1004),$V$4:$V$3183,0)),"")</f>
        <v/>
      </c>
      <c r="I1007" s="29">
        <f>IF($B1007="","",IFERROR(INDEX($U$4:$U$3183,MATCH(SMALL($V$4:$V$3183,1004),$V$4:$V$3183,0)),""))</f>
        <v/>
      </c>
      <c r="J1007">
        <f>IF($B1007="","",IF($D1007&gt;$F$2,"À venir",IF($E1007&lt;$D$2,"Passé","Dans la période")))</f>
        <v/>
      </c>
      <c r="K1007">
        <f>IF(OR($B1007="",NOT(ISNUMBER($D1007))),"",IF(AND($E1007&lt;$D$2,$G1007&lt;&gt;"X",$F1007&lt;&gt;"Réalisé",$F1007&lt;&gt;"Clôturé"),"RETARD",""))</f>
        <v/>
      </c>
      <c r="L1007">
        <f>IF(OR($B1007="",NOT(ISNUMBER($D1007))),"",IF(AND($D1007&gt;=$D$2,$D1007&lt;=$H$2,$G1007&lt;&gt;"X",$F1007&lt;&gt;"Réalisé",$F1007&lt;&gt;"Clôturé"),"≤ 7 j",""))</f>
        <v/>
      </c>
      <c r="M1007" s="29">
        <f>IF($B1007="","",IFERROR(INDEX($T$4:$T$3183,MATCH(SMALL($V$4:$V$3183,1004),$V$4:$V$3183,0)),""))</f>
        <v/>
      </c>
      <c r="O1007">
        <f>IF(INDEX(Suivi!$B:$B,1026)="","",INDEX(Suivi!$B:$B,1026))</f>
        <v/>
      </c>
      <c r="P1007">
        <f>IF($O1007="","",IF(INDEX(Suivi!$D:$D,1026)="",INDEX(Suivi!$C:$C,1026),INDEX(Suivi!$D:$D,1026)))</f>
        <v/>
      </c>
      <c r="Q1007">
        <f>IF($O1007="","",INDEX(Suivi!$E:$E,1026))</f>
        <v/>
      </c>
      <c r="R1007">
        <f>IF($O1007="","",INDEX(Suivi!$F:$F,1026))</f>
        <v/>
      </c>
      <c r="S1007">
        <f>IF($O1007="","",INDEX(Suivi!$G:$G,1026))</f>
        <v/>
      </c>
      <c r="T1007">
        <f>IF($O1007="","",IF(INDEX(Dossiers!$F$4:$F$63,19)="","",INDEX(Dossiers!$F$4:$F$63,19)))</f>
        <v/>
      </c>
      <c r="U1007">
        <f>IF($O1007="","",IF(INDEX(Dossiers!$G$4:$G$63,19)="","",INDEX(Dossiers!$G$4:$G$63,19)))</f>
        <v/>
      </c>
      <c r="V1007">
        <f>IF(OR($O1007="",NOT(ISNUMBER($Q1007))),"",$Q1007*1000000+1007)</f>
        <v/>
      </c>
      <c r="W1007" s="29">
        <f>IF($B1007="","",IFERROR(INDEX($U$4:$U$3183,MATCH(SMALL($V$4:$V$3183,1004),$V$4:$V$3183,0)),""))</f>
        <v/>
      </c>
    </row>
    <row r="1008">
      <c r="A1008">
        <f>IFERROR(INDEX($N$4:$N$3183,MATCH(SMALL($V$4:$V$3183,1005),$V$4:$V$3183,0)),"")</f>
        <v/>
      </c>
      <c r="B1008">
        <f>IFERROR(INDEX($O$4:$O$3183,MATCH(SMALL($V$4:$V$3183,1005),$V$4:$V$3183,0)),"")</f>
        <v/>
      </c>
      <c r="C1008">
        <f>IFERROR(INDEX($P$4:$P$3183,MATCH(SMALL($V$4:$V$3183,1005),$V$4:$V$3183,0)),"")</f>
        <v/>
      </c>
      <c r="D1008" s="29">
        <f>IFERROR(INDEX($Q$4:$Q$3183,MATCH(SMALL($V$4:$V$3183,1005),$V$4:$V$3183,0)),"")</f>
        <v/>
      </c>
      <c r="E1008" s="29">
        <f>IFERROR(INDEX($R$4:$R$3183,MATCH(SMALL($V$4:$V$3183,1005),$V$4:$V$3183,0)),"")</f>
        <v/>
      </c>
      <c r="F1008">
        <f>IFERROR(INDEX($S$4:$S$3183,MATCH(SMALL($V$4:$V$3183,1005),$V$4:$V$3183,0)),"")</f>
        <v/>
      </c>
      <c r="I1008" s="29">
        <f>IF($B1008="","",IFERROR(INDEX($U$4:$U$3183,MATCH(SMALL($V$4:$V$3183,1005),$V$4:$V$3183,0)),""))</f>
        <v/>
      </c>
      <c r="J1008">
        <f>IF($B1008="","",IF($D1008&gt;$F$2,"À venir",IF($E1008&lt;$D$2,"Passé","Dans la période")))</f>
        <v/>
      </c>
      <c r="K1008">
        <f>IF(OR($B1008="",NOT(ISNUMBER($D1008))),"",IF(AND($E1008&lt;$D$2,$G1008&lt;&gt;"X",$F1008&lt;&gt;"Réalisé",$F1008&lt;&gt;"Clôturé"),"RETARD",""))</f>
        <v/>
      </c>
      <c r="L1008">
        <f>IF(OR($B1008="",NOT(ISNUMBER($D1008))),"",IF(AND($D1008&gt;=$D$2,$D1008&lt;=$H$2,$G1008&lt;&gt;"X",$F1008&lt;&gt;"Réalisé",$F1008&lt;&gt;"Clôturé"),"≤ 7 j",""))</f>
        <v/>
      </c>
      <c r="M1008" s="29">
        <f>IF($B1008="","",IFERROR(INDEX($T$4:$T$3183,MATCH(SMALL($V$4:$V$3183,1005),$V$4:$V$3183,0)),""))</f>
        <v/>
      </c>
      <c r="O1008">
        <f>IF(INDEX(Suivi!$B:$B,1027)="","",INDEX(Suivi!$B:$B,1027))</f>
        <v/>
      </c>
      <c r="P1008">
        <f>IF($O1008="","",IF(INDEX(Suivi!$D:$D,1027)="",INDEX(Suivi!$C:$C,1027),INDEX(Suivi!$D:$D,1027)))</f>
        <v/>
      </c>
      <c r="Q1008">
        <f>IF($O1008="","",INDEX(Suivi!$E:$E,1027))</f>
        <v/>
      </c>
      <c r="R1008">
        <f>IF($O1008="","",INDEX(Suivi!$F:$F,1027))</f>
        <v/>
      </c>
      <c r="S1008">
        <f>IF($O1008="","",INDEX(Suivi!$G:$G,1027))</f>
        <v/>
      </c>
      <c r="T1008">
        <f>IF($O1008="","",IF(INDEX(Dossiers!$F$4:$F$63,19)="","",INDEX(Dossiers!$F$4:$F$63,19)))</f>
        <v/>
      </c>
      <c r="U1008">
        <f>IF($O1008="","",IF(INDEX(Dossiers!$G$4:$G$63,19)="","",INDEX(Dossiers!$G$4:$G$63,19)))</f>
        <v/>
      </c>
      <c r="V1008">
        <f>IF(OR($O1008="",NOT(ISNUMBER($Q1008))),"",$Q1008*1000000+1008)</f>
        <v/>
      </c>
      <c r="W1008" s="29">
        <f>IF($B1008="","",IFERROR(INDEX($U$4:$U$3183,MATCH(SMALL($V$4:$V$3183,1005),$V$4:$V$3183,0)),""))</f>
        <v/>
      </c>
    </row>
    <row r="1009">
      <c r="A1009">
        <f>IFERROR(INDEX($N$4:$N$3183,MATCH(SMALL($V$4:$V$3183,1006),$V$4:$V$3183,0)),"")</f>
        <v/>
      </c>
      <c r="B1009">
        <f>IFERROR(INDEX($O$4:$O$3183,MATCH(SMALL($V$4:$V$3183,1006),$V$4:$V$3183,0)),"")</f>
        <v/>
      </c>
      <c r="C1009">
        <f>IFERROR(INDEX($P$4:$P$3183,MATCH(SMALL($V$4:$V$3183,1006),$V$4:$V$3183,0)),"")</f>
        <v/>
      </c>
      <c r="D1009" s="29">
        <f>IFERROR(INDEX($Q$4:$Q$3183,MATCH(SMALL($V$4:$V$3183,1006),$V$4:$V$3183,0)),"")</f>
        <v/>
      </c>
      <c r="E1009" s="29">
        <f>IFERROR(INDEX($R$4:$R$3183,MATCH(SMALL($V$4:$V$3183,1006),$V$4:$V$3183,0)),"")</f>
        <v/>
      </c>
      <c r="F1009">
        <f>IFERROR(INDEX($S$4:$S$3183,MATCH(SMALL($V$4:$V$3183,1006),$V$4:$V$3183,0)),"")</f>
        <v/>
      </c>
      <c r="I1009" s="29">
        <f>IF($B1009="","",IFERROR(INDEX($U$4:$U$3183,MATCH(SMALL($V$4:$V$3183,1006),$V$4:$V$3183,0)),""))</f>
        <v/>
      </c>
      <c r="J1009">
        <f>IF($B1009="","",IF($D1009&gt;$F$2,"À venir",IF($E1009&lt;$D$2,"Passé","Dans la période")))</f>
        <v/>
      </c>
      <c r="K1009">
        <f>IF(OR($B1009="",NOT(ISNUMBER($D1009))),"",IF(AND($E1009&lt;$D$2,$G1009&lt;&gt;"X",$F1009&lt;&gt;"Réalisé",$F1009&lt;&gt;"Clôturé"),"RETARD",""))</f>
        <v/>
      </c>
      <c r="L1009">
        <f>IF(OR($B1009="",NOT(ISNUMBER($D1009))),"",IF(AND($D1009&gt;=$D$2,$D1009&lt;=$H$2,$G1009&lt;&gt;"X",$F1009&lt;&gt;"Réalisé",$F1009&lt;&gt;"Clôturé"),"≤ 7 j",""))</f>
        <v/>
      </c>
      <c r="M1009" s="29">
        <f>IF($B1009="","",IFERROR(INDEX($T$4:$T$3183,MATCH(SMALL($V$4:$V$3183,1006),$V$4:$V$3183,0)),""))</f>
        <v/>
      </c>
      <c r="O1009">
        <f>IF(INDEX(Suivi!$B:$B,1028)="","",INDEX(Suivi!$B:$B,1028))</f>
        <v/>
      </c>
      <c r="P1009">
        <f>IF($O1009="","",IF(INDEX(Suivi!$D:$D,1028)="",INDEX(Suivi!$C:$C,1028),INDEX(Suivi!$D:$D,1028)))</f>
        <v/>
      </c>
      <c r="Q1009">
        <f>IF($O1009="","",INDEX(Suivi!$E:$E,1028))</f>
        <v/>
      </c>
      <c r="R1009">
        <f>IF($O1009="","",INDEX(Suivi!$F:$F,1028))</f>
        <v/>
      </c>
      <c r="S1009">
        <f>IF($O1009="","",INDEX(Suivi!$G:$G,1028))</f>
        <v/>
      </c>
      <c r="T1009">
        <f>IF($O1009="","",IF(INDEX(Dossiers!$F$4:$F$63,19)="","",INDEX(Dossiers!$F$4:$F$63,19)))</f>
        <v/>
      </c>
      <c r="U1009">
        <f>IF($O1009="","",IF(INDEX(Dossiers!$G$4:$G$63,19)="","",INDEX(Dossiers!$G$4:$G$63,19)))</f>
        <v/>
      </c>
      <c r="V1009">
        <f>IF(OR($O1009="",NOT(ISNUMBER($Q1009))),"",$Q1009*1000000+1009)</f>
        <v/>
      </c>
      <c r="W1009" s="29">
        <f>IF($B1009="","",IFERROR(INDEX($U$4:$U$3183,MATCH(SMALL($V$4:$V$3183,1006),$V$4:$V$3183,0)),""))</f>
        <v/>
      </c>
    </row>
    <row r="1010">
      <c r="A1010">
        <f>IFERROR(INDEX($N$4:$N$3183,MATCH(SMALL($V$4:$V$3183,1007),$V$4:$V$3183,0)),"")</f>
        <v/>
      </c>
      <c r="B1010">
        <f>IFERROR(INDEX($O$4:$O$3183,MATCH(SMALL($V$4:$V$3183,1007),$V$4:$V$3183,0)),"")</f>
        <v/>
      </c>
      <c r="C1010">
        <f>IFERROR(INDEX($P$4:$P$3183,MATCH(SMALL($V$4:$V$3183,1007),$V$4:$V$3183,0)),"")</f>
        <v/>
      </c>
      <c r="D1010" s="29">
        <f>IFERROR(INDEX($Q$4:$Q$3183,MATCH(SMALL($V$4:$V$3183,1007),$V$4:$V$3183,0)),"")</f>
        <v/>
      </c>
      <c r="E1010" s="29">
        <f>IFERROR(INDEX($R$4:$R$3183,MATCH(SMALL($V$4:$V$3183,1007),$V$4:$V$3183,0)),"")</f>
        <v/>
      </c>
      <c r="F1010">
        <f>IFERROR(INDEX($S$4:$S$3183,MATCH(SMALL($V$4:$V$3183,1007),$V$4:$V$3183,0)),"")</f>
        <v/>
      </c>
      <c r="I1010" s="29">
        <f>IF($B1010="","",IFERROR(INDEX($U$4:$U$3183,MATCH(SMALL($V$4:$V$3183,1007),$V$4:$V$3183,0)),""))</f>
        <v/>
      </c>
      <c r="J1010">
        <f>IF($B1010="","",IF($D1010&gt;$F$2,"À venir",IF($E1010&lt;$D$2,"Passé","Dans la période")))</f>
        <v/>
      </c>
      <c r="K1010">
        <f>IF(OR($B1010="",NOT(ISNUMBER($D1010))),"",IF(AND($E1010&lt;$D$2,$G1010&lt;&gt;"X",$F1010&lt;&gt;"Réalisé",$F1010&lt;&gt;"Clôturé"),"RETARD",""))</f>
        <v/>
      </c>
      <c r="L1010">
        <f>IF(OR($B1010="",NOT(ISNUMBER($D1010))),"",IF(AND($D1010&gt;=$D$2,$D1010&lt;=$H$2,$G1010&lt;&gt;"X",$F1010&lt;&gt;"Réalisé",$F1010&lt;&gt;"Clôturé"),"≤ 7 j",""))</f>
        <v/>
      </c>
      <c r="M1010" s="29">
        <f>IF($B1010="","",IFERROR(INDEX($T$4:$T$3183,MATCH(SMALL($V$4:$V$3183,1007),$V$4:$V$3183,0)),""))</f>
        <v/>
      </c>
      <c r="O1010">
        <f>IF(INDEX(Suivi!$B:$B,1029)="","",INDEX(Suivi!$B:$B,1029))</f>
        <v/>
      </c>
      <c r="P1010">
        <f>IF($O1010="","",IF(INDEX(Suivi!$D:$D,1029)="",INDEX(Suivi!$C:$C,1029),INDEX(Suivi!$D:$D,1029)))</f>
        <v/>
      </c>
      <c r="Q1010">
        <f>IF($O1010="","",INDEX(Suivi!$E:$E,1029))</f>
        <v/>
      </c>
      <c r="R1010">
        <f>IF($O1010="","",INDEX(Suivi!$F:$F,1029))</f>
        <v/>
      </c>
      <c r="S1010">
        <f>IF($O1010="","",INDEX(Suivi!$G:$G,1029))</f>
        <v/>
      </c>
      <c r="T1010">
        <f>IF($O1010="","",IF(INDEX(Dossiers!$F$4:$F$63,19)="","",INDEX(Dossiers!$F$4:$F$63,19)))</f>
        <v/>
      </c>
      <c r="U1010">
        <f>IF($O1010="","",IF(INDEX(Dossiers!$G$4:$G$63,19)="","",INDEX(Dossiers!$G$4:$G$63,19)))</f>
        <v/>
      </c>
      <c r="V1010">
        <f>IF(OR($O1010="",NOT(ISNUMBER($Q1010))),"",$Q1010*1000000+1010)</f>
        <v/>
      </c>
      <c r="W1010" s="29">
        <f>IF($B1010="","",IFERROR(INDEX($U$4:$U$3183,MATCH(SMALL($V$4:$V$3183,1007),$V$4:$V$3183,0)),""))</f>
        <v/>
      </c>
    </row>
    <row r="1011">
      <c r="A1011">
        <f>IFERROR(INDEX($N$4:$N$3183,MATCH(SMALL($V$4:$V$3183,1008),$V$4:$V$3183,0)),"")</f>
        <v/>
      </c>
      <c r="B1011">
        <f>IFERROR(INDEX($O$4:$O$3183,MATCH(SMALL($V$4:$V$3183,1008),$V$4:$V$3183,0)),"")</f>
        <v/>
      </c>
      <c r="C1011">
        <f>IFERROR(INDEX($P$4:$P$3183,MATCH(SMALL($V$4:$V$3183,1008),$V$4:$V$3183,0)),"")</f>
        <v/>
      </c>
      <c r="D1011" s="29">
        <f>IFERROR(INDEX($Q$4:$Q$3183,MATCH(SMALL($V$4:$V$3183,1008),$V$4:$V$3183,0)),"")</f>
        <v/>
      </c>
      <c r="E1011" s="29">
        <f>IFERROR(INDEX($R$4:$R$3183,MATCH(SMALL($V$4:$V$3183,1008),$V$4:$V$3183,0)),"")</f>
        <v/>
      </c>
      <c r="F1011">
        <f>IFERROR(INDEX($S$4:$S$3183,MATCH(SMALL($V$4:$V$3183,1008),$V$4:$V$3183,0)),"")</f>
        <v/>
      </c>
      <c r="I1011" s="29">
        <f>IF($B1011="","",IFERROR(INDEX($U$4:$U$3183,MATCH(SMALL($V$4:$V$3183,1008),$V$4:$V$3183,0)),""))</f>
        <v/>
      </c>
      <c r="J1011">
        <f>IF($B1011="","",IF($D1011&gt;$F$2,"À venir",IF($E1011&lt;$D$2,"Passé","Dans la période")))</f>
        <v/>
      </c>
      <c r="K1011">
        <f>IF(OR($B1011="",NOT(ISNUMBER($D1011))),"",IF(AND($E1011&lt;$D$2,$G1011&lt;&gt;"X",$F1011&lt;&gt;"Réalisé",$F1011&lt;&gt;"Clôturé"),"RETARD",""))</f>
        <v/>
      </c>
      <c r="L1011">
        <f>IF(OR($B1011="",NOT(ISNUMBER($D1011))),"",IF(AND($D1011&gt;=$D$2,$D1011&lt;=$H$2,$G1011&lt;&gt;"X",$F1011&lt;&gt;"Réalisé",$F1011&lt;&gt;"Clôturé"),"≤ 7 j",""))</f>
        <v/>
      </c>
      <c r="M1011" s="29">
        <f>IF($B1011="","",IFERROR(INDEX($T$4:$T$3183,MATCH(SMALL($V$4:$V$3183,1008),$V$4:$V$3183,0)),""))</f>
        <v/>
      </c>
      <c r="O1011">
        <f>IF(INDEX(Suivi!$B:$B,1031)="","",INDEX(Suivi!$B:$B,1031))</f>
        <v/>
      </c>
      <c r="P1011">
        <f>IF($O1011="","",IF(INDEX(Suivi!$D:$D,1031)="",INDEX(Suivi!$C:$C,1031),INDEX(Suivi!$D:$D,1031)))</f>
        <v/>
      </c>
      <c r="Q1011">
        <f>IF($O1011="","",INDEX(Suivi!$E:$E,1031))</f>
        <v/>
      </c>
      <c r="R1011">
        <f>IF($O1011="","",INDEX(Suivi!$F:$F,1031))</f>
        <v/>
      </c>
      <c r="S1011">
        <f>IF($O1011="","",INDEX(Suivi!$G:$G,1031))</f>
        <v/>
      </c>
      <c r="T1011">
        <f>IF($O1011="","",IF(INDEX(Dossiers!$F$4:$F$63,20)="","",INDEX(Dossiers!$F$4:$F$63,20)))</f>
        <v/>
      </c>
      <c r="U1011">
        <f>IF($O1011="","",IF(INDEX(Dossiers!$G$4:$G$63,20)="","",INDEX(Dossiers!$G$4:$G$63,20)))</f>
        <v/>
      </c>
      <c r="V1011">
        <f>IF(OR($O1011="",NOT(ISNUMBER($Q1011))),"",$Q1011*1000000+1011)</f>
        <v/>
      </c>
      <c r="W1011" s="29">
        <f>IF($B1011="","",IFERROR(INDEX($U$4:$U$3183,MATCH(SMALL($V$4:$V$3183,1008),$V$4:$V$3183,0)),""))</f>
        <v/>
      </c>
    </row>
    <row r="1012">
      <c r="A1012">
        <f>IFERROR(INDEX($N$4:$N$3183,MATCH(SMALL($V$4:$V$3183,1009),$V$4:$V$3183,0)),"")</f>
        <v/>
      </c>
      <c r="B1012">
        <f>IFERROR(INDEX($O$4:$O$3183,MATCH(SMALL($V$4:$V$3183,1009),$V$4:$V$3183,0)),"")</f>
        <v/>
      </c>
      <c r="C1012">
        <f>IFERROR(INDEX($P$4:$P$3183,MATCH(SMALL($V$4:$V$3183,1009),$V$4:$V$3183,0)),"")</f>
        <v/>
      </c>
      <c r="D1012" s="29">
        <f>IFERROR(INDEX($Q$4:$Q$3183,MATCH(SMALL($V$4:$V$3183,1009),$V$4:$V$3183,0)),"")</f>
        <v/>
      </c>
      <c r="E1012" s="29">
        <f>IFERROR(INDEX($R$4:$R$3183,MATCH(SMALL($V$4:$V$3183,1009),$V$4:$V$3183,0)),"")</f>
        <v/>
      </c>
      <c r="F1012">
        <f>IFERROR(INDEX($S$4:$S$3183,MATCH(SMALL($V$4:$V$3183,1009),$V$4:$V$3183,0)),"")</f>
        <v/>
      </c>
      <c r="I1012" s="29">
        <f>IF($B1012="","",IFERROR(INDEX($U$4:$U$3183,MATCH(SMALL($V$4:$V$3183,1009),$V$4:$V$3183,0)),""))</f>
        <v/>
      </c>
      <c r="J1012">
        <f>IF($B1012="","",IF($D1012&gt;$F$2,"À venir",IF($E1012&lt;$D$2,"Passé","Dans la période")))</f>
        <v/>
      </c>
      <c r="K1012">
        <f>IF(OR($B1012="",NOT(ISNUMBER($D1012))),"",IF(AND($E1012&lt;$D$2,$G1012&lt;&gt;"X",$F1012&lt;&gt;"Réalisé",$F1012&lt;&gt;"Clôturé"),"RETARD",""))</f>
        <v/>
      </c>
      <c r="L1012">
        <f>IF(OR($B1012="",NOT(ISNUMBER($D1012))),"",IF(AND($D1012&gt;=$D$2,$D1012&lt;=$H$2,$G1012&lt;&gt;"X",$F1012&lt;&gt;"Réalisé",$F1012&lt;&gt;"Clôturé"),"≤ 7 j",""))</f>
        <v/>
      </c>
      <c r="M1012" s="29">
        <f>IF($B1012="","",IFERROR(INDEX($T$4:$T$3183,MATCH(SMALL($V$4:$V$3183,1009),$V$4:$V$3183,0)),""))</f>
        <v/>
      </c>
      <c r="O1012">
        <f>IF(INDEX(Suivi!$B:$B,1032)="","",INDEX(Suivi!$B:$B,1032))</f>
        <v/>
      </c>
      <c r="P1012">
        <f>IF($O1012="","",IF(INDEX(Suivi!$D:$D,1032)="",INDEX(Suivi!$C:$C,1032),INDEX(Suivi!$D:$D,1032)))</f>
        <v/>
      </c>
      <c r="Q1012">
        <f>IF($O1012="","",INDEX(Suivi!$E:$E,1032))</f>
        <v/>
      </c>
      <c r="R1012">
        <f>IF($O1012="","",INDEX(Suivi!$F:$F,1032))</f>
        <v/>
      </c>
      <c r="S1012">
        <f>IF($O1012="","",INDEX(Suivi!$G:$G,1032))</f>
        <v/>
      </c>
      <c r="T1012">
        <f>IF($O1012="","",IF(INDEX(Dossiers!$F$4:$F$63,20)="","",INDEX(Dossiers!$F$4:$F$63,20)))</f>
        <v/>
      </c>
      <c r="U1012">
        <f>IF($O1012="","",IF(INDEX(Dossiers!$G$4:$G$63,20)="","",INDEX(Dossiers!$G$4:$G$63,20)))</f>
        <v/>
      </c>
      <c r="V1012">
        <f>IF(OR($O1012="",NOT(ISNUMBER($Q1012))),"",$Q1012*1000000+1012)</f>
        <v/>
      </c>
      <c r="W1012" s="29">
        <f>IF($B1012="","",IFERROR(INDEX($U$4:$U$3183,MATCH(SMALL($V$4:$V$3183,1009),$V$4:$V$3183,0)),""))</f>
        <v/>
      </c>
    </row>
    <row r="1013">
      <c r="A1013">
        <f>IFERROR(INDEX($N$4:$N$3183,MATCH(SMALL($V$4:$V$3183,1010),$V$4:$V$3183,0)),"")</f>
        <v/>
      </c>
      <c r="B1013">
        <f>IFERROR(INDEX($O$4:$O$3183,MATCH(SMALL($V$4:$V$3183,1010),$V$4:$V$3183,0)),"")</f>
        <v/>
      </c>
      <c r="C1013">
        <f>IFERROR(INDEX($P$4:$P$3183,MATCH(SMALL($V$4:$V$3183,1010),$V$4:$V$3183,0)),"")</f>
        <v/>
      </c>
      <c r="D1013" s="29">
        <f>IFERROR(INDEX($Q$4:$Q$3183,MATCH(SMALL($V$4:$V$3183,1010),$V$4:$V$3183,0)),"")</f>
        <v/>
      </c>
      <c r="E1013" s="29">
        <f>IFERROR(INDEX($R$4:$R$3183,MATCH(SMALL($V$4:$V$3183,1010),$V$4:$V$3183,0)),"")</f>
        <v/>
      </c>
      <c r="F1013">
        <f>IFERROR(INDEX($S$4:$S$3183,MATCH(SMALL($V$4:$V$3183,1010),$V$4:$V$3183,0)),"")</f>
        <v/>
      </c>
      <c r="I1013" s="29">
        <f>IF($B1013="","",IFERROR(INDEX($U$4:$U$3183,MATCH(SMALL($V$4:$V$3183,1010),$V$4:$V$3183,0)),""))</f>
        <v/>
      </c>
      <c r="J1013">
        <f>IF($B1013="","",IF($D1013&gt;$F$2,"À venir",IF($E1013&lt;$D$2,"Passé","Dans la période")))</f>
        <v/>
      </c>
      <c r="K1013">
        <f>IF(OR($B1013="",NOT(ISNUMBER($D1013))),"",IF(AND($E1013&lt;$D$2,$G1013&lt;&gt;"X",$F1013&lt;&gt;"Réalisé",$F1013&lt;&gt;"Clôturé"),"RETARD",""))</f>
        <v/>
      </c>
      <c r="L1013">
        <f>IF(OR($B1013="",NOT(ISNUMBER($D1013))),"",IF(AND($D1013&gt;=$D$2,$D1013&lt;=$H$2,$G1013&lt;&gt;"X",$F1013&lt;&gt;"Réalisé",$F1013&lt;&gt;"Clôturé"),"≤ 7 j",""))</f>
        <v/>
      </c>
      <c r="M1013" s="29">
        <f>IF($B1013="","",IFERROR(INDEX($T$4:$T$3183,MATCH(SMALL($V$4:$V$3183,1010),$V$4:$V$3183,0)),""))</f>
        <v/>
      </c>
      <c r="O1013">
        <f>IF(INDEX(Suivi!$B:$B,1033)="","",INDEX(Suivi!$B:$B,1033))</f>
        <v/>
      </c>
      <c r="P1013">
        <f>IF($O1013="","",IF(INDEX(Suivi!$D:$D,1033)="",INDEX(Suivi!$C:$C,1033),INDEX(Suivi!$D:$D,1033)))</f>
        <v/>
      </c>
      <c r="Q1013">
        <f>IF($O1013="","",INDEX(Suivi!$E:$E,1033))</f>
        <v/>
      </c>
      <c r="R1013">
        <f>IF($O1013="","",INDEX(Suivi!$F:$F,1033))</f>
        <v/>
      </c>
      <c r="S1013">
        <f>IF($O1013="","",INDEX(Suivi!$G:$G,1033))</f>
        <v/>
      </c>
      <c r="T1013">
        <f>IF($O1013="","",IF(INDEX(Dossiers!$F$4:$F$63,20)="","",INDEX(Dossiers!$F$4:$F$63,20)))</f>
        <v/>
      </c>
      <c r="U1013">
        <f>IF($O1013="","",IF(INDEX(Dossiers!$G$4:$G$63,20)="","",INDEX(Dossiers!$G$4:$G$63,20)))</f>
        <v/>
      </c>
      <c r="V1013">
        <f>IF(OR($O1013="",NOT(ISNUMBER($Q1013))),"",$Q1013*1000000+1013)</f>
        <v/>
      </c>
      <c r="W1013" s="29">
        <f>IF($B1013="","",IFERROR(INDEX($U$4:$U$3183,MATCH(SMALL($V$4:$V$3183,1010),$V$4:$V$3183,0)),""))</f>
        <v/>
      </c>
    </row>
    <row r="1014">
      <c r="A1014">
        <f>IFERROR(INDEX($N$4:$N$3183,MATCH(SMALL($V$4:$V$3183,1011),$V$4:$V$3183,0)),"")</f>
        <v/>
      </c>
      <c r="B1014">
        <f>IFERROR(INDEX($O$4:$O$3183,MATCH(SMALL($V$4:$V$3183,1011),$V$4:$V$3183,0)),"")</f>
        <v/>
      </c>
      <c r="C1014">
        <f>IFERROR(INDEX($P$4:$P$3183,MATCH(SMALL($V$4:$V$3183,1011),$V$4:$V$3183,0)),"")</f>
        <v/>
      </c>
      <c r="D1014" s="29">
        <f>IFERROR(INDEX($Q$4:$Q$3183,MATCH(SMALL($V$4:$V$3183,1011),$V$4:$V$3183,0)),"")</f>
        <v/>
      </c>
      <c r="E1014" s="29">
        <f>IFERROR(INDEX($R$4:$R$3183,MATCH(SMALL($V$4:$V$3183,1011),$V$4:$V$3183,0)),"")</f>
        <v/>
      </c>
      <c r="F1014">
        <f>IFERROR(INDEX($S$4:$S$3183,MATCH(SMALL($V$4:$V$3183,1011),$V$4:$V$3183,0)),"")</f>
        <v/>
      </c>
      <c r="I1014" s="29">
        <f>IF($B1014="","",IFERROR(INDEX($U$4:$U$3183,MATCH(SMALL($V$4:$V$3183,1011),$V$4:$V$3183,0)),""))</f>
        <v/>
      </c>
      <c r="J1014">
        <f>IF($B1014="","",IF($D1014&gt;$F$2,"À venir",IF($E1014&lt;$D$2,"Passé","Dans la période")))</f>
        <v/>
      </c>
      <c r="K1014">
        <f>IF(OR($B1014="",NOT(ISNUMBER($D1014))),"",IF(AND($E1014&lt;$D$2,$G1014&lt;&gt;"X",$F1014&lt;&gt;"Réalisé",$F1014&lt;&gt;"Clôturé"),"RETARD",""))</f>
        <v/>
      </c>
      <c r="L1014">
        <f>IF(OR($B1014="",NOT(ISNUMBER($D1014))),"",IF(AND($D1014&gt;=$D$2,$D1014&lt;=$H$2,$G1014&lt;&gt;"X",$F1014&lt;&gt;"Réalisé",$F1014&lt;&gt;"Clôturé"),"≤ 7 j",""))</f>
        <v/>
      </c>
      <c r="M1014" s="29">
        <f>IF($B1014="","",IFERROR(INDEX($T$4:$T$3183,MATCH(SMALL($V$4:$V$3183,1011),$V$4:$V$3183,0)),""))</f>
        <v/>
      </c>
      <c r="O1014">
        <f>IF(INDEX(Suivi!$B:$B,1034)="","",INDEX(Suivi!$B:$B,1034))</f>
        <v/>
      </c>
      <c r="P1014">
        <f>IF($O1014="","",IF(INDEX(Suivi!$D:$D,1034)="",INDEX(Suivi!$C:$C,1034),INDEX(Suivi!$D:$D,1034)))</f>
        <v/>
      </c>
      <c r="Q1014">
        <f>IF($O1014="","",INDEX(Suivi!$E:$E,1034))</f>
        <v/>
      </c>
      <c r="R1014">
        <f>IF($O1014="","",INDEX(Suivi!$F:$F,1034))</f>
        <v/>
      </c>
      <c r="S1014">
        <f>IF($O1014="","",INDEX(Suivi!$G:$G,1034))</f>
        <v/>
      </c>
      <c r="T1014">
        <f>IF($O1014="","",IF(INDEX(Dossiers!$F$4:$F$63,20)="","",INDEX(Dossiers!$F$4:$F$63,20)))</f>
        <v/>
      </c>
      <c r="U1014">
        <f>IF($O1014="","",IF(INDEX(Dossiers!$G$4:$G$63,20)="","",INDEX(Dossiers!$G$4:$G$63,20)))</f>
        <v/>
      </c>
      <c r="V1014">
        <f>IF(OR($O1014="",NOT(ISNUMBER($Q1014))),"",$Q1014*1000000+1014)</f>
        <v/>
      </c>
      <c r="W1014" s="29">
        <f>IF($B1014="","",IFERROR(INDEX($U$4:$U$3183,MATCH(SMALL($V$4:$V$3183,1011),$V$4:$V$3183,0)),""))</f>
        <v/>
      </c>
    </row>
    <row r="1015">
      <c r="A1015">
        <f>IFERROR(INDEX($N$4:$N$3183,MATCH(SMALL($V$4:$V$3183,1012),$V$4:$V$3183,0)),"")</f>
        <v/>
      </c>
      <c r="B1015">
        <f>IFERROR(INDEX($O$4:$O$3183,MATCH(SMALL($V$4:$V$3183,1012),$V$4:$V$3183,0)),"")</f>
        <v/>
      </c>
      <c r="C1015">
        <f>IFERROR(INDEX($P$4:$P$3183,MATCH(SMALL($V$4:$V$3183,1012),$V$4:$V$3183,0)),"")</f>
        <v/>
      </c>
      <c r="D1015" s="29">
        <f>IFERROR(INDEX($Q$4:$Q$3183,MATCH(SMALL($V$4:$V$3183,1012),$V$4:$V$3183,0)),"")</f>
        <v/>
      </c>
      <c r="E1015" s="29">
        <f>IFERROR(INDEX($R$4:$R$3183,MATCH(SMALL($V$4:$V$3183,1012),$V$4:$V$3183,0)),"")</f>
        <v/>
      </c>
      <c r="F1015">
        <f>IFERROR(INDEX($S$4:$S$3183,MATCH(SMALL($V$4:$V$3183,1012),$V$4:$V$3183,0)),"")</f>
        <v/>
      </c>
      <c r="I1015" s="29">
        <f>IF($B1015="","",IFERROR(INDEX($U$4:$U$3183,MATCH(SMALL($V$4:$V$3183,1012),$V$4:$V$3183,0)),""))</f>
        <v/>
      </c>
      <c r="J1015">
        <f>IF($B1015="","",IF($D1015&gt;$F$2,"À venir",IF($E1015&lt;$D$2,"Passé","Dans la période")))</f>
        <v/>
      </c>
      <c r="K1015">
        <f>IF(OR($B1015="",NOT(ISNUMBER($D1015))),"",IF(AND($E1015&lt;$D$2,$G1015&lt;&gt;"X",$F1015&lt;&gt;"Réalisé",$F1015&lt;&gt;"Clôturé"),"RETARD",""))</f>
        <v/>
      </c>
      <c r="L1015">
        <f>IF(OR($B1015="",NOT(ISNUMBER($D1015))),"",IF(AND($D1015&gt;=$D$2,$D1015&lt;=$H$2,$G1015&lt;&gt;"X",$F1015&lt;&gt;"Réalisé",$F1015&lt;&gt;"Clôturé"),"≤ 7 j",""))</f>
        <v/>
      </c>
      <c r="M1015" s="29">
        <f>IF($B1015="","",IFERROR(INDEX($T$4:$T$3183,MATCH(SMALL($V$4:$V$3183,1012),$V$4:$V$3183,0)),""))</f>
        <v/>
      </c>
      <c r="O1015">
        <f>IF(INDEX(Suivi!$B:$B,1035)="","",INDEX(Suivi!$B:$B,1035))</f>
        <v/>
      </c>
      <c r="P1015">
        <f>IF($O1015="","",IF(INDEX(Suivi!$D:$D,1035)="",INDEX(Suivi!$C:$C,1035),INDEX(Suivi!$D:$D,1035)))</f>
        <v/>
      </c>
      <c r="Q1015">
        <f>IF($O1015="","",INDEX(Suivi!$E:$E,1035))</f>
        <v/>
      </c>
      <c r="R1015">
        <f>IF($O1015="","",INDEX(Suivi!$F:$F,1035))</f>
        <v/>
      </c>
      <c r="S1015">
        <f>IF($O1015="","",INDEX(Suivi!$G:$G,1035))</f>
        <v/>
      </c>
      <c r="T1015">
        <f>IF($O1015="","",IF(INDEX(Dossiers!$F$4:$F$63,20)="","",INDEX(Dossiers!$F$4:$F$63,20)))</f>
        <v/>
      </c>
      <c r="U1015">
        <f>IF($O1015="","",IF(INDEX(Dossiers!$G$4:$G$63,20)="","",INDEX(Dossiers!$G$4:$G$63,20)))</f>
        <v/>
      </c>
      <c r="V1015">
        <f>IF(OR($O1015="",NOT(ISNUMBER($Q1015))),"",$Q1015*1000000+1015)</f>
        <v/>
      </c>
      <c r="W1015" s="29">
        <f>IF($B1015="","",IFERROR(INDEX($U$4:$U$3183,MATCH(SMALL($V$4:$V$3183,1012),$V$4:$V$3183,0)),""))</f>
        <v/>
      </c>
    </row>
    <row r="1016">
      <c r="A1016">
        <f>IFERROR(INDEX($N$4:$N$3183,MATCH(SMALL($V$4:$V$3183,1013),$V$4:$V$3183,0)),"")</f>
        <v/>
      </c>
      <c r="B1016">
        <f>IFERROR(INDEX($O$4:$O$3183,MATCH(SMALL($V$4:$V$3183,1013),$V$4:$V$3183,0)),"")</f>
        <v/>
      </c>
      <c r="C1016">
        <f>IFERROR(INDEX($P$4:$P$3183,MATCH(SMALL($V$4:$V$3183,1013),$V$4:$V$3183,0)),"")</f>
        <v/>
      </c>
      <c r="D1016" s="29">
        <f>IFERROR(INDEX($Q$4:$Q$3183,MATCH(SMALL($V$4:$V$3183,1013),$V$4:$V$3183,0)),"")</f>
        <v/>
      </c>
      <c r="E1016" s="29">
        <f>IFERROR(INDEX($R$4:$R$3183,MATCH(SMALL($V$4:$V$3183,1013),$V$4:$V$3183,0)),"")</f>
        <v/>
      </c>
      <c r="F1016">
        <f>IFERROR(INDEX($S$4:$S$3183,MATCH(SMALL($V$4:$V$3183,1013),$V$4:$V$3183,0)),"")</f>
        <v/>
      </c>
      <c r="I1016" s="29">
        <f>IF($B1016="","",IFERROR(INDEX($U$4:$U$3183,MATCH(SMALL($V$4:$V$3183,1013),$V$4:$V$3183,0)),""))</f>
        <v/>
      </c>
      <c r="J1016">
        <f>IF($B1016="","",IF($D1016&gt;$F$2,"À venir",IF($E1016&lt;$D$2,"Passé","Dans la période")))</f>
        <v/>
      </c>
      <c r="K1016">
        <f>IF(OR($B1016="",NOT(ISNUMBER($D1016))),"",IF(AND($E1016&lt;$D$2,$G1016&lt;&gt;"X",$F1016&lt;&gt;"Réalisé",$F1016&lt;&gt;"Clôturé"),"RETARD",""))</f>
        <v/>
      </c>
      <c r="L1016">
        <f>IF(OR($B1016="",NOT(ISNUMBER($D1016))),"",IF(AND($D1016&gt;=$D$2,$D1016&lt;=$H$2,$G1016&lt;&gt;"X",$F1016&lt;&gt;"Réalisé",$F1016&lt;&gt;"Clôturé"),"≤ 7 j",""))</f>
        <v/>
      </c>
      <c r="M1016" s="29">
        <f>IF($B1016="","",IFERROR(INDEX($T$4:$T$3183,MATCH(SMALL($V$4:$V$3183,1013),$V$4:$V$3183,0)),""))</f>
        <v/>
      </c>
      <c r="O1016">
        <f>IF(INDEX(Suivi!$B:$B,1036)="","",INDEX(Suivi!$B:$B,1036))</f>
        <v/>
      </c>
      <c r="P1016">
        <f>IF($O1016="","",IF(INDEX(Suivi!$D:$D,1036)="",INDEX(Suivi!$C:$C,1036),INDEX(Suivi!$D:$D,1036)))</f>
        <v/>
      </c>
      <c r="Q1016">
        <f>IF($O1016="","",INDEX(Suivi!$E:$E,1036))</f>
        <v/>
      </c>
      <c r="R1016">
        <f>IF($O1016="","",INDEX(Suivi!$F:$F,1036))</f>
        <v/>
      </c>
      <c r="S1016">
        <f>IF($O1016="","",INDEX(Suivi!$G:$G,1036))</f>
        <v/>
      </c>
      <c r="T1016">
        <f>IF($O1016="","",IF(INDEX(Dossiers!$F$4:$F$63,20)="","",INDEX(Dossiers!$F$4:$F$63,20)))</f>
        <v/>
      </c>
      <c r="U1016">
        <f>IF($O1016="","",IF(INDEX(Dossiers!$G$4:$G$63,20)="","",INDEX(Dossiers!$G$4:$G$63,20)))</f>
        <v/>
      </c>
      <c r="V1016">
        <f>IF(OR($O1016="",NOT(ISNUMBER($Q1016))),"",$Q1016*1000000+1016)</f>
        <v/>
      </c>
      <c r="W1016" s="29">
        <f>IF($B1016="","",IFERROR(INDEX($U$4:$U$3183,MATCH(SMALL($V$4:$V$3183,1013),$V$4:$V$3183,0)),""))</f>
        <v/>
      </c>
    </row>
    <row r="1017">
      <c r="A1017">
        <f>IFERROR(INDEX($N$4:$N$3183,MATCH(SMALL($V$4:$V$3183,1014),$V$4:$V$3183,0)),"")</f>
        <v/>
      </c>
      <c r="B1017">
        <f>IFERROR(INDEX($O$4:$O$3183,MATCH(SMALL($V$4:$V$3183,1014),$V$4:$V$3183,0)),"")</f>
        <v/>
      </c>
      <c r="C1017">
        <f>IFERROR(INDEX($P$4:$P$3183,MATCH(SMALL($V$4:$V$3183,1014),$V$4:$V$3183,0)),"")</f>
        <v/>
      </c>
      <c r="D1017" s="29">
        <f>IFERROR(INDEX($Q$4:$Q$3183,MATCH(SMALL($V$4:$V$3183,1014),$V$4:$V$3183,0)),"")</f>
        <v/>
      </c>
      <c r="E1017" s="29">
        <f>IFERROR(INDEX($R$4:$R$3183,MATCH(SMALL($V$4:$V$3183,1014),$V$4:$V$3183,0)),"")</f>
        <v/>
      </c>
      <c r="F1017">
        <f>IFERROR(INDEX($S$4:$S$3183,MATCH(SMALL($V$4:$V$3183,1014),$V$4:$V$3183,0)),"")</f>
        <v/>
      </c>
      <c r="I1017" s="29">
        <f>IF($B1017="","",IFERROR(INDEX($U$4:$U$3183,MATCH(SMALL($V$4:$V$3183,1014),$V$4:$V$3183,0)),""))</f>
        <v/>
      </c>
      <c r="J1017">
        <f>IF($B1017="","",IF($D1017&gt;$F$2,"À venir",IF($E1017&lt;$D$2,"Passé","Dans la période")))</f>
        <v/>
      </c>
      <c r="K1017">
        <f>IF(OR($B1017="",NOT(ISNUMBER($D1017))),"",IF(AND($E1017&lt;$D$2,$G1017&lt;&gt;"X",$F1017&lt;&gt;"Réalisé",$F1017&lt;&gt;"Clôturé"),"RETARD",""))</f>
        <v/>
      </c>
      <c r="L1017">
        <f>IF(OR($B1017="",NOT(ISNUMBER($D1017))),"",IF(AND($D1017&gt;=$D$2,$D1017&lt;=$H$2,$G1017&lt;&gt;"X",$F1017&lt;&gt;"Réalisé",$F1017&lt;&gt;"Clôturé"),"≤ 7 j",""))</f>
        <v/>
      </c>
      <c r="M1017" s="29">
        <f>IF($B1017="","",IFERROR(INDEX($T$4:$T$3183,MATCH(SMALL($V$4:$V$3183,1014),$V$4:$V$3183,0)),""))</f>
        <v/>
      </c>
      <c r="O1017">
        <f>IF(INDEX(Suivi!$B:$B,1037)="","",INDEX(Suivi!$B:$B,1037))</f>
        <v/>
      </c>
      <c r="P1017">
        <f>IF($O1017="","",IF(INDEX(Suivi!$D:$D,1037)="",INDEX(Suivi!$C:$C,1037),INDEX(Suivi!$D:$D,1037)))</f>
        <v/>
      </c>
      <c r="Q1017">
        <f>IF($O1017="","",INDEX(Suivi!$E:$E,1037))</f>
        <v/>
      </c>
      <c r="R1017">
        <f>IF($O1017="","",INDEX(Suivi!$F:$F,1037))</f>
        <v/>
      </c>
      <c r="S1017">
        <f>IF($O1017="","",INDEX(Suivi!$G:$G,1037))</f>
        <v/>
      </c>
      <c r="T1017">
        <f>IF($O1017="","",IF(INDEX(Dossiers!$F$4:$F$63,20)="","",INDEX(Dossiers!$F$4:$F$63,20)))</f>
        <v/>
      </c>
      <c r="U1017">
        <f>IF($O1017="","",IF(INDEX(Dossiers!$G$4:$G$63,20)="","",INDEX(Dossiers!$G$4:$G$63,20)))</f>
        <v/>
      </c>
      <c r="V1017">
        <f>IF(OR($O1017="",NOT(ISNUMBER($Q1017))),"",$Q1017*1000000+1017)</f>
        <v/>
      </c>
      <c r="W1017" s="29">
        <f>IF($B1017="","",IFERROR(INDEX($U$4:$U$3183,MATCH(SMALL($V$4:$V$3183,1014),$V$4:$V$3183,0)),""))</f>
        <v/>
      </c>
    </row>
    <row r="1018">
      <c r="A1018">
        <f>IFERROR(INDEX($N$4:$N$3183,MATCH(SMALL($V$4:$V$3183,1015),$V$4:$V$3183,0)),"")</f>
        <v/>
      </c>
      <c r="B1018">
        <f>IFERROR(INDEX($O$4:$O$3183,MATCH(SMALL($V$4:$V$3183,1015),$V$4:$V$3183,0)),"")</f>
        <v/>
      </c>
      <c r="C1018">
        <f>IFERROR(INDEX($P$4:$P$3183,MATCH(SMALL($V$4:$V$3183,1015),$V$4:$V$3183,0)),"")</f>
        <v/>
      </c>
      <c r="D1018" s="29">
        <f>IFERROR(INDEX($Q$4:$Q$3183,MATCH(SMALL($V$4:$V$3183,1015),$V$4:$V$3183,0)),"")</f>
        <v/>
      </c>
      <c r="E1018" s="29">
        <f>IFERROR(INDEX($R$4:$R$3183,MATCH(SMALL($V$4:$V$3183,1015),$V$4:$V$3183,0)),"")</f>
        <v/>
      </c>
      <c r="F1018">
        <f>IFERROR(INDEX($S$4:$S$3183,MATCH(SMALL($V$4:$V$3183,1015),$V$4:$V$3183,0)),"")</f>
        <v/>
      </c>
      <c r="I1018" s="29">
        <f>IF($B1018="","",IFERROR(INDEX($U$4:$U$3183,MATCH(SMALL($V$4:$V$3183,1015),$V$4:$V$3183,0)),""))</f>
        <v/>
      </c>
      <c r="J1018">
        <f>IF($B1018="","",IF($D1018&gt;$F$2,"À venir",IF($E1018&lt;$D$2,"Passé","Dans la période")))</f>
        <v/>
      </c>
      <c r="K1018">
        <f>IF(OR($B1018="",NOT(ISNUMBER($D1018))),"",IF(AND($E1018&lt;$D$2,$G1018&lt;&gt;"X",$F1018&lt;&gt;"Réalisé",$F1018&lt;&gt;"Clôturé"),"RETARD",""))</f>
        <v/>
      </c>
      <c r="L1018">
        <f>IF(OR($B1018="",NOT(ISNUMBER($D1018))),"",IF(AND($D1018&gt;=$D$2,$D1018&lt;=$H$2,$G1018&lt;&gt;"X",$F1018&lt;&gt;"Réalisé",$F1018&lt;&gt;"Clôturé"),"≤ 7 j",""))</f>
        <v/>
      </c>
      <c r="M1018" s="29">
        <f>IF($B1018="","",IFERROR(INDEX($T$4:$T$3183,MATCH(SMALL($V$4:$V$3183,1015),$V$4:$V$3183,0)),""))</f>
        <v/>
      </c>
      <c r="O1018">
        <f>IF(INDEX(Suivi!$B:$B,1038)="","",INDEX(Suivi!$B:$B,1038))</f>
        <v/>
      </c>
      <c r="P1018">
        <f>IF($O1018="","",IF(INDEX(Suivi!$D:$D,1038)="",INDEX(Suivi!$C:$C,1038),INDEX(Suivi!$D:$D,1038)))</f>
        <v/>
      </c>
      <c r="Q1018">
        <f>IF($O1018="","",INDEX(Suivi!$E:$E,1038))</f>
        <v/>
      </c>
      <c r="R1018">
        <f>IF($O1018="","",INDEX(Suivi!$F:$F,1038))</f>
        <v/>
      </c>
      <c r="S1018">
        <f>IF($O1018="","",INDEX(Suivi!$G:$G,1038))</f>
        <v/>
      </c>
      <c r="T1018">
        <f>IF($O1018="","",IF(INDEX(Dossiers!$F$4:$F$63,20)="","",INDEX(Dossiers!$F$4:$F$63,20)))</f>
        <v/>
      </c>
      <c r="U1018">
        <f>IF($O1018="","",IF(INDEX(Dossiers!$G$4:$G$63,20)="","",INDEX(Dossiers!$G$4:$G$63,20)))</f>
        <v/>
      </c>
      <c r="V1018">
        <f>IF(OR($O1018="",NOT(ISNUMBER($Q1018))),"",$Q1018*1000000+1018)</f>
        <v/>
      </c>
      <c r="W1018" s="29">
        <f>IF($B1018="","",IFERROR(INDEX($U$4:$U$3183,MATCH(SMALL($V$4:$V$3183,1015),$V$4:$V$3183,0)),""))</f>
        <v/>
      </c>
    </row>
    <row r="1019">
      <c r="A1019">
        <f>IFERROR(INDEX($N$4:$N$3183,MATCH(SMALL($V$4:$V$3183,1016),$V$4:$V$3183,0)),"")</f>
        <v/>
      </c>
      <c r="B1019">
        <f>IFERROR(INDEX($O$4:$O$3183,MATCH(SMALL($V$4:$V$3183,1016),$V$4:$V$3183,0)),"")</f>
        <v/>
      </c>
      <c r="C1019">
        <f>IFERROR(INDEX($P$4:$P$3183,MATCH(SMALL($V$4:$V$3183,1016),$V$4:$V$3183,0)),"")</f>
        <v/>
      </c>
      <c r="D1019" s="29">
        <f>IFERROR(INDEX($Q$4:$Q$3183,MATCH(SMALL($V$4:$V$3183,1016),$V$4:$V$3183,0)),"")</f>
        <v/>
      </c>
      <c r="E1019" s="29">
        <f>IFERROR(INDEX($R$4:$R$3183,MATCH(SMALL($V$4:$V$3183,1016),$V$4:$V$3183,0)),"")</f>
        <v/>
      </c>
      <c r="F1019">
        <f>IFERROR(INDEX($S$4:$S$3183,MATCH(SMALL($V$4:$V$3183,1016),$V$4:$V$3183,0)),"")</f>
        <v/>
      </c>
      <c r="I1019" s="29">
        <f>IF($B1019="","",IFERROR(INDEX($U$4:$U$3183,MATCH(SMALL($V$4:$V$3183,1016),$V$4:$V$3183,0)),""))</f>
        <v/>
      </c>
      <c r="J1019">
        <f>IF($B1019="","",IF($D1019&gt;$F$2,"À venir",IF($E1019&lt;$D$2,"Passé","Dans la période")))</f>
        <v/>
      </c>
      <c r="K1019">
        <f>IF(OR($B1019="",NOT(ISNUMBER($D1019))),"",IF(AND($E1019&lt;$D$2,$G1019&lt;&gt;"X",$F1019&lt;&gt;"Réalisé",$F1019&lt;&gt;"Clôturé"),"RETARD",""))</f>
        <v/>
      </c>
      <c r="L1019">
        <f>IF(OR($B1019="",NOT(ISNUMBER($D1019))),"",IF(AND($D1019&gt;=$D$2,$D1019&lt;=$H$2,$G1019&lt;&gt;"X",$F1019&lt;&gt;"Réalisé",$F1019&lt;&gt;"Clôturé"),"≤ 7 j",""))</f>
        <v/>
      </c>
      <c r="M1019" s="29">
        <f>IF($B1019="","",IFERROR(INDEX($T$4:$T$3183,MATCH(SMALL($V$4:$V$3183,1016),$V$4:$V$3183,0)),""))</f>
        <v/>
      </c>
      <c r="O1019">
        <f>IF(INDEX(Suivi!$B:$B,1039)="","",INDEX(Suivi!$B:$B,1039))</f>
        <v/>
      </c>
      <c r="P1019">
        <f>IF($O1019="","",IF(INDEX(Suivi!$D:$D,1039)="",INDEX(Suivi!$C:$C,1039),INDEX(Suivi!$D:$D,1039)))</f>
        <v/>
      </c>
      <c r="Q1019">
        <f>IF($O1019="","",INDEX(Suivi!$E:$E,1039))</f>
        <v/>
      </c>
      <c r="R1019">
        <f>IF($O1019="","",INDEX(Suivi!$F:$F,1039))</f>
        <v/>
      </c>
      <c r="S1019">
        <f>IF($O1019="","",INDEX(Suivi!$G:$G,1039))</f>
        <v/>
      </c>
      <c r="T1019">
        <f>IF($O1019="","",IF(INDEX(Dossiers!$F$4:$F$63,20)="","",INDEX(Dossiers!$F$4:$F$63,20)))</f>
        <v/>
      </c>
      <c r="U1019">
        <f>IF($O1019="","",IF(INDEX(Dossiers!$G$4:$G$63,20)="","",INDEX(Dossiers!$G$4:$G$63,20)))</f>
        <v/>
      </c>
      <c r="V1019">
        <f>IF(OR($O1019="",NOT(ISNUMBER($Q1019))),"",$Q1019*1000000+1019)</f>
        <v/>
      </c>
      <c r="W1019" s="29">
        <f>IF($B1019="","",IFERROR(INDEX($U$4:$U$3183,MATCH(SMALL($V$4:$V$3183,1016),$V$4:$V$3183,0)),""))</f>
        <v/>
      </c>
    </row>
    <row r="1020">
      <c r="A1020">
        <f>IFERROR(INDEX($N$4:$N$3183,MATCH(SMALL($V$4:$V$3183,1017),$V$4:$V$3183,0)),"")</f>
        <v/>
      </c>
      <c r="B1020">
        <f>IFERROR(INDEX($O$4:$O$3183,MATCH(SMALL($V$4:$V$3183,1017),$V$4:$V$3183,0)),"")</f>
        <v/>
      </c>
      <c r="C1020">
        <f>IFERROR(INDEX($P$4:$P$3183,MATCH(SMALL($V$4:$V$3183,1017),$V$4:$V$3183,0)),"")</f>
        <v/>
      </c>
      <c r="D1020" s="29">
        <f>IFERROR(INDEX($Q$4:$Q$3183,MATCH(SMALL($V$4:$V$3183,1017),$V$4:$V$3183,0)),"")</f>
        <v/>
      </c>
      <c r="E1020" s="29">
        <f>IFERROR(INDEX($R$4:$R$3183,MATCH(SMALL($V$4:$V$3183,1017),$V$4:$V$3183,0)),"")</f>
        <v/>
      </c>
      <c r="F1020">
        <f>IFERROR(INDEX($S$4:$S$3183,MATCH(SMALL($V$4:$V$3183,1017),$V$4:$V$3183,0)),"")</f>
        <v/>
      </c>
      <c r="I1020" s="29">
        <f>IF($B1020="","",IFERROR(INDEX($U$4:$U$3183,MATCH(SMALL($V$4:$V$3183,1017),$V$4:$V$3183,0)),""))</f>
        <v/>
      </c>
      <c r="J1020">
        <f>IF($B1020="","",IF($D1020&gt;$F$2,"À venir",IF($E1020&lt;$D$2,"Passé","Dans la période")))</f>
        <v/>
      </c>
      <c r="K1020">
        <f>IF(OR($B1020="",NOT(ISNUMBER($D1020))),"",IF(AND($E1020&lt;$D$2,$G1020&lt;&gt;"X",$F1020&lt;&gt;"Réalisé",$F1020&lt;&gt;"Clôturé"),"RETARD",""))</f>
        <v/>
      </c>
      <c r="L1020">
        <f>IF(OR($B1020="",NOT(ISNUMBER($D1020))),"",IF(AND($D1020&gt;=$D$2,$D1020&lt;=$H$2,$G1020&lt;&gt;"X",$F1020&lt;&gt;"Réalisé",$F1020&lt;&gt;"Clôturé"),"≤ 7 j",""))</f>
        <v/>
      </c>
      <c r="M1020" s="29">
        <f>IF($B1020="","",IFERROR(INDEX($T$4:$T$3183,MATCH(SMALL($V$4:$V$3183,1017),$V$4:$V$3183,0)),""))</f>
        <v/>
      </c>
      <c r="O1020">
        <f>IF(INDEX(Suivi!$B:$B,1040)="","",INDEX(Suivi!$B:$B,1040))</f>
        <v/>
      </c>
      <c r="P1020">
        <f>IF($O1020="","",IF(INDEX(Suivi!$D:$D,1040)="",INDEX(Suivi!$C:$C,1040),INDEX(Suivi!$D:$D,1040)))</f>
        <v/>
      </c>
      <c r="Q1020">
        <f>IF($O1020="","",INDEX(Suivi!$E:$E,1040))</f>
        <v/>
      </c>
      <c r="R1020">
        <f>IF($O1020="","",INDEX(Suivi!$F:$F,1040))</f>
        <v/>
      </c>
      <c r="S1020">
        <f>IF($O1020="","",INDEX(Suivi!$G:$G,1040))</f>
        <v/>
      </c>
      <c r="T1020">
        <f>IF($O1020="","",IF(INDEX(Dossiers!$F$4:$F$63,20)="","",INDEX(Dossiers!$F$4:$F$63,20)))</f>
        <v/>
      </c>
      <c r="U1020">
        <f>IF($O1020="","",IF(INDEX(Dossiers!$G$4:$G$63,20)="","",INDEX(Dossiers!$G$4:$G$63,20)))</f>
        <v/>
      </c>
      <c r="V1020">
        <f>IF(OR($O1020="",NOT(ISNUMBER($Q1020))),"",$Q1020*1000000+1020)</f>
        <v/>
      </c>
      <c r="W1020" s="29">
        <f>IF($B1020="","",IFERROR(INDEX($U$4:$U$3183,MATCH(SMALL($V$4:$V$3183,1017),$V$4:$V$3183,0)),""))</f>
        <v/>
      </c>
    </row>
    <row r="1021">
      <c r="A1021">
        <f>IFERROR(INDEX($N$4:$N$3183,MATCH(SMALL($V$4:$V$3183,1018),$V$4:$V$3183,0)),"")</f>
        <v/>
      </c>
      <c r="B1021">
        <f>IFERROR(INDEX($O$4:$O$3183,MATCH(SMALL($V$4:$V$3183,1018),$V$4:$V$3183,0)),"")</f>
        <v/>
      </c>
      <c r="C1021">
        <f>IFERROR(INDEX($P$4:$P$3183,MATCH(SMALL($V$4:$V$3183,1018),$V$4:$V$3183,0)),"")</f>
        <v/>
      </c>
      <c r="D1021" s="29">
        <f>IFERROR(INDEX($Q$4:$Q$3183,MATCH(SMALL($V$4:$V$3183,1018),$V$4:$V$3183,0)),"")</f>
        <v/>
      </c>
      <c r="E1021" s="29">
        <f>IFERROR(INDEX($R$4:$R$3183,MATCH(SMALL($V$4:$V$3183,1018),$V$4:$V$3183,0)),"")</f>
        <v/>
      </c>
      <c r="F1021">
        <f>IFERROR(INDEX($S$4:$S$3183,MATCH(SMALL($V$4:$V$3183,1018),$V$4:$V$3183,0)),"")</f>
        <v/>
      </c>
      <c r="I1021" s="29">
        <f>IF($B1021="","",IFERROR(INDEX($U$4:$U$3183,MATCH(SMALL($V$4:$V$3183,1018),$V$4:$V$3183,0)),""))</f>
        <v/>
      </c>
      <c r="J1021">
        <f>IF($B1021="","",IF($D1021&gt;$F$2,"À venir",IF($E1021&lt;$D$2,"Passé","Dans la période")))</f>
        <v/>
      </c>
      <c r="K1021">
        <f>IF(OR($B1021="",NOT(ISNUMBER($D1021))),"",IF(AND($E1021&lt;$D$2,$G1021&lt;&gt;"X",$F1021&lt;&gt;"Réalisé",$F1021&lt;&gt;"Clôturé"),"RETARD",""))</f>
        <v/>
      </c>
      <c r="L1021">
        <f>IF(OR($B1021="",NOT(ISNUMBER($D1021))),"",IF(AND($D1021&gt;=$D$2,$D1021&lt;=$H$2,$G1021&lt;&gt;"X",$F1021&lt;&gt;"Réalisé",$F1021&lt;&gt;"Clôturé"),"≤ 7 j",""))</f>
        <v/>
      </c>
      <c r="M1021" s="29">
        <f>IF($B1021="","",IFERROR(INDEX($T$4:$T$3183,MATCH(SMALL($V$4:$V$3183,1018),$V$4:$V$3183,0)),""))</f>
        <v/>
      </c>
      <c r="O1021">
        <f>IF(INDEX(Suivi!$B:$B,1041)="","",INDEX(Suivi!$B:$B,1041))</f>
        <v/>
      </c>
      <c r="P1021">
        <f>IF($O1021="","",IF(INDEX(Suivi!$D:$D,1041)="",INDEX(Suivi!$C:$C,1041),INDEX(Suivi!$D:$D,1041)))</f>
        <v/>
      </c>
      <c r="Q1021">
        <f>IF($O1021="","",INDEX(Suivi!$E:$E,1041))</f>
        <v/>
      </c>
      <c r="R1021">
        <f>IF($O1021="","",INDEX(Suivi!$F:$F,1041))</f>
        <v/>
      </c>
      <c r="S1021">
        <f>IF($O1021="","",INDEX(Suivi!$G:$G,1041))</f>
        <v/>
      </c>
      <c r="T1021">
        <f>IF($O1021="","",IF(INDEX(Dossiers!$F$4:$F$63,20)="","",INDEX(Dossiers!$F$4:$F$63,20)))</f>
        <v/>
      </c>
      <c r="U1021">
        <f>IF($O1021="","",IF(INDEX(Dossiers!$G$4:$G$63,20)="","",INDEX(Dossiers!$G$4:$G$63,20)))</f>
        <v/>
      </c>
      <c r="V1021">
        <f>IF(OR($O1021="",NOT(ISNUMBER($Q1021))),"",$Q1021*1000000+1021)</f>
        <v/>
      </c>
      <c r="W1021" s="29">
        <f>IF($B1021="","",IFERROR(INDEX($U$4:$U$3183,MATCH(SMALL($V$4:$V$3183,1018),$V$4:$V$3183,0)),""))</f>
        <v/>
      </c>
    </row>
    <row r="1022">
      <c r="A1022">
        <f>IFERROR(INDEX($N$4:$N$3183,MATCH(SMALL($V$4:$V$3183,1019),$V$4:$V$3183,0)),"")</f>
        <v/>
      </c>
      <c r="B1022">
        <f>IFERROR(INDEX($O$4:$O$3183,MATCH(SMALL($V$4:$V$3183,1019),$V$4:$V$3183,0)),"")</f>
        <v/>
      </c>
      <c r="C1022">
        <f>IFERROR(INDEX($P$4:$P$3183,MATCH(SMALL($V$4:$V$3183,1019),$V$4:$V$3183,0)),"")</f>
        <v/>
      </c>
      <c r="D1022" s="29">
        <f>IFERROR(INDEX($Q$4:$Q$3183,MATCH(SMALL($V$4:$V$3183,1019),$V$4:$V$3183,0)),"")</f>
        <v/>
      </c>
      <c r="E1022" s="29">
        <f>IFERROR(INDEX($R$4:$R$3183,MATCH(SMALL($V$4:$V$3183,1019),$V$4:$V$3183,0)),"")</f>
        <v/>
      </c>
      <c r="F1022">
        <f>IFERROR(INDEX($S$4:$S$3183,MATCH(SMALL($V$4:$V$3183,1019),$V$4:$V$3183,0)),"")</f>
        <v/>
      </c>
      <c r="I1022" s="29">
        <f>IF($B1022="","",IFERROR(INDEX($U$4:$U$3183,MATCH(SMALL($V$4:$V$3183,1019),$V$4:$V$3183,0)),""))</f>
        <v/>
      </c>
      <c r="J1022">
        <f>IF($B1022="","",IF($D1022&gt;$F$2,"À venir",IF($E1022&lt;$D$2,"Passé","Dans la période")))</f>
        <v/>
      </c>
      <c r="K1022">
        <f>IF(OR($B1022="",NOT(ISNUMBER($D1022))),"",IF(AND($E1022&lt;$D$2,$G1022&lt;&gt;"X",$F1022&lt;&gt;"Réalisé",$F1022&lt;&gt;"Clôturé"),"RETARD",""))</f>
        <v/>
      </c>
      <c r="L1022">
        <f>IF(OR($B1022="",NOT(ISNUMBER($D1022))),"",IF(AND($D1022&gt;=$D$2,$D1022&lt;=$H$2,$G1022&lt;&gt;"X",$F1022&lt;&gt;"Réalisé",$F1022&lt;&gt;"Clôturé"),"≤ 7 j",""))</f>
        <v/>
      </c>
      <c r="M1022" s="29">
        <f>IF($B1022="","",IFERROR(INDEX($T$4:$T$3183,MATCH(SMALL($V$4:$V$3183,1019),$V$4:$V$3183,0)),""))</f>
        <v/>
      </c>
      <c r="O1022">
        <f>IF(INDEX(Suivi!$B:$B,1042)="","",INDEX(Suivi!$B:$B,1042))</f>
        <v/>
      </c>
      <c r="P1022">
        <f>IF($O1022="","",IF(INDEX(Suivi!$D:$D,1042)="",INDEX(Suivi!$C:$C,1042),INDEX(Suivi!$D:$D,1042)))</f>
        <v/>
      </c>
      <c r="Q1022">
        <f>IF($O1022="","",INDEX(Suivi!$E:$E,1042))</f>
        <v/>
      </c>
      <c r="R1022">
        <f>IF($O1022="","",INDEX(Suivi!$F:$F,1042))</f>
        <v/>
      </c>
      <c r="S1022">
        <f>IF($O1022="","",INDEX(Suivi!$G:$G,1042))</f>
        <v/>
      </c>
      <c r="T1022">
        <f>IF($O1022="","",IF(INDEX(Dossiers!$F$4:$F$63,20)="","",INDEX(Dossiers!$F$4:$F$63,20)))</f>
        <v/>
      </c>
      <c r="U1022">
        <f>IF($O1022="","",IF(INDEX(Dossiers!$G$4:$G$63,20)="","",INDEX(Dossiers!$G$4:$G$63,20)))</f>
        <v/>
      </c>
      <c r="V1022">
        <f>IF(OR($O1022="",NOT(ISNUMBER($Q1022))),"",$Q1022*1000000+1022)</f>
        <v/>
      </c>
      <c r="W1022" s="29">
        <f>IF($B1022="","",IFERROR(INDEX($U$4:$U$3183,MATCH(SMALL($V$4:$V$3183,1019),$V$4:$V$3183,0)),""))</f>
        <v/>
      </c>
    </row>
    <row r="1023">
      <c r="A1023">
        <f>IFERROR(INDEX($N$4:$N$3183,MATCH(SMALL($V$4:$V$3183,1020),$V$4:$V$3183,0)),"")</f>
        <v/>
      </c>
      <c r="B1023">
        <f>IFERROR(INDEX($O$4:$O$3183,MATCH(SMALL($V$4:$V$3183,1020),$V$4:$V$3183,0)),"")</f>
        <v/>
      </c>
      <c r="C1023">
        <f>IFERROR(INDEX($P$4:$P$3183,MATCH(SMALL($V$4:$V$3183,1020),$V$4:$V$3183,0)),"")</f>
        <v/>
      </c>
      <c r="D1023" s="29">
        <f>IFERROR(INDEX($Q$4:$Q$3183,MATCH(SMALL($V$4:$V$3183,1020),$V$4:$V$3183,0)),"")</f>
        <v/>
      </c>
      <c r="E1023" s="29">
        <f>IFERROR(INDEX($R$4:$R$3183,MATCH(SMALL($V$4:$V$3183,1020),$V$4:$V$3183,0)),"")</f>
        <v/>
      </c>
      <c r="F1023">
        <f>IFERROR(INDEX($S$4:$S$3183,MATCH(SMALL($V$4:$V$3183,1020),$V$4:$V$3183,0)),"")</f>
        <v/>
      </c>
      <c r="I1023" s="29">
        <f>IF($B1023="","",IFERROR(INDEX($U$4:$U$3183,MATCH(SMALL($V$4:$V$3183,1020),$V$4:$V$3183,0)),""))</f>
        <v/>
      </c>
      <c r="J1023">
        <f>IF($B1023="","",IF($D1023&gt;$F$2,"À venir",IF($E1023&lt;$D$2,"Passé","Dans la période")))</f>
        <v/>
      </c>
      <c r="K1023">
        <f>IF(OR($B1023="",NOT(ISNUMBER($D1023))),"",IF(AND($E1023&lt;$D$2,$G1023&lt;&gt;"X",$F1023&lt;&gt;"Réalisé",$F1023&lt;&gt;"Clôturé"),"RETARD",""))</f>
        <v/>
      </c>
      <c r="L1023">
        <f>IF(OR($B1023="",NOT(ISNUMBER($D1023))),"",IF(AND($D1023&gt;=$D$2,$D1023&lt;=$H$2,$G1023&lt;&gt;"X",$F1023&lt;&gt;"Réalisé",$F1023&lt;&gt;"Clôturé"),"≤ 7 j",""))</f>
        <v/>
      </c>
      <c r="M1023" s="29">
        <f>IF($B1023="","",IFERROR(INDEX($T$4:$T$3183,MATCH(SMALL($V$4:$V$3183,1020),$V$4:$V$3183,0)),""))</f>
        <v/>
      </c>
      <c r="O1023">
        <f>IF(INDEX(Suivi!$B:$B,1043)="","",INDEX(Suivi!$B:$B,1043))</f>
        <v/>
      </c>
      <c r="P1023">
        <f>IF($O1023="","",IF(INDEX(Suivi!$D:$D,1043)="",INDEX(Suivi!$C:$C,1043),INDEX(Suivi!$D:$D,1043)))</f>
        <v/>
      </c>
      <c r="Q1023">
        <f>IF($O1023="","",INDEX(Suivi!$E:$E,1043))</f>
        <v/>
      </c>
      <c r="R1023">
        <f>IF($O1023="","",INDEX(Suivi!$F:$F,1043))</f>
        <v/>
      </c>
      <c r="S1023">
        <f>IF($O1023="","",INDEX(Suivi!$G:$G,1043))</f>
        <v/>
      </c>
      <c r="T1023">
        <f>IF($O1023="","",IF(INDEX(Dossiers!$F$4:$F$63,20)="","",INDEX(Dossiers!$F$4:$F$63,20)))</f>
        <v/>
      </c>
      <c r="U1023">
        <f>IF($O1023="","",IF(INDEX(Dossiers!$G$4:$G$63,20)="","",INDEX(Dossiers!$G$4:$G$63,20)))</f>
        <v/>
      </c>
      <c r="V1023">
        <f>IF(OR($O1023="",NOT(ISNUMBER($Q1023))),"",$Q1023*1000000+1023)</f>
        <v/>
      </c>
      <c r="W1023" s="29">
        <f>IF($B1023="","",IFERROR(INDEX($U$4:$U$3183,MATCH(SMALL($V$4:$V$3183,1020),$V$4:$V$3183,0)),""))</f>
        <v/>
      </c>
    </row>
    <row r="1024">
      <c r="A1024">
        <f>IFERROR(INDEX($N$4:$N$3183,MATCH(SMALL($V$4:$V$3183,1021),$V$4:$V$3183,0)),"")</f>
        <v/>
      </c>
      <c r="B1024">
        <f>IFERROR(INDEX($O$4:$O$3183,MATCH(SMALL($V$4:$V$3183,1021),$V$4:$V$3183,0)),"")</f>
        <v/>
      </c>
      <c r="C1024">
        <f>IFERROR(INDEX($P$4:$P$3183,MATCH(SMALL($V$4:$V$3183,1021),$V$4:$V$3183,0)),"")</f>
        <v/>
      </c>
      <c r="D1024" s="29">
        <f>IFERROR(INDEX($Q$4:$Q$3183,MATCH(SMALL($V$4:$V$3183,1021),$V$4:$V$3183,0)),"")</f>
        <v/>
      </c>
      <c r="E1024" s="29">
        <f>IFERROR(INDEX($R$4:$R$3183,MATCH(SMALL($V$4:$V$3183,1021),$V$4:$V$3183,0)),"")</f>
        <v/>
      </c>
      <c r="F1024">
        <f>IFERROR(INDEX($S$4:$S$3183,MATCH(SMALL($V$4:$V$3183,1021),$V$4:$V$3183,0)),"")</f>
        <v/>
      </c>
      <c r="I1024" s="29">
        <f>IF($B1024="","",IFERROR(INDEX($U$4:$U$3183,MATCH(SMALL($V$4:$V$3183,1021),$V$4:$V$3183,0)),""))</f>
        <v/>
      </c>
      <c r="J1024">
        <f>IF($B1024="","",IF($D1024&gt;$F$2,"À venir",IF($E1024&lt;$D$2,"Passé","Dans la période")))</f>
        <v/>
      </c>
      <c r="K1024">
        <f>IF(OR($B1024="",NOT(ISNUMBER($D1024))),"",IF(AND($E1024&lt;$D$2,$G1024&lt;&gt;"X",$F1024&lt;&gt;"Réalisé",$F1024&lt;&gt;"Clôturé"),"RETARD",""))</f>
        <v/>
      </c>
      <c r="L1024">
        <f>IF(OR($B1024="",NOT(ISNUMBER($D1024))),"",IF(AND($D1024&gt;=$D$2,$D1024&lt;=$H$2,$G1024&lt;&gt;"X",$F1024&lt;&gt;"Réalisé",$F1024&lt;&gt;"Clôturé"),"≤ 7 j",""))</f>
        <v/>
      </c>
      <c r="M1024" s="29">
        <f>IF($B1024="","",IFERROR(INDEX($T$4:$T$3183,MATCH(SMALL($V$4:$V$3183,1021),$V$4:$V$3183,0)),""))</f>
        <v/>
      </c>
      <c r="O1024">
        <f>IF(INDEX(Suivi!$B:$B,1044)="","",INDEX(Suivi!$B:$B,1044))</f>
        <v/>
      </c>
      <c r="P1024">
        <f>IF($O1024="","",IF(INDEX(Suivi!$D:$D,1044)="",INDEX(Suivi!$C:$C,1044),INDEX(Suivi!$D:$D,1044)))</f>
        <v/>
      </c>
      <c r="Q1024">
        <f>IF($O1024="","",INDEX(Suivi!$E:$E,1044))</f>
        <v/>
      </c>
      <c r="R1024">
        <f>IF($O1024="","",INDEX(Suivi!$F:$F,1044))</f>
        <v/>
      </c>
      <c r="S1024">
        <f>IF($O1024="","",INDEX(Suivi!$G:$G,1044))</f>
        <v/>
      </c>
      <c r="T1024">
        <f>IF($O1024="","",IF(INDEX(Dossiers!$F$4:$F$63,20)="","",INDEX(Dossiers!$F$4:$F$63,20)))</f>
        <v/>
      </c>
      <c r="U1024">
        <f>IF($O1024="","",IF(INDEX(Dossiers!$G$4:$G$63,20)="","",INDEX(Dossiers!$G$4:$G$63,20)))</f>
        <v/>
      </c>
      <c r="V1024">
        <f>IF(OR($O1024="",NOT(ISNUMBER($Q1024))),"",$Q1024*1000000+1024)</f>
        <v/>
      </c>
      <c r="W1024" s="29">
        <f>IF($B1024="","",IFERROR(INDEX($U$4:$U$3183,MATCH(SMALL($V$4:$V$3183,1021),$V$4:$V$3183,0)),""))</f>
        <v/>
      </c>
    </row>
    <row r="1025">
      <c r="A1025">
        <f>IFERROR(INDEX($N$4:$N$3183,MATCH(SMALL($V$4:$V$3183,1022),$V$4:$V$3183,0)),"")</f>
        <v/>
      </c>
      <c r="B1025">
        <f>IFERROR(INDEX($O$4:$O$3183,MATCH(SMALL($V$4:$V$3183,1022),$V$4:$V$3183,0)),"")</f>
        <v/>
      </c>
      <c r="C1025">
        <f>IFERROR(INDEX($P$4:$P$3183,MATCH(SMALL($V$4:$V$3183,1022),$V$4:$V$3183,0)),"")</f>
        <v/>
      </c>
      <c r="D1025" s="29">
        <f>IFERROR(INDEX($Q$4:$Q$3183,MATCH(SMALL($V$4:$V$3183,1022),$V$4:$V$3183,0)),"")</f>
        <v/>
      </c>
      <c r="E1025" s="29">
        <f>IFERROR(INDEX($R$4:$R$3183,MATCH(SMALL($V$4:$V$3183,1022),$V$4:$V$3183,0)),"")</f>
        <v/>
      </c>
      <c r="F1025">
        <f>IFERROR(INDEX($S$4:$S$3183,MATCH(SMALL($V$4:$V$3183,1022),$V$4:$V$3183,0)),"")</f>
        <v/>
      </c>
      <c r="I1025" s="29">
        <f>IF($B1025="","",IFERROR(INDEX($U$4:$U$3183,MATCH(SMALL($V$4:$V$3183,1022),$V$4:$V$3183,0)),""))</f>
        <v/>
      </c>
      <c r="J1025">
        <f>IF($B1025="","",IF($D1025&gt;$F$2,"À venir",IF($E1025&lt;$D$2,"Passé","Dans la période")))</f>
        <v/>
      </c>
      <c r="K1025">
        <f>IF(OR($B1025="",NOT(ISNUMBER($D1025))),"",IF(AND($E1025&lt;$D$2,$G1025&lt;&gt;"X",$F1025&lt;&gt;"Réalisé",$F1025&lt;&gt;"Clôturé"),"RETARD",""))</f>
        <v/>
      </c>
      <c r="L1025">
        <f>IF(OR($B1025="",NOT(ISNUMBER($D1025))),"",IF(AND($D1025&gt;=$D$2,$D1025&lt;=$H$2,$G1025&lt;&gt;"X",$F1025&lt;&gt;"Réalisé",$F1025&lt;&gt;"Clôturé"),"≤ 7 j",""))</f>
        <v/>
      </c>
      <c r="M1025" s="29">
        <f>IF($B1025="","",IFERROR(INDEX($T$4:$T$3183,MATCH(SMALL($V$4:$V$3183,1022),$V$4:$V$3183,0)),""))</f>
        <v/>
      </c>
      <c r="O1025">
        <f>IF(INDEX(Suivi!$B:$B,1045)="","",INDEX(Suivi!$B:$B,1045))</f>
        <v/>
      </c>
      <c r="P1025">
        <f>IF($O1025="","",IF(INDEX(Suivi!$D:$D,1045)="",INDEX(Suivi!$C:$C,1045),INDEX(Suivi!$D:$D,1045)))</f>
        <v/>
      </c>
      <c r="Q1025">
        <f>IF($O1025="","",INDEX(Suivi!$E:$E,1045))</f>
        <v/>
      </c>
      <c r="R1025">
        <f>IF($O1025="","",INDEX(Suivi!$F:$F,1045))</f>
        <v/>
      </c>
      <c r="S1025">
        <f>IF($O1025="","",INDEX(Suivi!$G:$G,1045))</f>
        <v/>
      </c>
      <c r="T1025">
        <f>IF($O1025="","",IF(INDEX(Dossiers!$F$4:$F$63,20)="","",INDEX(Dossiers!$F$4:$F$63,20)))</f>
        <v/>
      </c>
      <c r="U1025">
        <f>IF($O1025="","",IF(INDEX(Dossiers!$G$4:$G$63,20)="","",INDEX(Dossiers!$G$4:$G$63,20)))</f>
        <v/>
      </c>
      <c r="V1025">
        <f>IF(OR($O1025="",NOT(ISNUMBER($Q1025))),"",$Q1025*1000000+1025)</f>
        <v/>
      </c>
      <c r="W1025" s="29">
        <f>IF($B1025="","",IFERROR(INDEX($U$4:$U$3183,MATCH(SMALL($V$4:$V$3183,1022),$V$4:$V$3183,0)),""))</f>
        <v/>
      </c>
    </row>
    <row r="1026">
      <c r="A1026">
        <f>IFERROR(INDEX($N$4:$N$3183,MATCH(SMALL($V$4:$V$3183,1023),$V$4:$V$3183,0)),"")</f>
        <v/>
      </c>
      <c r="B1026">
        <f>IFERROR(INDEX($O$4:$O$3183,MATCH(SMALL($V$4:$V$3183,1023),$V$4:$V$3183,0)),"")</f>
        <v/>
      </c>
      <c r="C1026">
        <f>IFERROR(INDEX($P$4:$P$3183,MATCH(SMALL($V$4:$V$3183,1023),$V$4:$V$3183,0)),"")</f>
        <v/>
      </c>
      <c r="D1026" s="29">
        <f>IFERROR(INDEX($Q$4:$Q$3183,MATCH(SMALL($V$4:$V$3183,1023),$V$4:$V$3183,0)),"")</f>
        <v/>
      </c>
      <c r="E1026" s="29">
        <f>IFERROR(INDEX($R$4:$R$3183,MATCH(SMALL($V$4:$V$3183,1023),$V$4:$V$3183,0)),"")</f>
        <v/>
      </c>
      <c r="F1026">
        <f>IFERROR(INDEX($S$4:$S$3183,MATCH(SMALL($V$4:$V$3183,1023),$V$4:$V$3183,0)),"")</f>
        <v/>
      </c>
      <c r="I1026" s="29">
        <f>IF($B1026="","",IFERROR(INDEX($U$4:$U$3183,MATCH(SMALL($V$4:$V$3183,1023),$V$4:$V$3183,0)),""))</f>
        <v/>
      </c>
      <c r="J1026">
        <f>IF($B1026="","",IF($D1026&gt;$F$2,"À venir",IF($E1026&lt;$D$2,"Passé","Dans la période")))</f>
        <v/>
      </c>
      <c r="K1026">
        <f>IF(OR($B1026="",NOT(ISNUMBER($D1026))),"",IF(AND($E1026&lt;$D$2,$G1026&lt;&gt;"X",$F1026&lt;&gt;"Réalisé",$F1026&lt;&gt;"Clôturé"),"RETARD",""))</f>
        <v/>
      </c>
      <c r="L1026">
        <f>IF(OR($B1026="",NOT(ISNUMBER($D1026))),"",IF(AND($D1026&gt;=$D$2,$D1026&lt;=$H$2,$G1026&lt;&gt;"X",$F1026&lt;&gt;"Réalisé",$F1026&lt;&gt;"Clôturé"),"≤ 7 j",""))</f>
        <v/>
      </c>
      <c r="M1026" s="29">
        <f>IF($B1026="","",IFERROR(INDEX($T$4:$T$3183,MATCH(SMALL($V$4:$V$3183,1023),$V$4:$V$3183,0)),""))</f>
        <v/>
      </c>
      <c r="O1026">
        <f>IF(INDEX(Suivi!$B:$B,1046)="","",INDEX(Suivi!$B:$B,1046))</f>
        <v/>
      </c>
      <c r="P1026">
        <f>IF($O1026="","",IF(INDEX(Suivi!$D:$D,1046)="",INDEX(Suivi!$C:$C,1046),INDEX(Suivi!$D:$D,1046)))</f>
        <v/>
      </c>
      <c r="Q1026">
        <f>IF($O1026="","",INDEX(Suivi!$E:$E,1046))</f>
        <v/>
      </c>
      <c r="R1026">
        <f>IF($O1026="","",INDEX(Suivi!$F:$F,1046))</f>
        <v/>
      </c>
      <c r="S1026">
        <f>IF($O1026="","",INDEX(Suivi!$G:$G,1046))</f>
        <v/>
      </c>
      <c r="T1026">
        <f>IF($O1026="","",IF(INDEX(Dossiers!$F$4:$F$63,20)="","",INDEX(Dossiers!$F$4:$F$63,20)))</f>
        <v/>
      </c>
      <c r="U1026">
        <f>IF($O1026="","",IF(INDEX(Dossiers!$G$4:$G$63,20)="","",INDEX(Dossiers!$G$4:$G$63,20)))</f>
        <v/>
      </c>
      <c r="V1026">
        <f>IF(OR($O1026="",NOT(ISNUMBER($Q1026))),"",$Q1026*1000000+1026)</f>
        <v/>
      </c>
      <c r="W1026" s="29">
        <f>IF($B1026="","",IFERROR(INDEX($U$4:$U$3183,MATCH(SMALL($V$4:$V$3183,1023),$V$4:$V$3183,0)),""))</f>
        <v/>
      </c>
    </row>
    <row r="1027">
      <c r="A1027">
        <f>IFERROR(INDEX($N$4:$N$3183,MATCH(SMALL($V$4:$V$3183,1024),$V$4:$V$3183,0)),"")</f>
        <v/>
      </c>
      <c r="B1027">
        <f>IFERROR(INDEX($O$4:$O$3183,MATCH(SMALL($V$4:$V$3183,1024),$V$4:$V$3183,0)),"")</f>
        <v/>
      </c>
      <c r="C1027">
        <f>IFERROR(INDEX($P$4:$P$3183,MATCH(SMALL($V$4:$V$3183,1024),$V$4:$V$3183,0)),"")</f>
        <v/>
      </c>
      <c r="D1027" s="29">
        <f>IFERROR(INDEX($Q$4:$Q$3183,MATCH(SMALL($V$4:$V$3183,1024),$V$4:$V$3183,0)),"")</f>
        <v/>
      </c>
      <c r="E1027" s="29">
        <f>IFERROR(INDEX($R$4:$R$3183,MATCH(SMALL($V$4:$V$3183,1024),$V$4:$V$3183,0)),"")</f>
        <v/>
      </c>
      <c r="F1027">
        <f>IFERROR(INDEX($S$4:$S$3183,MATCH(SMALL($V$4:$V$3183,1024),$V$4:$V$3183,0)),"")</f>
        <v/>
      </c>
      <c r="I1027" s="29">
        <f>IF($B1027="","",IFERROR(INDEX($U$4:$U$3183,MATCH(SMALL($V$4:$V$3183,1024),$V$4:$V$3183,0)),""))</f>
        <v/>
      </c>
      <c r="J1027">
        <f>IF($B1027="","",IF($D1027&gt;$F$2,"À venir",IF($E1027&lt;$D$2,"Passé","Dans la période")))</f>
        <v/>
      </c>
      <c r="K1027">
        <f>IF(OR($B1027="",NOT(ISNUMBER($D1027))),"",IF(AND($E1027&lt;$D$2,$G1027&lt;&gt;"X",$F1027&lt;&gt;"Réalisé",$F1027&lt;&gt;"Clôturé"),"RETARD",""))</f>
        <v/>
      </c>
      <c r="L1027">
        <f>IF(OR($B1027="",NOT(ISNUMBER($D1027))),"",IF(AND($D1027&gt;=$D$2,$D1027&lt;=$H$2,$G1027&lt;&gt;"X",$F1027&lt;&gt;"Réalisé",$F1027&lt;&gt;"Clôturé"),"≤ 7 j",""))</f>
        <v/>
      </c>
      <c r="M1027" s="29">
        <f>IF($B1027="","",IFERROR(INDEX($T$4:$T$3183,MATCH(SMALL($V$4:$V$3183,1024),$V$4:$V$3183,0)),""))</f>
        <v/>
      </c>
      <c r="O1027">
        <f>IF(INDEX(Suivi!$B:$B,1047)="","",INDEX(Suivi!$B:$B,1047))</f>
        <v/>
      </c>
      <c r="P1027">
        <f>IF($O1027="","",IF(INDEX(Suivi!$D:$D,1047)="",INDEX(Suivi!$C:$C,1047),INDEX(Suivi!$D:$D,1047)))</f>
        <v/>
      </c>
      <c r="Q1027">
        <f>IF($O1027="","",INDEX(Suivi!$E:$E,1047))</f>
        <v/>
      </c>
      <c r="R1027">
        <f>IF($O1027="","",INDEX(Suivi!$F:$F,1047))</f>
        <v/>
      </c>
      <c r="S1027">
        <f>IF($O1027="","",INDEX(Suivi!$G:$G,1047))</f>
        <v/>
      </c>
      <c r="T1027">
        <f>IF($O1027="","",IF(INDEX(Dossiers!$F$4:$F$63,20)="","",INDEX(Dossiers!$F$4:$F$63,20)))</f>
        <v/>
      </c>
      <c r="U1027">
        <f>IF($O1027="","",IF(INDEX(Dossiers!$G$4:$G$63,20)="","",INDEX(Dossiers!$G$4:$G$63,20)))</f>
        <v/>
      </c>
      <c r="V1027">
        <f>IF(OR($O1027="",NOT(ISNUMBER($Q1027))),"",$Q1027*1000000+1027)</f>
        <v/>
      </c>
      <c r="W1027" s="29">
        <f>IF($B1027="","",IFERROR(INDEX($U$4:$U$3183,MATCH(SMALL($V$4:$V$3183,1024),$V$4:$V$3183,0)),""))</f>
        <v/>
      </c>
    </row>
    <row r="1028">
      <c r="A1028">
        <f>IFERROR(INDEX($N$4:$N$3183,MATCH(SMALL($V$4:$V$3183,1025),$V$4:$V$3183,0)),"")</f>
        <v/>
      </c>
      <c r="B1028">
        <f>IFERROR(INDEX($O$4:$O$3183,MATCH(SMALL($V$4:$V$3183,1025),$V$4:$V$3183,0)),"")</f>
        <v/>
      </c>
      <c r="C1028">
        <f>IFERROR(INDEX($P$4:$P$3183,MATCH(SMALL($V$4:$V$3183,1025),$V$4:$V$3183,0)),"")</f>
        <v/>
      </c>
      <c r="D1028" s="29">
        <f>IFERROR(INDEX($Q$4:$Q$3183,MATCH(SMALL($V$4:$V$3183,1025),$V$4:$V$3183,0)),"")</f>
        <v/>
      </c>
      <c r="E1028" s="29">
        <f>IFERROR(INDEX($R$4:$R$3183,MATCH(SMALL($V$4:$V$3183,1025),$V$4:$V$3183,0)),"")</f>
        <v/>
      </c>
      <c r="F1028">
        <f>IFERROR(INDEX($S$4:$S$3183,MATCH(SMALL($V$4:$V$3183,1025),$V$4:$V$3183,0)),"")</f>
        <v/>
      </c>
      <c r="I1028" s="29">
        <f>IF($B1028="","",IFERROR(INDEX($U$4:$U$3183,MATCH(SMALL($V$4:$V$3183,1025),$V$4:$V$3183,0)),""))</f>
        <v/>
      </c>
      <c r="J1028">
        <f>IF($B1028="","",IF($D1028&gt;$F$2,"À venir",IF($E1028&lt;$D$2,"Passé","Dans la période")))</f>
        <v/>
      </c>
      <c r="K1028">
        <f>IF(OR($B1028="",NOT(ISNUMBER($D1028))),"",IF(AND($E1028&lt;$D$2,$G1028&lt;&gt;"X",$F1028&lt;&gt;"Réalisé",$F1028&lt;&gt;"Clôturé"),"RETARD",""))</f>
        <v/>
      </c>
      <c r="L1028">
        <f>IF(OR($B1028="",NOT(ISNUMBER($D1028))),"",IF(AND($D1028&gt;=$D$2,$D1028&lt;=$H$2,$G1028&lt;&gt;"X",$F1028&lt;&gt;"Réalisé",$F1028&lt;&gt;"Clôturé"),"≤ 7 j",""))</f>
        <v/>
      </c>
      <c r="M1028" s="29">
        <f>IF($B1028="","",IFERROR(INDEX($T$4:$T$3183,MATCH(SMALL($V$4:$V$3183,1025),$V$4:$V$3183,0)),""))</f>
        <v/>
      </c>
      <c r="O1028">
        <f>IF(INDEX(Suivi!$B:$B,1048)="","",INDEX(Suivi!$B:$B,1048))</f>
        <v/>
      </c>
      <c r="P1028">
        <f>IF($O1028="","",IF(INDEX(Suivi!$D:$D,1048)="",INDEX(Suivi!$C:$C,1048),INDEX(Suivi!$D:$D,1048)))</f>
        <v/>
      </c>
      <c r="Q1028">
        <f>IF($O1028="","",INDEX(Suivi!$E:$E,1048))</f>
        <v/>
      </c>
      <c r="R1028">
        <f>IF($O1028="","",INDEX(Suivi!$F:$F,1048))</f>
        <v/>
      </c>
      <c r="S1028">
        <f>IF($O1028="","",INDEX(Suivi!$G:$G,1048))</f>
        <v/>
      </c>
      <c r="T1028">
        <f>IF($O1028="","",IF(INDEX(Dossiers!$F$4:$F$63,20)="","",INDEX(Dossiers!$F$4:$F$63,20)))</f>
        <v/>
      </c>
      <c r="U1028">
        <f>IF($O1028="","",IF(INDEX(Dossiers!$G$4:$G$63,20)="","",INDEX(Dossiers!$G$4:$G$63,20)))</f>
        <v/>
      </c>
      <c r="V1028">
        <f>IF(OR($O1028="",NOT(ISNUMBER($Q1028))),"",$Q1028*1000000+1028)</f>
        <v/>
      </c>
      <c r="W1028" s="29">
        <f>IF($B1028="","",IFERROR(INDEX($U$4:$U$3183,MATCH(SMALL($V$4:$V$3183,1025),$V$4:$V$3183,0)),""))</f>
        <v/>
      </c>
    </row>
    <row r="1029">
      <c r="A1029">
        <f>IFERROR(INDEX($N$4:$N$3183,MATCH(SMALL($V$4:$V$3183,1026),$V$4:$V$3183,0)),"")</f>
        <v/>
      </c>
      <c r="B1029">
        <f>IFERROR(INDEX($O$4:$O$3183,MATCH(SMALL($V$4:$V$3183,1026),$V$4:$V$3183,0)),"")</f>
        <v/>
      </c>
      <c r="C1029">
        <f>IFERROR(INDEX($P$4:$P$3183,MATCH(SMALL($V$4:$V$3183,1026),$V$4:$V$3183,0)),"")</f>
        <v/>
      </c>
      <c r="D1029" s="29">
        <f>IFERROR(INDEX($Q$4:$Q$3183,MATCH(SMALL($V$4:$V$3183,1026),$V$4:$V$3183,0)),"")</f>
        <v/>
      </c>
      <c r="E1029" s="29">
        <f>IFERROR(INDEX($R$4:$R$3183,MATCH(SMALL($V$4:$V$3183,1026),$V$4:$V$3183,0)),"")</f>
        <v/>
      </c>
      <c r="F1029">
        <f>IFERROR(INDEX($S$4:$S$3183,MATCH(SMALL($V$4:$V$3183,1026),$V$4:$V$3183,0)),"")</f>
        <v/>
      </c>
      <c r="I1029" s="29">
        <f>IF($B1029="","",IFERROR(INDEX($U$4:$U$3183,MATCH(SMALL($V$4:$V$3183,1026),$V$4:$V$3183,0)),""))</f>
        <v/>
      </c>
      <c r="J1029">
        <f>IF($B1029="","",IF($D1029&gt;$F$2,"À venir",IF($E1029&lt;$D$2,"Passé","Dans la période")))</f>
        <v/>
      </c>
      <c r="K1029">
        <f>IF(OR($B1029="",NOT(ISNUMBER($D1029))),"",IF(AND($E1029&lt;$D$2,$G1029&lt;&gt;"X",$F1029&lt;&gt;"Réalisé",$F1029&lt;&gt;"Clôturé"),"RETARD",""))</f>
        <v/>
      </c>
      <c r="L1029">
        <f>IF(OR($B1029="",NOT(ISNUMBER($D1029))),"",IF(AND($D1029&gt;=$D$2,$D1029&lt;=$H$2,$G1029&lt;&gt;"X",$F1029&lt;&gt;"Réalisé",$F1029&lt;&gt;"Clôturé"),"≤ 7 j",""))</f>
        <v/>
      </c>
      <c r="M1029" s="29">
        <f>IF($B1029="","",IFERROR(INDEX($T$4:$T$3183,MATCH(SMALL($V$4:$V$3183,1026),$V$4:$V$3183,0)),""))</f>
        <v/>
      </c>
      <c r="O1029">
        <f>IF(INDEX(Suivi!$B:$B,1049)="","",INDEX(Suivi!$B:$B,1049))</f>
        <v/>
      </c>
      <c r="P1029">
        <f>IF($O1029="","",IF(INDEX(Suivi!$D:$D,1049)="",INDEX(Suivi!$C:$C,1049),INDEX(Suivi!$D:$D,1049)))</f>
        <v/>
      </c>
      <c r="Q1029">
        <f>IF($O1029="","",INDEX(Suivi!$E:$E,1049))</f>
        <v/>
      </c>
      <c r="R1029">
        <f>IF($O1029="","",INDEX(Suivi!$F:$F,1049))</f>
        <v/>
      </c>
      <c r="S1029">
        <f>IF($O1029="","",INDEX(Suivi!$G:$G,1049))</f>
        <v/>
      </c>
      <c r="T1029">
        <f>IF($O1029="","",IF(INDEX(Dossiers!$F$4:$F$63,20)="","",INDEX(Dossiers!$F$4:$F$63,20)))</f>
        <v/>
      </c>
      <c r="U1029">
        <f>IF($O1029="","",IF(INDEX(Dossiers!$G$4:$G$63,20)="","",INDEX(Dossiers!$G$4:$G$63,20)))</f>
        <v/>
      </c>
      <c r="V1029">
        <f>IF(OR($O1029="",NOT(ISNUMBER($Q1029))),"",$Q1029*1000000+1029)</f>
        <v/>
      </c>
      <c r="W1029" s="29">
        <f>IF($B1029="","",IFERROR(INDEX($U$4:$U$3183,MATCH(SMALL($V$4:$V$3183,1026),$V$4:$V$3183,0)),""))</f>
        <v/>
      </c>
    </row>
    <row r="1030">
      <c r="A1030">
        <f>IFERROR(INDEX($N$4:$N$3183,MATCH(SMALL($V$4:$V$3183,1027),$V$4:$V$3183,0)),"")</f>
        <v/>
      </c>
      <c r="B1030">
        <f>IFERROR(INDEX($O$4:$O$3183,MATCH(SMALL($V$4:$V$3183,1027),$V$4:$V$3183,0)),"")</f>
        <v/>
      </c>
      <c r="C1030">
        <f>IFERROR(INDEX($P$4:$P$3183,MATCH(SMALL($V$4:$V$3183,1027),$V$4:$V$3183,0)),"")</f>
        <v/>
      </c>
      <c r="D1030" s="29">
        <f>IFERROR(INDEX($Q$4:$Q$3183,MATCH(SMALL($V$4:$V$3183,1027),$V$4:$V$3183,0)),"")</f>
        <v/>
      </c>
      <c r="E1030" s="29">
        <f>IFERROR(INDEX($R$4:$R$3183,MATCH(SMALL($V$4:$V$3183,1027),$V$4:$V$3183,0)),"")</f>
        <v/>
      </c>
      <c r="F1030">
        <f>IFERROR(INDEX($S$4:$S$3183,MATCH(SMALL($V$4:$V$3183,1027),$V$4:$V$3183,0)),"")</f>
        <v/>
      </c>
      <c r="I1030" s="29">
        <f>IF($B1030="","",IFERROR(INDEX($U$4:$U$3183,MATCH(SMALL($V$4:$V$3183,1027),$V$4:$V$3183,0)),""))</f>
        <v/>
      </c>
      <c r="J1030">
        <f>IF($B1030="","",IF($D1030&gt;$F$2,"À venir",IF($E1030&lt;$D$2,"Passé","Dans la période")))</f>
        <v/>
      </c>
      <c r="K1030">
        <f>IF(OR($B1030="",NOT(ISNUMBER($D1030))),"",IF(AND($E1030&lt;$D$2,$G1030&lt;&gt;"X",$F1030&lt;&gt;"Réalisé",$F1030&lt;&gt;"Clôturé"),"RETARD",""))</f>
        <v/>
      </c>
      <c r="L1030">
        <f>IF(OR($B1030="",NOT(ISNUMBER($D1030))),"",IF(AND($D1030&gt;=$D$2,$D1030&lt;=$H$2,$G1030&lt;&gt;"X",$F1030&lt;&gt;"Réalisé",$F1030&lt;&gt;"Clôturé"),"≤ 7 j",""))</f>
        <v/>
      </c>
      <c r="M1030" s="29">
        <f>IF($B1030="","",IFERROR(INDEX($T$4:$T$3183,MATCH(SMALL($V$4:$V$3183,1027),$V$4:$V$3183,0)),""))</f>
        <v/>
      </c>
      <c r="O1030">
        <f>IF(INDEX(Suivi!$B:$B,1050)="","",INDEX(Suivi!$B:$B,1050))</f>
        <v/>
      </c>
      <c r="P1030">
        <f>IF($O1030="","",IF(INDEX(Suivi!$D:$D,1050)="",INDEX(Suivi!$C:$C,1050),INDEX(Suivi!$D:$D,1050)))</f>
        <v/>
      </c>
      <c r="Q1030">
        <f>IF($O1030="","",INDEX(Suivi!$E:$E,1050))</f>
        <v/>
      </c>
      <c r="R1030">
        <f>IF($O1030="","",INDEX(Suivi!$F:$F,1050))</f>
        <v/>
      </c>
      <c r="S1030">
        <f>IF($O1030="","",INDEX(Suivi!$G:$G,1050))</f>
        <v/>
      </c>
      <c r="T1030">
        <f>IF($O1030="","",IF(INDEX(Dossiers!$F$4:$F$63,20)="","",INDEX(Dossiers!$F$4:$F$63,20)))</f>
        <v/>
      </c>
      <c r="U1030">
        <f>IF($O1030="","",IF(INDEX(Dossiers!$G$4:$G$63,20)="","",INDEX(Dossiers!$G$4:$G$63,20)))</f>
        <v/>
      </c>
      <c r="V1030">
        <f>IF(OR($O1030="",NOT(ISNUMBER($Q1030))),"",$Q1030*1000000+1030)</f>
        <v/>
      </c>
      <c r="W1030" s="29">
        <f>IF($B1030="","",IFERROR(INDEX($U$4:$U$3183,MATCH(SMALL($V$4:$V$3183,1027),$V$4:$V$3183,0)),""))</f>
        <v/>
      </c>
    </row>
    <row r="1031">
      <c r="A1031">
        <f>IFERROR(INDEX($N$4:$N$3183,MATCH(SMALL($V$4:$V$3183,1028),$V$4:$V$3183,0)),"")</f>
        <v/>
      </c>
      <c r="B1031">
        <f>IFERROR(INDEX($O$4:$O$3183,MATCH(SMALL($V$4:$V$3183,1028),$V$4:$V$3183,0)),"")</f>
        <v/>
      </c>
      <c r="C1031">
        <f>IFERROR(INDEX($P$4:$P$3183,MATCH(SMALL($V$4:$V$3183,1028),$V$4:$V$3183,0)),"")</f>
        <v/>
      </c>
      <c r="D1031" s="29">
        <f>IFERROR(INDEX($Q$4:$Q$3183,MATCH(SMALL($V$4:$V$3183,1028),$V$4:$V$3183,0)),"")</f>
        <v/>
      </c>
      <c r="E1031" s="29">
        <f>IFERROR(INDEX($R$4:$R$3183,MATCH(SMALL($V$4:$V$3183,1028),$V$4:$V$3183,0)),"")</f>
        <v/>
      </c>
      <c r="F1031">
        <f>IFERROR(INDEX($S$4:$S$3183,MATCH(SMALL($V$4:$V$3183,1028),$V$4:$V$3183,0)),"")</f>
        <v/>
      </c>
      <c r="I1031" s="29">
        <f>IF($B1031="","",IFERROR(INDEX($U$4:$U$3183,MATCH(SMALL($V$4:$V$3183,1028),$V$4:$V$3183,0)),""))</f>
        <v/>
      </c>
      <c r="J1031">
        <f>IF($B1031="","",IF($D1031&gt;$F$2,"À venir",IF($E1031&lt;$D$2,"Passé","Dans la période")))</f>
        <v/>
      </c>
      <c r="K1031">
        <f>IF(OR($B1031="",NOT(ISNUMBER($D1031))),"",IF(AND($E1031&lt;$D$2,$G1031&lt;&gt;"X",$F1031&lt;&gt;"Réalisé",$F1031&lt;&gt;"Clôturé"),"RETARD",""))</f>
        <v/>
      </c>
      <c r="L1031">
        <f>IF(OR($B1031="",NOT(ISNUMBER($D1031))),"",IF(AND($D1031&gt;=$D$2,$D1031&lt;=$H$2,$G1031&lt;&gt;"X",$F1031&lt;&gt;"Réalisé",$F1031&lt;&gt;"Clôturé"),"≤ 7 j",""))</f>
        <v/>
      </c>
      <c r="M1031" s="29">
        <f>IF($B1031="","",IFERROR(INDEX($T$4:$T$3183,MATCH(SMALL($V$4:$V$3183,1028),$V$4:$V$3183,0)),""))</f>
        <v/>
      </c>
      <c r="O1031">
        <f>IF(INDEX(Suivi!$B:$B,1051)="","",INDEX(Suivi!$B:$B,1051))</f>
        <v/>
      </c>
      <c r="P1031">
        <f>IF($O1031="","",IF(INDEX(Suivi!$D:$D,1051)="",INDEX(Suivi!$C:$C,1051),INDEX(Suivi!$D:$D,1051)))</f>
        <v/>
      </c>
      <c r="Q1031">
        <f>IF($O1031="","",INDEX(Suivi!$E:$E,1051))</f>
        <v/>
      </c>
      <c r="R1031">
        <f>IF($O1031="","",INDEX(Suivi!$F:$F,1051))</f>
        <v/>
      </c>
      <c r="S1031">
        <f>IF($O1031="","",INDEX(Suivi!$G:$G,1051))</f>
        <v/>
      </c>
      <c r="T1031">
        <f>IF($O1031="","",IF(INDEX(Dossiers!$F$4:$F$63,20)="","",INDEX(Dossiers!$F$4:$F$63,20)))</f>
        <v/>
      </c>
      <c r="U1031">
        <f>IF($O1031="","",IF(INDEX(Dossiers!$G$4:$G$63,20)="","",INDEX(Dossiers!$G$4:$G$63,20)))</f>
        <v/>
      </c>
      <c r="V1031">
        <f>IF(OR($O1031="",NOT(ISNUMBER($Q1031))),"",$Q1031*1000000+1031)</f>
        <v/>
      </c>
      <c r="W1031" s="29">
        <f>IF($B1031="","",IFERROR(INDEX($U$4:$U$3183,MATCH(SMALL($V$4:$V$3183,1028),$V$4:$V$3183,0)),""))</f>
        <v/>
      </c>
    </row>
    <row r="1032">
      <c r="A1032">
        <f>IFERROR(INDEX($N$4:$N$3183,MATCH(SMALL($V$4:$V$3183,1029),$V$4:$V$3183,0)),"")</f>
        <v/>
      </c>
      <c r="B1032">
        <f>IFERROR(INDEX($O$4:$O$3183,MATCH(SMALL($V$4:$V$3183,1029),$V$4:$V$3183,0)),"")</f>
        <v/>
      </c>
      <c r="C1032">
        <f>IFERROR(INDEX($P$4:$P$3183,MATCH(SMALL($V$4:$V$3183,1029),$V$4:$V$3183,0)),"")</f>
        <v/>
      </c>
      <c r="D1032" s="29">
        <f>IFERROR(INDEX($Q$4:$Q$3183,MATCH(SMALL($V$4:$V$3183,1029),$V$4:$V$3183,0)),"")</f>
        <v/>
      </c>
      <c r="E1032" s="29">
        <f>IFERROR(INDEX($R$4:$R$3183,MATCH(SMALL($V$4:$V$3183,1029),$V$4:$V$3183,0)),"")</f>
        <v/>
      </c>
      <c r="F1032">
        <f>IFERROR(INDEX($S$4:$S$3183,MATCH(SMALL($V$4:$V$3183,1029),$V$4:$V$3183,0)),"")</f>
        <v/>
      </c>
      <c r="I1032" s="29">
        <f>IF($B1032="","",IFERROR(INDEX($U$4:$U$3183,MATCH(SMALL($V$4:$V$3183,1029),$V$4:$V$3183,0)),""))</f>
        <v/>
      </c>
      <c r="J1032">
        <f>IF($B1032="","",IF($D1032&gt;$F$2,"À venir",IF($E1032&lt;$D$2,"Passé","Dans la période")))</f>
        <v/>
      </c>
      <c r="K1032">
        <f>IF(OR($B1032="",NOT(ISNUMBER($D1032))),"",IF(AND($E1032&lt;$D$2,$G1032&lt;&gt;"X",$F1032&lt;&gt;"Réalisé",$F1032&lt;&gt;"Clôturé"),"RETARD",""))</f>
        <v/>
      </c>
      <c r="L1032">
        <f>IF(OR($B1032="",NOT(ISNUMBER($D1032))),"",IF(AND($D1032&gt;=$D$2,$D1032&lt;=$H$2,$G1032&lt;&gt;"X",$F1032&lt;&gt;"Réalisé",$F1032&lt;&gt;"Clôturé"),"≤ 7 j",""))</f>
        <v/>
      </c>
      <c r="M1032" s="29">
        <f>IF($B1032="","",IFERROR(INDEX($T$4:$T$3183,MATCH(SMALL($V$4:$V$3183,1029),$V$4:$V$3183,0)),""))</f>
        <v/>
      </c>
      <c r="O1032">
        <f>IF(INDEX(Suivi!$B:$B,1052)="","",INDEX(Suivi!$B:$B,1052))</f>
        <v/>
      </c>
      <c r="P1032">
        <f>IF($O1032="","",IF(INDEX(Suivi!$D:$D,1052)="",INDEX(Suivi!$C:$C,1052),INDEX(Suivi!$D:$D,1052)))</f>
        <v/>
      </c>
      <c r="Q1032">
        <f>IF($O1032="","",INDEX(Suivi!$E:$E,1052))</f>
        <v/>
      </c>
      <c r="R1032">
        <f>IF($O1032="","",INDEX(Suivi!$F:$F,1052))</f>
        <v/>
      </c>
      <c r="S1032">
        <f>IF($O1032="","",INDEX(Suivi!$G:$G,1052))</f>
        <v/>
      </c>
      <c r="T1032">
        <f>IF($O1032="","",IF(INDEX(Dossiers!$F$4:$F$63,20)="","",INDEX(Dossiers!$F$4:$F$63,20)))</f>
        <v/>
      </c>
      <c r="U1032">
        <f>IF($O1032="","",IF(INDEX(Dossiers!$G$4:$G$63,20)="","",INDEX(Dossiers!$G$4:$G$63,20)))</f>
        <v/>
      </c>
      <c r="V1032">
        <f>IF(OR($O1032="",NOT(ISNUMBER($Q1032))),"",$Q1032*1000000+1032)</f>
        <v/>
      </c>
      <c r="W1032" s="29">
        <f>IF($B1032="","",IFERROR(INDEX($U$4:$U$3183,MATCH(SMALL($V$4:$V$3183,1029),$V$4:$V$3183,0)),""))</f>
        <v/>
      </c>
    </row>
    <row r="1033">
      <c r="A1033">
        <f>IFERROR(INDEX($N$4:$N$3183,MATCH(SMALL($V$4:$V$3183,1030),$V$4:$V$3183,0)),"")</f>
        <v/>
      </c>
      <c r="B1033">
        <f>IFERROR(INDEX($O$4:$O$3183,MATCH(SMALL($V$4:$V$3183,1030),$V$4:$V$3183,0)),"")</f>
        <v/>
      </c>
      <c r="C1033">
        <f>IFERROR(INDEX($P$4:$P$3183,MATCH(SMALL($V$4:$V$3183,1030),$V$4:$V$3183,0)),"")</f>
        <v/>
      </c>
      <c r="D1033" s="29">
        <f>IFERROR(INDEX($Q$4:$Q$3183,MATCH(SMALL($V$4:$V$3183,1030),$V$4:$V$3183,0)),"")</f>
        <v/>
      </c>
      <c r="E1033" s="29">
        <f>IFERROR(INDEX($R$4:$R$3183,MATCH(SMALL($V$4:$V$3183,1030),$V$4:$V$3183,0)),"")</f>
        <v/>
      </c>
      <c r="F1033">
        <f>IFERROR(INDEX($S$4:$S$3183,MATCH(SMALL($V$4:$V$3183,1030),$V$4:$V$3183,0)),"")</f>
        <v/>
      </c>
      <c r="I1033" s="29">
        <f>IF($B1033="","",IFERROR(INDEX($U$4:$U$3183,MATCH(SMALL($V$4:$V$3183,1030),$V$4:$V$3183,0)),""))</f>
        <v/>
      </c>
      <c r="J1033">
        <f>IF($B1033="","",IF($D1033&gt;$F$2,"À venir",IF($E1033&lt;$D$2,"Passé","Dans la période")))</f>
        <v/>
      </c>
      <c r="K1033">
        <f>IF(OR($B1033="",NOT(ISNUMBER($D1033))),"",IF(AND($E1033&lt;$D$2,$G1033&lt;&gt;"X",$F1033&lt;&gt;"Réalisé",$F1033&lt;&gt;"Clôturé"),"RETARD",""))</f>
        <v/>
      </c>
      <c r="L1033">
        <f>IF(OR($B1033="",NOT(ISNUMBER($D1033))),"",IF(AND($D1033&gt;=$D$2,$D1033&lt;=$H$2,$G1033&lt;&gt;"X",$F1033&lt;&gt;"Réalisé",$F1033&lt;&gt;"Clôturé"),"≤ 7 j",""))</f>
        <v/>
      </c>
      <c r="M1033" s="29">
        <f>IF($B1033="","",IFERROR(INDEX($T$4:$T$3183,MATCH(SMALL($V$4:$V$3183,1030),$V$4:$V$3183,0)),""))</f>
        <v/>
      </c>
      <c r="O1033">
        <f>IF(INDEX(Suivi!$B:$B,1053)="","",INDEX(Suivi!$B:$B,1053))</f>
        <v/>
      </c>
      <c r="P1033">
        <f>IF($O1033="","",IF(INDEX(Suivi!$D:$D,1053)="",INDEX(Suivi!$C:$C,1053),INDEX(Suivi!$D:$D,1053)))</f>
        <v/>
      </c>
      <c r="Q1033">
        <f>IF($O1033="","",INDEX(Suivi!$E:$E,1053))</f>
        <v/>
      </c>
      <c r="R1033">
        <f>IF($O1033="","",INDEX(Suivi!$F:$F,1053))</f>
        <v/>
      </c>
      <c r="S1033">
        <f>IF($O1033="","",INDEX(Suivi!$G:$G,1053))</f>
        <v/>
      </c>
      <c r="T1033">
        <f>IF($O1033="","",IF(INDEX(Dossiers!$F$4:$F$63,20)="","",INDEX(Dossiers!$F$4:$F$63,20)))</f>
        <v/>
      </c>
      <c r="U1033">
        <f>IF($O1033="","",IF(INDEX(Dossiers!$G$4:$G$63,20)="","",INDEX(Dossiers!$G$4:$G$63,20)))</f>
        <v/>
      </c>
      <c r="V1033">
        <f>IF(OR($O1033="",NOT(ISNUMBER($Q1033))),"",$Q1033*1000000+1033)</f>
        <v/>
      </c>
      <c r="W1033" s="29">
        <f>IF($B1033="","",IFERROR(INDEX($U$4:$U$3183,MATCH(SMALL($V$4:$V$3183,1030),$V$4:$V$3183,0)),""))</f>
        <v/>
      </c>
    </row>
    <row r="1034">
      <c r="A1034">
        <f>IFERROR(INDEX($N$4:$N$3183,MATCH(SMALL($V$4:$V$3183,1031),$V$4:$V$3183,0)),"")</f>
        <v/>
      </c>
      <c r="B1034">
        <f>IFERROR(INDEX($O$4:$O$3183,MATCH(SMALL($V$4:$V$3183,1031),$V$4:$V$3183,0)),"")</f>
        <v/>
      </c>
      <c r="C1034">
        <f>IFERROR(INDEX($P$4:$P$3183,MATCH(SMALL($V$4:$V$3183,1031),$V$4:$V$3183,0)),"")</f>
        <v/>
      </c>
      <c r="D1034" s="29">
        <f>IFERROR(INDEX($Q$4:$Q$3183,MATCH(SMALL($V$4:$V$3183,1031),$V$4:$V$3183,0)),"")</f>
        <v/>
      </c>
      <c r="E1034" s="29">
        <f>IFERROR(INDEX($R$4:$R$3183,MATCH(SMALL($V$4:$V$3183,1031),$V$4:$V$3183,0)),"")</f>
        <v/>
      </c>
      <c r="F1034">
        <f>IFERROR(INDEX($S$4:$S$3183,MATCH(SMALL($V$4:$V$3183,1031),$V$4:$V$3183,0)),"")</f>
        <v/>
      </c>
      <c r="I1034" s="29">
        <f>IF($B1034="","",IFERROR(INDEX($U$4:$U$3183,MATCH(SMALL($V$4:$V$3183,1031),$V$4:$V$3183,0)),""))</f>
        <v/>
      </c>
      <c r="J1034">
        <f>IF($B1034="","",IF($D1034&gt;$F$2,"À venir",IF($E1034&lt;$D$2,"Passé","Dans la période")))</f>
        <v/>
      </c>
      <c r="K1034">
        <f>IF(OR($B1034="",NOT(ISNUMBER($D1034))),"",IF(AND($E1034&lt;$D$2,$G1034&lt;&gt;"X",$F1034&lt;&gt;"Réalisé",$F1034&lt;&gt;"Clôturé"),"RETARD",""))</f>
        <v/>
      </c>
      <c r="L1034">
        <f>IF(OR($B1034="",NOT(ISNUMBER($D1034))),"",IF(AND($D1034&gt;=$D$2,$D1034&lt;=$H$2,$G1034&lt;&gt;"X",$F1034&lt;&gt;"Réalisé",$F1034&lt;&gt;"Clôturé"),"≤ 7 j",""))</f>
        <v/>
      </c>
      <c r="M1034" s="29">
        <f>IF($B1034="","",IFERROR(INDEX($T$4:$T$3183,MATCH(SMALL($V$4:$V$3183,1031),$V$4:$V$3183,0)),""))</f>
        <v/>
      </c>
      <c r="O1034">
        <f>IF(INDEX(Suivi!$B:$B,1054)="","",INDEX(Suivi!$B:$B,1054))</f>
        <v/>
      </c>
      <c r="P1034">
        <f>IF($O1034="","",IF(INDEX(Suivi!$D:$D,1054)="",INDEX(Suivi!$C:$C,1054),INDEX(Suivi!$D:$D,1054)))</f>
        <v/>
      </c>
      <c r="Q1034">
        <f>IF($O1034="","",INDEX(Suivi!$E:$E,1054))</f>
        <v/>
      </c>
      <c r="R1034">
        <f>IF($O1034="","",INDEX(Suivi!$F:$F,1054))</f>
        <v/>
      </c>
      <c r="S1034">
        <f>IF($O1034="","",INDEX(Suivi!$G:$G,1054))</f>
        <v/>
      </c>
      <c r="T1034">
        <f>IF($O1034="","",IF(INDEX(Dossiers!$F$4:$F$63,20)="","",INDEX(Dossiers!$F$4:$F$63,20)))</f>
        <v/>
      </c>
      <c r="U1034">
        <f>IF($O1034="","",IF(INDEX(Dossiers!$G$4:$G$63,20)="","",INDEX(Dossiers!$G$4:$G$63,20)))</f>
        <v/>
      </c>
      <c r="V1034">
        <f>IF(OR($O1034="",NOT(ISNUMBER($Q1034))),"",$Q1034*1000000+1034)</f>
        <v/>
      </c>
      <c r="W1034" s="29">
        <f>IF($B1034="","",IFERROR(INDEX($U$4:$U$3183,MATCH(SMALL($V$4:$V$3183,1031),$V$4:$V$3183,0)),""))</f>
        <v/>
      </c>
    </row>
    <row r="1035">
      <c r="A1035">
        <f>IFERROR(INDEX($N$4:$N$3183,MATCH(SMALL($V$4:$V$3183,1032),$V$4:$V$3183,0)),"")</f>
        <v/>
      </c>
      <c r="B1035">
        <f>IFERROR(INDEX($O$4:$O$3183,MATCH(SMALL($V$4:$V$3183,1032),$V$4:$V$3183,0)),"")</f>
        <v/>
      </c>
      <c r="C1035">
        <f>IFERROR(INDEX($P$4:$P$3183,MATCH(SMALL($V$4:$V$3183,1032),$V$4:$V$3183,0)),"")</f>
        <v/>
      </c>
      <c r="D1035" s="29">
        <f>IFERROR(INDEX($Q$4:$Q$3183,MATCH(SMALL($V$4:$V$3183,1032),$V$4:$V$3183,0)),"")</f>
        <v/>
      </c>
      <c r="E1035" s="29">
        <f>IFERROR(INDEX($R$4:$R$3183,MATCH(SMALL($V$4:$V$3183,1032),$V$4:$V$3183,0)),"")</f>
        <v/>
      </c>
      <c r="F1035">
        <f>IFERROR(INDEX($S$4:$S$3183,MATCH(SMALL($V$4:$V$3183,1032),$V$4:$V$3183,0)),"")</f>
        <v/>
      </c>
      <c r="I1035" s="29">
        <f>IF($B1035="","",IFERROR(INDEX($U$4:$U$3183,MATCH(SMALL($V$4:$V$3183,1032),$V$4:$V$3183,0)),""))</f>
        <v/>
      </c>
      <c r="J1035">
        <f>IF($B1035="","",IF($D1035&gt;$F$2,"À venir",IF($E1035&lt;$D$2,"Passé","Dans la période")))</f>
        <v/>
      </c>
      <c r="K1035">
        <f>IF(OR($B1035="",NOT(ISNUMBER($D1035))),"",IF(AND($E1035&lt;$D$2,$G1035&lt;&gt;"X",$F1035&lt;&gt;"Réalisé",$F1035&lt;&gt;"Clôturé"),"RETARD",""))</f>
        <v/>
      </c>
      <c r="L1035">
        <f>IF(OR($B1035="",NOT(ISNUMBER($D1035))),"",IF(AND($D1035&gt;=$D$2,$D1035&lt;=$H$2,$G1035&lt;&gt;"X",$F1035&lt;&gt;"Réalisé",$F1035&lt;&gt;"Clôturé"),"≤ 7 j",""))</f>
        <v/>
      </c>
      <c r="M1035" s="29">
        <f>IF($B1035="","",IFERROR(INDEX($T$4:$T$3183,MATCH(SMALL($V$4:$V$3183,1032),$V$4:$V$3183,0)),""))</f>
        <v/>
      </c>
      <c r="O1035">
        <f>IF(INDEX(Suivi!$B:$B,1055)="","",INDEX(Suivi!$B:$B,1055))</f>
        <v/>
      </c>
      <c r="P1035">
        <f>IF($O1035="","",IF(INDEX(Suivi!$D:$D,1055)="",INDEX(Suivi!$C:$C,1055),INDEX(Suivi!$D:$D,1055)))</f>
        <v/>
      </c>
      <c r="Q1035">
        <f>IF($O1035="","",INDEX(Suivi!$E:$E,1055))</f>
        <v/>
      </c>
      <c r="R1035">
        <f>IF($O1035="","",INDEX(Suivi!$F:$F,1055))</f>
        <v/>
      </c>
      <c r="S1035">
        <f>IF($O1035="","",INDEX(Suivi!$G:$G,1055))</f>
        <v/>
      </c>
      <c r="T1035">
        <f>IF($O1035="","",IF(INDEX(Dossiers!$F$4:$F$63,20)="","",INDEX(Dossiers!$F$4:$F$63,20)))</f>
        <v/>
      </c>
      <c r="U1035">
        <f>IF($O1035="","",IF(INDEX(Dossiers!$G$4:$G$63,20)="","",INDEX(Dossiers!$G$4:$G$63,20)))</f>
        <v/>
      </c>
      <c r="V1035">
        <f>IF(OR($O1035="",NOT(ISNUMBER($Q1035))),"",$Q1035*1000000+1035)</f>
        <v/>
      </c>
      <c r="W1035" s="29">
        <f>IF($B1035="","",IFERROR(INDEX($U$4:$U$3183,MATCH(SMALL($V$4:$V$3183,1032),$V$4:$V$3183,0)),""))</f>
        <v/>
      </c>
    </row>
    <row r="1036">
      <c r="A1036">
        <f>IFERROR(INDEX($N$4:$N$3183,MATCH(SMALL($V$4:$V$3183,1033),$V$4:$V$3183,0)),"")</f>
        <v/>
      </c>
      <c r="B1036">
        <f>IFERROR(INDEX($O$4:$O$3183,MATCH(SMALL($V$4:$V$3183,1033),$V$4:$V$3183,0)),"")</f>
        <v/>
      </c>
      <c r="C1036">
        <f>IFERROR(INDEX($P$4:$P$3183,MATCH(SMALL($V$4:$V$3183,1033),$V$4:$V$3183,0)),"")</f>
        <v/>
      </c>
      <c r="D1036" s="29">
        <f>IFERROR(INDEX($Q$4:$Q$3183,MATCH(SMALL($V$4:$V$3183,1033),$V$4:$V$3183,0)),"")</f>
        <v/>
      </c>
      <c r="E1036" s="29">
        <f>IFERROR(INDEX($R$4:$R$3183,MATCH(SMALL($V$4:$V$3183,1033),$V$4:$V$3183,0)),"")</f>
        <v/>
      </c>
      <c r="F1036">
        <f>IFERROR(INDEX($S$4:$S$3183,MATCH(SMALL($V$4:$V$3183,1033),$V$4:$V$3183,0)),"")</f>
        <v/>
      </c>
      <c r="I1036" s="29">
        <f>IF($B1036="","",IFERROR(INDEX($U$4:$U$3183,MATCH(SMALL($V$4:$V$3183,1033),$V$4:$V$3183,0)),""))</f>
        <v/>
      </c>
      <c r="J1036">
        <f>IF($B1036="","",IF($D1036&gt;$F$2,"À venir",IF($E1036&lt;$D$2,"Passé","Dans la période")))</f>
        <v/>
      </c>
      <c r="K1036">
        <f>IF(OR($B1036="",NOT(ISNUMBER($D1036))),"",IF(AND($E1036&lt;$D$2,$G1036&lt;&gt;"X",$F1036&lt;&gt;"Réalisé",$F1036&lt;&gt;"Clôturé"),"RETARD",""))</f>
        <v/>
      </c>
      <c r="L1036">
        <f>IF(OR($B1036="",NOT(ISNUMBER($D1036))),"",IF(AND($D1036&gt;=$D$2,$D1036&lt;=$H$2,$G1036&lt;&gt;"X",$F1036&lt;&gt;"Réalisé",$F1036&lt;&gt;"Clôturé"),"≤ 7 j",""))</f>
        <v/>
      </c>
      <c r="M1036" s="29">
        <f>IF($B1036="","",IFERROR(INDEX($T$4:$T$3183,MATCH(SMALL($V$4:$V$3183,1033),$V$4:$V$3183,0)),""))</f>
        <v/>
      </c>
      <c r="O1036">
        <f>IF(INDEX(Suivi!$B:$B,1056)="","",INDEX(Suivi!$B:$B,1056))</f>
        <v/>
      </c>
      <c r="P1036">
        <f>IF($O1036="","",IF(INDEX(Suivi!$D:$D,1056)="",INDEX(Suivi!$C:$C,1056),INDEX(Suivi!$D:$D,1056)))</f>
        <v/>
      </c>
      <c r="Q1036">
        <f>IF($O1036="","",INDEX(Suivi!$E:$E,1056))</f>
        <v/>
      </c>
      <c r="R1036">
        <f>IF($O1036="","",INDEX(Suivi!$F:$F,1056))</f>
        <v/>
      </c>
      <c r="S1036">
        <f>IF($O1036="","",INDEX(Suivi!$G:$G,1056))</f>
        <v/>
      </c>
      <c r="T1036">
        <f>IF($O1036="","",IF(INDEX(Dossiers!$F$4:$F$63,20)="","",INDEX(Dossiers!$F$4:$F$63,20)))</f>
        <v/>
      </c>
      <c r="U1036">
        <f>IF($O1036="","",IF(INDEX(Dossiers!$G$4:$G$63,20)="","",INDEX(Dossiers!$G$4:$G$63,20)))</f>
        <v/>
      </c>
      <c r="V1036">
        <f>IF(OR($O1036="",NOT(ISNUMBER($Q1036))),"",$Q1036*1000000+1036)</f>
        <v/>
      </c>
      <c r="W1036" s="29">
        <f>IF($B1036="","",IFERROR(INDEX($U$4:$U$3183,MATCH(SMALL($V$4:$V$3183,1033),$V$4:$V$3183,0)),""))</f>
        <v/>
      </c>
    </row>
    <row r="1037">
      <c r="A1037">
        <f>IFERROR(INDEX($N$4:$N$3183,MATCH(SMALL($V$4:$V$3183,1034),$V$4:$V$3183,0)),"")</f>
        <v/>
      </c>
      <c r="B1037">
        <f>IFERROR(INDEX($O$4:$O$3183,MATCH(SMALL($V$4:$V$3183,1034),$V$4:$V$3183,0)),"")</f>
        <v/>
      </c>
      <c r="C1037">
        <f>IFERROR(INDEX($P$4:$P$3183,MATCH(SMALL($V$4:$V$3183,1034),$V$4:$V$3183,0)),"")</f>
        <v/>
      </c>
      <c r="D1037" s="29">
        <f>IFERROR(INDEX($Q$4:$Q$3183,MATCH(SMALL($V$4:$V$3183,1034),$V$4:$V$3183,0)),"")</f>
        <v/>
      </c>
      <c r="E1037" s="29">
        <f>IFERROR(INDEX($R$4:$R$3183,MATCH(SMALL($V$4:$V$3183,1034),$V$4:$V$3183,0)),"")</f>
        <v/>
      </c>
      <c r="F1037">
        <f>IFERROR(INDEX($S$4:$S$3183,MATCH(SMALL($V$4:$V$3183,1034),$V$4:$V$3183,0)),"")</f>
        <v/>
      </c>
      <c r="I1037" s="29">
        <f>IF($B1037="","",IFERROR(INDEX($U$4:$U$3183,MATCH(SMALL($V$4:$V$3183,1034),$V$4:$V$3183,0)),""))</f>
        <v/>
      </c>
      <c r="J1037">
        <f>IF($B1037="","",IF($D1037&gt;$F$2,"À venir",IF($E1037&lt;$D$2,"Passé","Dans la période")))</f>
        <v/>
      </c>
      <c r="K1037">
        <f>IF(OR($B1037="",NOT(ISNUMBER($D1037))),"",IF(AND($E1037&lt;$D$2,$G1037&lt;&gt;"X",$F1037&lt;&gt;"Réalisé",$F1037&lt;&gt;"Clôturé"),"RETARD",""))</f>
        <v/>
      </c>
      <c r="L1037">
        <f>IF(OR($B1037="",NOT(ISNUMBER($D1037))),"",IF(AND($D1037&gt;=$D$2,$D1037&lt;=$H$2,$G1037&lt;&gt;"X",$F1037&lt;&gt;"Réalisé",$F1037&lt;&gt;"Clôturé"),"≤ 7 j",""))</f>
        <v/>
      </c>
      <c r="M1037" s="29">
        <f>IF($B1037="","",IFERROR(INDEX($T$4:$T$3183,MATCH(SMALL($V$4:$V$3183,1034),$V$4:$V$3183,0)),""))</f>
        <v/>
      </c>
      <c r="O1037">
        <f>IF(INDEX(Suivi!$B:$B,1057)="","",INDEX(Suivi!$B:$B,1057))</f>
        <v/>
      </c>
      <c r="P1037">
        <f>IF($O1037="","",IF(INDEX(Suivi!$D:$D,1057)="",INDEX(Suivi!$C:$C,1057),INDEX(Suivi!$D:$D,1057)))</f>
        <v/>
      </c>
      <c r="Q1037">
        <f>IF($O1037="","",INDEX(Suivi!$E:$E,1057))</f>
        <v/>
      </c>
      <c r="R1037">
        <f>IF($O1037="","",INDEX(Suivi!$F:$F,1057))</f>
        <v/>
      </c>
      <c r="S1037">
        <f>IF($O1037="","",INDEX(Suivi!$G:$G,1057))</f>
        <v/>
      </c>
      <c r="T1037">
        <f>IF($O1037="","",IF(INDEX(Dossiers!$F$4:$F$63,20)="","",INDEX(Dossiers!$F$4:$F$63,20)))</f>
        <v/>
      </c>
      <c r="U1037">
        <f>IF($O1037="","",IF(INDEX(Dossiers!$G$4:$G$63,20)="","",INDEX(Dossiers!$G$4:$G$63,20)))</f>
        <v/>
      </c>
      <c r="V1037">
        <f>IF(OR($O1037="",NOT(ISNUMBER($Q1037))),"",$Q1037*1000000+1037)</f>
        <v/>
      </c>
      <c r="W1037" s="29">
        <f>IF($B1037="","",IFERROR(INDEX($U$4:$U$3183,MATCH(SMALL($V$4:$V$3183,1034),$V$4:$V$3183,0)),""))</f>
        <v/>
      </c>
    </row>
    <row r="1038">
      <c r="A1038">
        <f>IFERROR(INDEX($N$4:$N$3183,MATCH(SMALL($V$4:$V$3183,1035),$V$4:$V$3183,0)),"")</f>
        <v/>
      </c>
      <c r="B1038">
        <f>IFERROR(INDEX($O$4:$O$3183,MATCH(SMALL($V$4:$V$3183,1035),$V$4:$V$3183,0)),"")</f>
        <v/>
      </c>
      <c r="C1038">
        <f>IFERROR(INDEX($P$4:$P$3183,MATCH(SMALL($V$4:$V$3183,1035),$V$4:$V$3183,0)),"")</f>
        <v/>
      </c>
      <c r="D1038" s="29">
        <f>IFERROR(INDEX($Q$4:$Q$3183,MATCH(SMALL($V$4:$V$3183,1035),$V$4:$V$3183,0)),"")</f>
        <v/>
      </c>
      <c r="E1038" s="29">
        <f>IFERROR(INDEX($R$4:$R$3183,MATCH(SMALL($V$4:$V$3183,1035),$V$4:$V$3183,0)),"")</f>
        <v/>
      </c>
      <c r="F1038">
        <f>IFERROR(INDEX($S$4:$S$3183,MATCH(SMALL($V$4:$V$3183,1035),$V$4:$V$3183,0)),"")</f>
        <v/>
      </c>
      <c r="I1038" s="29">
        <f>IF($B1038="","",IFERROR(INDEX($U$4:$U$3183,MATCH(SMALL($V$4:$V$3183,1035),$V$4:$V$3183,0)),""))</f>
        <v/>
      </c>
      <c r="J1038">
        <f>IF($B1038="","",IF($D1038&gt;$F$2,"À venir",IF($E1038&lt;$D$2,"Passé","Dans la période")))</f>
        <v/>
      </c>
      <c r="K1038">
        <f>IF(OR($B1038="",NOT(ISNUMBER($D1038))),"",IF(AND($E1038&lt;$D$2,$G1038&lt;&gt;"X",$F1038&lt;&gt;"Réalisé",$F1038&lt;&gt;"Clôturé"),"RETARD",""))</f>
        <v/>
      </c>
      <c r="L1038">
        <f>IF(OR($B1038="",NOT(ISNUMBER($D1038))),"",IF(AND($D1038&gt;=$D$2,$D1038&lt;=$H$2,$G1038&lt;&gt;"X",$F1038&lt;&gt;"Réalisé",$F1038&lt;&gt;"Clôturé"),"≤ 7 j",""))</f>
        <v/>
      </c>
      <c r="M1038" s="29">
        <f>IF($B1038="","",IFERROR(INDEX($T$4:$T$3183,MATCH(SMALL($V$4:$V$3183,1035),$V$4:$V$3183,0)),""))</f>
        <v/>
      </c>
      <c r="O1038">
        <f>IF(INDEX(Suivi!$B:$B,1058)="","",INDEX(Suivi!$B:$B,1058))</f>
        <v/>
      </c>
      <c r="P1038">
        <f>IF($O1038="","",IF(INDEX(Suivi!$D:$D,1058)="",INDEX(Suivi!$C:$C,1058),INDEX(Suivi!$D:$D,1058)))</f>
        <v/>
      </c>
      <c r="Q1038">
        <f>IF($O1038="","",INDEX(Suivi!$E:$E,1058))</f>
        <v/>
      </c>
      <c r="R1038">
        <f>IF($O1038="","",INDEX(Suivi!$F:$F,1058))</f>
        <v/>
      </c>
      <c r="S1038">
        <f>IF($O1038="","",INDEX(Suivi!$G:$G,1058))</f>
        <v/>
      </c>
      <c r="T1038">
        <f>IF($O1038="","",IF(INDEX(Dossiers!$F$4:$F$63,20)="","",INDEX(Dossiers!$F$4:$F$63,20)))</f>
        <v/>
      </c>
      <c r="U1038">
        <f>IF($O1038="","",IF(INDEX(Dossiers!$G$4:$G$63,20)="","",INDEX(Dossiers!$G$4:$G$63,20)))</f>
        <v/>
      </c>
      <c r="V1038">
        <f>IF(OR($O1038="",NOT(ISNUMBER($Q1038))),"",$Q1038*1000000+1038)</f>
        <v/>
      </c>
      <c r="W1038" s="29">
        <f>IF($B1038="","",IFERROR(INDEX($U$4:$U$3183,MATCH(SMALL($V$4:$V$3183,1035),$V$4:$V$3183,0)),""))</f>
        <v/>
      </c>
    </row>
    <row r="1039">
      <c r="A1039">
        <f>IFERROR(INDEX($N$4:$N$3183,MATCH(SMALL($V$4:$V$3183,1036),$V$4:$V$3183,0)),"")</f>
        <v/>
      </c>
      <c r="B1039">
        <f>IFERROR(INDEX($O$4:$O$3183,MATCH(SMALL($V$4:$V$3183,1036),$V$4:$V$3183,0)),"")</f>
        <v/>
      </c>
      <c r="C1039">
        <f>IFERROR(INDEX($P$4:$P$3183,MATCH(SMALL($V$4:$V$3183,1036),$V$4:$V$3183,0)),"")</f>
        <v/>
      </c>
      <c r="D1039" s="29">
        <f>IFERROR(INDEX($Q$4:$Q$3183,MATCH(SMALL($V$4:$V$3183,1036),$V$4:$V$3183,0)),"")</f>
        <v/>
      </c>
      <c r="E1039" s="29">
        <f>IFERROR(INDEX($R$4:$R$3183,MATCH(SMALL($V$4:$V$3183,1036),$V$4:$V$3183,0)),"")</f>
        <v/>
      </c>
      <c r="F1039">
        <f>IFERROR(INDEX($S$4:$S$3183,MATCH(SMALL($V$4:$V$3183,1036),$V$4:$V$3183,0)),"")</f>
        <v/>
      </c>
      <c r="I1039" s="29">
        <f>IF($B1039="","",IFERROR(INDEX($U$4:$U$3183,MATCH(SMALL($V$4:$V$3183,1036),$V$4:$V$3183,0)),""))</f>
        <v/>
      </c>
      <c r="J1039">
        <f>IF($B1039="","",IF($D1039&gt;$F$2,"À venir",IF($E1039&lt;$D$2,"Passé","Dans la période")))</f>
        <v/>
      </c>
      <c r="K1039">
        <f>IF(OR($B1039="",NOT(ISNUMBER($D1039))),"",IF(AND($E1039&lt;$D$2,$G1039&lt;&gt;"X",$F1039&lt;&gt;"Réalisé",$F1039&lt;&gt;"Clôturé"),"RETARD",""))</f>
        <v/>
      </c>
      <c r="L1039">
        <f>IF(OR($B1039="",NOT(ISNUMBER($D1039))),"",IF(AND($D1039&gt;=$D$2,$D1039&lt;=$H$2,$G1039&lt;&gt;"X",$F1039&lt;&gt;"Réalisé",$F1039&lt;&gt;"Clôturé"),"≤ 7 j",""))</f>
        <v/>
      </c>
      <c r="M1039" s="29">
        <f>IF($B1039="","",IFERROR(INDEX($T$4:$T$3183,MATCH(SMALL($V$4:$V$3183,1036),$V$4:$V$3183,0)),""))</f>
        <v/>
      </c>
      <c r="O1039">
        <f>IF(INDEX(Suivi!$B:$B,1059)="","",INDEX(Suivi!$B:$B,1059))</f>
        <v/>
      </c>
      <c r="P1039">
        <f>IF($O1039="","",IF(INDEX(Suivi!$D:$D,1059)="",INDEX(Suivi!$C:$C,1059),INDEX(Suivi!$D:$D,1059)))</f>
        <v/>
      </c>
      <c r="Q1039">
        <f>IF($O1039="","",INDEX(Suivi!$E:$E,1059))</f>
        <v/>
      </c>
      <c r="R1039">
        <f>IF($O1039="","",INDEX(Suivi!$F:$F,1059))</f>
        <v/>
      </c>
      <c r="S1039">
        <f>IF($O1039="","",INDEX(Suivi!$G:$G,1059))</f>
        <v/>
      </c>
      <c r="T1039">
        <f>IF($O1039="","",IF(INDEX(Dossiers!$F$4:$F$63,20)="","",INDEX(Dossiers!$F$4:$F$63,20)))</f>
        <v/>
      </c>
      <c r="U1039">
        <f>IF($O1039="","",IF(INDEX(Dossiers!$G$4:$G$63,20)="","",INDEX(Dossiers!$G$4:$G$63,20)))</f>
        <v/>
      </c>
      <c r="V1039">
        <f>IF(OR($O1039="",NOT(ISNUMBER($Q1039))),"",$Q1039*1000000+1039)</f>
        <v/>
      </c>
      <c r="W1039" s="29">
        <f>IF($B1039="","",IFERROR(INDEX($U$4:$U$3183,MATCH(SMALL($V$4:$V$3183,1036),$V$4:$V$3183,0)),""))</f>
        <v/>
      </c>
    </row>
    <row r="1040">
      <c r="A1040">
        <f>IFERROR(INDEX($N$4:$N$3183,MATCH(SMALL($V$4:$V$3183,1037),$V$4:$V$3183,0)),"")</f>
        <v/>
      </c>
      <c r="B1040">
        <f>IFERROR(INDEX($O$4:$O$3183,MATCH(SMALL($V$4:$V$3183,1037),$V$4:$V$3183,0)),"")</f>
        <v/>
      </c>
      <c r="C1040">
        <f>IFERROR(INDEX($P$4:$P$3183,MATCH(SMALL($V$4:$V$3183,1037),$V$4:$V$3183,0)),"")</f>
        <v/>
      </c>
      <c r="D1040" s="29">
        <f>IFERROR(INDEX($Q$4:$Q$3183,MATCH(SMALL($V$4:$V$3183,1037),$V$4:$V$3183,0)),"")</f>
        <v/>
      </c>
      <c r="E1040" s="29">
        <f>IFERROR(INDEX($R$4:$R$3183,MATCH(SMALL($V$4:$V$3183,1037),$V$4:$V$3183,0)),"")</f>
        <v/>
      </c>
      <c r="F1040">
        <f>IFERROR(INDEX($S$4:$S$3183,MATCH(SMALL($V$4:$V$3183,1037),$V$4:$V$3183,0)),"")</f>
        <v/>
      </c>
      <c r="I1040" s="29">
        <f>IF($B1040="","",IFERROR(INDEX($U$4:$U$3183,MATCH(SMALL($V$4:$V$3183,1037),$V$4:$V$3183,0)),""))</f>
        <v/>
      </c>
      <c r="J1040">
        <f>IF($B1040="","",IF($D1040&gt;$F$2,"À venir",IF($E1040&lt;$D$2,"Passé","Dans la période")))</f>
        <v/>
      </c>
      <c r="K1040">
        <f>IF(OR($B1040="",NOT(ISNUMBER($D1040))),"",IF(AND($E1040&lt;$D$2,$G1040&lt;&gt;"X",$F1040&lt;&gt;"Réalisé",$F1040&lt;&gt;"Clôturé"),"RETARD",""))</f>
        <v/>
      </c>
      <c r="L1040">
        <f>IF(OR($B1040="",NOT(ISNUMBER($D1040))),"",IF(AND($D1040&gt;=$D$2,$D1040&lt;=$H$2,$G1040&lt;&gt;"X",$F1040&lt;&gt;"Réalisé",$F1040&lt;&gt;"Clôturé"),"≤ 7 j",""))</f>
        <v/>
      </c>
      <c r="M1040" s="29">
        <f>IF($B1040="","",IFERROR(INDEX($T$4:$T$3183,MATCH(SMALL($V$4:$V$3183,1037),$V$4:$V$3183,0)),""))</f>
        <v/>
      </c>
      <c r="O1040">
        <f>IF(INDEX(Suivi!$B:$B,1060)="","",INDEX(Suivi!$B:$B,1060))</f>
        <v/>
      </c>
      <c r="P1040">
        <f>IF($O1040="","",IF(INDEX(Suivi!$D:$D,1060)="",INDEX(Suivi!$C:$C,1060),INDEX(Suivi!$D:$D,1060)))</f>
        <v/>
      </c>
      <c r="Q1040">
        <f>IF($O1040="","",INDEX(Suivi!$E:$E,1060))</f>
        <v/>
      </c>
      <c r="R1040">
        <f>IF($O1040="","",INDEX(Suivi!$F:$F,1060))</f>
        <v/>
      </c>
      <c r="S1040">
        <f>IF($O1040="","",INDEX(Suivi!$G:$G,1060))</f>
        <v/>
      </c>
      <c r="T1040">
        <f>IF($O1040="","",IF(INDEX(Dossiers!$F$4:$F$63,20)="","",INDEX(Dossiers!$F$4:$F$63,20)))</f>
        <v/>
      </c>
      <c r="U1040">
        <f>IF($O1040="","",IF(INDEX(Dossiers!$G$4:$G$63,20)="","",INDEX(Dossiers!$G$4:$G$63,20)))</f>
        <v/>
      </c>
      <c r="V1040">
        <f>IF(OR($O1040="",NOT(ISNUMBER($Q1040))),"",$Q1040*1000000+1040)</f>
        <v/>
      </c>
      <c r="W1040" s="29">
        <f>IF($B1040="","",IFERROR(INDEX($U$4:$U$3183,MATCH(SMALL($V$4:$V$3183,1037),$V$4:$V$3183,0)),""))</f>
        <v/>
      </c>
    </row>
    <row r="1041">
      <c r="A1041">
        <f>IFERROR(INDEX($N$4:$N$3183,MATCH(SMALL($V$4:$V$3183,1038),$V$4:$V$3183,0)),"")</f>
        <v/>
      </c>
      <c r="B1041">
        <f>IFERROR(INDEX($O$4:$O$3183,MATCH(SMALL($V$4:$V$3183,1038),$V$4:$V$3183,0)),"")</f>
        <v/>
      </c>
      <c r="C1041">
        <f>IFERROR(INDEX($P$4:$P$3183,MATCH(SMALL($V$4:$V$3183,1038),$V$4:$V$3183,0)),"")</f>
        <v/>
      </c>
      <c r="D1041" s="29">
        <f>IFERROR(INDEX($Q$4:$Q$3183,MATCH(SMALL($V$4:$V$3183,1038),$V$4:$V$3183,0)),"")</f>
        <v/>
      </c>
      <c r="E1041" s="29">
        <f>IFERROR(INDEX($R$4:$R$3183,MATCH(SMALL($V$4:$V$3183,1038),$V$4:$V$3183,0)),"")</f>
        <v/>
      </c>
      <c r="F1041">
        <f>IFERROR(INDEX($S$4:$S$3183,MATCH(SMALL($V$4:$V$3183,1038),$V$4:$V$3183,0)),"")</f>
        <v/>
      </c>
      <c r="I1041" s="29">
        <f>IF($B1041="","",IFERROR(INDEX($U$4:$U$3183,MATCH(SMALL($V$4:$V$3183,1038),$V$4:$V$3183,0)),""))</f>
        <v/>
      </c>
      <c r="J1041">
        <f>IF($B1041="","",IF($D1041&gt;$F$2,"À venir",IF($E1041&lt;$D$2,"Passé","Dans la période")))</f>
        <v/>
      </c>
      <c r="K1041">
        <f>IF(OR($B1041="",NOT(ISNUMBER($D1041))),"",IF(AND($E1041&lt;$D$2,$G1041&lt;&gt;"X",$F1041&lt;&gt;"Réalisé",$F1041&lt;&gt;"Clôturé"),"RETARD",""))</f>
        <v/>
      </c>
      <c r="L1041">
        <f>IF(OR($B1041="",NOT(ISNUMBER($D1041))),"",IF(AND($D1041&gt;=$D$2,$D1041&lt;=$H$2,$G1041&lt;&gt;"X",$F1041&lt;&gt;"Réalisé",$F1041&lt;&gt;"Clôturé"),"≤ 7 j",""))</f>
        <v/>
      </c>
      <c r="M1041" s="29">
        <f>IF($B1041="","",IFERROR(INDEX($T$4:$T$3183,MATCH(SMALL($V$4:$V$3183,1038),$V$4:$V$3183,0)),""))</f>
        <v/>
      </c>
      <c r="O1041">
        <f>IF(INDEX(Suivi!$B:$B,1061)="","",INDEX(Suivi!$B:$B,1061))</f>
        <v/>
      </c>
      <c r="P1041">
        <f>IF($O1041="","",IF(INDEX(Suivi!$D:$D,1061)="",INDEX(Suivi!$C:$C,1061),INDEX(Suivi!$D:$D,1061)))</f>
        <v/>
      </c>
      <c r="Q1041">
        <f>IF($O1041="","",INDEX(Suivi!$E:$E,1061))</f>
        <v/>
      </c>
      <c r="R1041">
        <f>IF($O1041="","",INDEX(Suivi!$F:$F,1061))</f>
        <v/>
      </c>
      <c r="S1041">
        <f>IF($O1041="","",INDEX(Suivi!$G:$G,1061))</f>
        <v/>
      </c>
      <c r="T1041">
        <f>IF($O1041="","",IF(INDEX(Dossiers!$F$4:$F$63,20)="","",INDEX(Dossiers!$F$4:$F$63,20)))</f>
        <v/>
      </c>
      <c r="U1041">
        <f>IF($O1041="","",IF(INDEX(Dossiers!$G$4:$G$63,20)="","",INDEX(Dossiers!$G$4:$G$63,20)))</f>
        <v/>
      </c>
      <c r="V1041">
        <f>IF(OR($O1041="",NOT(ISNUMBER($Q1041))),"",$Q1041*1000000+1041)</f>
        <v/>
      </c>
      <c r="W1041" s="29">
        <f>IF($B1041="","",IFERROR(INDEX($U$4:$U$3183,MATCH(SMALL($V$4:$V$3183,1038),$V$4:$V$3183,0)),""))</f>
        <v/>
      </c>
    </row>
    <row r="1042">
      <c r="A1042">
        <f>IFERROR(INDEX($N$4:$N$3183,MATCH(SMALL($V$4:$V$3183,1039),$V$4:$V$3183,0)),"")</f>
        <v/>
      </c>
      <c r="B1042">
        <f>IFERROR(INDEX($O$4:$O$3183,MATCH(SMALL($V$4:$V$3183,1039),$V$4:$V$3183,0)),"")</f>
        <v/>
      </c>
      <c r="C1042">
        <f>IFERROR(INDEX($P$4:$P$3183,MATCH(SMALL($V$4:$V$3183,1039),$V$4:$V$3183,0)),"")</f>
        <v/>
      </c>
      <c r="D1042" s="29">
        <f>IFERROR(INDEX($Q$4:$Q$3183,MATCH(SMALL($V$4:$V$3183,1039),$V$4:$V$3183,0)),"")</f>
        <v/>
      </c>
      <c r="E1042" s="29">
        <f>IFERROR(INDEX($R$4:$R$3183,MATCH(SMALL($V$4:$V$3183,1039),$V$4:$V$3183,0)),"")</f>
        <v/>
      </c>
      <c r="F1042">
        <f>IFERROR(INDEX($S$4:$S$3183,MATCH(SMALL($V$4:$V$3183,1039),$V$4:$V$3183,0)),"")</f>
        <v/>
      </c>
      <c r="I1042" s="29">
        <f>IF($B1042="","",IFERROR(INDEX($U$4:$U$3183,MATCH(SMALL($V$4:$V$3183,1039),$V$4:$V$3183,0)),""))</f>
        <v/>
      </c>
      <c r="J1042">
        <f>IF($B1042="","",IF($D1042&gt;$F$2,"À venir",IF($E1042&lt;$D$2,"Passé","Dans la période")))</f>
        <v/>
      </c>
      <c r="K1042">
        <f>IF(OR($B1042="",NOT(ISNUMBER($D1042))),"",IF(AND($E1042&lt;$D$2,$G1042&lt;&gt;"X",$F1042&lt;&gt;"Réalisé",$F1042&lt;&gt;"Clôturé"),"RETARD",""))</f>
        <v/>
      </c>
      <c r="L1042">
        <f>IF(OR($B1042="",NOT(ISNUMBER($D1042))),"",IF(AND($D1042&gt;=$D$2,$D1042&lt;=$H$2,$G1042&lt;&gt;"X",$F1042&lt;&gt;"Réalisé",$F1042&lt;&gt;"Clôturé"),"≤ 7 j",""))</f>
        <v/>
      </c>
      <c r="M1042" s="29">
        <f>IF($B1042="","",IFERROR(INDEX($T$4:$T$3183,MATCH(SMALL($V$4:$V$3183,1039),$V$4:$V$3183,0)),""))</f>
        <v/>
      </c>
      <c r="O1042">
        <f>IF(INDEX(Suivi!$B:$B,1062)="","",INDEX(Suivi!$B:$B,1062))</f>
        <v/>
      </c>
      <c r="P1042">
        <f>IF($O1042="","",IF(INDEX(Suivi!$D:$D,1062)="",INDEX(Suivi!$C:$C,1062),INDEX(Suivi!$D:$D,1062)))</f>
        <v/>
      </c>
      <c r="Q1042">
        <f>IF($O1042="","",INDEX(Suivi!$E:$E,1062))</f>
        <v/>
      </c>
      <c r="R1042">
        <f>IF($O1042="","",INDEX(Suivi!$F:$F,1062))</f>
        <v/>
      </c>
      <c r="S1042">
        <f>IF($O1042="","",INDEX(Suivi!$G:$G,1062))</f>
        <v/>
      </c>
      <c r="T1042">
        <f>IF($O1042="","",IF(INDEX(Dossiers!$F$4:$F$63,20)="","",INDEX(Dossiers!$F$4:$F$63,20)))</f>
        <v/>
      </c>
      <c r="U1042">
        <f>IF($O1042="","",IF(INDEX(Dossiers!$G$4:$G$63,20)="","",INDEX(Dossiers!$G$4:$G$63,20)))</f>
        <v/>
      </c>
      <c r="V1042">
        <f>IF(OR($O1042="",NOT(ISNUMBER($Q1042))),"",$Q1042*1000000+1042)</f>
        <v/>
      </c>
      <c r="W1042" s="29">
        <f>IF($B1042="","",IFERROR(INDEX($U$4:$U$3183,MATCH(SMALL($V$4:$V$3183,1039),$V$4:$V$3183,0)),""))</f>
        <v/>
      </c>
    </row>
    <row r="1043">
      <c r="A1043">
        <f>IFERROR(INDEX($N$4:$N$3183,MATCH(SMALL($V$4:$V$3183,1040),$V$4:$V$3183,0)),"")</f>
        <v/>
      </c>
      <c r="B1043">
        <f>IFERROR(INDEX($O$4:$O$3183,MATCH(SMALL($V$4:$V$3183,1040),$V$4:$V$3183,0)),"")</f>
        <v/>
      </c>
      <c r="C1043">
        <f>IFERROR(INDEX($P$4:$P$3183,MATCH(SMALL($V$4:$V$3183,1040),$V$4:$V$3183,0)),"")</f>
        <v/>
      </c>
      <c r="D1043" s="29">
        <f>IFERROR(INDEX($Q$4:$Q$3183,MATCH(SMALL($V$4:$V$3183,1040),$V$4:$V$3183,0)),"")</f>
        <v/>
      </c>
      <c r="E1043" s="29">
        <f>IFERROR(INDEX($R$4:$R$3183,MATCH(SMALL($V$4:$V$3183,1040),$V$4:$V$3183,0)),"")</f>
        <v/>
      </c>
      <c r="F1043">
        <f>IFERROR(INDEX($S$4:$S$3183,MATCH(SMALL($V$4:$V$3183,1040),$V$4:$V$3183,0)),"")</f>
        <v/>
      </c>
      <c r="I1043" s="29">
        <f>IF($B1043="","",IFERROR(INDEX($U$4:$U$3183,MATCH(SMALL($V$4:$V$3183,1040),$V$4:$V$3183,0)),""))</f>
        <v/>
      </c>
      <c r="J1043">
        <f>IF($B1043="","",IF($D1043&gt;$F$2,"À venir",IF($E1043&lt;$D$2,"Passé","Dans la période")))</f>
        <v/>
      </c>
      <c r="K1043">
        <f>IF(OR($B1043="",NOT(ISNUMBER($D1043))),"",IF(AND($E1043&lt;$D$2,$G1043&lt;&gt;"X",$F1043&lt;&gt;"Réalisé",$F1043&lt;&gt;"Clôturé"),"RETARD",""))</f>
        <v/>
      </c>
      <c r="L1043">
        <f>IF(OR($B1043="",NOT(ISNUMBER($D1043))),"",IF(AND($D1043&gt;=$D$2,$D1043&lt;=$H$2,$G1043&lt;&gt;"X",$F1043&lt;&gt;"Réalisé",$F1043&lt;&gt;"Clôturé"),"≤ 7 j",""))</f>
        <v/>
      </c>
      <c r="M1043" s="29">
        <f>IF($B1043="","",IFERROR(INDEX($T$4:$T$3183,MATCH(SMALL($V$4:$V$3183,1040),$V$4:$V$3183,0)),""))</f>
        <v/>
      </c>
      <c r="O1043">
        <f>IF(INDEX(Suivi!$B:$B,1063)="","",INDEX(Suivi!$B:$B,1063))</f>
        <v/>
      </c>
      <c r="P1043">
        <f>IF($O1043="","",IF(INDEX(Suivi!$D:$D,1063)="",INDEX(Suivi!$C:$C,1063),INDEX(Suivi!$D:$D,1063)))</f>
        <v/>
      </c>
      <c r="Q1043">
        <f>IF($O1043="","",INDEX(Suivi!$E:$E,1063))</f>
        <v/>
      </c>
      <c r="R1043">
        <f>IF($O1043="","",INDEX(Suivi!$F:$F,1063))</f>
        <v/>
      </c>
      <c r="S1043">
        <f>IF($O1043="","",INDEX(Suivi!$G:$G,1063))</f>
        <v/>
      </c>
      <c r="T1043">
        <f>IF($O1043="","",IF(INDEX(Dossiers!$F$4:$F$63,20)="","",INDEX(Dossiers!$F$4:$F$63,20)))</f>
        <v/>
      </c>
      <c r="U1043">
        <f>IF($O1043="","",IF(INDEX(Dossiers!$G$4:$G$63,20)="","",INDEX(Dossiers!$G$4:$G$63,20)))</f>
        <v/>
      </c>
      <c r="V1043">
        <f>IF(OR($O1043="",NOT(ISNUMBER($Q1043))),"",$Q1043*1000000+1043)</f>
        <v/>
      </c>
      <c r="W1043" s="29">
        <f>IF($B1043="","",IFERROR(INDEX($U$4:$U$3183,MATCH(SMALL($V$4:$V$3183,1040),$V$4:$V$3183,0)),""))</f>
        <v/>
      </c>
    </row>
    <row r="1044">
      <c r="A1044">
        <f>IFERROR(INDEX($N$4:$N$3183,MATCH(SMALL($V$4:$V$3183,1041),$V$4:$V$3183,0)),"")</f>
        <v/>
      </c>
      <c r="B1044">
        <f>IFERROR(INDEX($O$4:$O$3183,MATCH(SMALL($V$4:$V$3183,1041),$V$4:$V$3183,0)),"")</f>
        <v/>
      </c>
      <c r="C1044">
        <f>IFERROR(INDEX($P$4:$P$3183,MATCH(SMALL($V$4:$V$3183,1041),$V$4:$V$3183,0)),"")</f>
        <v/>
      </c>
      <c r="D1044" s="29">
        <f>IFERROR(INDEX($Q$4:$Q$3183,MATCH(SMALL($V$4:$V$3183,1041),$V$4:$V$3183,0)),"")</f>
        <v/>
      </c>
      <c r="E1044" s="29">
        <f>IFERROR(INDEX($R$4:$R$3183,MATCH(SMALL($V$4:$V$3183,1041),$V$4:$V$3183,0)),"")</f>
        <v/>
      </c>
      <c r="F1044">
        <f>IFERROR(INDEX($S$4:$S$3183,MATCH(SMALL($V$4:$V$3183,1041),$V$4:$V$3183,0)),"")</f>
        <v/>
      </c>
      <c r="I1044" s="29">
        <f>IF($B1044="","",IFERROR(INDEX($U$4:$U$3183,MATCH(SMALL($V$4:$V$3183,1041),$V$4:$V$3183,0)),""))</f>
        <v/>
      </c>
      <c r="J1044">
        <f>IF($B1044="","",IF($D1044&gt;$F$2,"À venir",IF($E1044&lt;$D$2,"Passé","Dans la période")))</f>
        <v/>
      </c>
      <c r="K1044">
        <f>IF(OR($B1044="",NOT(ISNUMBER($D1044))),"",IF(AND($E1044&lt;$D$2,$G1044&lt;&gt;"X",$F1044&lt;&gt;"Réalisé",$F1044&lt;&gt;"Clôturé"),"RETARD",""))</f>
        <v/>
      </c>
      <c r="L1044">
        <f>IF(OR($B1044="",NOT(ISNUMBER($D1044))),"",IF(AND($D1044&gt;=$D$2,$D1044&lt;=$H$2,$G1044&lt;&gt;"X",$F1044&lt;&gt;"Réalisé",$F1044&lt;&gt;"Clôturé"),"≤ 7 j",""))</f>
        <v/>
      </c>
      <c r="M1044" s="29">
        <f>IF($B1044="","",IFERROR(INDEX($T$4:$T$3183,MATCH(SMALL($V$4:$V$3183,1041),$V$4:$V$3183,0)),""))</f>
        <v/>
      </c>
      <c r="O1044">
        <f>IF(INDEX(Suivi!$B:$B,1064)="","",INDEX(Suivi!$B:$B,1064))</f>
        <v/>
      </c>
      <c r="P1044">
        <f>IF($O1044="","",IF(INDEX(Suivi!$D:$D,1064)="",INDEX(Suivi!$C:$C,1064),INDEX(Suivi!$D:$D,1064)))</f>
        <v/>
      </c>
      <c r="Q1044">
        <f>IF($O1044="","",INDEX(Suivi!$E:$E,1064))</f>
        <v/>
      </c>
      <c r="R1044">
        <f>IF($O1044="","",INDEX(Suivi!$F:$F,1064))</f>
        <v/>
      </c>
      <c r="S1044">
        <f>IF($O1044="","",INDEX(Suivi!$G:$G,1064))</f>
        <v/>
      </c>
      <c r="T1044">
        <f>IF($O1044="","",IF(INDEX(Dossiers!$F$4:$F$63,20)="","",INDEX(Dossiers!$F$4:$F$63,20)))</f>
        <v/>
      </c>
      <c r="U1044">
        <f>IF($O1044="","",IF(INDEX(Dossiers!$G$4:$G$63,20)="","",INDEX(Dossiers!$G$4:$G$63,20)))</f>
        <v/>
      </c>
      <c r="V1044">
        <f>IF(OR($O1044="",NOT(ISNUMBER($Q1044))),"",$Q1044*1000000+1044)</f>
        <v/>
      </c>
      <c r="W1044" s="29">
        <f>IF($B1044="","",IFERROR(INDEX($U$4:$U$3183,MATCH(SMALL($V$4:$V$3183,1041),$V$4:$V$3183,0)),""))</f>
        <v/>
      </c>
    </row>
    <row r="1045">
      <c r="A1045">
        <f>IFERROR(INDEX($N$4:$N$3183,MATCH(SMALL($V$4:$V$3183,1042),$V$4:$V$3183,0)),"")</f>
        <v/>
      </c>
      <c r="B1045">
        <f>IFERROR(INDEX($O$4:$O$3183,MATCH(SMALL($V$4:$V$3183,1042),$V$4:$V$3183,0)),"")</f>
        <v/>
      </c>
      <c r="C1045">
        <f>IFERROR(INDEX($P$4:$P$3183,MATCH(SMALL($V$4:$V$3183,1042),$V$4:$V$3183,0)),"")</f>
        <v/>
      </c>
      <c r="D1045" s="29">
        <f>IFERROR(INDEX($Q$4:$Q$3183,MATCH(SMALL($V$4:$V$3183,1042),$V$4:$V$3183,0)),"")</f>
        <v/>
      </c>
      <c r="E1045" s="29">
        <f>IFERROR(INDEX($R$4:$R$3183,MATCH(SMALL($V$4:$V$3183,1042),$V$4:$V$3183,0)),"")</f>
        <v/>
      </c>
      <c r="F1045">
        <f>IFERROR(INDEX($S$4:$S$3183,MATCH(SMALL($V$4:$V$3183,1042),$V$4:$V$3183,0)),"")</f>
        <v/>
      </c>
      <c r="I1045" s="29">
        <f>IF($B1045="","",IFERROR(INDEX($U$4:$U$3183,MATCH(SMALL($V$4:$V$3183,1042),$V$4:$V$3183,0)),""))</f>
        <v/>
      </c>
      <c r="J1045">
        <f>IF($B1045="","",IF($D1045&gt;$F$2,"À venir",IF($E1045&lt;$D$2,"Passé","Dans la période")))</f>
        <v/>
      </c>
      <c r="K1045">
        <f>IF(OR($B1045="",NOT(ISNUMBER($D1045))),"",IF(AND($E1045&lt;$D$2,$G1045&lt;&gt;"X",$F1045&lt;&gt;"Réalisé",$F1045&lt;&gt;"Clôturé"),"RETARD",""))</f>
        <v/>
      </c>
      <c r="L1045">
        <f>IF(OR($B1045="",NOT(ISNUMBER($D1045))),"",IF(AND($D1045&gt;=$D$2,$D1045&lt;=$H$2,$G1045&lt;&gt;"X",$F1045&lt;&gt;"Réalisé",$F1045&lt;&gt;"Clôturé"),"≤ 7 j",""))</f>
        <v/>
      </c>
      <c r="M1045" s="29">
        <f>IF($B1045="","",IFERROR(INDEX($T$4:$T$3183,MATCH(SMALL($V$4:$V$3183,1042),$V$4:$V$3183,0)),""))</f>
        <v/>
      </c>
      <c r="O1045">
        <f>IF(INDEX(Suivi!$B:$B,1065)="","",INDEX(Suivi!$B:$B,1065))</f>
        <v/>
      </c>
      <c r="P1045">
        <f>IF($O1045="","",IF(INDEX(Suivi!$D:$D,1065)="",INDEX(Suivi!$C:$C,1065),INDEX(Suivi!$D:$D,1065)))</f>
        <v/>
      </c>
      <c r="Q1045">
        <f>IF($O1045="","",INDEX(Suivi!$E:$E,1065))</f>
        <v/>
      </c>
      <c r="R1045">
        <f>IF($O1045="","",INDEX(Suivi!$F:$F,1065))</f>
        <v/>
      </c>
      <c r="S1045">
        <f>IF($O1045="","",INDEX(Suivi!$G:$G,1065))</f>
        <v/>
      </c>
      <c r="T1045">
        <f>IF($O1045="","",IF(INDEX(Dossiers!$F$4:$F$63,20)="","",INDEX(Dossiers!$F$4:$F$63,20)))</f>
        <v/>
      </c>
      <c r="U1045">
        <f>IF($O1045="","",IF(INDEX(Dossiers!$G$4:$G$63,20)="","",INDEX(Dossiers!$G$4:$G$63,20)))</f>
        <v/>
      </c>
      <c r="V1045">
        <f>IF(OR($O1045="",NOT(ISNUMBER($Q1045))),"",$Q1045*1000000+1045)</f>
        <v/>
      </c>
      <c r="W1045" s="29">
        <f>IF($B1045="","",IFERROR(INDEX($U$4:$U$3183,MATCH(SMALL($V$4:$V$3183,1042),$V$4:$V$3183,0)),""))</f>
        <v/>
      </c>
    </row>
    <row r="1046">
      <c r="A1046">
        <f>IFERROR(INDEX($N$4:$N$3183,MATCH(SMALL($V$4:$V$3183,1043),$V$4:$V$3183,0)),"")</f>
        <v/>
      </c>
      <c r="B1046">
        <f>IFERROR(INDEX($O$4:$O$3183,MATCH(SMALL($V$4:$V$3183,1043),$V$4:$V$3183,0)),"")</f>
        <v/>
      </c>
      <c r="C1046">
        <f>IFERROR(INDEX($P$4:$P$3183,MATCH(SMALL($V$4:$V$3183,1043),$V$4:$V$3183,0)),"")</f>
        <v/>
      </c>
      <c r="D1046" s="29">
        <f>IFERROR(INDEX($Q$4:$Q$3183,MATCH(SMALL($V$4:$V$3183,1043),$V$4:$V$3183,0)),"")</f>
        <v/>
      </c>
      <c r="E1046" s="29">
        <f>IFERROR(INDEX($R$4:$R$3183,MATCH(SMALL($V$4:$V$3183,1043),$V$4:$V$3183,0)),"")</f>
        <v/>
      </c>
      <c r="F1046">
        <f>IFERROR(INDEX($S$4:$S$3183,MATCH(SMALL($V$4:$V$3183,1043),$V$4:$V$3183,0)),"")</f>
        <v/>
      </c>
      <c r="I1046" s="29">
        <f>IF($B1046="","",IFERROR(INDEX($U$4:$U$3183,MATCH(SMALL($V$4:$V$3183,1043),$V$4:$V$3183,0)),""))</f>
        <v/>
      </c>
      <c r="J1046">
        <f>IF($B1046="","",IF($D1046&gt;$F$2,"À venir",IF($E1046&lt;$D$2,"Passé","Dans la période")))</f>
        <v/>
      </c>
      <c r="K1046">
        <f>IF(OR($B1046="",NOT(ISNUMBER($D1046))),"",IF(AND($E1046&lt;$D$2,$G1046&lt;&gt;"X",$F1046&lt;&gt;"Réalisé",$F1046&lt;&gt;"Clôturé"),"RETARD",""))</f>
        <v/>
      </c>
      <c r="L1046">
        <f>IF(OR($B1046="",NOT(ISNUMBER($D1046))),"",IF(AND($D1046&gt;=$D$2,$D1046&lt;=$H$2,$G1046&lt;&gt;"X",$F1046&lt;&gt;"Réalisé",$F1046&lt;&gt;"Clôturé"),"≤ 7 j",""))</f>
        <v/>
      </c>
      <c r="M1046" s="29">
        <f>IF($B1046="","",IFERROR(INDEX($T$4:$T$3183,MATCH(SMALL($V$4:$V$3183,1043),$V$4:$V$3183,0)),""))</f>
        <v/>
      </c>
      <c r="O1046">
        <f>IF(INDEX(Suivi!$B:$B,1066)="","",INDEX(Suivi!$B:$B,1066))</f>
        <v/>
      </c>
      <c r="P1046">
        <f>IF($O1046="","",IF(INDEX(Suivi!$D:$D,1066)="",INDEX(Suivi!$C:$C,1066),INDEX(Suivi!$D:$D,1066)))</f>
        <v/>
      </c>
      <c r="Q1046">
        <f>IF($O1046="","",INDEX(Suivi!$E:$E,1066))</f>
        <v/>
      </c>
      <c r="R1046">
        <f>IF($O1046="","",INDEX(Suivi!$F:$F,1066))</f>
        <v/>
      </c>
      <c r="S1046">
        <f>IF($O1046="","",INDEX(Suivi!$G:$G,1066))</f>
        <v/>
      </c>
      <c r="T1046">
        <f>IF($O1046="","",IF(INDEX(Dossiers!$F$4:$F$63,20)="","",INDEX(Dossiers!$F$4:$F$63,20)))</f>
        <v/>
      </c>
      <c r="U1046">
        <f>IF($O1046="","",IF(INDEX(Dossiers!$G$4:$G$63,20)="","",INDEX(Dossiers!$G$4:$G$63,20)))</f>
        <v/>
      </c>
      <c r="V1046">
        <f>IF(OR($O1046="",NOT(ISNUMBER($Q1046))),"",$Q1046*1000000+1046)</f>
        <v/>
      </c>
      <c r="W1046" s="29">
        <f>IF($B1046="","",IFERROR(INDEX($U$4:$U$3183,MATCH(SMALL($V$4:$V$3183,1043),$V$4:$V$3183,0)),""))</f>
        <v/>
      </c>
    </row>
    <row r="1047">
      <c r="A1047">
        <f>IFERROR(INDEX($N$4:$N$3183,MATCH(SMALL($V$4:$V$3183,1044),$V$4:$V$3183,0)),"")</f>
        <v/>
      </c>
      <c r="B1047">
        <f>IFERROR(INDEX($O$4:$O$3183,MATCH(SMALL($V$4:$V$3183,1044),$V$4:$V$3183,0)),"")</f>
        <v/>
      </c>
      <c r="C1047">
        <f>IFERROR(INDEX($P$4:$P$3183,MATCH(SMALL($V$4:$V$3183,1044),$V$4:$V$3183,0)),"")</f>
        <v/>
      </c>
      <c r="D1047" s="29">
        <f>IFERROR(INDEX($Q$4:$Q$3183,MATCH(SMALL($V$4:$V$3183,1044),$V$4:$V$3183,0)),"")</f>
        <v/>
      </c>
      <c r="E1047" s="29">
        <f>IFERROR(INDEX($R$4:$R$3183,MATCH(SMALL($V$4:$V$3183,1044),$V$4:$V$3183,0)),"")</f>
        <v/>
      </c>
      <c r="F1047">
        <f>IFERROR(INDEX($S$4:$S$3183,MATCH(SMALL($V$4:$V$3183,1044),$V$4:$V$3183,0)),"")</f>
        <v/>
      </c>
      <c r="I1047" s="29">
        <f>IF($B1047="","",IFERROR(INDEX($U$4:$U$3183,MATCH(SMALL($V$4:$V$3183,1044),$V$4:$V$3183,0)),""))</f>
        <v/>
      </c>
      <c r="J1047">
        <f>IF($B1047="","",IF($D1047&gt;$F$2,"À venir",IF($E1047&lt;$D$2,"Passé","Dans la période")))</f>
        <v/>
      </c>
      <c r="K1047">
        <f>IF(OR($B1047="",NOT(ISNUMBER($D1047))),"",IF(AND($E1047&lt;$D$2,$G1047&lt;&gt;"X",$F1047&lt;&gt;"Réalisé",$F1047&lt;&gt;"Clôturé"),"RETARD",""))</f>
        <v/>
      </c>
      <c r="L1047">
        <f>IF(OR($B1047="",NOT(ISNUMBER($D1047))),"",IF(AND($D1047&gt;=$D$2,$D1047&lt;=$H$2,$G1047&lt;&gt;"X",$F1047&lt;&gt;"Réalisé",$F1047&lt;&gt;"Clôturé"),"≤ 7 j",""))</f>
        <v/>
      </c>
      <c r="M1047" s="29">
        <f>IF($B1047="","",IFERROR(INDEX($T$4:$T$3183,MATCH(SMALL($V$4:$V$3183,1044),$V$4:$V$3183,0)),""))</f>
        <v/>
      </c>
      <c r="O1047">
        <f>IF(INDEX(Suivi!$B:$B,1067)="","",INDEX(Suivi!$B:$B,1067))</f>
        <v/>
      </c>
      <c r="P1047">
        <f>IF($O1047="","",IF(INDEX(Suivi!$D:$D,1067)="",INDEX(Suivi!$C:$C,1067),INDEX(Suivi!$D:$D,1067)))</f>
        <v/>
      </c>
      <c r="Q1047">
        <f>IF($O1047="","",INDEX(Suivi!$E:$E,1067))</f>
        <v/>
      </c>
      <c r="R1047">
        <f>IF($O1047="","",INDEX(Suivi!$F:$F,1067))</f>
        <v/>
      </c>
      <c r="S1047">
        <f>IF($O1047="","",INDEX(Suivi!$G:$G,1067))</f>
        <v/>
      </c>
      <c r="T1047">
        <f>IF($O1047="","",IF(INDEX(Dossiers!$F$4:$F$63,20)="","",INDEX(Dossiers!$F$4:$F$63,20)))</f>
        <v/>
      </c>
      <c r="U1047">
        <f>IF($O1047="","",IF(INDEX(Dossiers!$G$4:$G$63,20)="","",INDEX(Dossiers!$G$4:$G$63,20)))</f>
        <v/>
      </c>
      <c r="V1047">
        <f>IF(OR($O1047="",NOT(ISNUMBER($Q1047))),"",$Q1047*1000000+1047)</f>
        <v/>
      </c>
      <c r="W1047" s="29">
        <f>IF($B1047="","",IFERROR(INDEX($U$4:$U$3183,MATCH(SMALL($V$4:$V$3183,1044),$V$4:$V$3183,0)),""))</f>
        <v/>
      </c>
    </row>
    <row r="1048">
      <c r="A1048">
        <f>IFERROR(INDEX($N$4:$N$3183,MATCH(SMALL($V$4:$V$3183,1045),$V$4:$V$3183,0)),"")</f>
        <v/>
      </c>
      <c r="B1048">
        <f>IFERROR(INDEX($O$4:$O$3183,MATCH(SMALL($V$4:$V$3183,1045),$V$4:$V$3183,0)),"")</f>
        <v/>
      </c>
      <c r="C1048">
        <f>IFERROR(INDEX($P$4:$P$3183,MATCH(SMALL($V$4:$V$3183,1045),$V$4:$V$3183,0)),"")</f>
        <v/>
      </c>
      <c r="D1048" s="29">
        <f>IFERROR(INDEX($Q$4:$Q$3183,MATCH(SMALL($V$4:$V$3183,1045),$V$4:$V$3183,0)),"")</f>
        <v/>
      </c>
      <c r="E1048" s="29">
        <f>IFERROR(INDEX($R$4:$R$3183,MATCH(SMALL($V$4:$V$3183,1045),$V$4:$V$3183,0)),"")</f>
        <v/>
      </c>
      <c r="F1048">
        <f>IFERROR(INDEX($S$4:$S$3183,MATCH(SMALL($V$4:$V$3183,1045),$V$4:$V$3183,0)),"")</f>
        <v/>
      </c>
      <c r="I1048" s="29">
        <f>IF($B1048="","",IFERROR(INDEX($U$4:$U$3183,MATCH(SMALL($V$4:$V$3183,1045),$V$4:$V$3183,0)),""))</f>
        <v/>
      </c>
      <c r="J1048">
        <f>IF($B1048="","",IF($D1048&gt;$F$2,"À venir",IF($E1048&lt;$D$2,"Passé","Dans la période")))</f>
        <v/>
      </c>
      <c r="K1048">
        <f>IF(OR($B1048="",NOT(ISNUMBER($D1048))),"",IF(AND($E1048&lt;$D$2,$G1048&lt;&gt;"X",$F1048&lt;&gt;"Réalisé",$F1048&lt;&gt;"Clôturé"),"RETARD",""))</f>
        <v/>
      </c>
      <c r="L1048">
        <f>IF(OR($B1048="",NOT(ISNUMBER($D1048))),"",IF(AND($D1048&gt;=$D$2,$D1048&lt;=$H$2,$G1048&lt;&gt;"X",$F1048&lt;&gt;"Réalisé",$F1048&lt;&gt;"Clôturé"),"≤ 7 j",""))</f>
        <v/>
      </c>
      <c r="M1048" s="29">
        <f>IF($B1048="","",IFERROR(INDEX($T$4:$T$3183,MATCH(SMALL($V$4:$V$3183,1045),$V$4:$V$3183,0)),""))</f>
        <v/>
      </c>
      <c r="O1048">
        <f>IF(INDEX(Suivi!$B:$B,1068)="","",INDEX(Suivi!$B:$B,1068))</f>
        <v/>
      </c>
      <c r="P1048">
        <f>IF($O1048="","",IF(INDEX(Suivi!$D:$D,1068)="",INDEX(Suivi!$C:$C,1068),INDEX(Suivi!$D:$D,1068)))</f>
        <v/>
      </c>
      <c r="Q1048">
        <f>IF($O1048="","",INDEX(Suivi!$E:$E,1068))</f>
        <v/>
      </c>
      <c r="R1048">
        <f>IF($O1048="","",INDEX(Suivi!$F:$F,1068))</f>
        <v/>
      </c>
      <c r="S1048">
        <f>IF($O1048="","",INDEX(Suivi!$G:$G,1068))</f>
        <v/>
      </c>
      <c r="T1048">
        <f>IF($O1048="","",IF(INDEX(Dossiers!$F$4:$F$63,20)="","",INDEX(Dossiers!$F$4:$F$63,20)))</f>
        <v/>
      </c>
      <c r="U1048">
        <f>IF($O1048="","",IF(INDEX(Dossiers!$G$4:$G$63,20)="","",INDEX(Dossiers!$G$4:$G$63,20)))</f>
        <v/>
      </c>
      <c r="V1048">
        <f>IF(OR($O1048="",NOT(ISNUMBER($Q1048))),"",$Q1048*1000000+1048)</f>
        <v/>
      </c>
      <c r="W1048" s="29">
        <f>IF($B1048="","",IFERROR(INDEX($U$4:$U$3183,MATCH(SMALL($V$4:$V$3183,1045),$V$4:$V$3183,0)),""))</f>
        <v/>
      </c>
    </row>
    <row r="1049">
      <c r="A1049">
        <f>IFERROR(INDEX($N$4:$N$3183,MATCH(SMALL($V$4:$V$3183,1046),$V$4:$V$3183,0)),"")</f>
        <v/>
      </c>
      <c r="B1049">
        <f>IFERROR(INDEX($O$4:$O$3183,MATCH(SMALL($V$4:$V$3183,1046),$V$4:$V$3183,0)),"")</f>
        <v/>
      </c>
      <c r="C1049">
        <f>IFERROR(INDEX($P$4:$P$3183,MATCH(SMALL($V$4:$V$3183,1046),$V$4:$V$3183,0)),"")</f>
        <v/>
      </c>
      <c r="D1049" s="29">
        <f>IFERROR(INDEX($Q$4:$Q$3183,MATCH(SMALL($V$4:$V$3183,1046),$V$4:$V$3183,0)),"")</f>
        <v/>
      </c>
      <c r="E1049" s="29">
        <f>IFERROR(INDEX($R$4:$R$3183,MATCH(SMALL($V$4:$V$3183,1046),$V$4:$V$3183,0)),"")</f>
        <v/>
      </c>
      <c r="F1049">
        <f>IFERROR(INDEX($S$4:$S$3183,MATCH(SMALL($V$4:$V$3183,1046),$V$4:$V$3183,0)),"")</f>
        <v/>
      </c>
      <c r="I1049" s="29">
        <f>IF($B1049="","",IFERROR(INDEX($U$4:$U$3183,MATCH(SMALL($V$4:$V$3183,1046),$V$4:$V$3183,0)),""))</f>
        <v/>
      </c>
      <c r="J1049">
        <f>IF($B1049="","",IF($D1049&gt;$F$2,"À venir",IF($E1049&lt;$D$2,"Passé","Dans la période")))</f>
        <v/>
      </c>
      <c r="K1049">
        <f>IF(OR($B1049="",NOT(ISNUMBER($D1049))),"",IF(AND($E1049&lt;$D$2,$G1049&lt;&gt;"X",$F1049&lt;&gt;"Réalisé",$F1049&lt;&gt;"Clôturé"),"RETARD",""))</f>
        <v/>
      </c>
      <c r="L1049">
        <f>IF(OR($B1049="",NOT(ISNUMBER($D1049))),"",IF(AND($D1049&gt;=$D$2,$D1049&lt;=$H$2,$G1049&lt;&gt;"X",$F1049&lt;&gt;"Réalisé",$F1049&lt;&gt;"Clôturé"),"≤ 7 j",""))</f>
        <v/>
      </c>
      <c r="M1049" s="29">
        <f>IF($B1049="","",IFERROR(INDEX($T$4:$T$3183,MATCH(SMALL($V$4:$V$3183,1046),$V$4:$V$3183,0)),""))</f>
        <v/>
      </c>
      <c r="O1049">
        <f>IF(INDEX(Suivi!$B:$B,1069)="","",INDEX(Suivi!$B:$B,1069))</f>
        <v/>
      </c>
      <c r="P1049">
        <f>IF($O1049="","",IF(INDEX(Suivi!$D:$D,1069)="",INDEX(Suivi!$C:$C,1069),INDEX(Suivi!$D:$D,1069)))</f>
        <v/>
      </c>
      <c r="Q1049">
        <f>IF($O1049="","",INDEX(Suivi!$E:$E,1069))</f>
        <v/>
      </c>
      <c r="R1049">
        <f>IF($O1049="","",INDEX(Suivi!$F:$F,1069))</f>
        <v/>
      </c>
      <c r="S1049">
        <f>IF($O1049="","",INDEX(Suivi!$G:$G,1069))</f>
        <v/>
      </c>
      <c r="T1049">
        <f>IF($O1049="","",IF(INDEX(Dossiers!$F$4:$F$63,20)="","",INDEX(Dossiers!$F$4:$F$63,20)))</f>
        <v/>
      </c>
      <c r="U1049">
        <f>IF($O1049="","",IF(INDEX(Dossiers!$G$4:$G$63,20)="","",INDEX(Dossiers!$G$4:$G$63,20)))</f>
        <v/>
      </c>
      <c r="V1049">
        <f>IF(OR($O1049="",NOT(ISNUMBER($Q1049))),"",$Q1049*1000000+1049)</f>
        <v/>
      </c>
      <c r="W1049" s="29">
        <f>IF($B1049="","",IFERROR(INDEX($U$4:$U$3183,MATCH(SMALL($V$4:$V$3183,1046),$V$4:$V$3183,0)),""))</f>
        <v/>
      </c>
    </row>
    <row r="1050">
      <c r="A1050">
        <f>IFERROR(INDEX($N$4:$N$3183,MATCH(SMALL($V$4:$V$3183,1047),$V$4:$V$3183,0)),"")</f>
        <v/>
      </c>
      <c r="B1050">
        <f>IFERROR(INDEX($O$4:$O$3183,MATCH(SMALL($V$4:$V$3183,1047),$V$4:$V$3183,0)),"")</f>
        <v/>
      </c>
      <c r="C1050">
        <f>IFERROR(INDEX($P$4:$P$3183,MATCH(SMALL($V$4:$V$3183,1047),$V$4:$V$3183,0)),"")</f>
        <v/>
      </c>
      <c r="D1050" s="29">
        <f>IFERROR(INDEX($Q$4:$Q$3183,MATCH(SMALL($V$4:$V$3183,1047),$V$4:$V$3183,0)),"")</f>
        <v/>
      </c>
      <c r="E1050" s="29">
        <f>IFERROR(INDEX($R$4:$R$3183,MATCH(SMALL($V$4:$V$3183,1047),$V$4:$V$3183,0)),"")</f>
        <v/>
      </c>
      <c r="F1050">
        <f>IFERROR(INDEX($S$4:$S$3183,MATCH(SMALL($V$4:$V$3183,1047),$V$4:$V$3183,0)),"")</f>
        <v/>
      </c>
      <c r="I1050" s="29">
        <f>IF($B1050="","",IFERROR(INDEX($U$4:$U$3183,MATCH(SMALL($V$4:$V$3183,1047),$V$4:$V$3183,0)),""))</f>
        <v/>
      </c>
      <c r="J1050">
        <f>IF($B1050="","",IF($D1050&gt;$F$2,"À venir",IF($E1050&lt;$D$2,"Passé","Dans la période")))</f>
        <v/>
      </c>
      <c r="K1050">
        <f>IF(OR($B1050="",NOT(ISNUMBER($D1050))),"",IF(AND($E1050&lt;$D$2,$G1050&lt;&gt;"X",$F1050&lt;&gt;"Réalisé",$F1050&lt;&gt;"Clôturé"),"RETARD",""))</f>
        <v/>
      </c>
      <c r="L1050">
        <f>IF(OR($B1050="",NOT(ISNUMBER($D1050))),"",IF(AND($D1050&gt;=$D$2,$D1050&lt;=$H$2,$G1050&lt;&gt;"X",$F1050&lt;&gt;"Réalisé",$F1050&lt;&gt;"Clôturé"),"≤ 7 j",""))</f>
        <v/>
      </c>
      <c r="M1050" s="29">
        <f>IF($B1050="","",IFERROR(INDEX($T$4:$T$3183,MATCH(SMALL($V$4:$V$3183,1047),$V$4:$V$3183,0)),""))</f>
        <v/>
      </c>
      <c r="O1050">
        <f>IF(INDEX(Suivi!$B:$B,1070)="","",INDEX(Suivi!$B:$B,1070))</f>
        <v/>
      </c>
      <c r="P1050">
        <f>IF($O1050="","",IF(INDEX(Suivi!$D:$D,1070)="",INDEX(Suivi!$C:$C,1070),INDEX(Suivi!$D:$D,1070)))</f>
        <v/>
      </c>
      <c r="Q1050">
        <f>IF($O1050="","",INDEX(Suivi!$E:$E,1070))</f>
        <v/>
      </c>
      <c r="R1050">
        <f>IF($O1050="","",INDEX(Suivi!$F:$F,1070))</f>
        <v/>
      </c>
      <c r="S1050">
        <f>IF($O1050="","",INDEX(Suivi!$G:$G,1070))</f>
        <v/>
      </c>
      <c r="T1050">
        <f>IF($O1050="","",IF(INDEX(Dossiers!$F$4:$F$63,20)="","",INDEX(Dossiers!$F$4:$F$63,20)))</f>
        <v/>
      </c>
      <c r="U1050">
        <f>IF($O1050="","",IF(INDEX(Dossiers!$G$4:$G$63,20)="","",INDEX(Dossiers!$G$4:$G$63,20)))</f>
        <v/>
      </c>
      <c r="V1050">
        <f>IF(OR($O1050="",NOT(ISNUMBER($Q1050))),"",$Q1050*1000000+1050)</f>
        <v/>
      </c>
      <c r="W1050" s="29">
        <f>IF($B1050="","",IFERROR(INDEX($U$4:$U$3183,MATCH(SMALL($V$4:$V$3183,1047),$V$4:$V$3183,0)),""))</f>
        <v/>
      </c>
    </row>
    <row r="1051">
      <c r="A1051">
        <f>IFERROR(INDEX($N$4:$N$3183,MATCH(SMALL($V$4:$V$3183,1048),$V$4:$V$3183,0)),"")</f>
        <v/>
      </c>
      <c r="B1051">
        <f>IFERROR(INDEX($O$4:$O$3183,MATCH(SMALL($V$4:$V$3183,1048),$V$4:$V$3183,0)),"")</f>
        <v/>
      </c>
      <c r="C1051">
        <f>IFERROR(INDEX($P$4:$P$3183,MATCH(SMALL($V$4:$V$3183,1048),$V$4:$V$3183,0)),"")</f>
        <v/>
      </c>
      <c r="D1051" s="29">
        <f>IFERROR(INDEX($Q$4:$Q$3183,MATCH(SMALL($V$4:$V$3183,1048),$V$4:$V$3183,0)),"")</f>
        <v/>
      </c>
      <c r="E1051" s="29">
        <f>IFERROR(INDEX($R$4:$R$3183,MATCH(SMALL($V$4:$V$3183,1048),$V$4:$V$3183,0)),"")</f>
        <v/>
      </c>
      <c r="F1051">
        <f>IFERROR(INDEX($S$4:$S$3183,MATCH(SMALL($V$4:$V$3183,1048),$V$4:$V$3183,0)),"")</f>
        <v/>
      </c>
      <c r="I1051" s="29">
        <f>IF($B1051="","",IFERROR(INDEX($U$4:$U$3183,MATCH(SMALL($V$4:$V$3183,1048),$V$4:$V$3183,0)),""))</f>
        <v/>
      </c>
      <c r="J1051">
        <f>IF($B1051="","",IF($D1051&gt;$F$2,"À venir",IF($E1051&lt;$D$2,"Passé","Dans la période")))</f>
        <v/>
      </c>
      <c r="K1051">
        <f>IF(OR($B1051="",NOT(ISNUMBER($D1051))),"",IF(AND($E1051&lt;$D$2,$G1051&lt;&gt;"X",$F1051&lt;&gt;"Réalisé",$F1051&lt;&gt;"Clôturé"),"RETARD",""))</f>
        <v/>
      </c>
      <c r="L1051">
        <f>IF(OR($B1051="",NOT(ISNUMBER($D1051))),"",IF(AND($D1051&gt;=$D$2,$D1051&lt;=$H$2,$G1051&lt;&gt;"X",$F1051&lt;&gt;"Réalisé",$F1051&lt;&gt;"Clôturé"),"≤ 7 j",""))</f>
        <v/>
      </c>
      <c r="M1051" s="29">
        <f>IF($B1051="","",IFERROR(INDEX($T$4:$T$3183,MATCH(SMALL($V$4:$V$3183,1048),$V$4:$V$3183,0)),""))</f>
        <v/>
      </c>
      <c r="O1051">
        <f>IF(INDEX(Suivi!$B:$B,1071)="","",INDEX(Suivi!$B:$B,1071))</f>
        <v/>
      </c>
      <c r="P1051">
        <f>IF($O1051="","",IF(INDEX(Suivi!$D:$D,1071)="",INDEX(Suivi!$C:$C,1071),INDEX(Suivi!$D:$D,1071)))</f>
        <v/>
      </c>
      <c r="Q1051">
        <f>IF($O1051="","",INDEX(Suivi!$E:$E,1071))</f>
        <v/>
      </c>
      <c r="R1051">
        <f>IF($O1051="","",INDEX(Suivi!$F:$F,1071))</f>
        <v/>
      </c>
      <c r="S1051">
        <f>IF($O1051="","",INDEX(Suivi!$G:$G,1071))</f>
        <v/>
      </c>
      <c r="T1051">
        <f>IF($O1051="","",IF(INDEX(Dossiers!$F$4:$F$63,20)="","",INDEX(Dossiers!$F$4:$F$63,20)))</f>
        <v/>
      </c>
      <c r="U1051">
        <f>IF($O1051="","",IF(INDEX(Dossiers!$G$4:$G$63,20)="","",INDEX(Dossiers!$G$4:$G$63,20)))</f>
        <v/>
      </c>
      <c r="V1051">
        <f>IF(OR($O1051="",NOT(ISNUMBER($Q1051))),"",$Q1051*1000000+1051)</f>
        <v/>
      </c>
      <c r="W1051" s="29">
        <f>IF($B1051="","",IFERROR(INDEX($U$4:$U$3183,MATCH(SMALL($V$4:$V$3183,1048),$V$4:$V$3183,0)),""))</f>
        <v/>
      </c>
    </row>
    <row r="1052">
      <c r="A1052">
        <f>IFERROR(INDEX($N$4:$N$3183,MATCH(SMALL($V$4:$V$3183,1049),$V$4:$V$3183,0)),"")</f>
        <v/>
      </c>
      <c r="B1052">
        <f>IFERROR(INDEX($O$4:$O$3183,MATCH(SMALL($V$4:$V$3183,1049),$V$4:$V$3183,0)),"")</f>
        <v/>
      </c>
      <c r="C1052">
        <f>IFERROR(INDEX($P$4:$P$3183,MATCH(SMALL($V$4:$V$3183,1049),$V$4:$V$3183,0)),"")</f>
        <v/>
      </c>
      <c r="D1052" s="29">
        <f>IFERROR(INDEX($Q$4:$Q$3183,MATCH(SMALL($V$4:$V$3183,1049),$V$4:$V$3183,0)),"")</f>
        <v/>
      </c>
      <c r="E1052" s="29">
        <f>IFERROR(INDEX($R$4:$R$3183,MATCH(SMALL($V$4:$V$3183,1049),$V$4:$V$3183,0)),"")</f>
        <v/>
      </c>
      <c r="F1052">
        <f>IFERROR(INDEX($S$4:$S$3183,MATCH(SMALL($V$4:$V$3183,1049),$V$4:$V$3183,0)),"")</f>
        <v/>
      </c>
      <c r="I1052" s="29">
        <f>IF($B1052="","",IFERROR(INDEX($U$4:$U$3183,MATCH(SMALL($V$4:$V$3183,1049),$V$4:$V$3183,0)),""))</f>
        <v/>
      </c>
      <c r="J1052">
        <f>IF($B1052="","",IF($D1052&gt;$F$2,"À venir",IF($E1052&lt;$D$2,"Passé","Dans la période")))</f>
        <v/>
      </c>
      <c r="K1052">
        <f>IF(OR($B1052="",NOT(ISNUMBER($D1052))),"",IF(AND($E1052&lt;$D$2,$G1052&lt;&gt;"X",$F1052&lt;&gt;"Réalisé",$F1052&lt;&gt;"Clôturé"),"RETARD",""))</f>
        <v/>
      </c>
      <c r="L1052">
        <f>IF(OR($B1052="",NOT(ISNUMBER($D1052))),"",IF(AND($D1052&gt;=$D$2,$D1052&lt;=$H$2,$G1052&lt;&gt;"X",$F1052&lt;&gt;"Réalisé",$F1052&lt;&gt;"Clôturé"),"≤ 7 j",""))</f>
        <v/>
      </c>
      <c r="M1052" s="29">
        <f>IF($B1052="","",IFERROR(INDEX($T$4:$T$3183,MATCH(SMALL($V$4:$V$3183,1049),$V$4:$V$3183,0)),""))</f>
        <v/>
      </c>
      <c r="O1052">
        <f>IF(INDEX(Suivi!$B:$B,1072)="","",INDEX(Suivi!$B:$B,1072))</f>
        <v/>
      </c>
      <c r="P1052">
        <f>IF($O1052="","",IF(INDEX(Suivi!$D:$D,1072)="",INDEX(Suivi!$C:$C,1072),INDEX(Suivi!$D:$D,1072)))</f>
        <v/>
      </c>
      <c r="Q1052">
        <f>IF($O1052="","",INDEX(Suivi!$E:$E,1072))</f>
        <v/>
      </c>
      <c r="R1052">
        <f>IF($O1052="","",INDEX(Suivi!$F:$F,1072))</f>
        <v/>
      </c>
      <c r="S1052">
        <f>IF($O1052="","",INDEX(Suivi!$G:$G,1072))</f>
        <v/>
      </c>
      <c r="T1052">
        <f>IF($O1052="","",IF(INDEX(Dossiers!$F$4:$F$63,20)="","",INDEX(Dossiers!$F$4:$F$63,20)))</f>
        <v/>
      </c>
      <c r="U1052">
        <f>IF($O1052="","",IF(INDEX(Dossiers!$G$4:$G$63,20)="","",INDEX(Dossiers!$G$4:$G$63,20)))</f>
        <v/>
      </c>
      <c r="V1052">
        <f>IF(OR($O1052="",NOT(ISNUMBER($Q1052))),"",$Q1052*1000000+1052)</f>
        <v/>
      </c>
      <c r="W1052" s="29">
        <f>IF($B1052="","",IFERROR(INDEX($U$4:$U$3183,MATCH(SMALL($V$4:$V$3183,1049),$V$4:$V$3183,0)),""))</f>
        <v/>
      </c>
    </row>
    <row r="1053">
      <c r="A1053">
        <f>IFERROR(INDEX($N$4:$N$3183,MATCH(SMALL($V$4:$V$3183,1050),$V$4:$V$3183,0)),"")</f>
        <v/>
      </c>
      <c r="B1053">
        <f>IFERROR(INDEX($O$4:$O$3183,MATCH(SMALL($V$4:$V$3183,1050),$V$4:$V$3183,0)),"")</f>
        <v/>
      </c>
      <c r="C1053">
        <f>IFERROR(INDEX($P$4:$P$3183,MATCH(SMALL($V$4:$V$3183,1050),$V$4:$V$3183,0)),"")</f>
        <v/>
      </c>
      <c r="D1053" s="29">
        <f>IFERROR(INDEX($Q$4:$Q$3183,MATCH(SMALL($V$4:$V$3183,1050),$V$4:$V$3183,0)),"")</f>
        <v/>
      </c>
      <c r="E1053" s="29">
        <f>IFERROR(INDEX($R$4:$R$3183,MATCH(SMALL($V$4:$V$3183,1050),$V$4:$V$3183,0)),"")</f>
        <v/>
      </c>
      <c r="F1053">
        <f>IFERROR(INDEX($S$4:$S$3183,MATCH(SMALL($V$4:$V$3183,1050),$V$4:$V$3183,0)),"")</f>
        <v/>
      </c>
      <c r="I1053" s="29">
        <f>IF($B1053="","",IFERROR(INDEX($U$4:$U$3183,MATCH(SMALL($V$4:$V$3183,1050),$V$4:$V$3183,0)),""))</f>
        <v/>
      </c>
      <c r="J1053">
        <f>IF($B1053="","",IF($D1053&gt;$F$2,"À venir",IF($E1053&lt;$D$2,"Passé","Dans la période")))</f>
        <v/>
      </c>
      <c r="K1053">
        <f>IF(OR($B1053="",NOT(ISNUMBER($D1053))),"",IF(AND($E1053&lt;$D$2,$G1053&lt;&gt;"X",$F1053&lt;&gt;"Réalisé",$F1053&lt;&gt;"Clôturé"),"RETARD",""))</f>
        <v/>
      </c>
      <c r="L1053">
        <f>IF(OR($B1053="",NOT(ISNUMBER($D1053))),"",IF(AND($D1053&gt;=$D$2,$D1053&lt;=$H$2,$G1053&lt;&gt;"X",$F1053&lt;&gt;"Réalisé",$F1053&lt;&gt;"Clôturé"),"≤ 7 j",""))</f>
        <v/>
      </c>
      <c r="M1053" s="29">
        <f>IF($B1053="","",IFERROR(INDEX($T$4:$T$3183,MATCH(SMALL($V$4:$V$3183,1050),$V$4:$V$3183,0)),""))</f>
        <v/>
      </c>
      <c r="O1053">
        <f>IF(INDEX(Suivi!$B:$B,1073)="","",INDEX(Suivi!$B:$B,1073))</f>
        <v/>
      </c>
      <c r="P1053">
        <f>IF($O1053="","",IF(INDEX(Suivi!$D:$D,1073)="",INDEX(Suivi!$C:$C,1073),INDEX(Suivi!$D:$D,1073)))</f>
        <v/>
      </c>
      <c r="Q1053">
        <f>IF($O1053="","",INDEX(Suivi!$E:$E,1073))</f>
        <v/>
      </c>
      <c r="R1053">
        <f>IF($O1053="","",INDEX(Suivi!$F:$F,1073))</f>
        <v/>
      </c>
      <c r="S1053">
        <f>IF($O1053="","",INDEX(Suivi!$G:$G,1073))</f>
        <v/>
      </c>
      <c r="T1053">
        <f>IF($O1053="","",IF(INDEX(Dossiers!$F$4:$F$63,20)="","",INDEX(Dossiers!$F$4:$F$63,20)))</f>
        <v/>
      </c>
      <c r="U1053">
        <f>IF($O1053="","",IF(INDEX(Dossiers!$G$4:$G$63,20)="","",INDEX(Dossiers!$G$4:$G$63,20)))</f>
        <v/>
      </c>
      <c r="V1053">
        <f>IF(OR($O1053="",NOT(ISNUMBER($Q1053))),"",$Q1053*1000000+1053)</f>
        <v/>
      </c>
      <c r="W1053" s="29">
        <f>IF($B1053="","",IFERROR(INDEX($U$4:$U$3183,MATCH(SMALL($V$4:$V$3183,1050),$V$4:$V$3183,0)),""))</f>
        <v/>
      </c>
    </row>
    <row r="1054">
      <c r="A1054">
        <f>IFERROR(INDEX($N$4:$N$3183,MATCH(SMALL($V$4:$V$3183,1051),$V$4:$V$3183,0)),"")</f>
        <v/>
      </c>
      <c r="B1054">
        <f>IFERROR(INDEX($O$4:$O$3183,MATCH(SMALL($V$4:$V$3183,1051),$V$4:$V$3183,0)),"")</f>
        <v/>
      </c>
      <c r="C1054">
        <f>IFERROR(INDEX($P$4:$P$3183,MATCH(SMALL($V$4:$V$3183,1051),$V$4:$V$3183,0)),"")</f>
        <v/>
      </c>
      <c r="D1054" s="29">
        <f>IFERROR(INDEX($Q$4:$Q$3183,MATCH(SMALL($V$4:$V$3183,1051),$V$4:$V$3183,0)),"")</f>
        <v/>
      </c>
      <c r="E1054" s="29">
        <f>IFERROR(INDEX($R$4:$R$3183,MATCH(SMALL($V$4:$V$3183,1051),$V$4:$V$3183,0)),"")</f>
        <v/>
      </c>
      <c r="F1054">
        <f>IFERROR(INDEX($S$4:$S$3183,MATCH(SMALL($V$4:$V$3183,1051),$V$4:$V$3183,0)),"")</f>
        <v/>
      </c>
      <c r="I1054" s="29">
        <f>IF($B1054="","",IFERROR(INDEX($U$4:$U$3183,MATCH(SMALL($V$4:$V$3183,1051),$V$4:$V$3183,0)),""))</f>
        <v/>
      </c>
      <c r="J1054">
        <f>IF($B1054="","",IF($D1054&gt;$F$2,"À venir",IF($E1054&lt;$D$2,"Passé","Dans la période")))</f>
        <v/>
      </c>
      <c r="K1054">
        <f>IF(OR($B1054="",NOT(ISNUMBER($D1054))),"",IF(AND($E1054&lt;$D$2,$G1054&lt;&gt;"X",$F1054&lt;&gt;"Réalisé",$F1054&lt;&gt;"Clôturé"),"RETARD",""))</f>
        <v/>
      </c>
      <c r="L1054">
        <f>IF(OR($B1054="",NOT(ISNUMBER($D1054))),"",IF(AND($D1054&gt;=$D$2,$D1054&lt;=$H$2,$G1054&lt;&gt;"X",$F1054&lt;&gt;"Réalisé",$F1054&lt;&gt;"Clôturé"),"≤ 7 j",""))</f>
        <v/>
      </c>
      <c r="M1054" s="29">
        <f>IF($B1054="","",IFERROR(INDEX($T$4:$T$3183,MATCH(SMALL($V$4:$V$3183,1051),$V$4:$V$3183,0)),""))</f>
        <v/>
      </c>
      <c r="O1054">
        <f>IF(INDEX(Suivi!$B:$B,1074)="","",INDEX(Suivi!$B:$B,1074))</f>
        <v/>
      </c>
      <c r="P1054">
        <f>IF($O1054="","",IF(INDEX(Suivi!$D:$D,1074)="",INDEX(Suivi!$C:$C,1074),INDEX(Suivi!$D:$D,1074)))</f>
        <v/>
      </c>
      <c r="Q1054">
        <f>IF($O1054="","",INDEX(Suivi!$E:$E,1074))</f>
        <v/>
      </c>
      <c r="R1054">
        <f>IF($O1054="","",INDEX(Suivi!$F:$F,1074))</f>
        <v/>
      </c>
      <c r="S1054">
        <f>IF($O1054="","",INDEX(Suivi!$G:$G,1074))</f>
        <v/>
      </c>
      <c r="T1054">
        <f>IF($O1054="","",IF(INDEX(Dossiers!$F$4:$F$63,20)="","",INDEX(Dossiers!$F$4:$F$63,20)))</f>
        <v/>
      </c>
      <c r="U1054">
        <f>IF($O1054="","",IF(INDEX(Dossiers!$G$4:$G$63,20)="","",INDEX(Dossiers!$G$4:$G$63,20)))</f>
        <v/>
      </c>
      <c r="V1054">
        <f>IF(OR($O1054="",NOT(ISNUMBER($Q1054))),"",$Q1054*1000000+1054)</f>
        <v/>
      </c>
      <c r="W1054" s="29">
        <f>IF($B1054="","",IFERROR(INDEX($U$4:$U$3183,MATCH(SMALL($V$4:$V$3183,1051),$V$4:$V$3183,0)),""))</f>
        <v/>
      </c>
    </row>
    <row r="1055">
      <c r="A1055">
        <f>IFERROR(INDEX($N$4:$N$3183,MATCH(SMALL($V$4:$V$3183,1052),$V$4:$V$3183,0)),"")</f>
        <v/>
      </c>
      <c r="B1055">
        <f>IFERROR(INDEX($O$4:$O$3183,MATCH(SMALL($V$4:$V$3183,1052),$V$4:$V$3183,0)),"")</f>
        <v/>
      </c>
      <c r="C1055">
        <f>IFERROR(INDEX($P$4:$P$3183,MATCH(SMALL($V$4:$V$3183,1052),$V$4:$V$3183,0)),"")</f>
        <v/>
      </c>
      <c r="D1055" s="29">
        <f>IFERROR(INDEX($Q$4:$Q$3183,MATCH(SMALL($V$4:$V$3183,1052),$V$4:$V$3183,0)),"")</f>
        <v/>
      </c>
      <c r="E1055" s="29">
        <f>IFERROR(INDEX($R$4:$R$3183,MATCH(SMALL($V$4:$V$3183,1052),$V$4:$V$3183,0)),"")</f>
        <v/>
      </c>
      <c r="F1055">
        <f>IFERROR(INDEX($S$4:$S$3183,MATCH(SMALL($V$4:$V$3183,1052),$V$4:$V$3183,0)),"")</f>
        <v/>
      </c>
      <c r="I1055" s="29">
        <f>IF($B1055="","",IFERROR(INDEX($U$4:$U$3183,MATCH(SMALL($V$4:$V$3183,1052),$V$4:$V$3183,0)),""))</f>
        <v/>
      </c>
      <c r="J1055">
        <f>IF($B1055="","",IF($D1055&gt;$F$2,"À venir",IF($E1055&lt;$D$2,"Passé","Dans la période")))</f>
        <v/>
      </c>
      <c r="K1055">
        <f>IF(OR($B1055="",NOT(ISNUMBER($D1055))),"",IF(AND($E1055&lt;$D$2,$G1055&lt;&gt;"X",$F1055&lt;&gt;"Réalisé",$F1055&lt;&gt;"Clôturé"),"RETARD",""))</f>
        <v/>
      </c>
      <c r="L1055">
        <f>IF(OR($B1055="",NOT(ISNUMBER($D1055))),"",IF(AND($D1055&gt;=$D$2,$D1055&lt;=$H$2,$G1055&lt;&gt;"X",$F1055&lt;&gt;"Réalisé",$F1055&lt;&gt;"Clôturé"),"≤ 7 j",""))</f>
        <v/>
      </c>
      <c r="M1055" s="29">
        <f>IF($B1055="","",IFERROR(INDEX($T$4:$T$3183,MATCH(SMALL($V$4:$V$3183,1052),$V$4:$V$3183,0)),""))</f>
        <v/>
      </c>
      <c r="O1055">
        <f>IF(INDEX(Suivi!$B:$B,1075)="","",INDEX(Suivi!$B:$B,1075))</f>
        <v/>
      </c>
      <c r="P1055">
        <f>IF($O1055="","",IF(INDEX(Suivi!$D:$D,1075)="",INDEX(Suivi!$C:$C,1075),INDEX(Suivi!$D:$D,1075)))</f>
        <v/>
      </c>
      <c r="Q1055">
        <f>IF($O1055="","",INDEX(Suivi!$E:$E,1075))</f>
        <v/>
      </c>
      <c r="R1055">
        <f>IF($O1055="","",INDEX(Suivi!$F:$F,1075))</f>
        <v/>
      </c>
      <c r="S1055">
        <f>IF($O1055="","",INDEX(Suivi!$G:$G,1075))</f>
        <v/>
      </c>
      <c r="T1055">
        <f>IF($O1055="","",IF(INDEX(Dossiers!$F$4:$F$63,20)="","",INDEX(Dossiers!$F$4:$F$63,20)))</f>
        <v/>
      </c>
      <c r="U1055">
        <f>IF($O1055="","",IF(INDEX(Dossiers!$G$4:$G$63,20)="","",INDEX(Dossiers!$G$4:$G$63,20)))</f>
        <v/>
      </c>
      <c r="V1055">
        <f>IF(OR($O1055="",NOT(ISNUMBER($Q1055))),"",$Q1055*1000000+1055)</f>
        <v/>
      </c>
      <c r="W1055" s="29">
        <f>IF($B1055="","",IFERROR(INDEX($U$4:$U$3183,MATCH(SMALL($V$4:$V$3183,1052),$V$4:$V$3183,0)),""))</f>
        <v/>
      </c>
    </row>
    <row r="1056">
      <c r="A1056">
        <f>IFERROR(INDEX($N$4:$N$3183,MATCH(SMALL($V$4:$V$3183,1053),$V$4:$V$3183,0)),"")</f>
        <v/>
      </c>
      <c r="B1056">
        <f>IFERROR(INDEX($O$4:$O$3183,MATCH(SMALL($V$4:$V$3183,1053),$V$4:$V$3183,0)),"")</f>
        <v/>
      </c>
      <c r="C1056">
        <f>IFERROR(INDEX($P$4:$P$3183,MATCH(SMALL($V$4:$V$3183,1053),$V$4:$V$3183,0)),"")</f>
        <v/>
      </c>
      <c r="D1056" s="29">
        <f>IFERROR(INDEX($Q$4:$Q$3183,MATCH(SMALL($V$4:$V$3183,1053),$V$4:$V$3183,0)),"")</f>
        <v/>
      </c>
      <c r="E1056" s="29">
        <f>IFERROR(INDEX($R$4:$R$3183,MATCH(SMALL($V$4:$V$3183,1053),$V$4:$V$3183,0)),"")</f>
        <v/>
      </c>
      <c r="F1056">
        <f>IFERROR(INDEX($S$4:$S$3183,MATCH(SMALL($V$4:$V$3183,1053),$V$4:$V$3183,0)),"")</f>
        <v/>
      </c>
      <c r="I1056" s="29">
        <f>IF($B1056="","",IFERROR(INDEX($U$4:$U$3183,MATCH(SMALL($V$4:$V$3183,1053),$V$4:$V$3183,0)),""))</f>
        <v/>
      </c>
      <c r="J1056">
        <f>IF($B1056="","",IF($D1056&gt;$F$2,"À venir",IF($E1056&lt;$D$2,"Passé","Dans la période")))</f>
        <v/>
      </c>
      <c r="K1056">
        <f>IF(OR($B1056="",NOT(ISNUMBER($D1056))),"",IF(AND($E1056&lt;$D$2,$G1056&lt;&gt;"X",$F1056&lt;&gt;"Réalisé",$F1056&lt;&gt;"Clôturé"),"RETARD",""))</f>
        <v/>
      </c>
      <c r="L1056">
        <f>IF(OR($B1056="",NOT(ISNUMBER($D1056))),"",IF(AND($D1056&gt;=$D$2,$D1056&lt;=$H$2,$G1056&lt;&gt;"X",$F1056&lt;&gt;"Réalisé",$F1056&lt;&gt;"Clôturé"),"≤ 7 j",""))</f>
        <v/>
      </c>
      <c r="M1056" s="29">
        <f>IF($B1056="","",IFERROR(INDEX($T$4:$T$3183,MATCH(SMALL($V$4:$V$3183,1053),$V$4:$V$3183,0)),""))</f>
        <v/>
      </c>
      <c r="O1056">
        <f>IF(INDEX(Suivi!$B:$B,1076)="","",INDEX(Suivi!$B:$B,1076))</f>
        <v/>
      </c>
      <c r="P1056">
        <f>IF($O1056="","",IF(INDEX(Suivi!$D:$D,1076)="",INDEX(Suivi!$C:$C,1076),INDEX(Suivi!$D:$D,1076)))</f>
        <v/>
      </c>
      <c r="Q1056">
        <f>IF($O1056="","",INDEX(Suivi!$E:$E,1076))</f>
        <v/>
      </c>
      <c r="R1056">
        <f>IF($O1056="","",INDEX(Suivi!$F:$F,1076))</f>
        <v/>
      </c>
      <c r="S1056">
        <f>IF($O1056="","",INDEX(Suivi!$G:$G,1076))</f>
        <v/>
      </c>
      <c r="T1056">
        <f>IF($O1056="","",IF(INDEX(Dossiers!$F$4:$F$63,20)="","",INDEX(Dossiers!$F$4:$F$63,20)))</f>
        <v/>
      </c>
      <c r="U1056">
        <f>IF($O1056="","",IF(INDEX(Dossiers!$G$4:$G$63,20)="","",INDEX(Dossiers!$G$4:$G$63,20)))</f>
        <v/>
      </c>
      <c r="V1056">
        <f>IF(OR($O1056="",NOT(ISNUMBER($Q1056))),"",$Q1056*1000000+1056)</f>
        <v/>
      </c>
      <c r="W1056" s="29">
        <f>IF($B1056="","",IFERROR(INDEX($U$4:$U$3183,MATCH(SMALL($V$4:$V$3183,1053),$V$4:$V$3183,0)),""))</f>
        <v/>
      </c>
    </row>
    <row r="1057">
      <c r="A1057">
        <f>IFERROR(INDEX($N$4:$N$3183,MATCH(SMALL($V$4:$V$3183,1054),$V$4:$V$3183,0)),"")</f>
        <v/>
      </c>
      <c r="B1057">
        <f>IFERROR(INDEX($O$4:$O$3183,MATCH(SMALL($V$4:$V$3183,1054),$V$4:$V$3183,0)),"")</f>
        <v/>
      </c>
      <c r="C1057">
        <f>IFERROR(INDEX($P$4:$P$3183,MATCH(SMALL($V$4:$V$3183,1054),$V$4:$V$3183,0)),"")</f>
        <v/>
      </c>
      <c r="D1057" s="29">
        <f>IFERROR(INDEX($Q$4:$Q$3183,MATCH(SMALL($V$4:$V$3183,1054),$V$4:$V$3183,0)),"")</f>
        <v/>
      </c>
      <c r="E1057" s="29">
        <f>IFERROR(INDEX($R$4:$R$3183,MATCH(SMALL($V$4:$V$3183,1054),$V$4:$V$3183,0)),"")</f>
        <v/>
      </c>
      <c r="F1057">
        <f>IFERROR(INDEX($S$4:$S$3183,MATCH(SMALL($V$4:$V$3183,1054),$V$4:$V$3183,0)),"")</f>
        <v/>
      </c>
      <c r="I1057" s="29">
        <f>IF($B1057="","",IFERROR(INDEX($U$4:$U$3183,MATCH(SMALL($V$4:$V$3183,1054),$V$4:$V$3183,0)),""))</f>
        <v/>
      </c>
      <c r="J1057">
        <f>IF($B1057="","",IF($D1057&gt;$F$2,"À venir",IF($E1057&lt;$D$2,"Passé","Dans la période")))</f>
        <v/>
      </c>
      <c r="K1057">
        <f>IF(OR($B1057="",NOT(ISNUMBER($D1057))),"",IF(AND($E1057&lt;$D$2,$G1057&lt;&gt;"X",$F1057&lt;&gt;"Réalisé",$F1057&lt;&gt;"Clôturé"),"RETARD",""))</f>
        <v/>
      </c>
      <c r="L1057">
        <f>IF(OR($B1057="",NOT(ISNUMBER($D1057))),"",IF(AND($D1057&gt;=$D$2,$D1057&lt;=$H$2,$G1057&lt;&gt;"X",$F1057&lt;&gt;"Réalisé",$F1057&lt;&gt;"Clôturé"),"≤ 7 j",""))</f>
        <v/>
      </c>
      <c r="M1057" s="29">
        <f>IF($B1057="","",IFERROR(INDEX($T$4:$T$3183,MATCH(SMALL($V$4:$V$3183,1054),$V$4:$V$3183,0)),""))</f>
        <v/>
      </c>
      <c r="O1057">
        <f>IF(INDEX(Suivi!$B:$B,1077)="","",INDEX(Suivi!$B:$B,1077))</f>
        <v/>
      </c>
      <c r="P1057">
        <f>IF($O1057="","",IF(INDEX(Suivi!$D:$D,1077)="",INDEX(Suivi!$C:$C,1077),INDEX(Suivi!$D:$D,1077)))</f>
        <v/>
      </c>
      <c r="Q1057">
        <f>IF($O1057="","",INDEX(Suivi!$E:$E,1077))</f>
        <v/>
      </c>
      <c r="R1057">
        <f>IF($O1057="","",INDEX(Suivi!$F:$F,1077))</f>
        <v/>
      </c>
      <c r="S1057">
        <f>IF($O1057="","",INDEX(Suivi!$G:$G,1077))</f>
        <v/>
      </c>
      <c r="T1057">
        <f>IF($O1057="","",IF(INDEX(Dossiers!$F$4:$F$63,20)="","",INDEX(Dossiers!$F$4:$F$63,20)))</f>
        <v/>
      </c>
      <c r="U1057">
        <f>IF($O1057="","",IF(INDEX(Dossiers!$G$4:$G$63,20)="","",INDEX(Dossiers!$G$4:$G$63,20)))</f>
        <v/>
      </c>
      <c r="V1057">
        <f>IF(OR($O1057="",NOT(ISNUMBER($Q1057))),"",$Q1057*1000000+1057)</f>
        <v/>
      </c>
      <c r="W1057" s="29">
        <f>IF($B1057="","",IFERROR(INDEX($U$4:$U$3183,MATCH(SMALL($V$4:$V$3183,1054),$V$4:$V$3183,0)),""))</f>
        <v/>
      </c>
    </row>
    <row r="1058">
      <c r="A1058">
        <f>IFERROR(INDEX($N$4:$N$3183,MATCH(SMALL($V$4:$V$3183,1055),$V$4:$V$3183,0)),"")</f>
        <v/>
      </c>
      <c r="B1058">
        <f>IFERROR(INDEX($O$4:$O$3183,MATCH(SMALL($V$4:$V$3183,1055),$V$4:$V$3183,0)),"")</f>
        <v/>
      </c>
      <c r="C1058">
        <f>IFERROR(INDEX($P$4:$P$3183,MATCH(SMALL($V$4:$V$3183,1055),$V$4:$V$3183,0)),"")</f>
        <v/>
      </c>
      <c r="D1058" s="29">
        <f>IFERROR(INDEX($Q$4:$Q$3183,MATCH(SMALL($V$4:$V$3183,1055),$V$4:$V$3183,0)),"")</f>
        <v/>
      </c>
      <c r="E1058" s="29">
        <f>IFERROR(INDEX($R$4:$R$3183,MATCH(SMALL($V$4:$V$3183,1055),$V$4:$V$3183,0)),"")</f>
        <v/>
      </c>
      <c r="F1058">
        <f>IFERROR(INDEX($S$4:$S$3183,MATCH(SMALL($V$4:$V$3183,1055),$V$4:$V$3183,0)),"")</f>
        <v/>
      </c>
      <c r="I1058" s="29">
        <f>IF($B1058="","",IFERROR(INDEX($U$4:$U$3183,MATCH(SMALL($V$4:$V$3183,1055),$V$4:$V$3183,0)),""))</f>
        <v/>
      </c>
      <c r="J1058">
        <f>IF($B1058="","",IF($D1058&gt;$F$2,"À venir",IF($E1058&lt;$D$2,"Passé","Dans la période")))</f>
        <v/>
      </c>
      <c r="K1058">
        <f>IF(OR($B1058="",NOT(ISNUMBER($D1058))),"",IF(AND($E1058&lt;$D$2,$G1058&lt;&gt;"X",$F1058&lt;&gt;"Réalisé",$F1058&lt;&gt;"Clôturé"),"RETARD",""))</f>
        <v/>
      </c>
      <c r="L1058">
        <f>IF(OR($B1058="",NOT(ISNUMBER($D1058))),"",IF(AND($D1058&gt;=$D$2,$D1058&lt;=$H$2,$G1058&lt;&gt;"X",$F1058&lt;&gt;"Réalisé",$F1058&lt;&gt;"Clôturé"),"≤ 7 j",""))</f>
        <v/>
      </c>
      <c r="M1058" s="29">
        <f>IF($B1058="","",IFERROR(INDEX($T$4:$T$3183,MATCH(SMALL($V$4:$V$3183,1055),$V$4:$V$3183,0)),""))</f>
        <v/>
      </c>
      <c r="O1058">
        <f>IF(INDEX(Suivi!$B:$B,1078)="","",INDEX(Suivi!$B:$B,1078))</f>
        <v/>
      </c>
      <c r="P1058">
        <f>IF($O1058="","",IF(INDEX(Suivi!$D:$D,1078)="",INDEX(Suivi!$C:$C,1078),INDEX(Suivi!$D:$D,1078)))</f>
        <v/>
      </c>
      <c r="Q1058">
        <f>IF($O1058="","",INDEX(Suivi!$E:$E,1078))</f>
        <v/>
      </c>
      <c r="R1058">
        <f>IF($O1058="","",INDEX(Suivi!$F:$F,1078))</f>
        <v/>
      </c>
      <c r="S1058">
        <f>IF($O1058="","",INDEX(Suivi!$G:$G,1078))</f>
        <v/>
      </c>
      <c r="T1058">
        <f>IF($O1058="","",IF(INDEX(Dossiers!$F$4:$F$63,20)="","",INDEX(Dossiers!$F$4:$F$63,20)))</f>
        <v/>
      </c>
      <c r="U1058">
        <f>IF($O1058="","",IF(INDEX(Dossiers!$G$4:$G$63,20)="","",INDEX(Dossiers!$G$4:$G$63,20)))</f>
        <v/>
      </c>
      <c r="V1058">
        <f>IF(OR($O1058="",NOT(ISNUMBER($Q1058))),"",$Q1058*1000000+1058)</f>
        <v/>
      </c>
      <c r="W1058" s="29">
        <f>IF($B1058="","",IFERROR(INDEX($U$4:$U$3183,MATCH(SMALL($V$4:$V$3183,1055),$V$4:$V$3183,0)),""))</f>
        <v/>
      </c>
    </row>
    <row r="1059">
      <c r="A1059">
        <f>IFERROR(INDEX($N$4:$N$3183,MATCH(SMALL($V$4:$V$3183,1056),$V$4:$V$3183,0)),"")</f>
        <v/>
      </c>
      <c r="B1059">
        <f>IFERROR(INDEX($O$4:$O$3183,MATCH(SMALL($V$4:$V$3183,1056),$V$4:$V$3183,0)),"")</f>
        <v/>
      </c>
      <c r="C1059">
        <f>IFERROR(INDEX($P$4:$P$3183,MATCH(SMALL($V$4:$V$3183,1056),$V$4:$V$3183,0)),"")</f>
        <v/>
      </c>
      <c r="D1059" s="29">
        <f>IFERROR(INDEX($Q$4:$Q$3183,MATCH(SMALL($V$4:$V$3183,1056),$V$4:$V$3183,0)),"")</f>
        <v/>
      </c>
      <c r="E1059" s="29">
        <f>IFERROR(INDEX($R$4:$R$3183,MATCH(SMALL($V$4:$V$3183,1056),$V$4:$V$3183,0)),"")</f>
        <v/>
      </c>
      <c r="F1059">
        <f>IFERROR(INDEX($S$4:$S$3183,MATCH(SMALL($V$4:$V$3183,1056),$V$4:$V$3183,0)),"")</f>
        <v/>
      </c>
      <c r="I1059" s="29">
        <f>IF($B1059="","",IFERROR(INDEX($U$4:$U$3183,MATCH(SMALL($V$4:$V$3183,1056),$V$4:$V$3183,0)),""))</f>
        <v/>
      </c>
      <c r="J1059">
        <f>IF($B1059="","",IF($D1059&gt;$F$2,"À venir",IF($E1059&lt;$D$2,"Passé","Dans la période")))</f>
        <v/>
      </c>
      <c r="K1059">
        <f>IF(OR($B1059="",NOT(ISNUMBER($D1059))),"",IF(AND($E1059&lt;$D$2,$G1059&lt;&gt;"X",$F1059&lt;&gt;"Réalisé",$F1059&lt;&gt;"Clôturé"),"RETARD",""))</f>
        <v/>
      </c>
      <c r="L1059">
        <f>IF(OR($B1059="",NOT(ISNUMBER($D1059))),"",IF(AND($D1059&gt;=$D$2,$D1059&lt;=$H$2,$G1059&lt;&gt;"X",$F1059&lt;&gt;"Réalisé",$F1059&lt;&gt;"Clôturé"),"≤ 7 j",""))</f>
        <v/>
      </c>
      <c r="M1059" s="29">
        <f>IF($B1059="","",IFERROR(INDEX($T$4:$T$3183,MATCH(SMALL($V$4:$V$3183,1056),$V$4:$V$3183,0)),""))</f>
        <v/>
      </c>
      <c r="O1059">
        <f>IF(INDEX(Suivi!$B:$B,1079)="","",INDEX(Suivi!$B:$B,1079))</f>
        <v/>
      </c>
      <c r="P1059">
        <f>IF($O1059="","",IF(INDEX(Suivi!$D:$D,1079)="",INDEX(Suivi!$C:$C,1079),INDEX(Suivi!$D:$D,1079)))</f>
        <v/>
      </c>
      <c r="Q1059">
        <f>IF($O1059="","",INDEX(Suivi!$E:$E,1079))</f>
        <v/>
      </c>
      <c r="R1059">
        <f>IF($O1059="","",INDEX(Suivi!$F:$F,1079))</f>
        <v/>
      </c>
      <c r="S1059">
        <f>IF($O1059="","",INDEX(Suivi!$G:$G,1079))</f>
        <v/>
      </c>
      <c r="T1059">
        <f>IF($O1059="","",IF(INDEX(Dossiers!$F$4:$F$63,20)="","",INDEX(Dossiers!$F$4:$F$63,20)))</f>
        <v/>
      </c>
      <c r="U1059">
        <f>IF($O1059="","",IF(INDEX(Dossiers!$G$4:$G$63,20)="","",INDEX(Dossiers!$G$4:$G$63,20)))</f>
        <v/>
      </c>
      <c r="V1059">
        <f>IF(OR($O1059="",NOT(ISNUMBER($Q1059))),"",$Q1059*1000000+1059)</f>
        <v/>
      </c>
      <c r="W1059" s="29">
        <f>IF($B1059="","",IFERROR(INDEX($U$4:$U$3183,MATCH(SMALL($V$4:$V$3183,1056),$V$4:$V$3183,0)),""))</f>
        <v/>
      </c>
    </row>
    <row r="1060">
      <c r="A1060">
        <f>IFERROR(INDEX($N$4:$N$3183,MATCH(SMALL($V$4:$V$3183,1057),$V$4:$V$3183,0)),"")</f>
        <v/>
      </c>
      <c r="B1060">
        <f>IFERROR(INDEX($O$4:$O$3183,MATCH(SMALL($V$4:$V$3183,1057),$V$4:$V$3183,0)),"")</f>
        <v/>
      </c>
      <c r="C1060">
        <f>IFERROR(INDEX($P$4:$P$3183,MATCH(SMALL($V$4:$V$3183,1057),$V$4:$V$3183,0)),"")</f>
        <v/>
      </c>
      <c r="D1060" s="29">
        <f>IFERROR(INDEX($Q$4:$Q$3183,MATCH(SMALL($V$4:$V$3183,1057),$V$4:$V$3183,0)),"")</f>
        <v/>
      </c>
      <c r="E1060" s="29">
        <f>IFERROR(INDEX($R$4:$R$3183,MATCH(SMALL($V$4:$V$3183,1057),$V$4:$V$3183,0)),"")</f>
        <v/>
      </c>
      <c r="F1060">
        <f>IFERROR(INDEX($S$4:$S$3183,MATCH(SMALL($V$4:$V$3183,1057),$V$4:$V$3183,0)),"")</f>
        <v/>
      </c>
      <c r="I1060" s="29">
        <f>IF($B1060="","",IFERROR(INDEX($U$4:$U$3183,MATCH(SMALL($V$4:$V$3183,1057),$V$4:$V$3183,0)),""))</f>
        <v/>
      </c>
      <c r="J1060">
        <f>IF($B1060="","",IF($D1060&gt;$F$2,"À venir",IF($E1060&lt;$D$2,"Passé","Dans la période")))</f>
        <v/>
      </c>
      <c r="K1060">
        <f>IF(OR($B1060="",NOT(ISNUMBER($D1060))),"",IF(AND($E1060&lt;$D$2,$G1060&lt;&gt;"X",$F1060&lt;&gt;"Réalisé",$F1060&lt;&gt;"Clôturé"),"RETARD",""))</f>
        <v/>
      </c>
      <c r="L1060">
        <f>IF(OR($B1060="",NOT(ISNUMBER($D1060))),"",IF(AND($D1060&gt;=$D$2,$D1060&lt;=$H$2,$G1060&lt;&gt;"X",$F1060&lt;&gt;"Réalisé",$F1060&lt;&gt;"Clôturé"),"≤ 7 j",""))</f>
        <v/>
      </c>
      <c r="M1060" s="29">
        <f>IF($B1060="","",IFERROR(INDEX($T$4:$T$3183,MATCH(SMALL($V$4:$V$3183,1057),$V$4:$V$3183,0)),""))</f>
        <v/>
      </c>
      <c r="O1060">
        <f>IF(INDEX(Suivi!$B:$B,1080)="","",INDEX(Suivi!$B:$B,1080))</f>
        <v/>
      </c>
      <c r="P1060">
        <f>IF($O1060="","",IF(INDEX(Suivi!$D:$D,1080)="",INDEX(Suivi!$C:$C,1080),INDEX(Suivi!$D:$D,1080)))</f>
        <v/>
      </c>
      <c r="Q1060">
        <f>IF($O1060="","",INDEX(Suivi!$E:$E,1080))</f>
        <v/>
      </c>
      <c r="R1060">
        <f>IF($O1060="","",INDEX(Suivi!$F:$F,1080))</f>
        <v/>
      </c>
      <c r="S1060">
        <f>IF($O1060="","",INDEX(Suivi!$G:$G,1080))</f>
        <v/>
      </c>
      <c r="T1060">
        <f>IF($O1060="","",IF(INDEX(Dossiers!$F$4:$F$63,20)="","",INDEX(Dossiers!$F$4:$F$63,20)))</f>
        <v/>
      </c>
      <c r="U1060">
        <f>IF($O1060="","",IF(INDEX(Dossiers!$G$4:$G$63,20)="","",INDEX(Dossiers!$G$4:$G$63,20)))</f>
        <v/>
      </c>
      <c r="V1060">
        <f>IF(OR($O1060="",NOT(ISNUMBER($Q1060))),"",$Q1060*1000000+1060)</f>
        <v/>
      </c>
      <c r="W1060" s="29">
        <f>IF($B1060="","",IFERROR(INDEX($U$4:$U$3183,MATCH(SMALL($V$4:$V$3183,1057),$V$4:$V$3183,0)),""))</f>
        <v/>
      </c>
    </row>
    <row r="1061">
      <c r="A1061">
        <f>IFERROR(INDEX($N$4:$N$3183,MATCH(SMALL($V$4:$V$3183,1058),$V$4:$V$3183,0)),"")</f>
        <v/>
      </c>
      <c r="B1061">
        <f>IFERROR(INDEX($O$4:$O$3183,MATCH(SMALL($V$4:$V$3183,1058),$V$4:$V$3183,0)),"")</f>
        <v/>
      </c>
      <c r="C1061">
        <f>IFERROR(INDEX($P$4:$P$3183,MATCH(SMALL($V$4:$V$3183,1058),$V$4:$V$3183,0)),"")</f>
        <v/>
      </c>
      <c r="D1061" s="29">
        <f>IFERROR(INDEX($Q$4:$Q$3183,MATCH(SMALL($V$4:$V$3183,1058),$V$4:$V$3183,0)),"")</f>
        <v/>
      </c>
      <c r="E1061" s="29">
        <f>IFERROR(INDEX($R$4:$R$3183,MATCH(SMALL($V$4:$V$3183,1058),$V$4:$V$3183,0)),"")</f>
        <v/>
      </c>
      <c r="F1061">
        <f>IFERROR(INDEX($S$4:$S$3183,MATCH(SMALL($V$4:$V$3183,1058),$V$4:$V$3183,0)),"")</f>
        <v/>
      </c>
      <c r="I1061" s="29">
        <f>IF($B1061="","",IFERROR(INDEX($U$4:$U$3183,MATCH(SMALL($V$4:$V$3183,1058),$V$4:$V$3183,0)),""))</f>
        <v/>
      </c>
      <c r="J1061">
        <f>IF($B1061="","",IF($D1061&gt;$F$2,"À venir",IF($E1061&lt;$D$2,"Passé","Dans la période")))</f>
        <v/>
      </c>
      <c r="K1061">
        <f>IF(OR($B1061="",NOT(ISNUMBER($D1061))),"",IF(AND($E1061&lt;$D$2,$G1061&lt;&gt;"X",$F1061&lt;&gt;"Réalisé",$F1061&lt;&gt;"Clôturé"),"RETARD",""))</f>
        <v/>
      </c>
      <c r="L1061">
        <f>IF(OR($B1061="",NOT(ISNUMBER($D1061))),"",IF(AND($D1061&gt;=$D$2,$D1061&lt;=$H$2,$G1061&lt;&gt;"X",$F1061&lt;&gt;"Réalisé",$F1061&lt;&gt;"Clôturé"),"≤ 7 j",""))</f>
        <v/>
      </c>
      <c r="M1061" s="29">
        <f>IF($B1061="","",IFERROR(INDEX($T$4:$T$3183,MATCH(SMALL($V$4:$V$3183,1058),$V$4:$V$3183,0)),""))</f>
        <v/>
      </c>
      <c r="O1061">
        <f>IF(INDEX(Suivi!$B:$B,1081)="","",INDEX(Suivi!$B:$B,1081))</f>
        <v/>
      </c>
      <c r="P1061">
        <f>IF($O1061="","",IF(INDEX(Suivi!$D:$D,1081)="",INDEX(Suivi!$C:$C,1081),INDEX(Suivi!$D:$D,1081)))</f>
        <v/>
      </c>
      <c r="Q1061">
        <f>IF($O1061="","",INDEX(Suivi!$E:$E,1081))</f>
        <v/>
      </c>
      <c r="R1061">
        <f>IF($O1061="","",INDEX(Suivi!$F:$F,1081))</f>
        <v/>
      </c>
      <c r="S1061">
        <f>IF($O1061="","",INDEX(Suivi!$G:$G,1081))</f>
        <v/>
      </c>
      <c r="T1061">
        <f>IF($O1061="","",IF(INDEX(Dossiers!$F$4:$F$63,20)="","",INDEX(Dossiers!$F$4:$F$63,20)))</f>
        <v/>
      </c>
      <c r="U1061">
        <f>IF($O1061="","",IF(INDEX(Dossiers!$G$4:$G$63,20)="","",INDEX(Dossiers!$G$4:$G$63,20)))</f>
        <v/>
      </c>
      <c r="V1061">
        <f>IF(OR($O1061="",NOT(ISNUMBER($Q1061))),"",$Q1061*1000000+1061)</f>
        <v/>
      </c>
      <c r="W1061" s="29">
        <f>IF($B1061="","",IFERROR(INDEX($U$4:$U$3183,MATCH(SMALL($V$4:$V$3183,1058),$V$4:$V$3183,0)),""))</f>
        <v/>
      </c>
    </row>
    <row r="1062">
      <c r="A1062">
        <f>IFERROR(INDEX($N$4:$N$3183,MATCH(SMALL($V$4:$V$3183,1059),$V$4:$V$3183,0)),"")</f>
        <v/>
      </c>
      <c r="B1062">
        <f>IFERROR(INDEX($O$4:$O$3183,MATCH(SMALL($V$4:$V$3183,1059),$V$4:$V$3183,0)),"")</f>
        <v/>
      </c>
      <c r="C1062">
        <f>IFERROR(INDEX($P$4:$P$3183,MATCH(SMALL($V$4:$V$3183,1059),$V$4:$V$3183,0)),"")</f>
        <v/>
      </c>
      <c r="D1062" s="29">
        <f>IFERROR(INDEX($Q$4:$Q$3183,MATCH(SMALL($V$4:$V$3183,1059),$V$4:$V$3183,0)),"")</f>
        <v/>
      </c>
      <c r="E1062" s="29">
        <f>IFERROR(INDEX($R$4:$R$3183,MATCH(SMALL($V$4:$V$3183,1059),$V$4:$V$3183,0)),"")</f>
        <v/>
      </c>
      <c r="F1062">
        <f>IFERROR(INDEX($S$4:$S$3183,MATCH(SMALL($V$4:$V$3183,1059),$V$4:$V$3183,0)),"")</f>
        <v/>
      </c>
      <c r="I1062" s="29">
        <f>IF($B1062="","",IFERROR(INDEX($U$4:$U$3183,MATCH(SMALL($V$4:$V$3183,1059),$V$4:$V$3183,0)),""))</f>
        <v/>
      </c>
      <c r="J1062">
        <f>IF($B1062="","",IF($D1062&gt;$F$2,"À venir",IF($E1062&lt;$D$2,"Passé","Dans la période")))</f>
        <v/>
      </c>
      <c r="K1062">
        <f>IF(OR($B1062="",NOT(ISNUMBER($D1062))),"",IF(AND($E1062&lt;$D$2,$G1062&lt;&gt;"X",$F1062&lt;&gt;"Réalisé",$F1062&lt;&gt;"Clôturé"),"RETARD",""))</f>
        <v/>
      </c>
      <c r="L1062">
        <f>IF(OR($B1062="",NOT(ISNUMBER($D1062))),"",IF(AND($D1062&gt;=$D$2,$D1062&lt;=$H$2,$G1062&lt;&gt;"X",$F1062&lt;&gt;"Réalisé",$F1062&lt;&gt;"Clôturé"),"≤ 7 j",""))</f>
        <v/>
      </c>
      <c r="M1062" s="29">
        <f>IF($B1062="","",IFERROR(INDEX($T$4:$T$3183,MATCH(SMALL($V$4:$V$3183,1059),$V$4:$V$3183,0)),""))</f>
        <v/>
      </c>
      <c r="O1062">
        <f>IF(INDEX(Suivi!$B:$B,1082)="","",INDEX(Suivi!$B:$B,1082))</f>
        <v/>
      </c>
      <c r="P1062">
        <f>IF($O1062="","",IF(INDEX(Suivi!$D:$D,1082)="",INDEX(Suivi!$C:$C,1082),INDEX(Suivi!$D:$D,1082)))</f>
        <v/>
      </c>
      <c r="Q1062">
        <f>IF($O1062="","",INDEX(Suivi!$E:$E,1082))</f>
        <v/>
      </c>
      <c r="R1062">
        <f>IF($O1062="","",INDEX(Suivi!$F:$F,1082))</f>
        <v/>
      </c>
      <c r="S1062">
        <f>IF($O1062="","",INDEX(Suivi!$G:$G,1082))</f>
        <v/>
      </c>
      <c r="T1062">
        <f>IF($O1062="","",IF(INDEX(Dossiers!$F$4:$F$63,20)="","",INDEX(Dossiers!$F$4:$F$63,20)))</f>
        <v/>
      </c>
      <c r="U1062">
        <f>IF($O1062="","",IF(INDEX(Dossiers!$G$4:$G$63,20)="","",INDEX(Dossiers!$G$4:$G$63,20)))</f>
        <v/>
      </c>
      <c r="V1062">
        <f>IF(OR($O1062="",NOT(ISNUMBER($Q1062))),"",$Q1062*1000000+1062)</f>
        <v/>
      </c>
      <c r="W1062" s="29">
        <f>IF($B1062="","",IFERROR(INDEX($U$4:$U$3183,MATCH(SMALL($V$4:$V$3183,1059),$V$4:$V$3183,0)),""))</f>
        <v/>
      </c>
    </row>
    <row r="1063">
      <c r="A1063">
        <f>IFERROR(INDEX($N$4:$N$3183,MATCH(SMALL($V$4:$V$3183,1060),$V$4:$V$3183,0)),"")</f>
        <v/>
      </c>
      <c r="B1063">
        <f>IFERROR(INDEX($O$4:$O$3183,MATCH(SMALL($V$4:$V$3183,1060),$V$4:$V$3183,0)),"")</f>
        <v/>
      </c>
      <c r="C1063">
        <f>IFERROR(INDEX($P$4:$P$3183,MATCH(SMALL($V$4:$V$3183,1060),$V$4:$V$3183,0)),"")</f>
        <v/>
      </c>
      <c r="D1063" s="29">
        <f>IFERROR(INDEX($Q$4:$Q$3183,MATCH(SMALL($V$4:$V$3183,1060),$V$4:$V$3183,0)),"")</f>
        <v/>
      </c>
      <c r="E1063" s="29">
        <f>IFERROR(INDEX($R$4:$R$3183,MATCH(SMALL($V$4:$V$3183,1060),$V$4:$V$3183,0)),"")</f>
        <v/>
      </c>
      <c r="F1063">
        <f>IFERROR(INDEX($S$4:$S$3183,MATCH(SMALL($V$4:$V$3183,1060),$V$4:$V$3183,0)),"")</f>
        <v/>
      </c>
      <c r="I1063" s="29">
        <f>IF($B1063="","",IFERROR(INDEX($U$4:$U$3183,MATCH(SMALL($V$4:$V$3183,1060),$V$4:$V$3183,0)),""))</f>
        <v/>
      </c>
      <c r="J1063">
        <f>IF($B1063="","",IF($D1063&gt;$F$2,"À venir",IF($E1063&lt;$D$2,"Passé","Dans la période")))</f>
        <v/>
      </c>
      <c r="K1063">
        <f>IF(OR($B1063="",NOT(ISNUMBER($D1063))),"",IF(AND($E1063&lt;$D$2,$G1063&lt;&gt;"X",$F1063&lt;&gt;"Réalisé",$F1063&lt;&gt;"Clôturé"),"RETARD",""))</f>
        <v/>
      </c>
      <c r="L1063">
        <f>IF(OR($B1063="",NOT(ISNUMBER($D1063))),"",IF(AND($D1063&gt;=$D$2,$D1063&lt;=$H$2,$G1063&lt;&gt;"X",$F1063&lt;&gt;"Réalisé",$F1063&lt;&gt;"Clôturé"),"≤ 7 j",""))</f>
        <v/>
      </c>
      <c r="M1063" s="29">
        <f>IF($B1063="","",IFERROR(INDEX($T$4:$T$3183,MATCH(SMALL($V$4:$V$3183,1060),$V$4:$V$3183,0)),""))</f>
        <v/>
      </c>
      <c r="O1063">
        <f>IF(INDEX(Suivi!$B:$B,1083)="","",INDEX(Suivi!$B:$B,1083))</f>
        <v/>
      </c>
      <c r="P1063">
        <f>IF($O1063="","",IF(INDEX(Suivi!$D:$D,1083)="",INDEX(Suivi!$C:$C,1083),INDEX(Suivi!$D:$D,1083)))</f>
        <v/>
      </c>
      <c r="Q1063">
        <f>IF($O1063="","",INDEX(Suivi!$E:$E,1083))</f>
        <v/>
      </c>
      <c r="R1063">
        <f>IF($O1063="","",INDEX(Suivi!$F:$F,1083))</f>
        <v/>
      </c>
      <c r="S1063">
        <f>IF($O1063="","",INDEX(Suivi!$G:$G,1083))</f>
        <v/>
      </c>
      <c r="T1063">
        <f>IF($O1063="","",IF(INDEX(Dossiers!$F$4:$F$63,20)="","",INDEX(Dossiers!$F$4:$F$63,20)))</f>
        <v/>
      </c>
      <c r="U1063">
        <f>IF($O1063="","",IF(INDEX(Dossiers!$G$4:$G$63,20)="","",INDEX(Dossiers!$G$4:$G$63,20)))</f>
        <v/>
      </c>
      <c r="V1063">
        <f>IF(OR($O1063="",NOT(ISNUMBER($Q1063))),"",$Q1063*1000000+1063)</f>
        <v/>
      </c>
      <c r="W1063" s="29">
        <f>IF($B1063="","",IFERROR(INDEX($U$4:$U$3183,MATCH(SMALL($V$4:$V$3183,1060),$V$4:$V$3183,0)),""))</f>
        <v/>
      </c>
    </row>
    <row r="1064">
      <c r="A1064">
        <f>IFERROR(INDEX($N$4:$N$3183,MATCH(SMALL($V$4:$V$3183,1061),$V$4:$V$3183,0)),"")</f>
        <v/>
      </c>
      <c r="B1064">
        <f>IFERROR(INDEX($O$4:$O$3183,MATCH(SMALL($V$4:$V$3183,1061),$V$4:$V$3183,0)),"")</f>
        <v/>
      </c>
      <c r="C1064">
        <f>IFERROR(INDEX($P$4:$P$3183,MATCH(SMALL($V$4:$V$3183,1061),$V$4:$V$3183,0)),"")</f>
        <v/>
      </c>
      <c r="D1064" s="29">
        <f>IFERROR(INDEX($Q$4:$Q$3183,MATCH(SMALL($V$4:$V$3183,1061),$V$4:$V$3183,0)),"")</f>
        <v/>
      </c>
      <c r="E1064" s="29">
        <f>IFERROR(INDEX($R$4:$R$3183,MATCH(SMALL($V$4:$V$3183,1061),$V$4:$V$3183,0)),"")</f>
        <v/>
      </c>
      <c r="F1064">
        <f>IFERROR(INDEX($S$4:$S$3183,MATCH(SMALL($V$4:$V$3183,1061),$V$4:$V$3183,0)),"")</f>
        <v/>
      </c>
      <c r="I1064" s="29">
        <f>IF($B1064="","",IFERROR(INDEX($U$4:$U$3183,MATCH(SMALL($V$4:$V$3183,1061),$V$4:$V$3183,0)),""))</f>
        <v/>
      </c>
      <c r="J1064">
        <f>IF($B1064="","",IF($D1064&gt;$F$2,"À venir",IF($E1064&lt;$D$2,"Passé","Dans la période")))</f>
        <v/>
      </c>
      <c r="K1064">
        <f>IF(OR($B1064="",NOT(ISNUMBER($D1064))),"",IF(AND($E1064&lt;$D$2,$G1064&lt;&gt;"X",$F1064&lt;&gt;"Réalisé",$F1064&lt;&gt;"Clôturé"),"RETARD",""))</f>
        <v/>
      </c>
      <c r="L1064">
        <f>IF(OR($B1064="",NOT(ISNUMBER($D1064))),"",IF(AND($D1064&gt;=$D$2,$D1064&lt;=$H$2,$G1064&lt;&gt;"X",$F1064&lt;&gt;"Réalisé",$F1064&lt;&gt;"Clôturé"),"≤ 7 j",""))</f>
        <v/>
      </c>
      <c r="M1064" s="29">
        <f>IF($B1064="","",IFERROR(INDEX($T$4:$T$3183,MATCH(SMALL($V$4:$V$3183,1061),$V$4:$V$3183,0)),""))</f>
        <v/>
      </c>
      <c r="O1064">
        <f>IF(INDEX(Suivi!$B:$B,1085)="","",INDEX(Suivi!$B:$B,1085))</f>
        <v/>
      </c>
      <c r="P1064">
        <f>IF($O1064="","",IF(INDEX(Suivi!$D:$D,1085)="",INDEX(Suivi!$C:$C,1085),INDEX(Suivi!$D:$D,1085)))</f>
        <v/>
      </c>
      <c r="Q1064">
        <f>IF($O1064="","",INDEX(Suivi!$E:$E,1085))</f>
        <v/>
      </c>
      <c r="R1064">
        <f>IF($O1064="","",INDEX(Suivi!$F:$F,1085))</f>
        <v/>
      </c>
      <c r="S1064">
        <f>IF($O1064="","",INDEX(Suivi!$G:$G,1085))</f>
        <v/>
      </c>
      <c r="T1064">
        <f>IF($O1064="","",IF(INDEX(Dossiers!$F$4:$F$63,21)="","",INDEX(Dossiers!$F$4:$F$63,21)))</f>
        <v/>
      </c>
      <c r="U1064">
        <f>IF($O1064="","",IF(INDEX(Dossiers!$G$4:$G$63,21)="","",INDEX(Dossiers!$G$4:$G$63,21)))</f>
        <v/>
      </c>
      <c r="V1064">
        <f>IF(OR($O1064="",NOT(ISNUMBER($Q1064))),"",$Q1064*1000000+1064)</f>
        <v/>
      </c>
      <c r="W1064" s="29">
        <f>IF($B1064="","",IFERROR(INDEX($U$4:$U$3183,MATCH(SMALL($V$4:$V$3183,1061),$V$4:$V$3183,0)),""))</f>
        <v/>
      </c>
    </row>
    <row r="1065">
      <c r="A1065">
        <f>IFERROR(INDEX($N$4:$N$3183,MATCH(SMALL($V$4:$V$3183,1062),$V$4:$V$3183,0)),"")</f>
        <v/>
      </c>
      <c r="B1065">
        <f>IFERROR(INDEX($O$4:$O$3183,MATCH(SMALL($V$4:$V$3183,1062),$V$4:$V$3183,0)),"")</f>
        <v/>
      </c>
      <c r="C1065">
        <f>IFERROR(INDEX($P$4:$P$3183,MATCH(SMALL($V$4:$V$3183,1062),$V$4:$V$3183,0)),"")</f>
        <v/>
      </c>
      <c r="D1065" s="29">
        <f>IFERROR(INDEX($Q$4:$Q$3183,MATCH(SMALL($V$4:$V$3183,1062),$V$4:$V$3183,0)),"")</f>
        <v/>
      </c>
      <c r="E1065" s="29">
        <f>IFERROR(INDEX($R$4:$R$3183,MATCH(SMALL($V$4:$V$3183,1062),$V$4:$V$3183,0)),"")</f>
        <v/>
      </c>
      <c r="F1065">
        <f>IFERROR(INDEX($S$4:$S$3183,MATCH(SMALL($V$4:$V$3183,1062),$V$4:$V$3183,0)),"")</f>
        <v/>
      </c>
      <c r="I1065" s="29">
        <f>IF($B1065="","",IFERROR(INDEX($U$4:$U$3183,MATCH(SMALL($V$4:$V$3183,1062),$V$4:$V$3183,0)),""))</f>
        <v/>
      </c>
      <c r="J1065">
        <f>IF($B1065="","",IF($D1065&gt;$F$2,"À venir",IF($E1065&lt;$D$2,"Passé","Dans la période")))</f>
        <v/>
      </c>
      <c r="K1065">
        <f>IF(OR($B1065="",NOT(ISNUMBER($D1065))),"",IF(AND($E1065&lt;$D$2,$G1065&lt;&gt;"X",$F1065&lt;&gt;"Réalisé",$F1065&lt;&gt;"Clôturé"),"RETARD",""))</f>
        <v/>
      </c>
      <c r="L1065">
        <f>IF(OR($B1065="",NOT(ISNUMBER($D1065))),"",IF(AND($D1065&gt;=$D$2,$D1065&lt;=$H$2,$G1065&lt;&gt;"X",$F1065&lt;&gt;"Réalisé",$F1065&lt;&gt;"Clôturé"),"≤ 7 j",""))</f>
        <v/>
      </c>
      <c r="M1065" s="29">
        <f>IF($B1065="","",IFERROR(INDEX($T$4:$T$3183,MATCH(SMALL($V$4:$V$3183,1062),$V$4:$V$3183,0)),""))</f>
        <v/>
      </c>
      <c r="O1065">
        <f>IF(INDEX(Suivi!$B:$B,1086)="","",INDEX(Suivi!$B:$B,1086))</f>
        <v/>
      </c>
      <c r="P1065">
        <f>IF($O1065="","",IF(INDEX(Suivi!$D:$D,1086)="",INDEX(Suivi!$C:$C,1086),INDEX(Suivi!$D:$D,1086)))</f>
        <v/>
      </c>
      <c r="Q1065">
        <f>IF($O1065="","",INDEX(Suivi!$E:$E,1086))</f>
        <v/>
      </c>
      <c r="R1065">
        <f>IF($O1065="","",INDEX(Suivi!$F:$F,1086))</f>
        <v/>
      </c>
      <c r="S1065">
        <f>IF($O1065="","",INDEX(Suivi!$G:$G,1086))</f>
        <v/>
      </c>
      <c r="T1065">
        <f>IF($O1065="","",IF(INDEX(Dossiers!$F$4:$F$63,21)="","",INDEX(Dossiers!$F$4:$F$63,21)))</f>
        <v/>
      </c>
      <c r="U1065">
        <f>IF($O1065="","",IF(INDEX(Dossiers!$G$4:$G$63,21)="","",INDEX(Dossiers!$G$4:$G$63,21)))</f>
        <v/>
      </c>
      <c r="V1065">
        <f>IF(OR($O1065="",NOT(ISNUMBER($Q1065))),"",$Q1065*1000000+1065)</f>
        <v/>
      </c>
      <c r="W1065" s="29">
        <f>IF($B1065="","",IFERROR(INDEX($U$4:$U$3183,MATCH(SMALL($V$4:$V$3183,1062),$V$4:$V$3183,0)),""))</f>
        <v/>
      </c>
    </row>
    <row r="1066">
      <c r="A1066">
        <f>IFERROR(INDEX($N$4:$N$3183,MATCH(SMALL($V$4:$V$3183,1063),$V$4:$V$3183,0)),"")</f>
        <v/>
      </c>
      <c r="B1066">
        <f>IFERROR(INDEX($O$4:$O$3183,MATCH(SMALL($V$4:$V$3183,1063),$V$4:$V$3183,0)),"")</f>
        <v/>
      </c>
      <c r="C1066">
        <f>IFERROR(INDEX($P$4:$P$3183,MATCH(SMALL($V$4:$V$3183,1063),$V$4:$V$3183,0)),"")</f>
        <v/>
      </c>
      <c r="D1066" s="29">
        <f>IFERROR(INDEX($Q$4:$Q$3183,MATCH(SMALL($V$4:$V$3183,1063),$V$4:$V$3183,0)),"")</f>
        <v/>
      </c>
      <c r="E1066" s="29">
        <f>IFERROR(INDEX($R$4:$R$3183,MATCH(SMALL($V$4:$V$3183,1063),$V$4:$V$3183,0)),"")</f>
        <v/>
      </c>
      <c r="F1066">
        <f>IFERROR(INDEX($S$4:$S$3183,MATCH(SMALL($V$4:$V$3183,1063),$V$4:$V$3183,0)),"")</f>
        <v/>
      </c>
      <c r="I1066" s="29">
        <f>IF($B1066="","",IFERROR(INDEX($U$4:$U$3183,MATCH(SMALL($V$4:$V$3183,1063),$V$4:$V$3183,0)),""))</f>
        <v/>
      </c>
      <c r="J1066">
        <f>IF($B1066="","",IF($D1066&gt;$F$2,"À venir",IF($E1066&lt;$D$2,"Passé","Dans la période")))</f>
        <v/>
      </c>
      <c r="K1066">
        <f>IF(OR($B1066="",NOT(ISNUMBER($D1066))),"",IF(AND($E1066&lt;$D$2,$G1066&lt;&gt;"X",$F1066&lt;&gt;"Réalisé",$F1066&lt;&gt;"Clôturé"),"RETARD",""))</f>
        <v/>
      </c>
      <c r="L1066">
        <f>IF(OR($B1066="",NOT(ISNUMBER($D1066))),"",IF(AND($D1066&gt;=$D$2,$D1066&lt;=$H$2,$G1066&lt;&gt;"X",$F1066&lt;&gt;"Réalisé",$F1066&lt;&gt;"Clôturé"),"≤ 7 j",""))</f>
        <v/>
      </c>
      <c r="M1066" s="29">
        <f>IF($B1066="","",IFERROR(INDEX($T$4:$T$3183,MATCH(SMALL($V$4:$V$3183,1063),$V$4:$V$3183,0)),""))</f>
        <v/>
      </c>
      <c r="O1066">
        <f>IF(INDEX(Suivi!$B:$B,1087)="","",INDEX(Suivi!$B:$B,1087))</f>
        <v/>
      </c>
      <c r="P1066">
        <f>IF($O1066="","",IF(INDEX(Suivi!$D:$D,1087)="",INDEX(Suivi!$C:$C,1087),INDEX(Suivi!$D:$D,1087)))</f>
        <v/>
      </c>
      <c r="Q1066">
        <f>IF($O1066="","",INDEX(Suivi!$E:$E,1087))</f>
        <v/>
      </c>
      <c r="R1066">
        <f>IF($O1066="","",INDEX(Suivi!$F:$F,1087))</f>
        <v/>
      </c>
      <c r="S1066">
        <f>IF($O1066="","",INDEX(Suivi!$G:$G,1087))</f>
        <v/>
      </c>
      <c r="T1066">
        <f>IF($O1066="","",IF(INDEX(Dossiers!$F$4:$F$63,21)="","",INDEX(Dossiers!$F$4:$F$63,21)))</f>
        <v/>
      </c>
      <c r="U1066">
        <f>IF($O1066="","",IF(INDEX(Dossiers!$G$4:$G$63,21)="","",INDEX(Dossiers!$G$4:$G$63,21)))</f>
        <v/>
      </c>
      <c r="V1066">
        <f>IF(OR($O1066="",NOT(ISNUMBER($Q1066))),"",$Q1066*1000000+1066)</f>
        <v/>
      </c>
      <c r="W1066" s="29">
        <f>IF($B1066="","",IFERROR(INDEX($U$4:$U$3183,MATCH(SMALL($V$4:$V$3183,1063),$V$4:$V$3183,0)),""))</f>
        <v/>
      </c>
    </row>
    <row r="1067">
      <c r="A1067">
        <f>IFERROR(INDEX($N$4:$N$3183,MATCH(SMALL($V$4:$V$3183,1064),$V$4:$V$3183,0)),"")</f>
        <v/>
      </c>
      <c r="B1067">
        <f>IFERROR(INDEX($O$4:$O$3183,MATCH(SMALL($V$4:$V$3183,1064),$V$4:$V$3183,0)),"")</f>
        <v/>
      </c>
      <c r="C1067">
        <f>IFERROR(INDEX($P$4:$P$3183,MATCH(SMALL($V$4:$V$3183,1064),$V$4:$V$3183,0)),"")</f>
        <v/>
      </c>
      <c r="D1067" s="29">
        <f>IFERROR(INDEX($Q$4:$Q$3183,MATCH(SMALL($V$4:$V$3183,1064),$V$4:$V$3183,0)),"")</f>
        <v/>
      </c>
      <c r="E1067" s="29">
        <f>IFERROR(INDEX($R$4:$R$3183,MATCH(SMALL($V$4:$V$3183,1064),$V$4:$V$3183,0)),"")</f>
        <v/>
      </c>
      <c r="F1067">
        <f>IFERROR(INDEX($S$4:$S$3183,MATCH(SMALL($V$4:$V$3183,1064),$V$4:$V$3183,0)),"")</f>
        <v/>
      </c>
      <c r="I1067" s="29">
        <f>IF($B1067="","",IFERROR(INDEX($U$4:$U$3183,MATCH(SMALL($V$4:$V$3183,1064),$V$4:$V$3183,0)),""))</f>
        <v/>
      </c>
      <c r="J1067">
        <f>IF($B1067="","",IF($D1067&gt;$F$2,"À venir",IF($E1067&lt;$D$2,"Passé","Dans la période")))</f>
        <v/>
      </c>
      <c r="K1067">
        <f>IF(OR($B1067="",NOT(ISNUMBER($D1067))),"",IF(AND($E1067&lt;$D$2,$G1067&lt;&gt;"X",$F1067&lt;&gt;"Réalisé",$F1067&lt;&gt;"Clôturé"),"RETARD",""))</f>
        <v/>
      </c>
      <c r="L1067">
        <f>IF(OR($B1067="",NOT(ISNUMBER($D1067))),"",IF(AND($D1067&gt;=$D$2,$D1067&lt;=$H$2,$G1067&lt;&gt;"X",$F1067&lt;&gt;"Réalisé",$F1067&lt;&gt;"Clôturé"),"≤ 7 j",""))</f>
        <v/>
      </c>
      <c r="M1067" s="29">
        <f>IF($B1067="","",IFERROR(INDEX($T$4:$T$3183,MATCH(SMALL($V$4:$V$3183,1064),$V$4:$V$3183,0)),""))</f>
        <v/>
      </c>
      <c r="O1067">
        <f>IF(INDEX(Suivi!$B:$B,1088)="","",INDEX(Suivi!$B:$B,1088))</f>
        <v/>
      </c>
      <c r="P1067">
        <f>IF($O1067="","",IF(INDEX(Suivi!$D:$D,1088)="",INDEX(Suivi!$C:$C,1088),INDEX(Suivi!$D:$D,1088)))</f>
        <v/>
      </c>
      <c r="Q1067">
        <f>IF($O1067="","",INDEX(Suivi!$E:$E,1088))</f>
        <v/>
      </c>
      <c r="R1067">
        <f>IF($O1067="","",INDEX(Suivi!$F:$F,1088))</f>
        <v/>
      </c>
      <c r="S1067">
        <f>IF($O1067="","",INDEX(Suivi!$G:$G,1088))</f>
        <v/>
      </c>
      <c r="T1067">
        <f>IF($O1067="","",IF(INDEX(Dossiers!$F$4:$F$63,21)="","",INDEX(Dossiers!$F$4:$F$63,21)))</f>
        <v/>
      </c>
      <c r="U1067">
        <f>IF($O1067="","",IF(INDEX(Dossiers!$G$4:$G$63,21)="","",INDEX(Dossiers!$G$4:$G$63,21)))</f>
        <v/>
      </c>
      <c r="V1067">
        <f>IF(OR($O1067="",NOT(ISNUMBER($Q1067))),"",$Q1067*1000000+1067)</f>
        <v/>
      </c>
      <c r="W1067" s="29">
        <f>IF($B1067="","",IFERROR(INDEX($U$4:$U$3183,MATCH(SMALL($V$4:$V$3183,1064),$V$4:$V$3183,0)),""))</f>
        <v/>
      </c>
    </row>
    <row r="1068">
      <c r="A1068">
        <f>IFERROR(INDEX($N$4:$N$3183,MATCH(SMALL($V$4:$V$3183,1065),$V$4:$V$3183,0)),"")</f>
        <v/>
      </c>
      <c r="B1068">
        <f>IFERROR(INDEX($O$4:$O$3183,MATCH(SMALL($V$4:$V$3183,1065),$V$4:$V$3183,0)),"")</f>
        <v/>
      </c>
      <c r="C1068">
        <f>IFERROR(INDEX($P$4:$P$3183,MATCH(SMALL($V$4:$V$3183,1065),$V$4:$V$3183,0)),"")</f>
        <v/>
      </c>
      <c r="D1068" s="29">
        <f>IFERROR(INDEX($Q$4:$Q$3183,MATCH(SMALL($V$4:$V$3183,1065),$V$4:$V$3183,0)),"")</f>
        <v/>
      </c>
      <c r="E1068" s="29">
        <f>IFERROR(INDEX($R$4:$R$3183,MATCH(SMALL($V$4:$V$3183,1065),$V$4:$V$3183,0)),"")</f>
        <v/>
      </c>
      <c r="F1068">
        <f>IFERROR(INDEX($S$4:$S$3183,MATCH(SMALL($V$4:$V$3183,1065),$V$4:$V$3183,0)),"")</f>
        <v/>
      </c>
      <c r="I1068" s="29">
        <f>IF($B1068="","",IFERROR(INDEX($U$4:$U$3183,MATCH(SMALL($V$4:$V$3183,1065),$V$4:$V$3183,0)),""))</f>
        <v/>
      </c>
      <c r="J1068">
        <f>IF($B1068="","",IF($D1068&gt;$F$2,"À venir",IF($E1068&lt;$D$2,"Passé","Dans la période")))</f>
        <v/>
      </c>
      <c r="K1068">
        <f>IF(OR($B1068="",NOT(ISNUMBER($D1068))),"",IF(AND($E1068&lt;$D$2,$G1068&lt;&gt;"X",$F1068&lt;&gt;"Réalisé",$F1068&lt;&gt;"Clôturé"),"RETARD",""))</f>
        <v/>
      </c>
      <c r="L1068">
        <f>IF(OR($B1068="",NOT(ISNUMBER($D1068))),"",IF(AND($D1068&gt;=$D$2,$D1068&lt;=$H$2,$G1068&lt;&gt;"X",$F1068&lt;&gt;"Réalisé",$F1068&lt;&gt;"Clôturé"),"≤ 7 j",""))</f>
        <v/>
      </c>
      <c r="M1068" s="29">
        <f>IF($B1068="","",IFERROR(INDEX($T$4:$T$3183,MATCH(SMALL($V$4:$V$3183,1065),$V$4:$V$3183,0)),""))</f>
        <v/>
      </c>
      <c r="O1068">
        <f>IF(INDEX(Suivi!$B:$B,1089)="","",INDEX(Suivi!$B:$B,1089))</f>
        <v/>
      </c>
      <c r="P1068">
        <f>IF($O1068="","",IF(INDEX(Suivi!$D:$D,1089)="",INDEX(Suivi!$C:$C,1089),INDEX(Suivi!$D:$D,1089)))</f>
        <v/>
      </c>
      <c r="Q1068">
        <f>IF($O1068="","",INDEX(Suivi!$E:$E,1089))</f>
        <v/>
      </c>
      <c r="R1068">
        <f>IF($O1068="","",INDEX(Suivi!$F:$F,1089))</f>
        <v/>
      </c>
      <c r="S1068">
        <f>IF($O1068="","",INDEX(Suivi!$G:$G,1089))</f>
        <v/>
      </c>
      <c r="T1068">
        <f>IF($O1068="","",IF(INDEX(Dossiers!$F$4:$F$63,21)="","",INDEX(Dossiers!$F$4:$F$63,21)))</f>
        <v/>
      </c>
      <c r="U1068">
        <f>IF($O1068="","",IF(INDEX(Dossiers!$G$4:$G$63,21)="","",INDEX(Dossiers!$G$4:$G$63,21)))</f>
        <v/>
      </c>
      <c r="V1068">
        <f>IF(OR($O1068="",NOT(ISNUMBER($Q1068))),"",$Q1068*1000000+1068)</f>
        <v/>
      </c>
      <c r="W1068" s="29">
        <f>IF($B1068="","",IFERROR(INDEX($U$4:$U$3183,MATCH(SMALL($V$4:$V$3183,1065),$V$4:$V$3183,0)),""))</f>
        <v/>
      </c>
    </row>
    <row r="1069">
      <c r="A1069">
        <f>IFERROR(INDEX($N$4:$N$3183,MATCH(SMALL($V$4:$V$3183,1066),$V$4:$V$3183,0)),"")</f>
        <v/>
      </c>
      <c r="B1069">
        <f>IFERROR(INDEX($O$4:$O$3183,MATCH(SMALL($V$4:$V$3183,1066),$V$4:$V$3183,0)),"")</f>
        <v/>
      </c>
      <c r="C1069">
        <f>IFERROR(INDEX($P$4:$P$3183,MATCH(SMALL($V$4:$V$3183,1066),$V$4:$V$3183,0)),"")</f>
        <v/>
      </c>
      <c r="D1069" s="29">
        <f>IFERROR(INDEX($Q$4:$Q$3183,MATCH(SMALL($V$4:$V$3183,1066),$V$4:$V$3183,0)),"")</f>
        <v/>
      </c>
      <c r="E1069" s="29">
        <f>IFERROR(INDEX($R$4:$R$3183,MATCH(SMALL($V$4:$V$3183,1066),$V$4:$V$3183,0)),"")</f>
        <v/>
      </c>
      <c r="F1069">
        <f>IFERROR(INDEX($S$4:$S$3183,MATCH(SMALL($V$4:$V$3183,1066),$V$4:$V$3183,0)),"")</f>
        <v/>
      </c>
      <c r="I1069" s="29">
        <f>IF($B1069="","",IFERROR(INDEX($U$4:$U$3183,MATCH(SMALL($V$4:$V$3183,1066),$V$4:$V$3183,0)),""))</f>
        <v/>
      </c>
      <c r="J1069">
        <f>IF($B1069="","",IF($D1069&gt;$F$2,"À venir",IF($E1069&lt;$D$2,"Passé","Dans la période")))</f>
        <v/>
      </c>
      <c r="K1069">
        <f>IF(OR($B1069="",NOT(ISNUMBER($D1069))),"",IF(AND($E1069&lt;$D$2,$G1069&lt;&gt;"X",$F1069&lt;&gt;"Réalisé",$F1069&lt;&gt;"Clôturé"),"RETARD",""))</f>
        <v/>
      </c>
      <c r="L1069">
        <f>IF(OR($B1069="",NOT(ISNUMBER($D1069))),"",IF(AND($D1069&gt;=$D$2,$D1069&lt;=$H$2,$G1069&lt;&gt;"X",$F1069&lt;&gt;"Réalisé",$F1069&lt;&gt;"Clôturé"),"≤ 7 j",""))</f>
        <v/>
      </c>
      <c r="M1069" s="29">
        <f>IF($B1069="","",IFERROR(INDEX($T$4:$T$3183,MATCH(SMALL($V$4:$V$3183,1066),$V$4:$V$3183,0)),""))</f>
        <v/>
      </c>
      <c r="O1069">
        <f>IF(INDEX(Suivi!$B:$B,1090)="","",INDEX(Suivi!$B:$B,1090))</f>
        <v/>
      </c>
      <c r="P1069">
        <f>IF($O1069="","",IF(INDEX(Suivi!$D:$D,1090)="",INDEX(Suivi!$C:$C,1090),INDEX(Suivi!$D:$D,1090)))</f>
        <v/>
      </c>
      <c r="Q1069">
        <f>IF($O1069="","",INDEX(Suivi!$E:$E,1090))</f>
        <v/>
      </c>
      <c r="R1069">
        <f>IF($O1069="","",INDEX(Suivi!$F:$F,1090))</f>
        <v/>
      </c>
      <c r="S1069">
        <f>IF($O1069="","",INDEX(Suivi!$G:$G,1090))</f>
        <v/>
      </c>
      <c r="T1069">
        <f>IF($O1069="","",IF(INDEX(Dossiers!$F$4:$F$63,21)="","",INDEX(Dossiers!$F$4:$F$63,21)))</f>
        <v/>
      </c>
      <c r="U1069">
        <f>IF($O1069="","",IF(INDEX(Dossiers!$G$4:$G$63,21)="","",INDEX(Dossiers!$G$4:$G$63,21)))</f>
        <v/>
      </c>
      <c r="V1069">
        <f>IF(OR($O1069="",NOT(ISNUMBER($Q1069))),"",$Q1069*1000000+1069)</f>
        <v/>
      </c>
      <c r="W1069" s="29">
        <f>IF($B1069="","",IFERROR(INDEX($U$4:$U$3183,MATCH(SMALL($V$4:$V$3183,1066),$V$4:$V$3183,0)),""))</f>
        <v/>
      </c>
    </row>
    <row r="1070">
      <c r="A1070">
        <f>IFERROR(INDEX($N$4:$N$3183,MATCH(SMALL($V$4:$V$3183,1067),$V$4:$V$3183,0)),"")</f>
        <v/>
      </c>
      <c r="B1070">
        <f>IFERROR(INDEX($O$4:$O$3183,MATCH(SMALL($V$4:$V$3183,1067),$V$4:$V$3183,0)),"")</f>
        <v/>
      </c>
      <c r="C1070">
        <f>IFERROR(INDEX($P$4:$P$3183,MATCH(SMALL($V$4:$V$3183,1067),$V$4:$V$3183,0)),"")</f>
        <v/>
      </c>
      <c r="D1070" s="29">
        <f>IFERROR(INDEX($Q$4:$Q$3183,MATCH(SMALL($V$4:$V$3183,1067),$V$4:$V$3183,0)),"")</f>
        <v/>
      </c>
      <c r="E1070" s="29">
        <f>IFERROR(INDEX($R$4:$R$3183,MATCH(SMALL($V$4:$V$3183,1067),$V$4:$V$3183,0)),"")</f>
        <v/>
      </c>
      <c r="F1070">
        <f>IFERROR(INDEX($S$4:$S$3183,MATCH(SMALL($V$4:$V$3183,1067),$V$4:$V$3183,0)),"")</f>
        <v/>
      </c>
      <c r="I1070" s="29">
        <f>IF($B1070="","",IFERROR(INDEX($U$4:$U$3183,MATCH(SMALL($V$4:$V$3183,1067),$V$4:$V$3183,0)),""))</f>
        <v/>
      </c>
      <c r="J1070">
        <f>IF($B1070="","",IF($D1070&gt;$F$2,"À venir",IF($E1070&lt;$D$2,"Passé","Dans la période")))</f>
        <v/>
      </c>
      <c r="K1070">
        <f>IF(OR($B1070="",NOT(ISNUMBER($D1070))),"",IF(AND($E1070&lt;$D$2,$G1070&lt;&gt;"X",$F1070&lt;&gt;"Réalisé",$F1070&lt;&gt;"Clôturé"),"RETARD",""))</f>
        <v/>
      </c>
      <c r="L1070">
        <f>IF(OR($B1070="",NOT(ISNUMBER($D1070))),"",IF(AND($D1070&gt;=$D$2,$D1070&lt;=$H$2,$G1070&lt;&gt;"X",$F1070&lt;&gt;"Réalisé",$F1070&lt;&gt;"Clôturé"),"≤ 7 j",""))</f>
        <v/>
      </c>
      <c r="M1070" s="29">
        <f>IF($B1070="","",IFERROR(INDEX($T$4:$T$3183,MATCH(SMALL($V$4:$V$3183,1067),$V$4:$V$3183,0)),""))</f>
        <v/>
      </c>
      <c r="O1070">
        <f>IF(INDEX(Suivi!$B:$B,1091)="","",INDEX(Suivi!$B:$B,1091))</f>
        <v/>
      </c>
      <c r="P1070">
        <f>IF($O1070="","",IF(INDEX(Suivi!$D:$D,1091)="",INDEX(Suivi!$C:$C,1091),INDEX(Suivi!$D:$D,1091)))</f>
        <v/>
      </c>
      <c r="Q1070">
        <f>IF($O1070="","",INDEX(Suivi!$E:$E,1091))</f>
        <v/>
      </c>
      <c r="R1070">
        <f>IF($O1070="","",INDEX(Suivi!$F:$F,1091))</f>
        <v/>
      </c>
      <c r="S1070">
        <f>IF($O1070="","",INDEX(Suivi!$G:$G,1091))</f>
        <v/>
      </c>
      <c r="T1070">
        <f>IF($O1070="","",IF(INDEX(Dossiers!$F$4:$F$63,21)="","",INDEX(Dossiers!$F$4:$F$63,21)))</f>
        <v/>
      </c>
      <c r="U1070">
        <f>IF($O1070="","",IF(INDEX(Dossiers!$G$4:$G$63,21)="","",INDEX(Dossiers!$G$4:$G$63,21)))</f>
        <v/>
      </c>
      <c r="V1070">
        <f>IF(OR($O1070="",NOT(ISNUMBER($Q1070))),"",$Q1070*1000000+1070)</f>
        <v/>
      </c>
      <c r="W1070" s="29">
        <f>IF($B1070="","",IFERROR(INDEX($U$4:$U$3183,MATCH(SMALL($V$4:$V$3183,1067),$V$4:$V$3183,0)),""))</f>
        <v/>
      </c>
    </row>
    <row r="1071">
      <c r="A1071">
        <f>IFERROR(INDEX($N$4:$N$3183,MATCH(SMALL($V$4:$V$3183,1068),$V$4:$V$3183,0)),"")</f>
        <v/>
      </c>
      <c r="B1071">
        <f>IFERROR(INDEX($O$4:$O$3183,MATCH(SMALL($V$4:$V$3183,1068),$V$4:$V$3183,0)),"")</f>
        <v/>
      </c>
      <c r="C1071">
        <f>IFERROR(INDEX($P$4:$P$3183,MATCH(SMALL($V$4:$V$3183,1068),$V$4:$V$3183,0)),"")</f>
        <v/>
      </c>
      <c r="D1071" s="29">
        <f>IFERROR(INDEX($Q$4:$Q$3183,MATCH(SMALL($V$4:$V$3183,1068),$V$4:$V$3183,0)),"")</f>
        <v/>
      </c>
      <c r="E1071" s="29">
        <f>IFERROR(INDEX($R$4:$R$3183,MATCH(SMALL($V$4:$V$3183,1068),$V$4:$V$3183,0)),"")</f>
        <v/>
      </c>
      <c r="F1071">
        <f>IFERROR(INDEX($S$4:$S$3183,MATCH(SMALL($V$4:$V$3183,1068),$V$4:$V$3183,0)),"")</f>
        <v/>
      </c>
      <c r="I1071" s="29">
        <f>IF($B1071="","",IFERROR(INDEX($U$4:$U$3183,MATCH(SMALL($V$4:$V$3183,1068),$V$4:$V$3183,0)),""))</f>
        <v/>
      </c>
      <c r="J1071">
        <f>IF($B1071="","",IF($D1071&gt;$F$2,"À venir",IF($E1071&lt;$D$2,"Passé","Dans la période")))</f>
        <v/>
      </c>
      <c r="K1071">
        <f>IF(OR($B1071="",NOT(ISNUMBER($D1071))),"",IF(AND($E1071&lt;$D$2,$G1071&lt;&gt;"X",$F1071&lt;&gt;"Réalisé",$F1071&lt;&gt;"Clôturé"),"RETARD",""))</f>
        <v/>
      </c>
      <c r="L1071">
        <f>IF(OR($B1071="",NOT(ISNUMBER($D1071))),"",IF(AND($D1071&gt;=$D$2,$D1071&lt;=$H$2,$G1071&lt;&gt;"X",$F1071&lt;&gt;"Réalisé",$F1071&lt;&gt;"Clôturé"),"≤ 7 j",""))</f>
        <v/>
      </c>
      <c r="M1071" s="29">
        <f>IF($B1071="","",IFERROR(INDEX($T$4:$T$3183,MATCH(SMALL($V$4:$V$3183,1068),$V$4:$V$3183,0)),""))</f>
        <v/>
      </c>
      <c r="O1071">
        <f>IF(INDEX(Suivi!$B:$B,1092)="","",INDEX(Suivi!$B:$B,1092))</f>
        <v/>
      </c>
      <c r="P1071">
        <f>IF($O1071="","",IF(INDEX(Suivi!$D:$D,1092)="",INDEX(Suivi!$C:$C,1092),INDEX(Suivi!$D:$D,1092)))</f>
        <v/>
      </c>
      <c r="Q1071">
        <f>IF($O1071="","",INDEX(Suivi!$E:$E,1092))</f>
        <v/>
      </c>
      <c r="R1071">
        <f>IF($O1071="","",INDEX(Suivi!$F:$F,1092))</f>
        <v/>
      </c>
      <c r="S1071">
        <f>IF($O1071="","",INDEX(Suivi!$G:$G,1092))</f>
        <v/>
      </c>
      <c r="T1071">
        <f>IF($O1071="","",IF(INDEX(Dossiers!$F$4:$F$63,21)="","",INDEX(Dossiers!$F$4:$F$63,21)))</f>
        <v/>
      </c>
      <c r="U1071">
        <f>IF($O1071="","",IF(INDEX(Dossiers!$G$4:$G$63,21)="","",INDEX(Dossiers!$G$4:$G$63,21)))</f>
        <v/>
      </c>
      <c r="V1071">
        <f>IF(OR($O1071="",NOT(ISNUMBER($Q1071))),"",$Q1071*1000000+1071)</f>
        <v/>
      </c>
      <c r="W1071" s="29">
        <f>IF($B1071="","",IFERROR(INDEX($U$4:$U$3183,MATCH(SMALL($V$4:$V$3183,1068),$V$4:$V$3183,0)),""))</f>
        <v/>
      </c>
    </row>
    <row r="1072">
      <c r="A1072">
        <f>IFERROR(INDEX($N$4:$N$3183,MATCH(SMALL($V$4:$V$3183,1069),$V$4:$V$3183,0)),"")</f>
        <v/>
      </c>
      <c r="B1072">
        <f>IFERROR(INDEX($O$4:$O$3183,MATCH(SMALL($V$4:$V$3183,1069),$V$4:$V$3183,0)),"")</f>
        <v/>
      </c>
      <c r="C1072">
        <f>IFERROR(INDEX($P$4:$P$3183,MATCH(SMALL($V$4:$V$3183,1069),$V$4:$V$3183,0)),"")</f>
        <v/>
      </c>
      <c r="D1072" s="29">
        <f>IFERROR(INDEX($Q$4:$Q$3183,MATCH(SMALL($V$4:$V$3183,1069),$V$4:$V$3183,0)),"")</f>
        <v/>
      </c>
      <c r="E1072" s="29">
        <f>IFERROR(INDEX($R$4:$R$3183,MATCH(SMALL($V$4:$V$3183,1069),$V$4:$V$3183,0)),"")</f>
        <v/>
      </c>
      <c r="F1072">
        <f>IFERROR(INDEX($S$4:$S$3183,MATCH(SMALL($V$4:$V$3183,1069),$V$4:$V$3183,0)),"")</f>
        <v/>
      </c>
      <c r="I1072" s="29">
        <f>IF($B1072="","",IFERROR(INDEX($U$4:$U$3183,MATCH(SMALL($V$4:$V$3183,1069),$V$4:$V$3183,0)),""))</f>
        <v/>
      </c>
      <c r="J1072">
        <f>IF($B1072="","",IF($D1072&gt;$F$2,"À venir",IF($E1072&lt;$D$2,"Passé","Dans la période")))</f>
        <v/>
      </c>
      <c r="K1072">
        <f>IF(OR($B1072="",NOT(ISNUMBER($D1072))),"",IF(AND($E1072&lt;$D$2,$G1072&lt;&gt;"X",$F1072&lt;&gt;"Réalisé",$F1072&lt;&gt;"Clôturé"),"RETARD",""))</f>
        <v/>
      </c>
      <c r="L1072">
        <f>IF(OR($B1072="",NOT(ISNUMBER($D1072))),"",IF(AND($D1072&gt;=$D$2,$D1072&lt;=$H$2,$G1072&lt;&gt;"X",$F1072&lt;&gt;"Réalisé",$F1072&lt;&gt;"Clôturé"),"≤ 7 j",""))</f>
        <v/>
      </c>
      <c r="M1072" s="29">
        <f>IF($B1072="","",IFERROR(INDEX($T$4:$T$3183,MATCH(SMALL($V$4:$V$3183,1069),$V$4:$V$3183,0)),""))</f>
        <v/>
      </c>
      <c r="O1072">
        <f>IF(INDEX(Suivi!$B:$B,1093)="","",INDEX(Suivi!$B:$B,1093))</f>
        <v/>
      </c>
      <c r="P1072">
        <f>IF($O1072="","",IF(INDEX(Suivi!$D:$D,1093)="",INDEX(Suivi!$C:$C,1093),INDEX(Suivi!$D:$D,1093)))</f>
        <v/>
      </c>
      <c r="Q1072">
        <f>IF($O1072="","",INDEX(Suivi!$E:$E,1093))</f>
        <v/>
      </c>
      <c r="R1072">
        <f>IF($O1072="","",INDEX(Suivi!$F:$F,1093))</f>
        <v/>
      </c>
      <c r="S1072">
        <f>IF($O1072="","",INDEX(Suivi!$G:$G,1093))</f>
        <v/>
      </c>
      <c r="T1072">
        <f>IF($O1072="","",IF(INDEX(Dossiers!$F$4:$F$63,21)="","",INDEX(Dossiers!$F$4:$F$63,21)))</f>
        <v/>
      </c>
      <c r="U1072">
        <f>IF($O1072="","",IF(INDEX(Dossiers!$G$4:$G$63,21)="","",INDEX(Dossiers!$G$4:$G$63,21)))</f>
        <v/>
      </c>
      <c r="V1072">
        <f>IF(OR($O1072="",NOT(ISNUMBER($Q1072))),"",$Q1072*1000000+1072)</f>
        <v/>
      </c>
      <c r="W1072" s="29">
        <f>IF($B1072="","",IFERROR(INDEX($U$4:$U$3183,MATCH(SMALL($V$4:$V$3183,1069),$V$4:$V$3183,0)),""))</f>
        <v/>
      </c>
    </row>
    <row r="1073">
      <c r="A1073">
        <f>IFERROR(INDEX($N$4:$N$3183,MATCH(SMALL($V$4:$V$3183,1070),$V$4:$V$3183,0)),"")</f>
        <v/>
      </c>
      <c r="B1073">
        <f>IFERROR(INDEX($O$4:$O$3183,MATCH(SMALL($V$4:$V$3183,1070),$V$4:$V$3183,0)),"")</f>
        <v/>
      </c>
      <c r="C1073">
        <f>IFERROR(INDEX($P$4:$P$3183,MATCH(SMALL($V$4:$V$3183,1070),$V$4:$V$3183,0)),"")</f>
        <v/>
      </c>
      <c r="D1073" s="29">
        <f>IFERROR(INDEX($Q$4:$Q$3183,MATCH(SMALL($V$4:$V$3183,1070),$V$4:$V$3183,0)),"")</f>
        <v/>
      </c>
      <c r="E1073" s="29">
        <f>IFERROR(INDEX($R$4:$R$3183,MATCH(SMALL($V$4:$V$3183,1070),$V$4:$V$3183,0)),"")</f>
        <v/>
      </c>
      <c r="F1073">
        <f>IFERROR(INDEX($S$4:$S$3183,MATCH(SMALL($V$4:$V$3183,1070),$V$4:$V$3183,0)),"")</f>
        <v/>
      </c>
      <c r="I1073" s="29">
        <f>IF($B1073="","",IFERROR(INDEX($U$4:$U$3183,MATCH(SMALL($V$4:$V$3183,1070),$V$4:$V$3183,0)),""))</f>
        <v/>
      </c>
      <c r="J1073">
        <f>IF($B1073="","",IF($D1073&gt;$F$2,"À venir",IF($E1073&lt;$D$2,"Passé","Dans la période")))</f>
        <v/>
      </c>
      <c r="K1073">
        <f>IF(OR($B1073="",NOT(ISNUMBER($D1073))),"",IF(AND($E1073&lt;$D$2,$G1073&lt;&gt;"X",$F1073&lt;&gt;"Réalisé",$F1073&lt;&gt;"Clôturé"),"RETARD",""))</f>
        <v/>
      </c>
      <c r="L1073">
        <f>IF(OR($B1073="",NOT(ISNUMBER($D1073))),"",IF(AND($D1073&gt;=$D$2,$D1073&lt;=$H$2,$G1073&lt;&gt;"X",$F1073&lt;&gt;"Réalisé",$F1073&lt;&gt;"Clôturé"),"≤ 7 j",""))</f>
        <v/>
      </c>
      <c r="M1073" s="29">
        <f>IF($B1073="","",IFERROR(INDEX($T$4:$T$3183,MATCH(SMALL($V$4:$V$3183,1070),$V$4:$V$3183,0)),""))</f>
        <v/>
      </c>
      <c r="O1073">
        <f>IF(INDEX(Suivi!$B:$B,1094)="","",INDEX(Suivi!$B:$B,1094))</f>
        <v/>
      </c>
      <c r="P1073">
        <f>IF($O1073="","",IF(INDEX(Suivi!$D:$D,1094)="",INDEX(Suivi!$C:$C,1094),INDEX(Suivi!$D:$D,1094)))</f>
        <v/>
      </c>
      <c r="Q1073">
        <f>IF($O1073="","",INDEX(Suivi!$E:$E,1094))</f>
        <v/>
      </c>
      <c r="R1073">
        <f>IF($O1073="","",INDEX(Suivi!$F:$F,1094))</f>
        <v/>
      </c>
      <c r="S1073">
        <f>IF($O1073="","",INDEX(Suivi!$G:$G,1094))</f>
        <v/>
      </c>
      <c r="T1073">
        <f>IF($O1073="","",IF(INDEX(Dossiers!$F$4:$F$63,21)="","",INDEX(Dossiers!$F$4:$F$63,21)))</f>
        <v/>
      </c>
      <c r="U1073">
        <f>IF($O1073="","",IF(INDEX(Dossiers!$G$4:$G$63,21)="","",INDEX(Dossiers!$G$4:$G$63,21)))</f>
        <v/>
      </c>
      <c r="V1073">
        <f>IF(OR($O1073="",NOT(ISNUMBER($Q1073))),"",$Q1073*1000000+1073)</f>
        <v/>
      </c>
      <c r="W1073" s="29">
        <f>IF($B1073="","",IFERROR(INDEX($U$4:$U$3183,MATCH(SMALL($V$4:$V$3183,1070),$V$4:$V$3183,0)),""))</f>
        <v/>
      </c>
    </row>
    <row r="1074">
      <c r="A1074">
        <f>IFERROR(INDEX($N$4:$N$3183,MATCH(SMALL($V$4:$V$3183,1071),$V$4:$V$3183,0)),"")</f>
        <v/>
      </c>
      <c r="B1074">
        <f>IFERROR(INDEX($O$4:$O$3183,MATCH(SMALL($V$4:$V$3183,1071),$V$4:$V$3183,0)),"")</f>
        <v/>
      </c>
      <c r="C1074">
        <f>IFERROR(INDEX($P$4:$P$3183,MATCH(SMALL($V$4:$V$3183,1071),$V$4:$V$3183,0)),"")</f>
        <v/>
      </c>
      <c r="D1074" s="29">
        <f>IFERROR(INDEX($Q$4:$Q$3183,MATCH(SMALL($V$4:$V$3183,1071),$V$4:$V$3183,0)),"")</f>
        <v/>
      </c>
      <c r="E1074" s="29">
        <f>IFERROR(INDEX($R$4:$R$3183,MATCH(SMALL($V$4:$V$3183,1071),$V$4:$V$3183,0)),"")</f>
        <v/>
      </c>
      <c r="F1074">
        <f>IFERROR(INDEX($S$4:$S$3183,MATCH(SMALL($V$4:$V$3183,1071),$V$4:$V$3183,0)),"")</f>
        <v/>
      </c>
      <c r="I1074" s="29">
        <f>IF($B1074="","",IFERROR(INDEX($U$4:$U$3183,MATCH(SMALL($V$4:$V$3183,1071),$V$4:$V$3183,0)),""))</f>
        <v/>
      </c>
      <c r="J1074">
        <f>IF($B1074="","",IF($D1074&gt;$F$2,"À venir",IF($E1074&lt;$D$2,"Passé","Dans la période")))</f>
        <v/>
      </c>
      <c r="K1074">
        <f>IF(OR($B1074="",NOT(ISNUMBER($D1074))),"",IF(AND($E1074&lt;$D$2,$G1074&lt;&gt;"X",$F1074&lt;&gt;"Réalisé",$F1074&lt;&gt;"Clôturé"),"RETARD",""))</f>
        <v/>
      </c>
      <c r="L1074">
        <f>IF(OR($B1074="",NOT(ISNUMBER($D1074))),"",IF(AND($D1074&gt;=$D$2,$D1074&lt;=$H$2,$G1074&lt;&gt;"X",$F1074&lt;&gt;"Réalisé",$F1074&lt;&gt;"Clôturé"),"≤ 7 j",""))</f>
        <v/>
      </c>
      <c r="M1074" s="29">
        <f>IF($B1074="","",IFERROR(INDEX($T$4:$T$3183,MATCH(SMALL($V$4:$V$3183,1071),$V$4:$V$3183,0)),""))</f>
        <v/>
      </c>
      <c r="O1074">
        <f>IF(INDEX(Suivi!$B:$B,1095)="","",INDEX(Suivi!$B:$B,1095))</f>
        <v/>
      </c>
      <c r="P1074">
        <f>IF($O1074="","",IF(INDEX(Suivi!$D:$D,1095)="",INDEX(Suivi!$C:$C,1095),INDEX(Suivi!$D:$D,1095)))</f>
        <v/>
      </c>
      <c r="Q1074">
        <f>IF($O1074="","",INDEX(Suivi!$E:$E,1095))</f>
        <v/>
      </c>
      <c r="R1074">
        <f>IF($O1074="","",INDEX(Suivi!$F:$F,1095))</f>
        <v/>
      </c>
      <c r="S1074">
        <f>IF($O1074="","",INDEX(Suivi!$G:$G,1095))</f>
        <v/>
      </c>
      <c r="T1074">
        <f>IF($O1074="","",IF(INDEX(Dossiers!$F$4:$F$63,21)="","",INDEX(Dossiers!$F$4:$F$63,21)))</f>
        <v/>
      </c>
      <c r="U1074">
        <f>IF($O1074="","",IF(INDEX(Dossiers!$G$4:$G$63,21)="","",INDEX(Dossiers!$G$4:$G$63,21)))</f>
        <v/>
      </c>
      <c r="V1074">
        <f>IF(OR($O1074="",NOT(ISNUMBER($Q1074))),"",$Q1074*1000000+1074)</f>
        <v/>
      </c>
      <c r="W1074" s="29">
        <f>IF($B1074="","",IFERROR(INDEX($U$4:$U$3183,MATCH(SMALL($V$4:$V$3183,1071),$V$4:$V$3183,0)),""))</f>
        <v/>
      </c>
    </row>
    <row r="1075">
      <c r="A1075">
        <f>IFERROR(INDEX($N$4:$N$3183,MATCH(SMALL($V$4:$V$3183,1072),$V$4:$V$3183,0)),"")</f>
        <v/>
      </c>
      <c r="B1075">
        <f>IFERROR(INDEX($O$4:$O$3183,MATCH(SMALL($V$4:$V$3183,1072),$V$4:$V$3183,0)),"")</f>
        <v/>
      </c>
      <c r="C1075">
        <f>IFERROR(INDEX($P$4:$P$3183,MATCH(SMALL($V$4:$V$3183,1072),$V$4:$V$3183,0)),"")</f>
        <v/>
      </c>
      <c r="D1075" s="29">
        <f>IFERROR(INDEX($Q$4:$Q$3183,MATCH(SMALL($V$4:$V$3183,1072),$V$4:$V$3183,0)),"")</f>
        <v/>
      </c>
      <c r="E1075" s="29">
        <f>IFERROR(INDEX($R$4:$R$3183,MATCH(SMALL($V$4:$V$3183,1072),$V$4:$V$3183,0)),"")</f>
        <v/>
      </c>
      <c r="F1075">
        <f>IFERROR(INDEX($S$4:$S$3183,MATCH(SMALL($V$4:$V$3183,1072),$V$4:$V$3183,0)),"")</f>
        <v/>
      </c>
      <c r="I1075" s="29">
        <f>IF($B1075="","",IFERROR(INDEX($U$4:$U$3183,MATCH(SMALL($V$4:$V$3183,1072),$V$4:$V$3183,0)),""))</f>
        <v/>
      </c>
      <c r="J1075">
        <f>IF($B1075="","",IF($D1075&gt;$F$2,"À venir",IF($E1075&lt;$D$2,"Passé","Dans la période")))</f>
        <v/>
      </c>
      <c r="K1075">
        <f>IF(OR($B1075="",NOT(ISNUMBER($D1075))),"",IF(AND($E1075&lt;$D$2,$G1075&lt;&gt;"X",$F1075&lt;&gt;"Réalisé",$F1075&lt;&gt;"Clôturé"),"RETARD",""))</f>
        <v/>
      </c>
      <c r="L1075">
        <f>IF(OR($B1075="",NOT(ISNUMBER($D1075))),"",IF(AND($D1075&gt;=$D$2,$D1075&lt;=$H$2,$G1075&lt;&gt;"X",$F1075&lt;&gt;"Réalisé",$F1075&lt;&gt;"Clôturé"),"≤ 7 j",""))</f>
        <v/>
      </c>
      <c r="M1075" s="29">
        <f>IF($B1075="","",IFERROR(INDEX($T$4:$T$3183,MATCH(SMALL($V$4:$V$3183,1072),$V$4:$V$3183,0)),""))</f>
        <v/>
      </c>
      <c r="O1075">
        <f>IF(INDEX(Suivi!$B:$B,1096)="","",INDEX(Suivi!$B:$B,1096))</f>
        <v/>
      </c>
      <c r="P1075">
        <f>IF($O1075="","",IF(INDEX(Suivi!$D:$D,1096)="",INDEX(Suivi!$C:$C,1096),INDEX(Suivi!$D:$D,1096)))</f>
        <v/>
      </c>
      <c r="Q1075">
        <f>IF($O1075="","",INDEX(Suivi!$E:$E,1096))</f>
        <v/>
      </c>
      <c r="R1075">
        <f>IF($O1075="","",INDEX(Suivi!$F:$F,1096))</f>
        <v/>
      </c>
      <c r="S1075">
        <f>IF($O1075="","",INDEX(Suivi!$G:$G,1096))</f>
        <v/>
      </c>
      <c r="T1075">
        <f>IF($O1075="","",IF(INDEX(Dossiers!$F$4:$F$63,21)="","",INDEX(Dossiers!$F$4:$F$63,21)))</f>
        <v/>
      </c>
      <c r="U1075">
        <f>IF($O1075="","",IF(INDEX(Dossiers!$G$4:$G$63,21)="","",INDEX(Dossiers!$G$4:$G$63,21)))</f>
        <v/>
      </c>
      <c r="V1075">
        <f>IF(OR($O1075="",NOT(ISNUMBER($Q1075))),"",$Q1075*1000000+1075)</f>
        <v/>
      </c>
      <c r="W1075" s="29">
        <f>IF($B1075="","",IFERROR(INDEX($U$4:$U$3183,MATCH(SMALL($V$4:$V$3183,1072),$V$4:$V$3183,0)),""))</f>
        <v/>
      </c>
    </row>
    <row r="1076">
      <c r="A1076">
        <f>IFERROR(INDEX($N$4:$N$3183,MATCH(SMALL($V$4:$V$3183,1073),$V$4:$V$3183,0)),"")</f>
        <v/>
      </c>
      <c r="B1076">
        <f>IFERROR(INDEX($O$4:$O$3183,MATCH(SMALL($V$4:$V$3183,1073),$V$4:$V$3183,0)),"")</f>
        <v/>
      </c>
      <c r="C1076">
        <f>IFERROR(INDEX($P$4:$P$3183,MATCH(SMALL($V$4:$V$3183,1073),$V$4:$V$3183,0)),"")</f>
        <v/>
      </c>
      <c r="D1076" s="29">
        <f>IFERROR(INDEX($Q$4:$Q$3183,MATCH(SMALL($V$4:$V$3183,1073),$V$4:$V$3183,0)),"")</f>
        <v/>
      </c>
      <c r="E1076" s="29">
        <f>IFERROR(INDEX($R$4:$R$3183,MATCH(SMALL($V$4:$V$3183,1073),$V$4:$V$3183,0)),"")</f>
        <v/>
      </c>
      <c r="F1076">
        <f>IFERROR(INDEX($S$4:$S$3183,MATCH(SMALL($V$4:$V$3183,1073),$V$4:$V$3183,0)),"")</f>
        <v/>
      </c>
      <c r="I1076" s="29">
        <f>IF($B1076="","",IFERROR(INDEX($U$4:$U$3183,MATCH(SMALL($V$4:$V$3183,1073),$V$4:$V$3183,0)),""))</f>
        <v/>
      </c>
      <c r="J1076">
        <f>IF($B1076="","",IF($D1076&gt;$F$2,"À venir",IF($E1076&lt;$D$2,"Passé","Dans la période")))</f>
        <v/>
      </c>
      <c r="K1076">
        <f>IF(OR($B1076="",NOT(ISNUMBER($D1076))),"",IF(AND($E1076&lt;$D$2,$G1076&lt;&gt;"X",$F1076&lt;&gt;"Réalisé",$F1076&lt;&gt;"Clôturé"),"RETARD",""))</f>
        <v/>
      </c>
      <c r="L1076">
        <f>IF(OR($B1076="",NOT(ISNUMBER($D1076))),"",IF(AND($D1076&gt;=$D$2,$D1076&lt;=$H$2,$G1076&lt;&gt;"X",$F1076&lt;&gt;"Réalisé",$F1076&lt;&gt;"Clôturé"),"≤ 7 j",""))</f>
        <v/>
      </c>
      <c r="M1076" s="29">
        <f>IF($B1076="","",IFERROR(INDEX($T$4:$T$3183,MATCH(SMALL($V$4:$V$3183,1073),$V$4:$V$3183,0)),""))</f>
        <v/>
      </c>
      <c r="O1076">
        <f>IF(INDEX(Suivi!$B:$B,1097)="","",INDEX(Suivi!$B:$B,1097))</f>
        <v/>
      </c>
      <c r="P1076">
        <f>IF($O1076="","",IF(INDEX(Suivi!$D:$D,1097)="",INDEX(Suivi!$C:$C,1097),INDEX(Suivi!$D:$D,1097)))</f>
        <v/>
      </c>
      <c r="Q1076">
        <f>IF($O1076="","",INDEX(Suivi!$E:$E,1097))</f>
        <v/>
      </c>
      <c r="R1076">
        <f>IF($O1076="","",INDEX(Suivi!$F:$F,1097))</f>
        <v/>
      </c>
      <c r="S1076">
        <f>IF($O1076="","",INDEX(Suivi!$G:$G,1097))</f>
        <v/>
      </c>
      <c r="T1076">
        <f>IF($O1076="","",IF(INDEX(Dossiers!$F$4:$F$63,21)="","",INDEX(Dossiers!$F$4:$F$63,21)))</f>
        <v/>
      </c>
      <c r="U1076">
        <f>IF($O1076="","",IF(INDEX(Dossiers!$G$4:$G$63,21)="","",INDEX(Dossiers!$G$4:$G$63,21)))</f>
        <v/>
      </c>
      <c r="V1076">
        <f>IF(OR($O1076="",NOT(ISNUMBER($Q1076))),"",$Q1076*1000000+1076)</f>
        <v/>
      </c>
      <c r="W1076" s="29">
        <f>IF($B1076="","",IFERROR(INDEX($U$4:$U$3183,MATCH(SMALL($V$4:$V$3183,1073),$V$4:$V$3183,0)),""))</f>
        <v/>
      </c>
    </row>
    <row r="1077">
      <c r="A1077">
        <f>IFERROR(INDEX($N$4:$N$3183,MATCH(SMALL($V$4:$V$3183,1074),$V$4:$V$3183,0)),"")</f>
        <v/>
      </c>
      <c r="B1077">
        <f>IFERROR(INDEX($O$4:$O$3183,MATCH(SMALL($V$4:$V$3183,1074),$V$4:$V$3183,0)),"")</f>
        <v/>
      </c>
      <c r="C1077">
        <f>IFERROR(INDEX($P$4:$P$3183,MATCH(SMALL($V$4:$V$3183,1074),$V$4:$V$3183,0)),"")</f>
        <v/>
      </c>
      <c r="D1077" s="29">
        <f>IFERROR(INDEX($Q$4:$Q$3183,MATCH(SMALL($V$4:$V$3183,1074),$V$4:$V$3183,0)),"")</f>
        <v/>
      </c>
      <c r="E1077" s="29">
        <f>IFERROR(INDEX($R$4:$R$3183,MATCH(SMALL($V$4:$V$3183,1074),$V$4:$V$3183,0)),"")</f>
        <v/>
      </c>
      <c r="F1077">
        <f>IFERROR(INDEX($S$4:$S$3183,MATCH(SMALL($V$4:$V$3183,1074),$V$4:$V$3183,0)),"")</f>
        <v/>
      </c>
      <c r="I1077" s="29">
        <f>IF($B1077="","",IFERROR(INDEX($U$4:$U$3183,MATCH(SMALL($V$4:$V$3183,1074),$V$4:$V$3183,0)),""))</f>
        <v/>
      </c>
      <c r="J1077">
        <f>IF($B1077="","",IF($D1077&gt;$F$2,"À venir",IF($E1077&lt;$D$2,"Passé","Dans la période")))</f>
        <v/>
      </c>
      <c r="K1077">
        <f>IF(OR($B1077="",NOT(ISNUMBER($D1077))),"",IF(AND($E1077&lt;$D$2,$G1077&lt;&gt;"X",$F1077&lt;&gt;"Réalisé",$F1077&lt;&gt;"Clôturé"),"RETARD",""))</f>
        <v/>
      </c>
      <c r="L1077">
        <f>IF(OR($B1077="",NOT(ISNUMBER($D1077))),"",IF(AND($D1077&gt;=$D$2,$D1077&lt;=$H$2,$G1077&lt;&gt;"X",$F1077&lt;&gt;"Réalisé",$F1077&lt;&gt;"Clôturé"),"≤ 7 j",""))</f>
        <v/>
      </c>
      <c r="M1077" s="29">
        <f>IF($B1077="","",IFERROR(INDEX($T$4:$T$3183,MATCH(SMALL($V$4:$V$3183,1074),$V$4:$V$3183,0)),""))</f>
        <v/>
      </c>
      <c r="O1077">
        <f>IF(INDEX(Suivi!$B:$B,1098)="","",INDEX(Suivi!$B:$B,1098))</f>
        <v/>
      </c>
      <c r="P1077">
        <f>IF($O1077="","",IF(INDEX(Suivi!$D:$D,1098)="",INDEX(Suivi!$C:$C,1098),INDEX(Suivi!$D:$D,1098)))</f>
        <v/>
      </c>
      <c r="Q1077">
        <f>IF($O1077="","",INDEX(Suivi!$E:$E,1098))</f>
        <v/>
      </c>
      <c r="R1077">
        <f>IF($O1077="","",INDEX(Suivi!$F:$F,1098))</f>
        <v/>
      </c>
      <c r="S1077">
        <f>IF($O1077="","",INDEX(Suivi!$G:$G,1098))</f>
        <v/>
      </c>
      <c r="T1077">
        <f>IF($O1077="","",IF(INDEX(Dossiers!$F$4:$F$63,21)="","",INDEX(Dossiers!$F$4:$F$63,21)))</f>
        <v/>
      </c>
      <c r="U1077">
        <f>IF($O1077="","",IF(INDEX(Dossiers!$G$4:$G$63,21)="","",INDEX(Dossiers!$G$4:$G$63,21)))</f>
        <v/>
      </c>
      <c r="V1077">
        <f>IF(OR($O1077="",NOT(ISNUMBER($Q1077))),"",$Q1077*1000000+1077)</f>
        <v/>
      </c>
      <c r="W1077" s="29">
        <f>IF($B1077="","",IFERROR(INDEX($U$4:$U$3183,MATCH(SMALL($V$4:$V$3183,1074),$V$4:$V$3183,0)),""))</f>
        <v/>
      </c>
    </row>
    <row r="1078">
      <c r="A1078">
        <f>IFERROR(INDEX($N$4:$N$3183,MATCH(SMALL($V$4:$V$3183,1075),$V$4:$V$3183,0)),"")</f>
        <v/>
      </c>
      <c r="B1078">
        <f>IFERROR(INDEX($O$4:$O$3183,MATCH(SMALL($V$4:$V$3183,1075),$V$4:$V$3183,0)),"")</f>
        <v/>
      </c>
      <c r="C1078">
        <f>IFERROR(INDEX($P$4:$P$3183,MATCH(SMALL($V$4:$V$3183,1075),$V$4:$V$3183,0)),"")</f>
        <v/>
      </c>
      <c r="D1078" s="29">
        <f>IFERROR(INDEX($Q$4:$Q$3183,MATCH(SMALL($V$4:$V$3183,1075),$V$4:$V$3183,0)),"")</f>
        <v/>
      </c>
      <c r="E1078" s="29">
        <f>IFERROR(INDEX($R$4:$R$3183,MATCH(SMALL($V$4:$V$3183,1075),$V$4:$V$3183,0)),"")</f>
        <v/>
      </c>
      <c r="F1078">
        <f>IFERROR(INDEX($S$4:$S$3183,MATCH(SMALL($V$4:$V$3183,1075),$V$4:$V$3183,0)),"")</f>
        <v/>
      </c>
      <c r="I1078" s="29">
        <f>IF($B1078="","",IFERROR(INDEX($U$4:$U$3183,MATCH(SMALL($V$4:$V$3183,1075),$V$4:$V$3183,0)),""))</f>
        <v/>
      </c>
      <c r="J1078">
        <f>IF($B1078="","",IF($D1078&gt;$F$2,"À venir",IF($E1078&lt;$D$2,"Passé","Dans la période")))</f>
        <v/>
      </c>
      <c r="K1078">
        <f>IF(OR($B1078="",NOT(ISNUMBER($D1078))),"",IF(AND($E1078&lt;$D$2,$G1078&lt;&gt;"X",$F1078&lt;&gt;"Réalisé",$F1078&lt;&gt;"Clôturé"),"RETARD",""))</f>
        <v/>
      </c>
      <c r="L1078">
        <f>IF(OR($B1078="",NOT(ISNUMBER($D1078))),"",IF(AND($D1078&gt;=$D$2,$D1078&lt;=$H$2,$G1078&lt;&gt;"X",$F1078&lt;&gt;"Réalisé",$F1078&lt;&gt;"Clôturé"),"≤ 7 j",""))</f>
        <v/>
      </c>
      <c r="M1078" s="29">
        <f>IF($B1078="","",IFERROR(INDEX($T$4:$T$3183,MATCH(SMALL($V$4:$V$3183,1075),$V$4:$V$3183,0)),""))</f>
        <v/>
      </c>
      <c r="O1078">
        <f>IF(INDEX(Suivi!$B:$B,1099)="","",INDEX(Suivi!$B:$B,1099))</f>
        <v/>
      </c>
      <c r="P1078">
        <f>IF($O1078="","",IF(INDEX(Suivi!$D:$D,1099)="",INDEX(Suivi!$C:$C,1099),INDEX(Suivi!$D:$D,1099)))</f>
        <v/>
      </c>
      <c r="Q1078">
        <f>IF($O1078="","",INDEX(Suivi!$E:$E,1099))</f>
        <v/>
      </c>
      <c r="R1078">
        <f>IF($O1078="","",INDEX(Suivi!$F:$F,1099))</f>
        <v/>
      </c>
      <c r="S1078">
        <f>IF($O1078="","",INDEX(Suivi!$G:$G,1099))</f>
        <v/>
      </c>
      <c r="T1078">
        <f>IF($O1078="","",IF(INDEX(Dossiers!$F$4:$F$63,21)="","",INDEX(Dossiers!$F$4:$F$63,21)))</f>
        <v/>
      </c>
      <c r="U1078">
        <f>IF($O1078="","",IF(INDEX(Dossiers!$G$4:$G$63,21)="","",INDEX(Dossiers!$G$4:$G$63,21)))</f>
        <v/>
      </c>
      <c r="V1078">
        <f>IF(OR($O1078="",NOT(ISNUMBER($Q1078))),"",$Q1078*1000000+1078)</f>
        <v/>
      </c>
      <c r="W1078" s="29">
        <f>IF($B1078="","",IFERROR(INDEX($U$4:$U$3183,MATCH(SMALL($V$4:$V$3183,1075),$V$4:$V$3183,0)),""))</f>
        <v/>
      </c>
    </row>
    <row r="1079">
      <c r="A1079">
        <f>IFERROR(INDEX($N$4:$N$3183,MATCH(SMALL($V$4:$V$3183,1076),$V$4:$V$3183,0)),"")</f>
        <v/>
      </c>
      <c r="B1079">
        <f>IFERROR(INDEX($O$4:$O$3183,MATCH(SMALL($V$4:$V$3183,1076),$V$4:$V$3183,0)),"")</f>
        <v/>
      </c>
      <c r="C1079">
        <f>IFERROR(INDEX($P$4:$P$3183,MATCH(SMALL($V$4:$V$3183,1076),$V$4:$V$3183,0)),"")</f>
        <v/>
      </c>
      <c r="D1079" s="29">
        <f>IFERROR(INDEX($Q$4:$Q$3183,MATCH(SMALL($V$4:$V$3183,1076),$V$4:$V$3183,0)),"")</f>
        <v/>
      </c>
      <c r="E1079" s="29">
        <f>IFERROR(INDEX($R$4:$R$3183,MATCH(SMALL($V$4:$V$3183,1076),$V$4:$V$3183,0)),"")</f>
        <v/>
      </c>
      <c r="F1079">
        <f>IFERROR(INDEX($S$4:$S$3183,MATCH(SMALL($V$4:$V$3183,1076),$V$4:$V$3183,0)),"")</f>
        <v/>
      </c>
      <c r="I1079" s="29">
        <f>IF($B1079="","",IFERROR(INDEX($U$4:$U$3183,MATCH(SMALL($V$4:$V$3183,1076),$V$4:$V$3183,0)),""))</f>
        <v/>
      </c>
      <c r="J1079">
        <f>IF($B1079="","",IF($D1079&gt;$F$2,"À venir",IF($E1079&lt;$D$2,"Passé","Dans la période")))</f>
        <v/>
      </c>
      <c r="K1079">
        <f>IF(OR($B1079="",NOT(ISNUMBER($D1079))),"",IF(AND($E1079&lt;$D$2,$G1079&lt;&gt;"X",$F1079&lt;&gt;"Réalisé",$F1079&lt;&gt;"Clôturé"),"RETARD",""))</f>
        <v/>
      </c>
      <c r="L1079">
        <f>IF(OR($B1079="",NOT(ISNUMBER($D1079))),"",IF(AND($D1079&gt;=$D$2,$D1079&lt;=$H$2,$G1079&lt;&gt;"X",$F1079&lt;&gt;"Réalisé",$F1079&lt;&gt;"Clôturé"),"≤ 7 j",""))</f>
        <v/>
      </c>
      <c r="M1079" s="29">
        <f>IF($B1079="","",IFERROR(INDEX($T$4:$T$3183,MATCH(SMALL($V$4:$V$3183,1076),$V$4:$V$3183,0)),""))</f>
        <v/>
      </c>
      <c r="O1079">
        <f>IF(INDEX(Suivi!$B:$B,1100)="","",INDEX(Suivi!$B:$B,1100))</f>
        <v/>
      </c>
      <c r="P1079">
        <f>IF($O1079="","",IF(INDEX(Suivi!$D:$D,1100)="",INDEX(Suivi!$C:$C,1100),INDEX(Suivi!$D:$D,1100)))</f>
        <v/>
      </c>
      <c r="Q1079">
        <f>IF($O1079="","",INDEX(Suivi!$E:$E,1100))</f>
        <v/>
      </c>
      <c r="R1079">
        <f>IF($O1079="","",INDEX(Suivi!$F:$F,1100))</f>
        <v/>
      </c>
      <c r="S1079">
        <f>IF($O1079="","",INDEX(Suivi!$G:$G,1100))</f>
        <v/>
      </c>
      <c r="T1079">
        <f>IF($O1079="","",IF(INDEX(Dossiers!$F$4:$F$63,21)="","",INDEX(Dossiers!$F$4:$F$63,21)))</f>
        <v/>
      </c>
      <c r="U1079">
        <f>IF($O1079="","",IF(INDEX(Dossiers!$G$4:$G$63,21)="","",INDEX(Dossiers!$G$4:$G$63,21)))</f>
        <v/>
      </c>
      <c r="V1079">
        <f>IF(OR($O1079="",NOT(ISNUMBER($Q1079))),"",$Q1079*1000000+1079)</f>
        <v/>
      </c>
      <c r="W1079" s="29">
        <f>IF($B1079="","",IFERROR(INDEX($U$4:$U$3183,MATCH(SMALL($V$4:$V$3183,1076),$V$4:$V$3183,0)),""))</f>
        <v/>
      </c>
    </row>
    <row r="1080">
      <c r="A1080">
        <f>IFERROR(INDEX($N$4:$N$3183,MATCH(SMALL($V$4:$V$3183,1077),$V$4:$V$3183,0)),"")</f>
        <v/>
      </c>
      <c r="B1080">
        <f>IFERROR(INDEX($O$4:$O$3183,MATCH(SMALL($V$4:$V$3183,1077),$V$4:$V$3183,0)),"")</f>
        <v/>
      </c>
      <c r="C1080">
        <f>IFERROR(INDEX($P$4:$P$3183,MATCH(SMALL($V$4:$V$3183,1077),$V$4:$V$3183,0)),"")</f>
        <v/>
      </c>
      <c r="D1080" s="29">
        <f>IFERROR(INDEX($Q$4:$Q$3183,MATCH(SMALL($V$4:$V$3183,1077),$V$4:$V$3183,0)),"")</f>
        <v/>
      </c>
      <c r="E1080" s="29">
        <f>IFERROR(INDEX($R$4:$R$3183,MATCH(SMALL($V$4:$V$3183,1077),$V$4:$V$3183,0)),"")</f>
        <v/>
      </c>
      <c r="F1080">
        <f>IFERROR(INDEX($S$4:$S$3183,MATCH(SMALL($V$4:$V$3183,1077),$V$4:$V$3183,0)),"")</f>
        <v/>
      </c>
      <c r="I1080" s="29">
        <f>IF($B1080="","",IFERROR(INDEX($U$4:$U$3183,MATCH(SMALL($V$4:$V$3183,1077),$V$4:$V$3183,0)),""))</f>
        <v/>
      </c>
      <c r="J1080">
        <f>IF($B1080="","",IF($D1080&gt;$F$2,"À venir",IF($E1080&lt;$D$2,"Passé","Dans la période")))</f>
        <v/>
      </c>
      <c r="K1080">
        <f>IF(OR($B1080="",NOT(ISNUMBER($D1080))),"",IF(AND($E1080&lt;$D$2,$G1080&lt;&gt;"X",$F1080&lt;&gt;"Réalisé",$F1080&lt;&gt;"Clôturé"),"RETARD",""))</f>
        <v/>
      </c>
      <c r="L1080">
        <f>IF(OR($B1080="",NOT(ISNUMBER($D1080))),"",IF(AND($D1080&gt;=$D$2,$D1080&lt;=$H$2,$G1080&lt;&gt;"X",$F1080&lt;&gt;"Réalisé",$F1080&lt;&gt;"Clôturé"),"≤ 7 j",""))</f>
        <v/>
      </c>
      <c r="M1080" s="29">
        <f>IF($B1080="","",IFERROR(INDEX($T$4:$T$3183,MATCH(SMALL($V$4:$V$3183,1077),$V$4:$V$3183,0)),""))</f>
        <v/>
      </c>
      <c r="O1080">
        <f>IF(INDEX(Suivi!$B:$B,1101)="","",INDEX(Suivi!$B:$B,1101))</f>
        <v/>
      </c>
      <c r="P1080">
        <f>IF($O1080="","",IF(INDEX(Suivi!$D:$D,1101)="",INDEX(Suivi!$C:$C,1101),INDEX(Suivi!$D:$D,1101)))</f>
        <v/>
      </c>
      <c r="Q1080">
        <f>IF($O1080="","",INDEX(Suivi!$E:$E,1101))</f>
        <v/>
      </c>
      <c r="R1080">
        <f>IF($O1080="","",INDEX(Suivi!$F:$F,1101))</f>
        <v/>
      </c>
      <c r="S1080">
        <f>IF($O1080="","",INDEX(Suivi!$G:$G,1101))</f>
        <v/>
      </c>
      <c r="T1080">
        <f>IF($O1080="","",IF(INDEX(Dossiers!$F$4:$F$63,21)="","",INDEX(Dossiers!$F$4:$F$63,21)))</f>
        <v/>
      </c>
      <c r="U1080">
        <f>IF($O1080="","",IF(INDEX(Dossiers!$G$4:$G$63,21)="","",INDEX(Dossiers!$G$4:$G$63,21)))</f>
        <v/>
      </c>
      <c r="V1080">
        <f>IF(OR($O1080="",NOT(ISNUMBER($Q1080))),"",$Q1080*1000000+1080)</f>
        <v/>
      </c>
      <c r="W1080" s="29">
        <f>IF($B1080="","",IFERROR(INDEX($U$4:$U$3183,MATCH(SMALL($V$4:$V$3183,1077),$V$4:$V$3183,0)),""))</f>
        <v/>
      </c>
    </row>
    <row r="1081">
      <c r="A1081">
        <f>IFERROR(INDEX($N$4:$N$3183,MATCH(SMALL($V$4:$V$3183,1078),$V$4:$V$3183,0)),"")</f>
        <v/>
      </c>
      <c r="B1081">
        <f>IFERROR(INDEX($O$4:$O$3183,MATCH(SMALL($V$4:$V$3183,1078),$V$4:$V$3183,0)),"")</f>
        <v/>
      </c>
      <c r="C1081">
        <f>IFERROR(INDEX($P$4:$P$3183,MATCH(SMALL($V$4:$V$3183,1078),$V$4:$V$3183,0)),"")</f>
        <v/>
      </c>
      <c r="D1081" s="29">
        <f>IFERROR(INDEX($Q$4:$Q$3183,MATCH(SMALL($V$4:$V$3183,1078),$V$4:$V$3183,0)),"")</f>
        <v/>
      </c>
      <c r="E1081" s="29">
        <f>IFERROR(INDEX($R$4:$R$3183,MATCH(SMALL($V$4:$V$3183,1078),$V$4:$V$3183,0)),"")</f>
        <v/>
      </c>
      <c r="F1081">
        <f>IFERROR(INDEX($S$4:$S$3183,MATCH(SMALL($V$4:$V$3183,1078),$V$4:$V$3183,0)),"")</f>
        <v/>
      </c>
      <c r="I1081" s="29">
        <f>IF($B1081="","",IFERROR(INDEX($U$4:$U$3183,MATCH(SMALL($V$4:$V$3183,1078),$V$4:$V$3183,0)),""))</f>
        <v/>
      </c>
      <c r="J1081">
        <f>IF($B1081="","",IF($D1081&gt;$F$2,"À venir",IF($E1081&lt;$D$2,"Passé","Dans la période")))</f>
        <v/>
      </c>
      <c r="K1081">
        <f>IF(OR($B1081="",NOT(ISNUMBER($D1081))),"",IF(AND($E1081&lt;$D$2,$G1081&lt;&gt;"X",$F1081&lt;&gt;"Réalisé",$F1081&lt;&gt;"Clôturé"),"RETARD",""))</f>
        <v/>
      </c>
      <c r="L1081">
        <f>IF(OR($B1081="",NOT(ISNUMBER($D1081))),"",IF(AND($D1081&gt;=$D$2,$D1081&lt;=$H$2,$G1081&lt;&gt;"X",$F1081&lt;&gt;"Réalisé",$F1081&lt;&gt;"Clôturé"),"≤ 7 j",""))</f>
        <v/>
      </c>
      <c r="M1081" s="29">
        <f>IF($B1081="","",IFERROR(INDEX($T$4:$T$3183,MATCH(SMALL($V$4:$V$3183,1078),$V$4:$V$3183,0)),""))</f>
        <v/>
      </c>
      <c r="O1081">
        <f>IF(INDEX(Suivi!$B:$B,1102)="","",INDEX(Suivi!$B:$B,1102))</f>
        <v/>
      </c>
      <c r="P1081">
        <f>IF($O1081="","",IF(INDEX(Suivi!$D:$D,1102)="",INDEX(Suivi!$C:$C,1102),INDEX(Suivi!$D:$D,1102)))</f>
        <v/>
      </c>
      <c r="Q1081">
        <f>IF($O1081="","",INDEX(Suivi!$E:$E,1102))</f>
        <v/>
      </c>
      <c r="R1081">
        <f>IF($O1081="","",INDEX(Suivi!$F:$F,1102))</f>
        <v/>
      </c>
      <c r="S1081">
        <f>IF($O1081="","",INDEX(Suivi!$G:$G,1102))</f>
        <v/>
      </c>
      <c r="T1081">
        <f>IF($O1081="","",IF(INDEX(Dossiers!$F$4:$F$63,21)="","",INDEX(Dossiers!$F$4:$F$63,21)))</f>
        <v/>
      </c>
      <c r="U1081">
        <f>IF($O1081="","",IF(INDEX(Dossiers!$G$4:$G$63,21)="","",INDEX(Dossiers!$G$4:$G$63,21)))</f>
        <v/>
      </c>
      <c r="V1081">
        <f>IF(OR($O1081="",NOT(ISNUMBER($Q1081))),"",$Q1081*1000000+1081)</f>
        <v/>
      </c>
      <c r="W1081" s="29">
        <f>IF($B1081="","",IFERROR(INDEX($U$4:$U$3183,MATCH(SMALL($V$4:$V$3183,1078),$V$4:$V$3183,0)),""))</f>
        <v/>
      </c>
    </row>
    <row r="1082">
      <c r="A1082">
        <f>IFERROR(INDEX($N$4:$N$3183,MATCH(SMALL($V$4:$V$3183,1079),$V$4:$V$3183,0)),"")</f>
        <v/>
      </c>
      <c r="B1082">
        <f>IFERROR(INDEX($O$4:$O$3183,MATCH(SMALL($V$4:$V$3183,1079),$V$4:$V$3183,0)),"")</f>
        <v/>
      </c>
      <c r="C1082">
        <f>IFERROR(INDEX($P$4:$P$3183,MATCH(SMALL($V$4:$V$3183,1079),$V$4:$V$3183,0)),"")</f>
        <v/>
      </c>
      <c r="D1082" s="29">
        <f>IFERROR(INDEX($Q$4:$Q$3183,MATCH(SMALL($V$4:$V$3183,1079),$V$4:$V$3183,0)),"")</f>
        <v/>
      </c>
      <c r="E1082" s="29">
        <f>IFERROR(INDEX($R$4:$R$3183,MATCH(SMALL($V$4:$V$3183,1079),$V$4:$V$3183,0)),"")</f>
        <v/>
      </c>
      <c r="F1082">
        <f>IFERROR(INDEX($S$4:$S$3183,MATCH(SMALL($V$4:$V$3183,1079),$V$4:$V$3183,0)),"")</f>
        <v/>
      </c>
      <c r="I1082" s="29">
        <f>IF($B1082="","",IFERROR(INDEX($U$4:$U$3183,MATCH(SMALL($V$4:$V$3183,1079),$V$4:$V$3183,0)),""))</f>
        <v/>
      </c>
      <c r="J1082">
        <f>IF($B1082="","",IF($D1082&gt;$F$2,"À venir",IF($E1082&lt;$D$2,"Passé","Dans la période")))</f>
        <v/>
      </c>
      <c r="K1082">
        <f>IF(OR($B1082="",NOT(ISNUMBER($D1082))),"",IF(AND($E1082&lt;$D$2,$G1082&lt;&gt;"X",$F1082&lt;&gt;"Réalisé",$F1082&lt;&gt;"Clôturé"),"RETARD",""))</f>
        <v/>
      </c>
      <c r="L1082">
        <f>IF(OR($B1082="",NOT(ISNUMBER($D1082))),"",IF(AND($D1082&gt;=$D$2,$D1082&lt;=$H$2,$G1082&lt;&gt;"X",$F1082&lt;&gt;"Réalisé",$F1082&lt;&gt;"Clôturé"),"≤ 7 j",""))</f>
        <v/>
      </c>
      <c r="M1082" s="29">
        <f>IF($B1082="","",IFERROR(INDEX($T$4:$T$3183,MATCH(SMALL($V$4:$V$3183,1079),$V$4:$V$3183,0)),""))</f>
        <v/>
      </c>
      <c r="O1082">
        <f>IF(INDEX(Suivi!$B:$B,1103)="","",INDEX(Suivi!$B:$B,1103))</f>
        <v/>
      </c>
      <c r="P1082">
        <f>IF($O1082="","",IF(INDEX(Suivi!$D:$D,1103)="",INDEX(Suivi!$C:$C,1103),INDEX(Suivi!$D:$D,1103)))</f>
        <v/>
      </c>
      <c r="Q1082">
        <f>IF($O1082="","",INDEX(Suivi!$E:$E,1103))</f>
        <v/>
      </c>
      <c r="R1082">
        <f>IF($O1082="","",INDEX(Suivi!$F:$F,1103))</f>
        <v/>
      </c>
      <c r="S1082">
        <f>IF($O1082="","",INDEX(Suivi!$G:$G,1103))</f>
        <v/>
      </c>
      <c r="T1082">
        <f>IF($O1082="","",IF(INDEX(Dossiers!$F$4:$F$63,21)="","",INDEX(Dossiers!$F$4:$F$63,21)))</f>
        <v/>
      </c>
      <c r="U1082">
        <f>IF($O1082="","",IF(INDEX(Dossiers!$G$4:$G$63,21)="","",INDEX(Dossiers!$G$4:$G$63,21)))</f>
        <v/>
      </c>
      <c r="V1082">
        <f>IF(OR($O1082="",NOT(ISNUMBER($Q1082))),"",$Q1082*1000000+1082)</f>
        <v/>
      </c>
      <c r="W1082" s="29">
        <f>IF($B1082="","",IFERROR(INDEX($U$4:$U$3183,MATCH(SMALL($V$4:$V$3183,1079),$V$4:$V$3183,0)),""))</f>
        <v/>
      </c>
    </row>
    <row r="1083">
      <c r="A1083">
        <f>IFERROR(INDEX($N$4:$N$3183,MATCH(SMALL($V$4:$V$3183,1080),$V$4:$V$3183,0)),"")</f>
        <v/>
      </c>
      <c r="B1083">
        <f>IFERROR(INDEX($O$4:$O$3183,MATCH(SMALL($V$4:$V$3183,1080),$V$4:$V$3183,0)),"")</f>
        <v/>
      </c>
      <c r="C1083">
        <f>IFERROR(INDEX($P$4:$P$3183,MATCH(SMALL($V$4:$V$3183,1080),$V$4:$V$3183,0)),"")</f>
        <v/>
      </c>
      <c r="D1083" s="29">
        <f>IFERROR(INDEX($Q$4:$Q$3183,MATCH(SMALL($V$4:$V$3183,1080),$V$4:$V$3183,0)),"")</f>
        <v/>
      </c>
      <c r="E1083" s="29">
        <f>IFERROR(INDEX($R$4:$R$3183,MATCH(SMALL($V$4:$V$3183,1080),$V$4:$V$3183,0)),"")</f>
        <v/>
      </c>
      <c r="F1083">
        <f>IFERROR(INDEX($S$4:$S$3183,MATCH(SMALL($V$4:$V$3183,1080),$V$4:$V$3183,0)),"")</f>
        <v/>
      </c>
      <c r="I1083" s="29">
        <f>IF($B1083="","",IFERROR(INDEX($U$4:$U$3183,MATCH(SMALL($V$4:$V$3183,1080),$V$4:$V$3183,0)),""))</f>
        <v/>
      </c>
      <c r="J1083">
        <f>IF($B1083="","",IF($D1083&gt;$F$2,"À venir",IF($E1083&lt;$D$2,"Passé","Dans la période")))</f>
        <v/>
      </c>
      <c r="K1083">
        <f>IF(OR($B1083="",NOT(ISNUMBER($D1083))),"",IF(AND($E1083&lt;$D$2,$G1083&lt;&gt;"X",$F1083&lt;&gt;"Réalisé",$F1083&lt;&gt;"Clôturé"),"RETARD",""))</f>
        <v/>
      </c>
      <c r="L1083">
        <f>IF(OR($B1083="",NOT(ISNUMBER($D1083))),"",IF(AND($D1083&gt;=$D$2,$D1083&lt;=$H$2,$G1083&lt;&gt;"X",$F1083&lt;&gt;"Réalisé",$F1083&lt;&gt;"Clôturé"),"≤ 7 j",""))</f>
        <v/>
      </c>
      <c r="M1083" s="29">
        <f>IF($B1083="","",IFERROR(INDEX($T$4:$T$3183,MATCH(SMALL($V$4:$V$3183,1080),$V$4:$V$3183,0)),""))</f>
        <v/>
      </c>
      <c r="O1083">
        <f>IF(INDEX(Suivi!$B:$B,1104)="","",INDEX(Suivi!$B:$B,1104))</f>
        <v/>
      </c>
      <c r="P1083">
        <f>IF($O1083="","",IF(INDEX(Suivi!$D:$D,1104)="",INDEX(Suivi!$C:$C,1104),INDEX(Suivi!$D:$D,1104)))</f>
        <v/>
      </c>
      <c r="Q1083">
        <f>IF($O1083="","",INDEX(Suivi!$E:$E,1104))</f>
        <v/>
      </c>
      <c r="R1083">
        <f>IF($O1083="","",INDEX(Suivi!$F:$F,1104))</f>
        <v/>
      </c>
      <c r="S1083">
        <f>IF($O1083="","",INDEX(Suivi!$G:$G,1104))</f>
        <v/>
      </c>
      <c r="T1083">
        <f>IF($O1083="","",IF(INDEX(Dossiers!$F$4:$F$63,21)="","",INDEX(Dossiers!$F$4:$F$63,21)))</f>
        <v/>
      </c>
      <c r="U1083">
        <f>IF($O1083="","",IF(INDEX(Dossiers!$G$4:$G$63,21)="","",INDEX(Dossiers!$G$4:$G$63,21)))</f>
        <v/>
      </c>
      <c r="V1083">
        <f>IF(OR($O1083="",NOT(ISNUMBER($Q1083))),"",$Q1083*1000000+1083)</f>
        <v/>
      </c>
      <c r="W1083" s="29">
        <f>IF($B1083="","",IFERROR(INDEX($U$4:$U$3183,MATCH(SMALL($V$4:$V$3183,1080),$V$4:$V$3183,0)),""))</f>
        <v/>
      </c>
    </row>
    <row r="1084">
      <c r="A1084">
        <f>IFERROR(INDEX($N$4:$N$3183,MATCH(SMALL($V$4:$V$3183,1081),$V$4:$V$3183,0)),"")</f>
        <v/>
      </c>
      <c r="B1084">
        <f>IFERROR(INDEX($O$4:$O$3183,MATCH(SMALL($V$4:$V$3183,1081),$V$4:$V$3183,0)),"")</f>
        <v/>
      </c>
      <c r="C1084">
        <f>IFERROR(INDEX($P$4:$P$3183,MATCH(SMALL($V$4:$V$3183,1081),$V$4:$V$3183,0)),"")</f>
        <v/>
      </c>
      <c r="D1084" s="29">
        <f>IFERROR(INDEX($Q$4:$Q$3183,MATCH(SMALL($V$4:$V$3183,1081),$V$4:$V$3183,0)),"")</f>
        <v/>
      </c>
      <c r="E1084" s="29">
        <f>IFERROR(INDEX($R$4:$R$3183,MATCH(SMALL($V$4:$V$3183,1081),$V$4:$V$3183,0)),"")</f>
        <v/>
      </c>
      <c r="F1084">
        <f>IFERROR(INDEX($S$4:$S$3183,MATCH(SMALL($V$4:$V$3183,1081),$V$4:$V$3183,0)),"")</f>
        <v/>
      </c>
      <c r="I1084" s="29">
        <f>IF($B1084="","",IFERROR(INDEX($U$4:$U$3183,MATCH(SMALL($V$4:$V$3183,1081),$V$4:$V$3183,0)),""))</f>
        <v/>
      </c>
      <c r="J1084">
        <f>IF($B1084="","",IF($D1084&gt;$F$2,"À venir",IF($E1084&lt;$D$2,"Passé","Dans la période")))</f>
        <v/>
      </c>
      <c r="K1084">
        <f>IF(OR($B1084="",NOT(ISNUMBER($D1084))),"",IF(AND($E1084&lt;$D$2,$G1084&lt;&gt;"X",$F1084&lt;&gt;"Réalisé",$F1084&lt;&gt;"Clôturé"),"RETARD",""))</f>
        <v/>
      </c>
      <c r="L1084">
        <f>IF(OR($B1084="",NOT(ISNUMBER($D1084))),"",IF(AND($D1084&gt;=$D$2,$D1084&lt;=$H$2,$G1084&lt;&gt;"X",$F1084&lt;&gt;"Réalisé",$F1084&lt;&gt;"Clôturé"),"≤ 7 j",""))</f>
        <v/>
      </c>
      <c r="M1084" s="29">
        <f>IF($B1084="","",IFERROR(INDEX($T$4:$T$3183,MATCH(SMALL($V$4:$V$3183,1081),$V$4:$V$3183,0)),""))</f>
        <v/>
      </c>
      <c r="O1084">
        <f>IF(INDEX(Suivi!$B:$B,1105)="","",INDEX(Suivi!$B:$B,1105))</f>
        <v/>
      </c>
      <c r="P1084">
        <f>IF($O1084="","",IF(INDEX(Suivi!$D:$D,1105)="",INDEX(Suivi!$C:$C,1105),INDEX(Suivi!$D:$D,1105)))</f>
        <v/>
      </c>
      <c r="Q1084">
        <f>IF($O1084="","",INDEX(Suivi!$E:$E,1105))</f>
        <v/>
      </c>
      <c r="R1084">
        <f>IF($O1084="","",INDEX(Suivi!$F:$F,1105))</f>
        <v/>
      </c>
      <c r="S1084">
        <f>IF($O1084="","",INDEX(Suivi!$G:$G,1105))</f>
        <v/>
      </c>
      <c r="T1084">
        <f>IF($O1084="","",IF(INDEX(Dossiers!$F$4:$F$63,21)="","",INDEX(Dossiers!$F$4:$F$63,21)))</f>
        <v/>
      </c>
      <c r="U1084">
        <f>IF($O1084="","",IF(INDEX(Dossiers!$G$4:$G$63,21)="","",INDEX(Dossiers!$G$4:$G$63,21)))</f>
        <v/>
      </c>
      <c r="V1084">
        <f>IF(OR($O1084="",NOT(ISNUMBER($Q1084))),"",$Q1084*1000000+1084)</f>
        <v/>
      </c>
      <c r="W1084" s="29">
        <f>IF($B1084="","",IFERROR(INDEX($U$4:$U$3183,MATCH(SMALL($V$4:$V$3183,1081),$V$4:$V$3183,0)),""))</f>
        <v/>
      </c>
    </row>
    <row r="1085">
      <c r="A1085">
        <f>IFERROR(INDEX($N$4:$N$3183,MATCH(SMALL($V$4:$V$3183,1082),$V$4:$V$3183,0)),"")</f>
        <v/>
      </c>
      <c r="B1085">
        <f>IFERROR(INDEX($O$4:$O$3183,MATCH(SMALL($V$4:$V$3183,1082),$V$4:$V$3183,0)),"")</f>
        <v/>
      </c>
      <c r="C1085">
        <f>IFERROR(INDEX($P$4:$P$3183,MATCH(SMALL($V$4:$V$3183,1082),$V$4:$V$3183,0)),"")</f>
        <v/>
      </c>
      <c r="D1085" s="29">
        <f>IFERROR(INDEX($Q$4:$Q$3183,MATCH(SMALL($V$4:$V$3183,1082),$V$4:$V$3183,0)),"")</f>
        <v/>
      </c>
      <c r="E1085" s="29">
        <f>IFERROR(INDEX($R$4:$R$3183,MATCH(SMALL($V$4:$V$3183,1082),$V$4:$V$3183,0)),"")</f>
        <v/>
      </c>
      <c r="F1085">
        <f>IFERROR(INDEX($S$4:$S$3183,MATCH(SMALL($V$4:$V$3183,1082),$V$4:$V$3183,0)),"")</f>
        <v/>
      </c>
      <c r="I1085" s="29">
        <f>IF($B1085="","",IFERROR(INDEX($U$4:$U$3183,MATCH(SMALL($V$4:$V$3183,1082),$V$4:$V$3183,0)),""))</f>
        <v/>
      </c>
      <c r="J1085">
        <f>IF($B1085="","",IF($D1085&gt;$F$2,"À venir",IF($E1085&lt;$D$2,"Passé","Dans la période")))</f>
        <v/>
      </c>
      <c r="K1085">
        <f>IF(OR($B1085="",NOT(ISNUMBER($D1085))),"",IF(AND($E1085&lt;$D$2,$G1085&lt;&gt;"X",$F1085&lt;&gt;"Réalisé",$F1085&lt;&gt;"Clôturé"),"RETARD",""))</f>
        <v/>
      </c>
      <c r="L1085">
        <f>IF(OR($B1085="",NOT(ISNUMBER($D1085))),"",IF(AND($D1085&gt;=$D$2,$D1085&lt;=$H$2,$G1085&lt;&gt;"X",$F1085&lt;&gt;"Réalisé",$F1085&lt;&gt;"Clôturé"),"≤ 7 j",""))</f>
        <v/>
      </c>
      <c r="M1085" s="29">
        <f>IF($B1085="","",IFERROR(INDEX($T$4:$T$3183,MATCH(SMALL($V$4:$V$3183,1082),$V$4:$V$3183,0)),""))</f>
        <v/>
      </c>
      <c r="O1085">
        <f>IF(INDEX(Suivi!$B:$B,1106)="","",INDEX(Suivi!$B:$B,1106))</f>
        <v/>
      </c>
      <c r="P1085">
        <f>IF($O1085="","",IF(INDEX(Suivi!$D:$D,1106)="",INDEX(Suivi!$C:$C,1106),INDEX(Suivi!$D:$D,1106)))</f>
        <v/>
      </c>
      <c r="Q1085">
        <f>IF($O1085="","",INDEX(Suivi!$E:$E,1106))</f>
        <v/>
      </c>
      <c r="R1085">
        <f>IF($O1085="","",INDEX(Suivi!$F:$F,1106))</f>
        <v/>
      </c>
      <c r="S1085">
        <f>IF($O1085="","",INDEX(Suivi!$G:$G,1106))</f>
        <v/>
      </c>
      <c r="T1085">
        <f>IF($O1085="","",IF(INDEX(Dossiers!$F$4:$F$63,21)="","",INDEX(Dossiers!$F$4:$F$63,21)))</f>
        <v/>
      </c>
      <c r="U1085">
        <f>IF($O1085="","",IF(INDEX(Dossiers!$G$4:$G$63,21)="","",INDEX(Dossiers!$G$4:$G$63,21)))</f>
        <v/>
      </c>
      <c r="V1085">
        <f>IF(OR($O1085="",NOT(ISNUMBER($Q1085))),"",$Q1085*1000000+1085)</f>
        <v/>
      </c>
      <c r="W1085" s="29">
        <f>IF($B1085="","",IFERROR(INDEX($U$4:$U$3183,MATCH(SMALL($V$4:$V$3183,1082),$V$4:$V$3183,0)),""))</f>
        <v/>
      </c>
    </row>
    <row r="1086">
      <c r="A1086">
        <f>IFERROR(INDEX($N$4:$N$3183,MATCH(SMALL($V$4:$V$3183,1083),$V$4:$V$3183,0)),"")</f>
        <v/>
      </c>
      <c r="B1086">
        <f>IFERROR(INDEX($O$4:$O$3183,MATCH(SMALL($V$4:$V$3183,1083),$V$4:$V$3183,0)),"")</f>
        <v/>
      </c>
      <c r="C1086">
        <f>IFERROR(INDEX($P$4:$P$3183,MATCH(SMALL($V$4:$V$3183,1083),$V$4:$V$3183,0)),"")</f>
        <v/>
      </c>
      <c r="D1086" s="29">
        <f>IFERROR(INDEX($Q$4:$Q$3183,MATCH(SMALL($V$4:$V$3183,1083),$V$4:$V$3183,0)),"")</f>
        <v/>
      </c>
      <c r="E1086" s="29">
        <f>IFERROR(INDEX($R$4:$R$3183,MATCH(SMALL($V$4:$V$3183,1083),$V$4:$V$3183,0)),"")</f>
        <v/>
      </c>
      <c r="F1086">
        <f>IFERROR(INDEX($S$4:$S$3183,MATCH(SMALL($V$4:$V$3183,1083),$V$4:$V$3183,0)),"")</f>
        <v/>
      </c>
      <c r="I1086" s="29">
        <f>IF($B1086="","",IFERROR(INDEX($U$4:$U$3183,MATCH(SMALL($V$4:$V$3183,1083),$V$4:$V$3183,0)),""))</f>
        <v/>
      </c>
      <c r="J1086">
        <f>IF($B1086="","",IF($D1086&gt;$F$2,"À venir",IF($E1086&lt;$D$2,"Passé","Dans la période")))</f>
        <v/>
      </c>
      <c r="K1086">
        <f>IF(OR($B1086="",NOT(ISNUMBER($D1086))),"",IF(AND($E1086&lt;$D$2,$G1086&lt;&gt;"X",$F1086&lt;&gt;"Réalisé",$F1086&lt;&gt;"Clôturé"),"RETARD",""))</f>
        <v/>
      </c>
      <c r="L1086">
        <f>IF(OR($B1086="",NOT(ISNUMBER($D1086))),"",IF(AND($D1086&gt;=$D$2,$D1086&lt;=$H$2,$G1086&lt;&gt;"X",$F1086&lt;&gt;"Réalisé",$F1086&lt;&gt;"Clôturé"),"≤ 7 j",""))</f>
        <v/>
      </c>
      <c r="M1086" s="29">
        <f>IF($B1086="","",IFERROR(INDEX($T$4:$T$3183,MATCH(SMALL($V$4:$V$3183,1083),$V$4:$V$3183,0)),""))</f>
        <v/>
      </c>
      <c r="O1086">
        <f>IF(INDEX(Suivi!$B:$B,1107)="","",INDEX(Suivi!$B:$B,1107))</f>
        <v/>
      </c>
      <c r="P1086">
        <f>IF($O1086="","",IF(INDEX(Suivi!$D:$D,1107)="",INDEX(Suivi!$C:$C,1107),INDEX(Suivi!$D:$D,1107)))</f>
        <v/>
      </c>
      <c r="Q1086">
        <f>IF($O1086="","",INDEX(Suivi!$E:$E,1107))</f>
        <v/>
      </c>
      <c r="R1086">
        <f>IF($O1086="","",INDEX(Suivi!$F:$F,1107))</f>
        <v/>
      </c>
      <c r="S1086">
        <f>IF($O1086="","",INDEX(Suivi!$G:$G,1107))</f>
        <v/>
      </c>
      <c r="T1086">
        <f>IF($O1086="","",IF(INDEX(Dossiers!$F$4:$F$63,21)="","",INDEX(Dossiers!$F$4:$F$63,21)))</f>
        <v/>
      </c>
      <c r="U1086">
        <f>IF($O1086="","",IF(INDEX(Dossiers!$G$4:$G$63,21)="","",INDEX(Dossiers!$G$4:$G$63,21)))</f>
        <v/>
      </c>
      <c r="V1086">
        <f>IF(OR($O1086="",NOT(ISNUMBER($Q1086))),"",$Q1086*1000000+1086)</f>
        <v/>
      </c>
      <c r="W1086" s="29">
        <f>IF($B1086="","",IFERROR(INDEX($U$4:$U$3183,MATCH(SMALL($V$4:$V$3183,1083),$V$4:$V$3183,0)),""))</f>
        <v/>
      </c>
    </row>
    <row r="1087">
      <c r="A1087">
        <f>IFERROR(INDEX($N$4:$N$3183,MATCH(SMALL($V$4:$V$3183,1084),$V$4:$V$3183,0)),"")</f>
        <v/>
      </c>
      <c r="B1087">
        <f>IFERROR(INDEX($O$4:$O$3183,MATCH(SMALL($V$4:$V$3183,1084),$V$4:$V$3183,0)),"")</f>
        <v/>
      </c>
      <c r="C1087">
        <f>IFERROR(INDEX($P$4:$P$3183,MATCH(SMALL($V$4:$V$3183,1084),$V$4:$V$3183,0)),"")</f>
        <v/>
      </c>
      <c r="D1087" s="29">
        <f>IFERROR(INDEX($Q$4:$Q$3183,MATCH(SMALL($V$4:$V$3183,1084),$V$4:$V$3183,0)),"")</f>
        <v/>
      </c>
      <c r="E1087" s="29">
        <f>IFERROR(INDEX($R$4:$R$3183,MATCH(SMALL($V$4:$V$3183,1084),$V$4:$V$3183,0)),"")</f>
        <v/>
      </c>
      <c r="F1087">
        <f>IFERROR(INDEX($S$4:$S$3183,MATCH(SMALL($V$4:$V$3183,1084),$V$4:$V$3183,0)),"")</f>
        <v/>
      </c>
      <c r="I1087" s="29">
        <f>IF($B1087="","",IFERROR(INDEX($U$4:$U$3183,MATCH(SMALL($V$4:$V$3183,1084),$V$4:$V$3183,0)),""))</f>
        <v/>
      </c>
      <c r="J1087">
        <f>IF($B1087="","",IF($D1087&gt;$F$2,"À venir",IF($E1087&lt;$D$2,"Passé","Dans la période")))</f>
        <v/>
      </c>
      <c r="K1087">
        <f>IF(OR($B1087="",NOT(ISNUMBER($D1087))),"",IF(AND($E1087&lt;$D$2,$G1087&lt;&gt;"X",$F1087&lt;&gt;"Réalisé",$F1087&lt;&gt;"Clôturé"),"RETARD",""))</f>
        <v/>
      </c>
      <c r="L1087">
        <f>IF(OR($B1087="",NOT(ISNUMBER($D1087))),"",IF(AND($D1087&gt;=$D$2,$D1087&lt;=$H$2,$G1087&lt;&gt;"X",$F1087&lt;&gt;"Réalisé",$F1087&lt;&gt;"Clôturé"),"≤ 7 j",""))</f>
        <v/>
      </c>
      <c r="M1087" s="29">
        <f>IF($B1087="","",IFERROR(INDEX($T$4:$T$3183,MATCH(SMALL($V$4:$V$3183,1084),$V$4:$V$3183,0)),""))</f>
        <v/>
      </c>
      <c r="O1087">
        <f>IF(INDEX(Suivi!$B:$B,1108)="","",INDEX(Suivi!$B:$B,1108))</f>
        <v/>
      </c>
      <c r="P1087">
        <f>IF($O1087="","",IF(INDEX(Suivi!$D:$D,1108)="",INDEX(Suivi!$C:$C,1108),INDEX(Suivi!$D:$D,1108)))</f>
        <v/>
      </c>
      <c r="Q1087">
        <f>IF($O1087="","",INDEX(Suivi!$E:$E,1108))</f>
        <v/>
      </c>
      <c r="R1087">
        <f>IF($O1087="","",INDEX(Suivi!$F:$F,1108))</f>
        <v/>
      </c>
      <c r="S1087">
        <f>IF($O1087="","",INDEX(Suivi!$G:$G,1108))</f>
        <v/>
      </c>
      <c r="T1087">
        <f>IF($O1087="","",IF(INDEX(Dossiers!$F$4:$F$63,21)="","",INDEX(Dossiers!$F$4:$F$63,21)))</f>
        <v/>
      </c>
      <c r="U1087">
        <f>IF($O1087="","",IF(INDEX(Dossiers!$G$4:$G$63,21)="","",INDEX(Dossiers!$G$4:$G$63,21)))</f>
        <v/>
      </c>
      <c r="V1087">
        <f>IF(OR($O1087="",NOT(ISNUMBER($Q1087))),"",$Q1087*1000000+1087)</f>
        <v/>
      </c>
      <c r="W1087" s="29">
        <f>IF($B1087="","",IFERROR(INDEX($U$4:$U$3183,MATCH(SMALL($V$4:$V$3183,1084),$V$4:$V$3183,0)),""))</f>
        <v/>
      </c>
    </row>
    <row r="1088">
      <c r="A1088">
        <f>IFERROR(INDEX($N$4:$N$3183,MATCH(SMALL($V$4:$V$3183,1085),$V$4:$V$3183,0)),"")</f>
        <v/>
      </c>
      <c r="B1088">
        <f>IFERROR(INDEX($O$4:$O$3183,MATCH(SMALL($V$4:$V$3183,1085),$V$4:$V$3183,0)),"")</f>
        <v/>
      </c>
      <c r="C1088">
        <f>IFERROR(INDEX($P$4:$P$3183,MATCH(SMALL($V$4:$V$3183,1085),$V$4:$V$3183,0)),"")</f>
        <v/>
      </c>
      <c r="D1088" s="29">
        <f>IFERROR(INDEX($Q$4:$Q$3183,MATCH(SMALL($V$4:$V$3183,1085),$V$4:$V$3183,0)),"")</f>
        <v/>
      </c>
      <c r="E1088" s="29">
        <f>IFERROR(INDEX($R$4:$R$3183,MATCH(SMALL($V$4:$V$3183,1085),$V$4:$V$3183,0)),"")</f>
        <v/>
      </c>
      <c r="F1088">
        <f>IFERROR(INDEX($S$4:$S$3183,MATCH(SMALL($V$4:$V$3183,1085),$V$4:$V$3183,0)),"")</f>
        <v/>
      </c>
      <c r="I1088" s="29">
        <f>IF($B1088="","",IFERROR(INDEX($U$4:$U$3183,MATCH(SMALL($V$4:$V$3183,1085),$V$4:$V$3183,0)),""))</f>
        <v/>
      </c>
      <c r="J1088">
        <f>IF($B1088="","",IF($D1088&gt;$F$2,"À venir",IF($E1088&lt;$D$2,"Passé","Dans la période")))</f>
        <v/>
      </c>
      <c r="K1088">
        <f>IF(OR($B1088="",NOT(ISNUMBER($D1088))),"",IF(AND($E1088&lt;$D$2,$G1088&lt;&gt;"X",$F1088&lt;&gt;"Réalisé",$F1088&lt;&gt;"Clôturé"),"RETARD",""))</f>
        <v/>
      </c>
      <c r="L1088">
        <f>IF(OR($B1088="",NOT(ISNUMBER($D1088))),"",IF(AND($D1088&gt;=$D$2,$D1088&lt;=$H$2,$G1088&lt;&gt;"X",$F1088&lt;&gt;"Réalisé",$F1088&lt;&gt;"Clôturé"),"≤ 7 j",""))</f>
        <v/>
      </c>
      <c r="M1088" s="29">
        <f>IF($B1088="","",IFERROR(INDEX($T$4:$T$3183,MATCH(SMALL($V$4:$V$3183,1085),$V$4:$V$3183,0)),""))</f>
        <v/>
      </c>
      <c r="O1088">
        <f>IF(INDEX(Suivi!$B:$B,1109)="","",INDEX(Suivi!$B:$B,1109))</f>
        <v/>
      </c>
      <c r="P1088">
        <f>IF($O1088="","",IF(INDEX(Suivi!$D:$D,1109)="",INDEX(Suivi!$C:$C,1109),INDEX(Suivi!$D:$D,1109)))</f>
        <v/>
      </c>
      <c r="Q1088">
        <f>IF($O1088="","",INDEX(Suivi!$E:$E,1109))</f>
        <v/>
      </c>
      <c r="R1088">
        <f>IF($O1088="","",INDEX(Suivi!$F:$F,1109))</f>
        <v/>
      </c>
      <c r="S1088">
        <f>IF($O1088="","",INDEX(Suivi!$G:$G,1109))</f>
        <v/>
      </c>
      <c r="T1088">
        <f>IF($O1088="","",IF(INDEX(Dossiers!$F$4:$F$63,21)="","",INDEX(Dossiers!$F$4:$F$63,21)))</f>
        <v/>
      </c>
      <c r="U1088">
        <f>IF($O1088="","",IF(INDEX(Dossiers!$G$4:$G$63,21)="","",INDEX(Dossiers!$G$4:$G$63,21)))</f>
        <v/>
      </c>
      <c r="V1088">
        <f>IF(OR($O1088="",NOT(ISNUMBER($Q1088))),"",$Q1088*1000000+1088)</f>
        <v/>
      </c>
      <c r="W1088" s="29">
        <f>IF($B1088="","",IFERROR(INDEX($U$4:$U$3183,MATCH(SMALL($V$4:$V$3183,1085),$V$4:$V$3183,0)),""))</f>
        <v/>
      </c>
    </row>
    <row r="1089">
      <c r="A1089">
        <f>IFERROR(INDEX($N$4:$N$3183,MATCH(SMALL($V$4:$V$3183,1086),$V$4:$V$3183,0)),"")</f>
        <v/>
      </c>
      <c r="B1089">
        <f>IFERROR(INDEX($O$4:$O$3183,MATCH(SMALL($V$4:$V$3183,1086),$V$4:$V$3183,0)),"")</f>
        <v/>
      </c>
      <c r="C1089">
        <f>IFERROR(INDEX($P$4:$P$3183,MATCH(SMALL($V$4:$V$3183,1086),$V$4:$V$3183,0)),"")</f>
        <v/>
      </c>
      <c r="D1089" s="29">
        <f>IFERROR(INDEX($Q$4:$Q$3183,MATCH(SMALL($V$4:$V$3183,1086),$V$4:$V$3183,0)),"")</f>
        <v/>
      </c>
      <c r="E1089" s="29">
        <f>IFERROR(INDEX($R$4:$R$3183,MATCH(SMALL($V$4:$V$3183,1086),$V$4:$V$3183,0)),"")</f>
        <v/>
      </c>
      <c r="F1089">
        <f>IFERROR(INDEX($S$4:$S$3183,MATCH(SMALL($V$4:$V$3183,1086),$V$4:$V$3183,0)),"")</f>
        <v/>
      </c>
      <c r="I1089" s="29">
        <f>IF($B1089="","",IFERROR(INDEX($U$4:$U$3183,MATCH(SMALL($V$4:$V$3183,1086),$V$4:$V$3183,0)),""))</f>
        <v/>
      </c>
      <c r="J1089">
        <f>IF($B1089="","",IF($D1089&gt;$F$2,"À venir",IF($E1089&lt;$D$2,"Passé","Dans la période")))</f>
        <v/>
      </c>
      <c r="K1089">
        <f>IF(OR($B1089="",NOT(ISNUMBER($D1089))),"",IF(AND($E1089&lt;$D$2,$G1089&lt;&gt;"X",$F1089&lt;&gt;"Réalisé",$F1089&lt;&gt;"Clôturé"),"RETARD",""))</f>
        <v/>
      </c>
      <c r="L1089">
        <f>IF(OR($B1089="",NOT(ISNUMBER($D1089))),"",IF(AND($D1089&gt;=$D$2,$D1089&lt;=$H$2,$G1089&lt;&gt;"X",$F1089&lt;&gt;"Réalisé",$F1089&lt;&gt;"Clôturé"),"≤ 7 j",""))</f>
        <v/>
      </c>
      <c r="M1089" s="29">
        <f>IF($B1089="","",IFERROR(INDEX($T$4:$T$3183,MATCH(SMALL($V$4:$V$3183,1086),$V$4:$V$3183,0)),""))</f>
        <v/>
      </c>
      <c r="O1089">
        <f>IF(INDEX(Suivi!$B:$B,1110)="","",INDEX(Suivi!$B:$B,1110))</f>
        <v/>
      </c>
      <c r="P1089">
        <f>IF($O1089="","",IF(INDEX(Suivi!$D:$D,1110)="",INDEX(Suivi!$C:$C,1110),INDEX(Suivi!$D:$D,1110)))</f>
        <v/>
      </c>
      <c r="Q1089">
        <f>IF($O1089="","",INDEX(Suivi!$E:$E,1110))</f>
        <v/>
      </c>
      <c r="R1089">
        <f>IF($O1089="","",INDEX(Suivi!$F:$F,1110))</f>
        <v/>
      </c>
      <c r="S1089">
        <f>IF($O1089="","",INDEX(Suivi!$G:$G,1110))</f>
        <v/>
      </c>
      <c r="T1089">
        <f>IF($O1089="","",IF(INDEX(Dossiers!$F$4:$F$63,21)="","",INDEX(Dossiers!$F$4:$F$63,21)))</f>
        <v/>
      </c>
      <c r="U1089">
        <f>IF($O1089="","",IF(INDEX(Dossiers!$G$4:$G$63,21)="","",INDEX(Dossiers!$G$4:$G$63,21)))</f>
        <v/>
      </c>
      <c r="V1089">
        <f>IF(OR($O1089="",NOT(ISNUMBER($Q1089))),"",$Q1089*1000000+1089)</f>
        <v/>
      </c>
      <c r="W1089" s="29">
        <f>IF($B1089="","",IFERROR(INDEX($U$4:$U$3183,MATCH(SMALL($V$4:$V$3183,1086),$V$4:$V$3183,0)),""))</f>
        <v/>
      </c>
    </row>
    <row r="1090">
      <c r="A1090">
        <f>IFERROR(INDEX($N$4:$N$3183,MATCH(SMALL($V$4:$V$3183,1087),$V$4:$V$3183,0)),"")</f>
        <v/>
      </c>
      <c r="B1090">
        <f>IFERROR(INDEX($O$4:$O$3183,MATCH(SMALL($V$4:$V$3183,1087),$V$4:$V$3183,0)),"")</f>
        <v/>
      </c>
      <c r="C1090">
        <f>IFERROR(INDEX($P$4:$P$3183,MATCH(SMALL($V$4:$V$3183,1087),$V$4:$V$3183,0)),"")</f>
        <v/>
      </c>
      <c r="D1090" s="29">
        <f>IFERROR(INDEX($Q$4:$Q$3183,MATCH(SMALL($V$4:$V$3183,1087),$V$4:$V$3183,0)),"")</f>
        <v/>
      </c>
      <c r="E1090" s="29">
        <f>IFERROR(INDEX($R$4:$R$3183,MATCH(SMALL($V$4:$V$3183,1087),$V$4:$V$3183,0)),"")</f>
        <v/>
      </c>
      <c r="F1090">
        <f>IFERROR(INDEX($S$4:$S$3183,MATCH(SMALL($V$4:$V$3183,1087),$V$4:$V$3183,0)),"")</f>
        <v/>
      </c>
      <c r="I1090" s="29">
        <f>IF($B1090="","",IFERROR(INDEX($U$4:$U$3183,MATCH(SMALL($V$4:$V$3183,1087),$V$4:$V$3183,0)),""))</f>
        <v/>
      </c>
      <c r="J1090">
        <f>IF($B1090="","",IF($D1090&gt;$F$2,"À venir",IF($E1090&lt;$D$2,"Passé","Dans la période")))</f>
        <v/>
      </c>
      <c r="K1090">
        <f>IF(OR($B1090="",NOT(ISNUMBER($D1090))),"",IF(AND($E1090&lt;$D$2,$G1090&lt;&gt;"X",$F1090&lt;&gt;"Réalisé",$F1090&lt;&gt;"Clôturé"),"RETARD",""))</f>
        <v/>
      </c>
      <c r="L1090">
        <f>IF(OR($B1090="",NOT(ISNUMBER($D1090))),"",IF(AND($D1090&gt;=$D$2,$D1090&lt;=$H$2,$G1090&lt;&gt;"X",$F1090&lt;&gt;"Réalisé",$F1090&lt;&gt;"Clôturé"),"≤ 7 j",""))</f>
        <v/>
      </c>
      <c r="M1090" s="29">
        <f>IF($B1090="","",IFERROR(INDEX($T$4:$T$3183,MATCH(SMALL($V$4:$V$3183,1087),$V$4:$V$3183,0)),""))</f>
        <v/>
      </c>
      <c r="O1090">
        <f>IF(INDEX(Suivi!$B:$B,1111)="","",INDEX(Suivi!$B:$B,1111))</f>
        <v/>
      </c>
      <c r="P1090">
        <f>IF($O1090="","",IF(INDEX(Suivi!$D:$D,1111)="",INDEX(Suivi!$C:$C,1111),INDEX(Suivi!$D:$D,1111)))</f>
        <v/>
      </c>
      <c r="Q1090">
        <f>IF($O1090="","",INDEX(Suivi!$E:$E,1111))</f>
        <v/>
      </c>
      <c r="R1090">
        <f>IF($O1090="","",INDEX(Suivi!$F:$F,1111))</f>
        <v/>
      </c>
      <c r="S1090">
        <f>IF($O1090="","",INDEX(Suivi!$G:$G,1111))</f>
        <v/>
      </c>
      <c r="T1090">
        <f>IF($O1090="","",IF(INDEX(Dossiers!$F$4:$F$63,21)="","",INDEX(Dossiers!$F$4:$F$63,21)))</f>
        <v/>
      </c>
      <c r="U1090">
        <f>IF($O1090="","",IF(INDEX(Dossiers!$G$4:$G$63,21)="","",INDEX(Dossiers!$G$4:$G$63,21)))</f>
        <v/>
      </c>
      <c r="V1090">
        <f>IF(OR($O1090="",NOT(ISNUMBER($Q1090))),"",$Q1090*1000000+1090)</f>
        <v/>
      </c>
      <c r="W1090" s="29">
        <f>IF($B1090="","",IFERROR(INDEX($U$4:$U$3183,MATCH(SMALL($V$4:$V$3183,1087),$V$4:$V$3183,0)),""))</f>
        <v/>
      </c>
    </row>
    <row r="1091">
      <c r="A1091">
        <f>IFERROR(INDEX($N$4:$N$3183,MATCH(SMALL($V$4:$V$3183,1088),$V$4:$V$3183,0)),"")</f>
        <v/>
      </c>
      <c r="B1091">
        <f>IFERROR(INDEX($O$4:$O$3183,MATCH(SMALL($V$4:$V$3183,1088),$V$4:$V$3183,0)),"")</f>
        <v/>
      </c>
      <c r="C1091">
        <f>IFERROR(INDEX($P$4:$P$3183,MATCH(SMALL($V$4:$V$3183,1088),$V$4:$V$3183,0)),"")</f>
        <v/>
      </c>
      <c r="D1091" s="29">
        <f>IFERROR(INDEX($Q$4:$Q$3183,MATCH(SMALL($V$4:$V$3183,1088),$V$4:$V$3183,0)),"")</f>
        <v/>
      </c>
      <c r="E1091" s="29">
        <f>IFERROR(INDEX($R$4:$R$3183,MATCH(SMALL($V$4:$V$3183,1088),$V$4:$V$3183,0)),"")</f>
        <v/>
      </c>
      <c r="F1091">
        <f>IFERROR(INDEX($S$4:$S$3183,MATCH(SMALL($V$4:$V$3183,1088),$V$4:$V$3183,0)),"")</f>
        <v/>
      </c>
      <c r="I1091" s="29">
        <f>IF($B1091="","",IFERROR(INDEX($U$4:$U$3183,MATCH(SMALL($V$4:$V$3183,1088),$V$4:$V$3183,0)),""))</f>
        <v/>
      </c>
      <c r="J1091">
        <f>IF($B1091="","",IF($D1091&gt;$F$2,"À venir",IF($E1091&lt;$D$2,"Passé","Dans la période")))</f>
        <v/>
      </c>
      <c r="K1091">
        <f>IF(OR($B1091="",NOT(ISNUMBER($D1091))),"",IF(AND($E1091&lt;$D$2,$G1091&lt;&gt;"X",$F1091&lt;&gt;"Réalisé",$F1091&lt;&gt;"Clôturé"),"RETARD",""))</f>
        <v/>
      </c>
      <c r="L1091">
        <f>IF(OR($B1091="",NOT(ISNUMBER($D1091))),"",IF(AND($D1091&gt;=$D$2,$D1091&lt;=$H$2,$G1091&lt;&gt;"X",$F1091&lt;&gt;"Réalisé",$F1091&lt;&gt;"Clôturé"),"≤ 7 j",""))</f>
        <v/>
      </c>
      <c r="M1091" s="29">
        <f>IF($B1091="","",IFERROR(INDEX($T$4:$T$3183,MATCH(SMALL($V$4:$V$3183,1088),$V$4:$V$3183,0)),""))</f>
        <v/>
      </c>
      <c r="O1091">
        <f>IF(INDEX(Suivi!$B:$B,1112)="","",INDEX(Suivi!$B:$B,1112))</f>
        <v/>
      </c>
      <c r="P1091">
        <f>IF($O1091="","",IF(INDEX(Suivi!$D:$D,1112)="",INDEX(Suivi!$C:$C,1112),INDEX(Suivi!$D:$D,1112)))</f>
        <v/>
      </c>
      <c r="Q1091">
        <f>IF($O1091="","",INDEX(Suivi!$E:$E,1112))</f>
        <v/>
      </c>
      <c r="R1091">
        <f>IF($O1091="","",INDEX(Suivi!$F:$F,1112))</f>
        <v/>
      </c>
      <c r="S1091">
        <f>IF($O1091="","",INDEX(Suivi!$G:$G,1112))</f>
        <v/>
      </c>
      <c r="T1091">
        <f>IF($O1091="","",IF(INDEX(Dossiers!$F$4:$F$63,21)="","",INDEX(Dossiers!$F$4:$F$63,21)))</f>
        <v/>
      </c>
      <c r="U1091">
        <f>IF($O1091="","",IF(INDEX(Dossiers!$G$4:$G$63,21)="","",INDEX(Dossiers!$G$4:$G$63,21)))</f>
        <v/>
      </c>
      <c r="V1091">
        <f>IF(OR($O1091="",NOT(ISNUMBER($Q1091))),"",$Q1091*1000000+1091)</f>
        <v/>
      </c>
      <c r="W1091" s="29">
        <f>IF($B1091="","",IFERROR(INDEX($U$4:$U$3183,MATCH(SMALL($V$4:$V$3183,1088),$V$4:$V$3183,0)),""))</f>
        <v/>
      </c>
    </row>
    <row r="1092">
      <c r="A1092">
        <f>IFERROR(INDEX($N$4:$N$3183,MATCH(SMALL($V$4:$V$3183,1089),$V$4:$V$3183,0)),"")</f>
        <v/>
      </c>
      <c r="B1092">
        <f>IFERROR(INDEX($O$4:$O$3183,MATCH(SMALL($V$4:$V$3183,1089),$V$4:$V$3183,0)),"")</f>
        <v/>
      </c>
      <c r="C1092">
        <f>IFERROR(INDEX($P$4:$P$3183,MATCH(SMALL($V$4:$V$3183,1089),$V$4:$V$3183,0)),"")</f>
        <v/>
      </c>
      <c r="D1092" s="29">
        <f>IFERROR(INDEX($Q$4:$Q$3183,MATCH(SMALL($V$4:$V$3183,1089),$V$4:$V$3183,0)),"")</f>
        <v/>
      </c>
      <c r="E1092" s="29">
        <f>IFERROR(INDEX($R$4:$R$3183,MATCH(SMALL($V$4:$V$3183,1089),$V$4:$V$3183,0)),"")</f>
        <v/>
      </c>
      <c r="F1092">
        <f>IFERROR(INDEX($S$4:$S$3183,MATCH(SMALL($V$4:$V$3183,1089),$V$4:$V$3183,0)),"")</f>
        <v/>
      </c>
      <c r="I1092" s="29">
        <f>IF($B1092="","",IFERROR(INDEX($U$4:$U$3183,MATCH(SMALL($V$4:$V$3183,1089),$V$4:$V$3183,0)),""))</f>
        <v/>
      </c>
      <c r="J1092">
        <f>IF($B1092="","",IF($D1092&gt;$F$2,"À venir",IF($E1092&lt;$D$2,"Passé","Dans la période")))</f>
        <v/>
      </c>
      <c r="K1092">
        <f>IF(OR($B1092="",NOT(ISNUMBER($D1092))),"",IF(AND($E1092&lt;$D$2,$G1092&lt;&gt;"X",$F1092&lt;&gt;"Réalisé",$F1092&lt;&gt;"Clôturé"),"RETARD",""))</f>
        <v/>
      </c>
      <c r="L1092">
        <f>IF(OR($B1092="",NOT(ISNUMBER($D1092))),"",IF(AND($D1092&gt;=$D$2,$D1092&lt;=$H$2,$G1092&lt;&gt;"X",$F1092&lt;&gt;"Réalisé",$F1092&lt;&gt;"Clôturé"),"≤ 7 j",""))</f>
        <v/>
      </c>
      <c r="M1092" s="29">
        <f>IF($B1092="","",IFERROR(INDEX($T$4:$T$3183,MATCH(SMALL($V$4:$V$3183,1089),$V$4:$V$3183,0)),""))</f>
        <v/>
      </c>
      <c r="O1092">
        <f>IF(INDEX(Suivi!$B:$B,1113)="","",INDEX(Suivi!$B:$B,1113))</f>
        <v/>
      </c>
      <c r="P1092">
        <f>IF($O1092="","",IF(INDEX(Suivi!$D:$D,1113)="",INDEX(Suivi!$C:$C,1113),INDEX(Suivi!$D:$D,1113)))</f>
        <v/>
      </c>
      <c r="Q1092">
        <f>IF($O1092="","",INDEX(Suivi!$E:$E,1113))</f>
        <v/>
      </c>
      <c r="R1092">
        <f>IF($O1092="","",INDEX(Suivi!$F:$F,1113))</f>
        <v/>
      </c>
      <c r="S1092">
        <f>IF($O1092="","",INDEX(Suivi!$G:$G,1113))</f>
        <v/>
      </c>
      <c r="T1092">
        <f>IF($O1092="","",IF(INDEX(Dossiers!$F$4:$F$63,21)="","",INDEX(Dossiers!$F$4:$F$63,21)))</f>
        <v/>
      </c>
      <c r="U1092">
        <f>IF($O1092="","",IF(INDEX(Dossiers!$G$4:$G$63,21)="","",INDEX(Dossiers!$G$4:$G$63,21)))</f>
        <v/>
      </c>
      <c r="V1092">
        <f>IF(OR($O1092="",NOT(ISNUMBER($Q1092))),"",$Q1092*1000000+1092)</f>
        <v/>
      </c>
      <c r="W1092" s="29">
        <f>IF($B1092="","",IFERROR(INDEX($U$4:$U$3183,MATCH(SMALL($V$4:$V$3183,1089),$V$4:$V$3183,0)),""))</f>
        <v/>
      </c>
    </row>
    <row r="1093">
      <c r="A1093">
        <f>IFERROR(INDEX($N$4:$N$3183,MATCH(SMALL($V$4:$V$3183,1090),$V$4:$V$3183,0)),"")</f>
        <v/>
      </c>
      <c r="B1093">
        <f>IFERROR(INDEX($O$4:$O$3183,MATCH(SMALL($V$4:$V$3183,1090),$V$4:$V$3183,0)),"")</f>
        <v/>
      </c>
      <c r="C1093">
        <f>IFERROR(INDEX($P$4:$P$3183,MATCH(SMALL($V$4:$V$3183,1090),$V$4:$V$3183,0)),"")</f>
        <v/>
      </c>
      <c r="D1093" s="29">
        <f>IFERROR(INDEX($Q$4:$Q$3183,MATCH(SMALL($V$4:$V$3183,1090),$V$4:$V$3183,0)),"")</f>
        <v/>
      </c>
      <c r="E1093" s="29">
        <f>IFERROR(INDEX($R$4:$R$3183,MATCH(SMALL($V$4:$V$3183,1090),$V$4:$V$3183,0)),"")</f>
        <v/>
      </c>
      <c r="F1093">
        <f>IFERROR(INDEX($S$4:$S$3183,MATCH(SMALL($V$4:$V$3183,1090),$V$4:$V$3183,0)),"")</f>
        <v/>
      </c>
      <c r="I1093" s="29">
        <f>IF($B1093="","",IFERROR(INDEX($U$4:$U$3183,MATCH(SMALL($V$4:$V$3183,1090),$V$4:$V$3183,0)),""))</f>
        <v/>
      </c>
      <c r="J1093">
        <f>IF($B1093="","",IF($D1093&gt;$F$2,"À venir",IF($E1093&lt;$D$2,"Passé","Dans la période")))</f>
        <v/>
      </c>
      <c r="K1093">
        <f>IF(OR($B1093="",NOT(ISNUMBER($D1093))),"",IF(AND($E1093&lt;$D$2,$G1093&lt;&gt;"X",$F1093&lt;&gt;"Réalisé",$F1093&lt;&gt;"Clôturé"),"RETARD",""))</f>
        <v/>
      </c>
      <c r="L1093">
        <f>IF(OR($B1093="",NOT(ISNUMBER($D1093))),"",IF(AND($D1093&gt;=$D$2,$D1093&lt;=$H$2,$G1093&lt;&gt;"X",$F1093&lt;&gt;"Réalisé",$F1093&lt;&gt;"Clôturé"),"≤ 7 j",""))</f>
        <v/>
      </c>
      <c r="M1093" s="29">
        <f>IF($B1093="","",IFERROR(INDEX($T$4:$T$3183,MATCH(SMALL($V$4:$V$3183,1090),$V$4:$V$3183,0)),""))</f>
        <v/>
      </c>
      <c r="O1093">
        <f>IF(INDEX(Suivi!$B:$B,1114)="","",INDEX(Suivi!$B:$B,1114))</f>
        <v/>
      </c>
      <c r="P1093">
        <f>IF($O1093="","",IF(INDEX(Suivi!$D:$D,1114)="",INDEX(Suivi!$C:$C,1114),INDEX(Suivi!$D:$D,1114)))</f>
        <v/>
      </c>
      <c r="Q1093">
        <f>IF($O1093="","",INDEX(Suivi!$E:$E,1114))</f>
        <v/>
      </c>
      <c r="R1093">
        <f>IF($O1093="","",INDEX(Suivi!$F:$F,1114))</f>
        <v/>
      </c>
      <c r="S1093">
        <f>IF($O1093="","",INDEX(Suivi!$G:$G,1114))</f>
        <v/>
      </c>
      <c r="T1093">
        <f>IF($O1093="","",IF(INDEX(Dossiers!$F$4:$F$63,21)="","",INDEX(Dossiers!$F$4:$F$63,21)))</f>
        <v/>
      </c>
      <c r="U1093">
        <f>IF($O1093="","",IF(INDEX(Dossiers!$G$4:$G$63,21)="","",INDEX(Dossiers!$G$4:$G$63,21)))</f>
        <v/>
      </c>
      <c r="V1093">
        <f>IF(OR($O1093="",NOT(ISNUMBER($Q1093))),"",$Q1093*1000000+1093)</f>
        <v/>
      </c>
      <c r="W1093" s="29">
        <f>IF($B1093="","",IFERROR(INDEX($U$4:$U$3183,MATCH(SMALL($V$4:$V$3183,1090),$V$4:$V$3183,0)),""))</f>
        <v/>
      </c>
    </row>
    <row r="1094">
      <c r="A1094">
        <f>IFERROR(INDEX($N$4:$N$3183,MATCH(SMALL($V$4:$V$3183,1091),$V$4:$V$3183,0)),"")</f>
        <v/>
      </c>
      <c r="B1094">
        <f>IFERROR(INDEX($O$4:$O$3183,MATCH(SMALL($V$4:$V$3183,1091),$V$4:$V$3183,0)),"")</f>
        <v/>
      </c>
      <c r="C1094">
        <f>IFERROR(INDEX($P$4:$P$3183,MATCH(SMALL($V$4:$V$3183,1091),$V$4:$V$3183,0)),"")</f>
        <v/>
      </c>
      <c r="D1094" s="29">
        <f>IFERROR(INDEX($Q$4:$Q$3183,MATCH(SMALL($V$4:$V$3183,1091),$V$4:$V$3183,0)),"")</f>
        <v/>
      </c>
      <c r="E1094" s="29">
        <f>IFERROR(INDEX($R$4:$R$3183,MATCH(SMALL($V$4:$V$3183,1091),$V$4:$V$3183,0)),"")</f>
        <v/>
      </c>
      <c r="F1094">
        <f>IFERROR(INDEX($S$4:$S$3183,MATCH(SMALL($V$4:$V$3183,1091),$V$4:$V$3183,0)),"")</f>
        <v/>
      </c>
      <c r="I1094" s="29">
        <f>IF($B1094="","",IFERROR(INDEX($U$4:$U$3183,MATCH(SMALL($V$4:$V$3183,1091),$V$4:$V$3183,0)),""))</f>
        <v/>
      </c>
      <c r="J1094">
        <f>IF($B1094="","",IF($D1094&gt;$F$2,"À venir",IF($E1094&lt;$D$2,"Passé","Dans la période")))</f>
        <v/>
      </c>
      <c r="K1094">
        <f>IF(OR($B1094="",NOT(ISNUMBER($D1094))),"",IF(AND($E1094&lt;$D$2,$G1094&lt;&gt;"X",$F1094&lt;&gt;"Réalisé",$F1094&lt;&gt;"Clôturé"),"RETARD",""))</f>
        <v/>
      </c>
      <c r="L1094">
        <f>IF(OR($B1094="",NOT(ISNUMBER($D1094))),"",IF(AND($D1094&gt;=$D$2,$D1094&lt;=$H$2,$G1094&lt;&gt;"X",$F1094&lt;&gt;"Réalisé",$F1094&lt;&gt;"Clôturé"),"≤ 7 j",""))</f>
        <v/>
      </c>
      <c r="M1094" s="29">
        <f>IF($B1094="","",IFERROR(INDEX($T$4:$T$3183,MATCH(SMALL($V$4:$V$3183,1091),$V$4:$V$3183,0)),""))</f>
        <v/>
      </c>
      <c r="O1094">
        <f>IF(INDEX(Suivi!$B:$B,1115)="","",INDEX(Suivi!$B:$B,1115))</f>
        <v/>
      </c>
      <c r="P1094">
        <f>IF($O1094="","",IF(INDEX(Suivi!$D:$D,1115)="",INDEX(Suivi!$C:$C,1115),INDEX(Suivi!$D:$D,1115)))</f>
        <v/>
      </c>
      <c r="Q1094">
        <f>IF($O1094="","",INDEX(Suivi!$E:$E,1115))</f>
        <v/>
      </c>
      <c r="R1094">
        <f>IF($O1094="","",INDEX(Suivi!$F:$F,1115))</f>
        <v/>
      </c>
      <c r="S1094">
        <f>IF($O1094="","",INDEX(Suivi!$G:$G,1115))</f>
        <v/>
      </c>
      <c r="T1094">
        <f>IF($O1094="","",IF(INDEX(Dossiers!$F$4:$F$63,21)="","",INDEX(Dossiers!$F$4:$F$63,21)))</f>
        <v/>
      </c>
      <c r="U1094">
        <f>IF($O1094="","",IF(INDEX(Dossiers!$G$4:$G$63,21)="","",INDEX(Dossiers!$G$4:$G$63,21)))</f>
        <v/>
      </c>
      <c r="V1094">
        <f>IF(OR($O1094="",NOT(ISNUMBER($Q1094))),"",$Q1094*1000000+1094)</f>
        <v/>
      </c>
      <c r="W1094" s="29">
        <f>IF($B1094="","",IFERROR(INDEX($U$4:$U$3183,MATCH(SMALL($V$4:$V$3183,1091),$V$4:$V$3183,0)),""))</f>
        <v/>
      </c>
    </row>
    <row r="1095">
      <c r="A1095">
        <f>IFERROR(INDEX($N$4:$N$3183,MATCH(SMALL($V$4:$V$3183,1092),$V$4:$V$3183,0)),"")</f>
        <v/>
      </c>
      <c r="B1095">
        <f>IFERROR(INDEX($O$4:$O$3183,MATCH(SMALL($V$4:$V$3183,1092),$V$4:$V$3183,0)),"")</f>
        <v/>
      </c>
      <c r="C1095">
        <f>IFERROR(INDEX($P$4:$P$3183,MATCH(SMALL($V$4:$V$3183,1092),$V$4:$V$3183,0)),"")</f>
        <v/>
      </c>
      <c r="D1095" s="29">
        <f>IFERROR(INDEX($Q$4:$Q$3183,MATCH(SMALL($V$4:$V$3183,1092),$V$4:$V$3183,0)),"")</f>
        <v/>
      </c>
      <c r="E1095" s="29">
        <f>IFERROR(INDEX($R$4:$R$3183,MATCH(SMALL($V$4:$V$3183,1092),$V$4:$V$3183,0)),"")</f>
        <v/>
      </c>
      <c r="F1095">
        <f>IFERROR(INDEX($S$4:$S$3183,MATCH(SMALL($V$4:$V$3183,1092),$V$4:$V$3183,0)),"")</f>
        <v/>
      </c>
      <c r="I1095" s="29">
        <f>IF($B1095="","",IFERROR(INDEX($U$4:$U$3183,MATCH(SMALL($V$4:$V$3183,1092),$V$4:$V$3183,0)),""))</f>
        <v/>
      </c>
      <c r="J1095">
        <f>IF($B1095="","",IF($D1095&gt;$F$2,"À venir",IF($E1095&lt;$D$2,"Passé","Dans la période")))</f>
        <v/>
      </c>
      <c r="K1095">
        <f>IF(OR($B1095="",NOT(ISNUMBER($D1095))),"",IF(AND($E1095&lt;$D$2,$G1095&lt;&gt;"X",$F1095&lt;&gt;"Réalisé",$F1095&lt;&gt;"Clôturé"),"RETARD",""))</f>
        <v/>
      </c>
      <c r="L1095">
        <f>IF(OR($B1095="",NOT(ISNUMBER($D1095))),"",IF(AND($D1095&gt;=$D$2,$D1095&lt;=$H$2,$G1095&lt;&gt;"X",$F1095&lt;&gt;"Réalisé",$F1095&lt;&gt;"Clôturé"),"≤ 7 j",""))</f>
        <v/>
      </c>
      <c r="M1095" s="29">
        <f>IF($B1095="","",IFERROR(INDEX($T$4:$T$3183,MATCH(SMALL($V$4:$V$3183,1092),$V$4:$V$3183,0)),""))</f>
        <v/>
      </c>
      <c r="O1095">
        <f>IF(INDEX(Suivi!$B:$B,1116)="","",INDEX(Suivi!$B:$B,1116))</f>
        <v/>
      </c>
      <c r="P1095">
        <f>IF($O1095="","",IF(INDEX(Suivi!$D:$D,1116)="",INDEX(Suivi!$C:$C,1116),INDEX(Suivi!$D:$D,1116)))</f>
        <v/>
      </c>
      <c r="Q1095">
        <f>IF($O1095="","",INDEX(Suivi!$E:$E,1116))</f>
        <v/>
      </c>
      <c r="R1095">
        <f>IF($O1095="","",INDEX(Suivi!$F:$F,1116))</f>
        <v/>
      </c>
      <c r="S1095">
        <f>IF($O1095="","",INDEX(Suivi!$G:$G,1116))</f>
        <v/>
      </c>
      <c r="T1095">
        <f>IF($O1095="","",IF(INDEX(Dossiers!$F$4:$F$63,21)="","",INDEX(Dossiers!$F$4:$F$63,21)))</f>
        <v/>
      </c>
      <c r="U1095">
        <f>IF($O1095="","",IF(INDEX(Dossiers!$G$4:$G$63,21)="","",INDEX(Dossiers!$G$4:$G$63,21)))</f>
        <v/>
      </c>
      <c r="V1095">
        <f>IF(OR($O1095="",NOT(ISNUMBER($Q1095))),"",$Q1095*1000000+1095)</f>
        <v/>
      </c>
      <c r="W1095" s="29">
        <f>IF($B1095="","",IFERROR(INDEX($U$4:$U$3183,MATCH(SMALL($V$4:$V$3183,1092),$V$4:$V$3183,0)),""))</f>
        <v/>
      </c>
    </row>
    <row r="1096">
      <c r="A1096">
        <f>IFERROR(INDEX($N$4:$N$3183,MATCH(SMALL($V$4:$V$3183,1093),$V$4:$V$3183,0)),"")</f>
        <v/>
      </c>
      <c r="B1096">
        <f>IFERROR(INDEX($O$4:$O$3183,MATCH(SMALL($V$4:$V$3183,1093),$V$4:$V$3183,0)),"")</f>
        <v/>
      </c>
      <c r="C1096">
        <f>IFERROR(INDEX($P$4:$P$3183,MATCH(SMALL($V$4:$V$3183,1093),$V$4:$V$3183,0)),"")</f>
        <v/>
      </c>
      <c r="D1096" s="29">
        <f>IFERROR(INDEX($Q$4:$Q$3183,MATCH(SMALL($V$4:$V$3183,1093),$V$4:$V$3183,0)),"")</f>
        <v/>
      </c>
      <c r="E1096" s="29">
        <f>IFERROR(INDEX($R$4:$R$3183,MATCH(SMALL($V$4:$V$3183,1093),$V$4:$V$3183,0)),"")</f>
        <v/>
      </c>
      <c r="F1096">
        <f>IFERROR(INDEX($S$4:$S$3183,MATCH(SMALL($V$4:$V$3183,1093),$V$4:$V$3183,0)),"")</f>
        <v/>
      </c>
      <c r="I1096" s="29">
        <f>IF($B1096="","",IFERROR(INDEX($U$4:$U$3183,MATCH(SMALL($V$4:$V$3183,1093),$V$4:$V$3183,0)),""))</f>
        <v/>
      </c>
      <c r="J1096">
        <f>IF($B1096="","",IF($D1096&gt;$F$2,"À venir",IF($E1096&lt;$D$2,"Passé","Dans la période")))</f>
        <v/>
      </c>
      <c r="K1096">
        <f>IF(OR($B1096="",NOT(ISNUMBER($D1096))),"",IF(AND($E1096&lt;$D$2,$G1096&lt;&gt;"X",$F1096&lt;&gt;"Réalisé",$F1096&lt;&gt;"Clôturé"),"RETARD",""))</f>
        <v/>
      </c>
      <c r="L1096">
        <f>IF(OR($B1096="",NOT(ISNUMBER($D1096))),"",IF(AND($D1096&gt;=$D$2,$D1096&lt;=$H$2,$G1096&lt;&gt;"X",$F1096&lt;&gt;"Réalisé",$F1096&lt;&gt;"Clôturé"),"≤ 7 j",""))</f>
        <v/>
      </c>
      <c r="M1096" s="29">
        <f>IF($B1096="","",IFERROR(INDEX($T$4:$T$3183,MATCH(SMALL($V$4:$V$3183,1093),$V$4:$V$3183,0)),""))</f>
        <v/>
      </c>
      <c r="O1096">
        <f>IF(INDEX(Suivi!$B:$B,1117)="","",INDEX(Suivi!$B:$B,1117))</f>
        <v/>
      </c>
      <c r="P1096">
        <f>IF($O1096="","",IF(INDEX(Suivi!$D:$D,1117)="",INDEX(Suivi!$C:$C,1117),INDEX(Suivi!$D:$D,1117)))</f>
        <v/>
      </c>
      <c r="Q1096">
        <f>IF($O1096="","",INDEX(Suivi!$E:$E,1117))</f>
        <v/>
      </c>
      <c r="R1096">
        <f>IF($O1096="","",INDEX(Suivi!$F:$F,1117))</f>
        <v/>
      </c>
      <c r="S1096">
        <f>IF($O1096="","",INDEX(Suivi!$G:$G,1117))</f>
        <v/>
      </c>
      <c r="T1096">
        <f>IF($O1096="","",IF(INDEX(Dossiers!$F$4:$F$63,21)="","",INDEX(Dossiers!$F$4:$F$63,21)))</f>
        <v/>
      </c>
      <c r="U1096">
        <f>IF($O1096="","",IF(INDEX(Dossiers!$G$4:$G$63,21)="","",INDEX(Dossiers!$G$4:$G$63,21)))</f>
        <v/>
      </c>
      <c r="V1096">
        <f>IF(OR($O1096="",NOT(ISNUMBER($Q1096))),"",$Q1096*1000000+1096)</f>
        <v/>
      </c>
      <c r="W1096" s="29">
        <f>IF($B1096="","",IFERROR(INDEX($U$4:$U$3183,MATCH(SMALL($V$4:$V$3183,1093),$V$4:$V$3183,0)),""))</f>
        <v/>
      </c>
    </row>
    <row r="1097">
      <c r="A1097">
        <f>IFERROR(INDEX($N$4:$N$3183,MATCH(SMALL($V$4:$V$3183,1094),$V$4:$V$3183,0)),"")</f>
        <v/>
      </c>
      <c r="B1097">
        <f>IFERROR(INDEX($O$4:$O$3183,MATCH(SMALL($V$4:$V$3183,1094),$V$4:$V$3183,0)),"")</f>
        <v/>
      </c>
      <c r="C1097">
        <f>IFERROR(INDEX($P$4:$P$3183,MATCH(SMALL($V$4:$V$3183,1094),$V$4:$V$3183,0)),"")</f>
        <v/>
      </c>
      <c r="D1097" s="29">
        <f>IFERROR(INDEX($Q$4:$Q$3183,MATCH(SMALL($V$4:$V$3183,1094),$V$4:$V$3183,0)),"")</f>
        <v/>
      </c>
      <c r="E1097" s="29">
        <f>IFERROR(INDEX($R$4:$R$3183,MATCH(SMALL($V$4:$V$3183,1094),$V$4:$V$3183,0)),"")</f>
        <v/>
      </c>
      <c r="F1097">
        <f>IFERROR(INDEX($S$4:$S$3183,MATCH(SMALL($V$4:$V$3183,1094),$V$4:$V$3183,0)),"")</f>
        <v/>
      </c>
      <c r="I1097" s="29">
        <f>IF($B1097="","",IFERROR(INDEX($U$4:$U$3183,MATCH(SMALL($V$4:$V$3183,1094),$V$4:$V$3183,0)),""))</f>
        <v/>
      </c>
      <c r="J1097">
        <f>IF($B1097="","",IF($D1097&gt;$F$2,"À venir",IF($E1097&lt;$D$2,"Passé","Dans la période")))</f>
        <v/>
      </c>
      <c r="K1097">
        <f>IF(OR($B1097="",NOT(ISNUMBER($D1097))),"",IF(AND($E1097&lt;$D$2,$G1097&lt;&gt;"X",$F1097&lt;&gt;"Réalisé",$F1097&lt;&gt;"Clôturé"),"RETARD",""))</f>
        <v/>
      </c>
      <c r="L1097">
        <f>IF(OR($B1097="",NOT(ISNUMBER($D1097))),"",IF(AND($D1097&gt;=$D$2,$D1097&lt;=$H$2,$G1097&lt;&gt;"X",$F1097&lt;&gt;"Réalisé",$F1097&lt;&gt;"Clôturé"),"≤ 7 j",""))</f>
        <v/>
      </c>
      <c r="M1097" s="29">
        <f>IF($B1097="","",IFERROR(INDEX($T$4:$T$3183,MATCH(SMALL($V$4:$V$3183,1094),$V$4:$V$3183,0)),""))</f>
        <v/>
      </c>
      <c r="O1097">
        <f>IF(INDEX(Suivi!$B:$B,1118)="","",INDEX(Suivi!$B:$B,1118))</f>
        <v/>
      </c>
      <c r="P1097">
        <f>IF($O1097="","",IF(INDEX(Suivi!$D:$D,1118)="",INDEX(Suivi!$C:$C,1118),INDEX(Suivi!$D:$D,1118)))</f>
        <v/>
      </c>
      <c r="Q1097">
        <f>IF($O1097="","",INDEX(Suivi!$E:$E,1118))</f>
        <v/>
      </c>
      <c r="R1097">
        <f>IF($O1097="","",INDEX(Suivi!$F:$F,1118))</f>
        <v/>
      </c>
      <c r="S1097">
        <f>IF($O1097="","",INDEX(Suivi!$G:$G,1118))</f>
        <v/>
      </c>
      <c r="T1097">
        <f>IF($O1097="","",IF(INDEX(Dossiers!$F$4:$F$63,21)="","",INDEX(Dossiers!$F$4:$F$63,21)))</f>
        <v/>
      </c>
      <c r="U1097">
        <f>IF($O1097="","",IF(INDEX(Dossiers!$G$4:$G$63,21)="","",INDEX(Dossiers!$G$4:$G$63,21)))</f>
        <v/>
      </c>
      <c r="V1097">
        <f>IF(OR($O1097="",NOT(ISNUMBER($Q1097))),"",$Q1097*1000000+1097)</f>
        <v/>
      </c>
      <c r="W1097" s="29">
        <f>IF($B1097="","",IFERROR(INDEX($U$4:$U$3183,MATCH(SMALL($V$4:$V$3183,1094),$V$4:$V$3183,0)),""))</f>
        <v/>
      </c>
    </row>
    <row r="1098">
      <c r="A1098">
        <f>IFERROR(INDEX($N$4:$N$3183,MATCH(SMALL($V$4:$V$3183,1095),$V$4:$V$3183,0)),"")</f>
        <v/>
      </c>
      <c r="B1098">
        <f>IFERROR(INDEX($O$4:$O$3183,MATCH(SMALL($V$4:$V$3183,1095),$V$4:$V$3183,0)),"")</f>
        <v/>
      </c>
      <c r="C1098">
        <f>IFERROR(INDEX($P$4:$P$3183,MATCH(SMALL($V$4:$V$3183,1095),$V$4:$V$3183,0)),"")</f>
        <v/>
      </c>
      <c r="D1098" s="29">
        <f>IFERROR(INDEX($Q$4:$Q$3183,MATCH(SMALL($V$4:$V$3183,1095),$V$4:$V$3183,0)),"")</f>
        <v/>
      </c>
      <c r="E1098" s="29">
        <f>IFERROR(INDEX($R$4:$R$3183,MATCH(SMALL($V$4:$V$3183,1095),$V$4:$V$3183,0)),"")</f>
        <v/>
      </c>
      <c r="F1098">
        <f>IFERROR(INDEX($S$4:$S$3183,MATCH(SMALL($V$4:$V$3183,1095),$V$4:$V$3183,0)),"")</f>
        <v/>
      </c>
      <c r="I1098" s="29">
        <f>IF($B1098="","",IFERROR(INDEX($U$4:$U$3183,MATCH(SMALL($V$4:$V$3183,1095),$V$4:$V$3183,0)),""))</f>
        <v/>
      </c>
      <c r="J1098">
        <f>IF($B1098="","",IF($D1098&gt;$F$2,"À venir",IF($E1098&lt;$D$2,"Passé","Dans la période")))</f>
        <v/>
      </c>
      <c r="K1098">
        <f>IF(OR($B1098="",NOT(ISNUMBER($D1098))),"",IF(AND($E1098&lt;$D$2,$G1098&lt;&gt;"X",$F1098&lt;&gt;"Réalisé",$F1098&lt;&gt;"Clôturé"),"RETARD",""))</f>
        <v/>
      </c>
      <c r="L1098">
        <f>IF(OR($B1098="",NOT(ISNUMBER($D1098))),"",IF(AND($D1098&gt;=$D$2,$D1098&lt;=$H$2,$G1098&lt;&gt;"X",$F1098&lt;&gt;"Réalisé",$F1098&lt;&gt;"Clôturé"),"≤ 7 j",""))</f>
        <v/>
      </c>
      <c r="M1098" s="29">
        <f>IF($B1098="","",IFERROR(INDEX($T$4:$T$3183,MATCH(SMALL($V$4:$V$3183,1095),$V$4:$V$3183,0)),""))</f>
        <v/>
      </c>
      <c r="O1098">
        <f>IF(INDEX(Suivi!$B:$B,1119)="","",INDEX(Suivi!$B:$B,1119))</f>
        <v/>
      </c>
      <c r="P1098">
        <f>IF($O1098="","",IF(INDEX(Suivi!$D:$D,1119)="",INDEX(Suivi!$C:$C,1119),INDEX(Suivi!$D:$D,1119)))</f>
        <v/>
      </c>
      <c r="Q1098">
        <f>IF($O1098="","",INDEX(Suivi!$E:$E,1119))</f>
        <v/>
      </c>
      <c r="R1098">
        <f>IF($O1098="","",INDEX(Suivi!$F:$F,1119))</f>
        <v/>
      </c>
      <c r="S1098">
        <f>IF($O1098="","",INDEX(Suivi!$G:$G,1119))</f>
        <v/>
      </c>
      <c r="T1098">
        <f>IF($O1098="","",IF(INDEX(Dossiers!$F$4:$F$63,21)="","",INDEX(Dossiers!$F$4:$F$63,21)))</f>
        <v/>
      </c>
      <c r="U1098">
        <f>IF($O1098="","",IF(INDEX(Dossiers!$G$4:$G$63,21)="","",INDEX(Dossiers!$G$4:$G$63,21)))</f>
        <v/>
      </c>
      <c r="V1098">
        <f>IF(OR($O1098="",NOT(ISNUMBER($Q1098))),"",$Q1098*1000000+1098)</f>
        <v/>
      </c>
      <c r="W1098" s="29">
        <f>IF($B1098="","",IFERROR(INDEX($U$4:$U$3183,MATCH(SMALL($V$4:$V$3183,1095),$V$4:$V$3183,0)),""))</f>
        <v/>
      </c>
    </row>
    <row r="1099">
      <c r="A1099">
        <f>IFERROR(INDEX($N$4:$N$3183,MATCH(SMALL($V$4:$V$3183,1096),$V$4:$V$3183,0)),"")</f>
        <v/>
      </c>
      <c r="B1099">
        <f>IFERROR(INDEX($O$4:$O$3183,MATCH(SMALL($V$4:$V$3183,1096),$V$4:$V$3183,0)),"")</f>
        <v/>
      </c>
      <c r="C1099">
        <f>IFERROR(INDEX($P$4:$P$3183,MATCH(SMALL($V$4:$V$3183,1096),$V$4:$V$3183,0)),"")</f>
        <v/>
      </c>
      <c r="D1099" s="29">
        <f>IFERROR(INDEX($Q$4:$Q$3183,MATCH(SMALL($V$4:$V$3183,1096),$V$4:$V$3183,0)),"")</f>
        <v/>
      </c>
      <c r="E1099" s="29">
        <f>IFERROR(INDEX($R$4:$R$3183,MATCH(SMALL($V$4:$V$3183,1096),$V$4:$V$3183,0)),"")</f>
        <v/>
      </c>
      <c r="F1099">
        <f>IFERROR(INDEX($S$4:$S$3183,MATCH(SMALL($V$4:$V$3183,1096),$V$4:$V$3183,0)),"")</f>
        <v/>
      </c>
      <c r="I1099" s="29">
        <f>IF($B1099="","",IFERROR(INDEX($U$4:$U$3183,MATCH(SMALL($V$4:$V$3183,1096),$V$4:$V$3183,0)),""))</f>
        <v/>
      </c>
      <c r="J1099">
        <f>IF($B1099="","",IF($D1099&gt;$F$2,"À venir",IF($E1099&lt;$D$2,"Passé","Dans la période")))</f>
        <v/>
      </c>
      <c r="K1099">
        <f>IF(OR($B1099="",NOT(ISNUMBER($D1099))),"",IF(AND($E1099&lt;$D$2,$G1099&lt;&gt;"X",$F1099&lt;&gt;"Réalisé",$F1099&lt;&gt;"Clôturé"),"RETARD",""))</f>
        <v/>
      </c>
      <c r="L1099">
        <f>IF(OR($B1099="",NOT(ISNUMBER($D1099))),"",IF(AND($D1099&gt;=$D$2,$D1099&lt;=$H$2,$G1099&lt;&gt;"X",$F1099&lt;&gt;"Réalisé",$F1099&lt;&gt;"Clôturé"),"≤ 7 j",""))</f>
        <v/>
      </c>
      <c r="M1099" s="29">
        <f>IF($B1099="","",IFERROR(INDEX($T$4:$T$3183,MATCH(SMALL($V$4:$V$3183,1096),$V$4:$V$3183,0)),""))</f>
        <v/>
      </c>
      <c r="O1099">
        <f>IF(INDEX(Suivi!$B:$B,1120)="","",INDEX(Suivi!$B:$B,1120))</f>
        <v/>
      </c>
      <c r="P1099">
        <f>IF($O1099="","",IF(INDEX(Suivi!$D:$D,1120)="",INDEX(Suivi!$C:$C,1120),INDEX(Suivi!$D:$D,1120)))</f>
        <v/>
      </c>
      <c r="Q1099">
        <f>IF($O1099="","",INDEX(Suivi!$E:$E,1120))</f>
        <v/>
      </c>
      <c r="R1099">
        <f>IF($O1099="","",INDEX(Suivi!$F:$F,1120))</f>
        <v/>
      </c>
      <c r="S1099">
        <f>IF($O1099="","",INDEX(Suivi!$G:$G,1120))</f>
        <v/>
      </c>
      <c r="T1099">
        <f>IF($O1099="","",IF(INDEX(Dossiers!$F$4:$F$63,21)="","",INDEX(Dossiers!$F$4:$F$63,21)))</f>
        <v/>
      </c>
      <c r="U1099">
        <f>IF($O1099="","",IF(INDEX(Dossiers!$G$4:$G$63,21)="","",INDEX(Dossiers!$G$4:$G$63,21)))</f>
        <v/>
      </c>
      <c r="V1099">
        <f>IF(OR($O1099="",NOT(ISNUMBER($Q1099))),"",$Q1099*1000000+1099)</f>
        <v/>
      </c>
      <c r="W1099" s="29">
        <f>IF($B1099="","",IFERROR(INDEX($U$4:$U$3183,MATCH(SMALL($V$4:$V$3183,1096),$V$4:$V$3183,0)),""))</f>
        <v/>
      </c>
    </row>
    <row r="1100">
      <c r="A1100">
        <f>IFERROR(INDEX($N$4:$N$3183,MATCH(SMALL($V$4:$V$3183,1097),$V$4:$V$3183,0)),"")</f>
        <v/>
      </c>
      <c r="B1100">
        <f>IFERROR(INDEX($O$4:$O$3183,MATCH(SMALL($V$4:$V$3183,1097),$V$4:$V$3183,0)),"")</f>
        <v/>
      </c>
      <c r="C1100">
        <f>IFERROR(INDEX($P$4:$P$3183,MATCH(SMALL($V$4:$V$3183,1097),$V$4:$V$3183,0)),"")</f>
        <v/>
      </c>
      <c r="D1100" s="29">
        <f>IFERROR(INDEX($Q$4:$Q$3183,MATCH(SMALL($V$4:$V$3183,1097),$V$4:$V$3183,0)),"")</f>
        <v/>
      </c>
      <c r="E1100" s="29">
        <f>IFERROR(INDEX($R$4:$R$3183,MATCH(SMALL($V$4:$V$3183,1097),$V$4:$V$3183,0)),"")</f>
        <v/>
      </c>
      <c r="F1100">
        <f>IFERROR(INDEX($S$4:$S$3183,MATCH(SMALL($V$4:$V$3183,1097),$V$4:$V$3183,0)),"")</f>
        <v/>
      </c>
      <c r="I1100" s="29">
        <f>IF($B1100="","",IFERROR(INDEX($U$4:$U$3183,MATCH(SMALL($V$4:$V$3183,1097),$V$4:$V$3183,0)),""))</f>
        <v/>
      </c>
      <c r="J1100">
        <f>IF($B1100="","",IF($D1100&gt;$F$2,"À venir",IF($E1100&lt;$D$2,"Passé","Dans la période")))</f>
        <v/>
      </c>
      <c r="K1100">
        <f>IF(OR($B1100="",NOT(ISNUMBER($D1100))),"",IF(AND($E1100&lt;$D$2,$G1100&lt;&gt;"X",$F1100&lt;&gt;"Réalisé",$F1100&lt;&gt;"Clôturé"),"RETARD",""))</f>
        <v/>
      </c>
      <c r="L1100">
        <f>IF(OR($B1100="",NOT(ISNUMBER($D1100))),"",IF(AND($D1100&gt;=$D$2,$D1100&lt;=$H$2,$G1100&lt;&gt;"X",$F1100&lt;&gt;"Réalisé",$F1100&lt;&gt;"Clôturé"),"≤ 7 j",""))</f>
        <v/>
      </c>
      <c r="M1100" s="29">
        <f>IF($B1100="","",IFERROR(INDEX($T$4:$T$3183,MATCH(SMALL($V$4:$V$3183,1097),$V$4:$V$3183,0)),""))</f>
        <v/>
      </c>
      <c r="O1100">
        <f>IF(INDEX(Suivi!$B:$B,1121)="","",INDEX(Suivi!$B:$B,1121))</f>
        <v/>
      </c>
      <c r="P1100">
        <f>IF($O1100="","",IF(INDEX(Suivi!$D:$D,1121)="",INDEX(Suivi!$C:$C,1121),INDEX(Suivi!$D:$D,1121)))</f>
        <v/>
      </c>
      <c r="Q1100">
        <f>IF($O1100="","",INDEX(Suivi!$E:$E,1121))</f>
        <v/>
      </c>
      <c r="R1100">
        <f>IF($O1100="","",INDEX(Suivi!$F:$F,1121))</f>
        <v/>
      </c>
      <c r="S1100">
        <f>IF($O1100="","",INDEX(Suivi!$G:$G,1121))</f>
        <v/>
      </c>
      <c r="T1100">
        <f>IF($O1100="","",IF(INDEX(Dossiers!$F$4:$F$63,21)="","",INDEX(Dossiers!$F$4:$F$63,21)))</f>
        <v/>
      </c>
      <c r="U1100">
        <f>IF($O1100="","",IF(INDEX(Dossiers!$G$4:$G$63,21)="","",INDEX(Dossiers!$G$4:$G$63,21)))</f>
        <v/>
      </c>
      <c r="V1100">
        <f>IF(OR($O1100="",NOT(ISNUMBER($Q1100))),"",$Q1100*1000000+1100)</f>
        <v/>
      </c>
      <c r="W1100" s="29">
        <f>IF($B1100="","",IFERROR(INDEX($U$4:$U$3183,MATCH(SMALL($V$4:$V$3183,1097),$V$4:$V$3183,0)),""))</f>
        <v/>
      </c>
    </row>
    <row r="1101">
      <c r="A1101">
        <f>IFERROR(INDEX($N$4:$N$3183,MATCH(SMALL($V$4:$V$3183,1098),$V$4:$V$3183,0)),"")</f>
        <v/>
      </c>
      <c r="B1101">
        <f>IFERROR(INDEX($O$4:$O$3183,MATCH(SMALL($V$4:$V$3183,1098),$V$4:$V$3183,0)),"")</f>
        <v/>
      </c>
      <c r="C1101">
        <f>IFERROR(INDEX($P$4:$P$3183,MATCH(SMALL($V$4:$V$3183,1098),$V$4:$V$3183,0)),"")</f>
        <v/>
      </c>
      <c r="D1101" s="29">
        <f>IFERROR(INDEX($Q$4:$Q$3183,MATCH(SMALL($V$4:$V$3183,1098),$V$4:$V$3183,0)),"")</f>
        <v/>
      </c>
      <c r="E1101" s="29">
        <f>IFERROR(INDEX($R$4:$R$3183,MATCH(SMALL($V$4:$V$3183,1098),$V$4:$V$3183,0)),"")</f>
        <v/>
      </c>
      <c r="F1101">
        <f>IFERROR(INDEX($S$4:$S$3183,MATCH(SMALL($V$4:$V$3183,1098),$V$4:$V$3183,0)),"")</f>
        <v/>
      </c>
      <c r="I1101" s="29">
        <f>IF($B1101="","",IFERROR(INDEX($U$4:$U$3183,MATCH(SMALL($V$4:$V$3183,1098),$V$4:$V$3183,0)),""))</f>
        <v/>
      </c>
      <c r="J1101">
        <f>IF($B1101="","",IF($D1101&gt;$F$2,"À venir",IF($E1101&lt;$D$2,"Passé","Dans la période")))</f>
        <v/>
      </c>
      <c r="K1101">
        <f>IF(OR($B1101="",NOT(ISNUMBER($D1101))),"",IF(AND($E1101&lt;$D$2,$G1101&lt;&gt;"X",$F1101&lt;&gt;"Réalisé",$F1101&lt;&gt;"Clôturé"),"RETARD",""))</f>
        <v/>
      </c>
      <c r="L1101">
        <f>IF(OR($B1101="",NOT(ISNUMBER($D1101))),"",IF(AND($D1101&gt;=$D$2,$D1101&lt;=$H$2,$G1101&lt;&gt;"X",$F1101&lt;&gt;"Réalisé",$F1101&lt;&gt;"Clôturé"),"≤ 7 j",""))</f>
        <v/>
      </c>
      <c r="M1101" s="29">
        <f>IF($B1101="","",IFERROR(INDEX($T$4:$T$3183,MATCH(SMALL($V$4:$V$3183,1098),$V$4:$V$3183,0)),""))</f>
        <v/>
      </c>
      <c r="O1101">
        <f>IF(INDEX(Suivi!$B:$B,1122)="","",INDEX(Suivi!$B:$B,1122))</f>
        <v/>
      </c>
      <c r="P1101">
        <f>IF($O1101="","",IF(INDEX(Suivi!$D:$D,1122)="",INDEX(Suivi!$C:$C,1122),INDEX(Suivi!$D:$D,1122)))</f>
        <v/>
      </c>
      <c r="Q1101">
        <f>IF($O1101="","",INDEX(Suivi!$E:$E,1122))</f>
        <v/>
      </c>
      <c r="R1101">
        <f>IF($O1101="","",INDEX(Suivi!$F:$F,1122))</f>
        <v/>
      </c>
      <c r="S1101">
        <f>IF($O1101="","",INDEX(Suivi!$G:$G,1122))</f>
        <v/>
      </c>
      <c r="T1101">
        <f>IF($O1101="","",IF(INDEX(Dossiers!$F$4:$F$63,21)="","",INDEX(Dossiers!$F$4:$F$63,21)))</f>
        <v/>
      </c>
      <c r="U1101">
        <f>IF($O1101="","",IF(INDEX(Dossiers!$G$4:$G$63,21)="","",INDEX(Dossiers!$G$4:$G$63,21)))</f>
        <v/>
      </c>
      <c r="V1101">
        <f>IF(OR($O1101="",NOT(ISNUMBER($Q1101))),"",$Q1101*1000000+1101)</f>
        <v/>
      </c>
      <c r="W1101" s="29">
        <f>IF($B1101="","",IFERROR(INDEX($U$4:$U$3183,MATCH(SMALL($V$4:$V$3183,1098),$V$4:$V$3183,0)),""))</f>
        <v/>
      </c>
    </row>
    <row r="1102">
      <c r="A1102">
        <f>IFERROR(INDEX($N$4:$N$3183,MATCH(SMALL($V$4:$V$3183,1099),$V$4:$V$3183,0)),"")</f>
        <v/>
      </c>
      <c r="B1102">
        <f>IFERROR(INDEX($O$4:$O$3183,MATCH(SMALL($V$4:$V$3183,1099),$V$4:$V$3183,0)),"")</f>
        <v/>
      </c>
      <c r="C1102">
        <f>IFERROR(INDEX($P$4:$P$3183,MATCH(SMALL($V$4:$V$3183,1099),$V$4:$V$3183,0)),"")</f>
        <v/>
      </c>
      <c r="D1102" s="29">
        <f>IFERROR(INDEX($Q$4:$Q$3183,MATCH(SMALL($V$4:$V$3183,1099),$V$4:$V$3183,0)),"")</f>
        <v/>
      </c>
      <c r="E1102" s="29">
        <f>IFERROR(INDEX($R$4:$R$3183,MATCH(SMALL($V$4:$V$3183,1099),$V$4:$V$3183,0)),"")</f>
        <v/>
      </c>
      <c r="F1102">
        <f>IFERROR(INDEX($S$4:$S$3183,MATCH(SMALL($V$4:$V$3183,1099),$V$4:$V$3183,0)),"")</f>
        <v/>
      </c>
      <c r="I1102" s="29">
        <f>IF($B1102="","",IFERROR(INDEX($U$4:$U$3183,MATCH(SMALL($V$4:$V$3183,1099),$V$4:$V$3183,0)),""))</f>
        <v/>
      </c>
      <c r="J1102">
        <f>IF($B1102="","",IF($D1102&gt;$F$2,"À venir",IF($E1102&lt;$D$2,"Passé","Dans la période")))</f>
        <v/>
      </c>
      <c r="K1102">
        <f>IF(OR($B1102="",NOT(ISNUMBER($D1102))),"",IF(AND($E1102&lt;$D$2,$G1102&lt;&gt;"X",$F1102&lt;&gt;"Réalisé",$F1102&lt;&gt;"Clôturé"),"RETARD",""))</f>
        <v/>
      </c>
      <c r="L1102">
        <f>IF(OR($B1102="",NOT(ISNUMBER($D1102))),"",IF(AND($D1102&gt;=$D$2,$D1102&lt;=$H$2,$G1102&lt;&gt;"X",$F1102&lt;&gt;"Réalisé",$F1102&lt;&gt;"Clôturé"),"≤ 7 j",""))</f>
        <v/>
      </c>
      <c r="M1102" s="29">
        <f>IF($B1102="","",IFERROR(INDEX($T$4:$T$3183,MATCH(SMALL($V$4:$V$3183,1099),$V$4:$V$3183,0)),""))</f>
        <v/>
      </c>
      <c r="O1102">
        <f>IF(INDEX(Suivi!$B:$B,1123)="","",INDEX(Suivi!$B:$B,1123))</f>
        <v/>
      </c>
      <c r="P1102">
        <f>IF($O1102="","",IF(INDEX(Suivi!$D:$D,1123)="",INDEX(Suivi!$C:$C,1123),INDEX(Suivi!$D:$D,1123)))</f>
        <v/>
      </c>
      <c r="Q1102">
        <f>IF($O1102="","",INDEX(Suivi!$E:$E,1123))</f>
        <v/>
      </c>
      <c r="R1102">
        <f>IF($O1102="","",INDEX(Suivi!$F:$F,1123))</f>
        <v/>
      </c>
      <c r="S1102">
        <f>IF($O1102="","",INDEX(Suivi!$G:$G,1123))</f>
        <v/>
      </c>
      <c r="T1102">
        <f>IF($O1102="","",IF(INDEX(Dossiers!$F$4:$F$63,21)="","",INDEX(Dossiers!$F$4:$F$63,21)))</f>
        <v/>
      </c>
      <c r="U1102">
        <f>IF($O1102="","",IF(INDEX(Dossiers!$G$4:$G$63,21)="","",INDEX(Dossiers!$G$4:$G$63,21)))</f>
        <v/>
      </c>
      <c r="V1102">
        <f>IF(OR($O1102="",NOT(ISNUMBER($Q1102))),"",$Q1102*1000000+1102)</f>
        <v/>
      </c>
      <c r="W1102" s="29">
        <f>IF($B1102="","",IFERROR(INDEX($U$4:$U$3183,MATCH(SMALL($V$4:$V$3183,1099),$V$4:$V$3183,0)),""))</f>
        <v/>
      </c>
    </row>
    <row r="1103">
      <c r="A1103">
        <f>IFERROR(INDEX($N$4:$N$3183,MATCH(SMALL($V$4:$V$3183,1100),$V$4:$V$3183,0)),"")</f>
        <v/>
      </c>
      <c r="B1103">
        <f>IFERROR(INDEX($O$4:$O$3183,MATCH(SMALL($V$4:$V$3183,1100),$V$4:$V$3183,0)),"")</f>
        <v/>
      </c>
      <c r="C1103">
        <f>IFERROR(INDEX($P$4:$P$3183,MATCH(SMALL($V$4:$V$3183,1100),$V$4:$V$3183,0)),"")</f>
        <v/>
      </c>
      <c r="D1103" s="29">
        <f>IFERROR(INDEX($Q$4:$Q$3183,MATCH(SMALL($V$4:$V$3183,1100),$V$4:$V$3183,0)),"")</f>
        <v/>
      </c>
      <c r="E1103" s="29">
        <f>IFERROR(INDEX($R$4:$R$3183,MATCH(SMALL($V$4:$V$3183,1100),$V$4:$V$3183,0)),"")</f>
        <v/>
      </c>
      <c r="F1103">
        <f>IFERROR(INDEX($S$4:$S$3183,MATCH(SMALL($V$4:$V$3183,1100),$V$4:$V$3183,0)),"")</f>
        <v/>
      </c>
      <c r="I1103" s="29">
        <f>IF($B1103="","",IFERROR(INDEX($U$4:$U$3183,MATCH(SMALL($V$4:$V$3183,1100),$V$4:$V$3183,0)),""))</f>
        <v/>
      </c>
      <c r="J1103">
        <f>IF($B1103="","",IF($D1103&gt;$F$2,"À venir",IF($E1103&lt;$D$2,"Passé","Dans la période")))</f>
        <v/>
      </c>
      <c r="K1103">
        <f>IF(OR($B1103="",NOT(ISNUMBER($D1103))),"",IF(AND($E1103&lt;$D$2,$G1103&lt;&gt;"X",$F1103&lt;&gt;"Réalisé",$F1103&lt;&gt;"Clôturé"),"RETARD",""))</f>
        <v/>
      </c>
      <c r="L1103">
        <f>IF(OR($B1103="",NOT(ISNUMBER($D1103))),"",IF(AND($D1103&gt;=$D$2,$D1103&lt;=$H$2,$G1103&lt;&gt;"X",$F1103&lt;&gt;"Réalisé",$F1103&lt;&gt;"Clôturé"),"≤ 7 j",""))</f>
        <v/>
      </c>
      <c r="M1103" s="29">
        <f>IF($B1103="","",IFERROR(INDEX($T$4:$T$3183,MATCH(SMALL($V$4:$V$3183,1100),$V$4:$V$3183,0)),""))</f>
        <v/>
      </c>
      <c r="O1103">
        <f>IF(INDEX(Suivi!$B:$B,1124)="","",INDEX(Suivi!$B:$B,1124))</f>
        <v/>
      </c>
      <c r="P1103">
        <f>IF($O1103="","",IF(INDEX(Suivi!$D:$D,1124)="",INDEX(Suivi!$C:$C,1124),INDEX(Suivi!$D:$D,1124)))</f>
        <v/>
      </c>
      <c r="Q1103">
        <f>IF($O1103="","",INDEX(Suivi!$E:$E,1124))</f>
        <v/>
      </c>
      <c r="R1103">
        <f>IF($O1103="","",INDEX(Suivi!$F:$F,1124))</f>
        <v/>
      </c>
      <c r="S1103">
        <f>IF($O1103="","",INDEX(Suivi!$G:$G,1124))</f>
        <v/>
      </c>
      <c r="T1103">
        <f>IF($O1103="","",IF(INDEX(Dossiers!$F$4:$F$63,21)="","",INDEX(Dossiers!$F$4:$F$63,21)))</f>
        <v/>
      </c>
      <c r="U1103">
        <f>IF($O1103="","",IF(INDEX(Dossiers!$G$4:$G$63,21)="","",INDEX(Dossiers!$G$4:$G$63,21)))</f>
        <v/>
      </c>
      <c r="V1103">
        <f>IF(OR($O1103="",NOT(ISNUMBER($Q1103))),"",$Q1103*1000000+1103)</f>
        <v/>
      </c>
      <c r="W1103" s="29">
        <f>IF($B1103="","",IFERROR(INDEX($U$4:$U$3183,MATCH(SMALL($V$4:$V$3183,1100),$V$4:$V$3183,0)),""))</f>
        <v/>
      </c>
    </row>
    <row r="1104">
      <c r="A1104">
        <f>IFERROR(INDEX($N$4:$N$3183,MATCH(SMALL($V$4:$V$3183,1101),$V$4:$V$3183,0)),"")</f>
        <v/>
      </c>
      <c r="B1104">
        <f>IFERROR(INDEX($O$4:$O$3183,MATCH(SMALL($V$4:$V$3183,1101),$V$4:$V$3183,0)),"")</f>
        <v/>
      </c>
      <c r="C1104">
        <f>IFERROR(INDEX($P$4:$P$3183,MATCH(SMALL($V$4:$V$3183,1101),$V$4:$V$3183,0)),"")</f>
        <v/>
      </c>
      <c r="D1104" s="29">
        <f>IFERROR(INDEX($Q$4:$Q$3183,MATCH(SMALL($V$4:$V$3183,1101),$V$4:$V$3183,0)),"")</f>
        <v/>
      </c>
      <c r="E1104" s="29">
        <f>IFERROR(INDEX($R$4:$R$3183,MATCH(SMALL($V$4:$V$3183,1101),$V$4:$V$3183,0)),"")</f>
        <v/>
      </c>
      <c r="F1104">
        <f>IFERROR(INDEX($S$4:$S$3183,MATCH(SMALL($V$4:$V$3183,1101),$V$4:$V$3183,0)),"")</f>
        <v/>
      </c>
      <c r="I1104" s="29">
        <f>IF($B1104="","",IFERROR(INDEX($U$4:$U$3183,MATCH(SMALL($V$4:$V$3183,1101),$V$4:$V$3183,0)),""))</f>
        <v/>
      </c>
      <c r="J1104">
        <f>IF($B1104="","",IF($D1104&gt;$F$2,"À venir",IF($E1104&lt;$D$2,"Passé","Dans la période")))</f>
        <v/>
      </c>
      <c r="K1104">
        <f>IF(OR($B1104="",NOT(ISNUMBER($D1104))),"",IF(AND($E1104&lt;$D$2,$G1104&lt;&gt;"X",$F1104&lt;&gt;"Réalisé",$F1104&lt;&gt;"Clôturé"),"RETARD",""))</f>
        <v/>
      </c>
      <c r="L1104">
        <f>IF(OR($B1104="",NOT(ISNUMBER($D1104))),"",IF(AND($D1104&gt;=$D$2,$D1104&lt;=$H$2,$G1104&lt;&gt;"X",$F1104&lt;&gt;"Réalisé",$F1104&lt;&gt;"Clôturé"),"≤ 7 j",""))</f>
        <v/>
      </c>
      <c r="M1104" s="29">
        <f>IF($B1104="","",IFERROR(INDEX($T$4:$T$3183,MATCH(SMALL($V$4:$V$3183,1101),$V$4:$V$3183,0)),""))</f>
        <v/>
      </c>
      <c r="O1104">
        <f>IF(INDEX(Suivi!$B:$B,1125)="","",INDEX(Suivi!$B:$B,1125))</f>
        <v/>
      </c>
      <c r="P1104">
        <f>IF($O1104="","",IF(INDEX(Suivi!$D:$D,1125)="",INDEX(Suivi!$C:$C,1125),INDEX(Suivi!$D:$D,1125)))</f>
        <v/>
      </c>
      <c r="Q1104">
        <f>IF($O1104="","",INDEX(Suivi!$E:$E,1125))</f>
        <v/>
      </c>
      <c r="R1104">
        <f>IF($O1104="","",INDEX(Suivi!$F:$F,1125))</f>
        <v/>
      </c>
      <c r="S1104">
        <f>IF($O1104="","",INDEX(Suivi!$G:$G,1125))</f>
        <v/>
      </c>
      <c r="T1104">
        <f>IF($O1104="","",IF(INDEX(Dossiers!$F$4:$F$63,21)="","",INDEX(Dossiers!$F$4:$F$63,21)))</f>
        <v/>
      </c>
      <c r="U1104">
        <f>IF($O1104="","",IF(INDEX(Dossiers!$G$4:$G$63,21)="","",INDEX(Dossiers!$G$4:$G$63,21)))</f>
        <v/>
      </c>
      <c r="V1104">
        <f>IF(OR($O1104="",NOT(ISNUMBER($Q1104))),"",$Q1104*1000000+1104)</f>
        <v/>
      </c>
      <c r="W1104" s="29">
        <f>IF($B1104="","",IFERROR(INDEX($U$4:$U$3183,MATCH(SMALL($V$4:$V$3183,1101),$V$4:$V$3183,0)),""))</f>
        <v/>
      </c>
    </row>
    <row r="1105">
      <c r="A1105">
        <f>IFERROR(INDEX($N$4:$N$3183,MATCH(SMALL($V$4:$V$3183,1102),$V$4:$V$3183,0)),"")</f>
        <v/>
      </c>
      <c r="B1105">
        <f>IFERROR(INDEX($O$4:$O$3183,MATCH(SMALL($V$4:$V$3183,1102),$V$4:$V$3183,0)),"")</f>
        <v/>
      </c>
      <c r="C1105">
        <f>IFERROR(INDEX($P$4:$P$3183,MATCH(SMALL($V$4:$V$3183,1102),$V$4:$V$3183,0)),"")</f>
        <v/>
      </c>
      <c r="D1105" s="29">
        <f>IFERROR(INDEX($Q$4:$Q$3183,MATCH(SMALL($V$4:$V$3183,1102),$V$4:$V$3183,0)),"")</f>
        <v/>
      </c>
      <c r="E1105" s="29">
        <f>IFERROR(INDEX($R$4:$R$3183,MATCH(SMALL($V$4:$V$3183,1102),$V$4:$V$3183,0)),"")</f>
        <v/>
      </c>
      <c r="F1105">
        <f>IFERROR(INDEX($S$4:$S$3183,MATCH(SMALL($V$4:$V$3183,1102),$V$4:$V$3183,0)),"")</f>
        <v/>
      </c>
      <c r="I1105" s="29">
        <f>IF($B1105="","",IFERROR(INDEX($U$4:$U$3183,MATCH(SMALL($V$4:$V$3183,1102),$V$4:$V$3183,0)),""))</f>
        <v/>
      </c>
      <c r="J1105">
        <f>IF($B1105="","",IF($D1105&gt;$F$2,"À venir",IF($E1105&lt;$D$2,"Passé","Dans la période")))</f>
        <v/>
      </c>
      <c r="K1105">
        <f>IF(OR($B1105="",NOT(ISNUMBER($D1105))),"",IF(AND($E1105&lt;$D$2,$G1105&lt;&gt;"X",$F1105&lt;&gt;"Réalisé",$F1105&lt;&gt;"Clôturé"),"RETARD",""))</f>
        <v/>
      </c>
      <c r="L1105">
        <f>IF(OR($B1105="",NOT(ISNUMBER($D1105))),"",IF(AND($D1105&gt;=$D$2,$D1105&lt;=$H$2,$G1105&lt;&gt;"X",$F1105&lt;&gt;"Réalisé",$F1105&lt;&gt;"Clôturé"),"≤ 7 j",""))</f>
        <v/>
      </c>
      <c r="M1105" s="29">
        <f>IF($B1105="","",IFERROR(INDEX($T$4:$T$3183,MATCH(SMALL($V$4:$V$3183,1102),$V$4:$V$3183,0)),""))</f>
        <v/>
      </c>
      <c r="O1105">
        <f>IF(INDEX(Suivi!$B:$B,1126)="","",INDEX(Suivi!$B:$B,1126))</f>
        <v/>
      </c>
      <c r="P1105">
        <f>IF($O1105="","",IF(INDEX(Suivi!$D:$D,1126)="",INDEX(Suivi!$C:$C,1126),INDEX(Suivi!$D:$D,1126)))</f>
        <v/>
      </c>
      <c r="Q1105">
        <f>IF($O1105="","",INDEX(Suivi!$E:$E,1126))</f>
        <v/>
      </c>
      <c r="R1105">
        <f>IF($O1105="","",INDEX(Suivi!$F:$F,1126))</f>
        <v/>
      </c>
      <c r="S1105">
        <f>IF($O1105="","",INDEX(Suivi!$G:$G,1126))</f>
        <v/>
      </c>
      <c r="T1105">
        <f>IF($O1105="","",IF(INDEX(Dossiers!$F$4:$F$63,21)="","",INDEX(Dossiers!$F$4:$F$63,21)))</f>
        <v/>
      </c>
      <c r="U1105">
        <f>IF($O1105="","",IF(INDEX(Dossiers!$G$4:$G$63,21)="","",INDEX(Dossiers!$G$4:$G$63,21)))</f>
        <v/>
      </c>
      <c r="V1105">
        <f>IF(OR($O1105="",NOT(ISNUMBER($Q1105))),"",$Q1105*1000000+1105)</f>
        <v/>
      </c>
      <c r="W1105" s="29">
        <f>IF($B1105="","",IFERROR(INDEX($U$4:$U$3183,MATCH(SMALL($V$4:$V$3183,1102),$V$4:$V$3183,0)),""))</f>
        <v/>
      </c>
    </row>
    <row r="1106">
      <c r="A1106">
        <f>IFERROR(INDEX($N$4:$N$3183,MATCH(SMALL($V$4:$V$3183,1103),$V$4:$V$3183,0)),"")</f>
        <v/>
      </c>
      <c r="B1106">
        <f>IFERROR(INDEX($O$4:$O$3183,MATCH(SMALL($V$4:$V$3183,1103),$V$4:$V$3183,0)),"")</f>
        <v/>
      </c>
      <c r="C1106">
        <f>IFERROR(INDEX($P$4:$P$3183,MATCH(SMALL($V$4:$V$3183,1103),$V$4:$V$3183,0)),"")</f>
        <v/>
      </c>
      <c r="D1106" s="29">
        <f>IFERROR(INDEX($Q$4:$Q$3183,MATCH(SMALL($V$4:$V$3183,1103),$V$4:$V$3183,0)),"")</f>
        <v/>
      </c>
      <c r="E1106" s="29">
        <f>IFERROR(INDEX($R$4:$R$3183,MATCH(SMALL($V$4:$V$3183,1103),$V$4:$V$3183,0)),"")</f>
        <v/>
      </c>
      <c r="F1106">
        <f>IFERROR(INDEX($S$4:$S$3183,MATCH(SMALL($V$4:$V$3183,1103),$V$4:$V$3183,0)),"")</f>
        <v/>
      </c>
      <c r="I1106" s="29">
        <f>IF($B1106="","",IFERROR(INDEX($U$4:$U$3183,MATCH(SMALL($V$4:$V$3183,1103),$V$4:$V$3183,0)),""))</f>
        <v/>
      </c>
      <c r="J1106">
        <f>IF($B1106="","",IF($D1106&gt;$F$2,"À venir",IF($E1106&lt;$D$2,"Passé","Dans la période")))</f>
        <v/>
      </c>
      <c r="K1106">
        <f>IF(OR($B1106="",NOT(ISNUMBER($D1106))),"",IF(AND($E1106&lt;$D$2,$G1106&lt;&gt;"X",$F1106&lt;&gt;"Réalisé",$F1106&lt;&gt;"Clôturé"),"RETARD",""))</f>
        <v/>
      </c>
      <c r="L1106">
        <f>IF(OR($B1106="",NOT(ISNUMBER($D1106))),"",IF(AND($D1106&gt;=$D$2,$D1106&lt;=$H$2,$G1106&lt;&gt;"X",$F1106&lt;&gt;"Réalisé",$F1106&lt;&gt;"Clôturé"),"≤ 7 j",""))</f>
        <v/>
      </c>
      <c r="M1106" s="29">
        <f>IF($B1106="","",IFERROR(INDEX($T$4:$T$3183,MATCH(SMALL($V$4:$V$3183,1103),$V$4:$V$3183,0)),""))</f>
        <v/>
      </c>
      <c r="O1106">
        <f>IF(INDEX(Suivi!$B:$B,1127)="","",INDEX(Suivi!$B:$B,1127))</f>
        <v/>
      </c>
      <c r="P1106">
        <f>IF($O1106="","",IF(INDEX(Suivi!$D:$D,1127)="",INDEX(Suivi!$C:$C,1127),INDEX(Suivi!$D:$D,1127)))</f>
        <v/>
      </c>
      <c r="Q1106">
        <f>IF($O1106="","",INDEX(Suivi!$E:$E,1127))</f>
        <v/>
      </c>
      <c r="R1106">
        <f>IF($O1106="","",INDEX(Suivi!$F:$F,1127))</f>
        <v/>
      </c>
      <c r="S1106">
        <f>IF($O1106="","",INDEX(Suivi!$G:$G,1127))</f>
        <v/>
      </c>
      <c r="T1106">
        <f>IF($O1106="","",IF(INDEX(Dossiers!$F$4:$F$63,21)="","",INDEX(Dossiers!$F$4:$F$63,21)))</f>
        <v/>
      </c>
      <c r="U1106">
        <f>IF($O1106="","",IF(INDEX(Dossiers!$G$4:$G$63,21)="","",INDEX(Dossiers!$G$4:$G$63,21)))</f>
        <v/>
      </c>
      <c r="V1106">
        <f>IF(OR($O1106="",NOT(ISNUMBER($Q1106))),"",$Q1106*1000000+1106)</f>
        <v/>
      </c>
      <c r="W1106" s="29">
        <f>IF($B1106="","",IFERROR(INDEX($U$4:$U$3183,MATCH(SMALL($V$4:$V$3183,1103),$V$4:$V$3183,0)),""))</f>
        <v/>
      </c>
    </row>
    <row r="1107">
      <c r="A1107">
        <f>IFERROR(INDEX($N$4:$N$3183,MATCH(SMALL($V$4:$V$3183,1104),$V$4:$V$3183,0)),"")</f>
        <v/>
      </c>
      <c r="B1107">
        <f>IFERROR(INDEX($O$4:$O$3183,MATCH(SMALL($V$4:$V$3183,1104),$V$4:$V$3183,0)),"")</f>
        <v/>
      </c>
      <c r="C1107">
        <f>IFERROR(INDEX($P$4:$P$3183,MATCH(SMALL($V$4:$V$3183,1104),$V$4:$V$3183,0)),"")</f>
        <v/>
      </c>
      <c r="D1107" s="29">
        <f>IFERROR(INDEX($Q$4:$Q$3183,MATCH(SMALL($V$4:$V$3183,1104),$V$4:$V$3183,0)),"")</f>
        <v/>
      </c>
      <c r="E1107" s="29">
        <f>IFERROR(INDEX($R$4:$R$3183,MATCH(SMALL($V$4:$V$3183,1104),$V$4:$V$3183,0)),"")</f>
        <v/>
      </c>
      <c r="F1107">
        <f>IFERROR(INDEX($S$4:$S$3183,MATCH(SMALL($V$4:$V$3183,1104),$V$4:$V$3183,0)),"")</f>
        <v/>
      </c>
      <c r="I1107" s="29">
        <f>IF($B1107="","",IFERROR(INDEX($U$4:$U$3183,MATCH(SMALL($V$4:$V$3183,1104),$V$4:$V$3183,0)),""))</f>
        <v/>
      </c>
      <c r="J1107">
        <f>IF($B1107="","",IF($D1107&gt;$F$2,"À venir",IF($E1107&lt;$D$2,"Passé","Dans la période")))</f>
        <v/>
      </c>
      <c r="K1107">
        <f>IF(OR($B1107="",NOT(ISNUMBER($D1107))),"",IF(AND($E1107&lt;$D$2,$G1107&lt;&gt;"X",$F1107&lt;&gt;"Réalisé",$F1107&lt;&gt;"Clôturé"),"RETARD",""))</f>
        <v/>
      </c>
      <c r="L1107">
        <f>IF(OR($B1107="",NOT(ISNUMBER($D1107))),"",IF(AND($D1107&gt;=$D$2,$D1107&lt;=$H$2,$G1107&lt;&gt;"X",$F1107&lt;&gt;"Réalisé",$F1107&lt;&gt;"Clôturé"),"≤ 7 j",""))</f>
        <v/>
      </c>
      <c r="M1107" s="29">
        <f>IF($B1107="","",IFERROR(INDEX($T$4:$T$3183,MATCH(SMALL($V$4:$V$3183,1104),$V$4:$V$3183,0)),""))</f>
        <v/>
      </c>
      <c r="O1107">
        <f>IF(INDEX(Suivi!$B:$B,1128)="","",INDEX(Suivi!$B:$B,1128))</f>
        <v/>
      </c>
      <c r="P1107">
        <f>IF($O1107="","",IF(INDEX(Suivi!$D:$D,1128)="",INDEX(Suivi!$C:$C,1128),INDEX(Suivi!$D:$D,1128)))</f>
        <v/>
      </c>
      <c r="Q1107">
        <f>IF($O1107="","",INDEX(Suivi!$E:$E,1128))</f>
        <v/>
      </c>
      <c r="R1107">
        <f>IF($O1107="","",INDEX(Suivi!$F:$F,1128))</f>
        <v/>
      </c>
      <c r="S1107">
        <f>IF($O1107="","",INDEX(Suivi!$G:$G,1128))</f>
        <v/>
      </c>
      <c r="T1107">
        <f>IF($O1107="","",IF(INDEX(Dossiers!$F$4:$F$63,21)="","",INDEX(Dossiers!$F$4:$F$63,21)))</f>
        <v/>
      </c>
      <c r="U1107">
        <f>IF($O1107="","",IF(INDEX(Dossiers!$G$4:$G$63,21)="","",INDEX(Dossiers!$G$4:$G$63,21)))</f>
        <v/>
      </c>
      <c r="V1107">
        <f>IF(OR($O1107="",NOT(ISNUMBER($Q1107))),"",$Q1107*1000000+1107)</f>
        <v/>
      </c>
      <c r="W1107" s="29">
        <f>IF($B1107="","",IFERROR(INDEX($U$4:$U$3183,MATCH(SMALL($V$4:$V$3183,1104),$V$4:$V$3183,0)),""))</f>
        <v/>
      </c>
    </row>
    <row r="1108">
      <c r="A1108">
        <f>IFERROR(INDEX($N$4:$N$3183,MATCH(SMALL($V$4:$V$3183,1105),$V$4:$V$3183,0)),"")</f>
        <v/>
      </c>
      <c r="B1108">
        <f>IFERROR(INDEX($O$4:$O$3183,MATCH(SMALL($V$4:$V$3183,1105),$V$4:$V$3183,0)),"")</f>
        <v/>
      </c>
      <c r="C1108">
        <f>IFERROR(INDEX($P$4:$P$3183,MATCH(SMALL($V$4:$V$3183,1105),$V$4:$V$3183,0)),"")</f>
        <v/>
      </c>
      <c r="D1108" s="29">
        <f>IFERROR(INDEX($Q$4:$Q$3183,MATCH(SMALL($V$4:$V$3183,1105),$V$4:$V$3183,0)),"")</f>
        <v/>
      </c>
      <c r="E1108" s="29">
        <f>IFERROR(INDEX($R$4:$R$3183,MATCH(SMALL($V$4:$V$3183,1105),$V$4:$V$3183,0)),"")</f>
        <v/>
      </c>
      <c r="F1108">
        <f>IFERROR(INDEX($S$4:$S$3183,MATCH(SMALL($V$4:$V$3183,1105),$V$4:$V$3183,0)),"")</f>
        <v/>
      </c>
      <c r="I1108" s="29">
        <f>IF($B1108="","",IFERROR(INDEX($U$4:$U$3183,MATCH(SMALL($V$4:$V$3183,1105),$V$4:$V$3183,0)),""))</f>
        <v/>
      </c>
      <c r="J1108">
        <f>IF($B1108="","",IF($D1108&gt;$F$2,"À venir",IF($E1108&lt;$D$2,"Passé","Dans la période")))</f>
        <v/>
      </c>
      <c r="K1108">
        <f>IF(OR($B1108="",NOT(ISNUMBER($D1108))),"",IF(AND($E1108&lt;$D$2,$G1108&lt;&gt;"X",$F1108&lt;&gt;"Réalisé",$F1108&lt;&gt;"Clôturé"),"RETARD",""))</f>
        <v/>
      </c>
      <c r="L1108">
        <f>IF(OR($B1108="",NOT(ISNUMBER($D1108))),"",IF(AND($D1108&gt;=$D$2,$D1108&lt;=$H$2,$G1108&lt;&gt;"X",$F1108&lt;&gt;"Réalisé",$F1108&lt;&gt;"Clôturé"),"≤ 7 j",""))</f>
        <v/>
      </c>
      <c r="M1108" s="29">
        <f>IF($B1108="","",IFERROR(INDEX($T$4:$T$3183,MATCH(SMALL($V$4:$V$3183,1105),$V$4:$V$3183,0)),""))</f>
        <v/>
      </c>
      <c r="O1108">
        <f>IF(INDEX(Suivi!$B:$B,1129)="","",INDEX(Suivi!$B:$B,1129))</f>
        <v/>
      </c>
      <c r="P1108">
        <f>IF($O1108="","",IF(INDEX(Suivi!$D:$D,1129)="",INDEX(Suivi!$C:$C,1129),INDEX(Suivi!$D:$D,1129)))</f>
        <v/>
      </c>
      <c r="Q1108">
        <f>IF($O1108="","",INDEX(Suivi!$E:$E,1129))</f>
        <v/>
      </c>
      <c r="R1108">
        <f>IF($O1108="","",INDEX(Suivi!$F:$F,1129))</f>
        <v/>
      </c>
      <c r="S1108">
        <f>IF($O1108="","",INDEX(Suivi!$G:$G,1129))</f>
        <v/>
      </c>
      <c r="T1108">
        <f>IF($O1108="","",IF(INDEX(Dossiers!$F$4:$F$63,21)="","",INDEX(Dossiers!$F$4:$F$63,21)))</f>
        <v/>
      </c>
      <c r="U1108">
        <f>IF($O1108="","",IF(INDEX(Dossiers!$G$4:$G$63,21)="","",INDEX(Dossiers!$G$4:$G$63,21)))</f>
        <v/>
      </c>
      <c r="V1108">
        <f>IF(OR($O1108="",NOT(ISNUMBER($Q1108))),"",$Q1108*1000000+1108)</f>
        <v/>
      </c>
      <c r="W1108" s="29">
        <f>IF($B1108="","",IFERROR(INDEX($U$4:$U$3183,MATCH(SMALL($V$4:$V$3183,1105),$V$4:$V$3183,0)),""))</f>
        <v/>
      </c>
    </row>
    <row r="1109">
      <c r="A1109">
        <f>IFERROR(INDEX($N$4:$N$3183,MATCH(SMALL($V$4:$V$3183,1106),$V$4:$V$3183,0)),"")</f>
        <v/>
      </c>
      <c r="B1109">
        <f>IFERROR(INDEX($O$4:$O$3183,MATCH(SMALL($V$4:$V$3183,1106),$V$4:$V$3183,0)),"")</f>
        <v/>
      </c>
      <c r="C1109">
        <f>IFERROR(INDEX($P$4:$P$3183,MATCH(SMALL($V$4:$V$3183,1106),$V$4:$V$3183,0)),"")</f>
        <v/>
      </c>
      <c r="D1109" s="29">
        <f>IFERROR(INDEX($Q$4:$Q$3183,MATCH(SMALL($V$4:$V$3183,1106),$V$4:$V$3183,0)),"")</f>
        <v/>
      </c>
      <c r="E1109" s="29">
        <f>IFERROR(INDEX($R$4:$R$3183,MATCH(SMALL($V$4:$V$3183,1106),$V$4:$V$3183,0)),"")</f>
        <v/>
      </c>
      <c r="F1109">
        <f>IFERROR(INDEX($S$4:$S$3183,MATCH(SMALL($V$4:$V$3183,1106),$V$4:$V$3183,0)),"")</f>
        <v/>
      </c>
      <c r="I1109" s="29">
        <f>IF($B1109="","",IFERROR(INDEX($U$4:$U$3183,MATCH(SMALL($V$4:$V$3183,1106),$V$4:$V$3183,0)),""))</f>
        <v/>
      </c>
      <c r="J1109">
        <f>IF($B1109="","",IF($D1109&gt;$F$2,"À venir",IF($E1109&lt;$D$2,"Passé","Dans la période")))</f>
        <v/>
      </c>
      <c r="K1109">
        <f>IF(OR($B1109="",NOT(ISNUMBER($D1109))),"",IF(AND($E1109&lt;$D$2,$G1109&lt;&gt;"X",$F1109&lt;&gt;"Réalisé",$F1109&lt;&gt;"Clôturé"),"RETARD",""))</f>
        <v/>
      </c>
      <c r="L1109">
        <f>IF(OR($B1109="",NOT(ISNUMBER($D1109))),"",IF(AND($D1109&gt;=$D$2,$D1109&lt;=$H$2,$G1109&lt;&gt;"X",$F1109&lt;&gt;"Réalisé",$F1109&lt;&gt;"Clôturé"),"≤ 7 j",""))</f>
        <v/>
      </c>
      <c r="M1109" s="29">
        <f>IF($B1109="","",IFERROR(INDEX($T$4:$T$3183,MATCH(SMALL($V$4:$V$3183,1106),$V$4:$V$3183,0)),""))</f>
        <v/>
      </c>
      <c r="O1109">
        <f>IF(INDEX(Suivi!$B:$B,1130)="","",INDEX(Suivi!$B:$B,1130))</f>
        <v/>
      </c>
      <c r="P1109">
        <f>IF($O1109="","",IF(INDEX(Suivi!$D:$D,1130)="",INDEX(Suivi!$C:$C,1130),INDEX(Suivi!$D:$D,1130)))</f>
        <v/>
      </c>
      <c r="Q1109">
        <f>IF($O1109="","",INDEX(Suivi!$E:$E,1130))</f>
        <v/>
      </c>
      <c r="R1109">
        <f>IF($O1109="","",INDEX(Suivi!$F:$F,1130))</f>
        <v/>
      </c>
      <c r="S1109">
        <f>IF($O1109="","",INDEX(Suivi!$G:$G,1130))</f>
        <v/>
      </c>
      <c r="T1109">
        <f>IF($O1109="","",IF(INDEX(Dossiers!$F$4:$F$63,21)="","",INDEX(Dossiers!$F$4:$F$63,21)))</f>
        <v/>
      </c>
      <c r="U1109">
        <f>IF($O1109="","",IF(INDEX(Dossiers!$G$4:$G$63,21)="","",INDEX(Dossiers!$G$4:$G$63,21)))</f>
        <v/>
      </c>
      <c r="V1109">
        <f>IF(OR($O1109="",NOT(ISNUMBER($Q1109))),"",$Q1109*1000000+1109)</f>
        <v/>
      </c>
      <c r="W1109" s="29">
        <f>IF($B1109="","",IFERROR(INDEX($U$4:$U$3183,MATCH(SMALL($V$4:$V$3183,1106),$V$4:$V$3183,0)),""))</f>
        <v/>
      </c>
    </row>
    <row r="1110">
      <c r="A1110">
        <f>IFERROR(INDEX($N$4:$N$3183,MATCH(SMALL($V$4:$V$3183,1107),$V$4:$V$3183,0)),"")</f>
        <v/>
      </c>
      <c r="B1110">
        <f>IFERROR(INDEX($O$4:$O$3183,MATCH(SMALL($V$4:$V$3183,1107),$V$4:$V$3183,0)),"")</f>
        <v/>
      </c>
      <c r="C1110">
        <f>IFERROR(INDEX($P$4:$P$3183,MATCH(SMALL($V$4:$V$3183,1107),$V$4:$V$3183,0)),"")</f>
        <v/>
      </c>
      <c r="D1110" s="29">
        <f>IFERROR(INDEX($Q$4:$Q$3183,MATCH(SMALL($V$4:$V$3183,1107),$V$4:$V$3183,0)),"")</f>
        <v/>
      </c>
      <c r="E1110" s="29">
        <f>IFERROR(INDEX($R$4:$R$3183,MATCH(SMALL($V$4:$V$3183,1107),$V$4:$V$3183,0)),"")</f>
        <v/>
      </c>
      <c r="F1110">
        <f>IFERROR(INDEX($S$4:$S$3183,MATCH(SMALL($V$4:$V$3183,1107),$V$4:$V$3183,0)),"")</f>
        <v/>
      </c>
      <c r="I1110" s="29">
        <f>IF($B1110="","",IFERROR(INDEX($U$4:$U$3183,MATCH(SMALL($V$4:$V$3183,1107),$V$4:$V$3183,0)),""))</f>
        <v/>
      </c>
      <c r="J1110">
        <f>IF($B1110="","",IF($D1110&gt;$F$2,"À venir",IF($E1110&lt;$D$2,"Passé","Dans la période")))</f>
        <v/>
      </c>
      <c r="K1110">
        <f>IF(OR($B1110="",NOT(ISNUMBER($D1110))),"",IF(AND($E1110&lt;$D$2,$G1110&lt;&gt;"X",$F1110&lt;&gt;"Réalisé",$F1110&lt;&gt;"Clôturé"),"RETARD",""))</f>
        <v/>
      </c>
      <c r="L1110">
        <f>IF(OR($B1110="",NOT(ISNUMBER($D1110))),"",IF(AND($D1110&gt;=$D$2,$D1110&lt;=$H$2,$G1110&lt;&gt;"X",$F1110&lt;&gt;"Réalisé",$F1110&lt;&gt;"Clôturé"),"≤ 7 j",""))</f>
        <v/>
      </c>
      <c r="M1110" s="29">
        <f>IF($B1110="","",IFERROR(INDEX($T$4:$T$3183,MATCH(SMALL($V$4:$V$3183,1107),$V$4:$V$3183,0)),""))</f>
        <v/>
      </c>
      <c r="O1110">
        <f>IF(INDEX(Suivi!$B:$B,1131)="","",INDEX(Suivi!$B:$B,1131))</f>
        <v/>
      </c>
      <c r="P1110">
        <f>IF($O1110="","",IF(INDEX(Suivi!$D:$D,1131)="",INDEX(Suivi!$C:$C,1131),INDEX(Suivi!$D:$D,1131)))</f>
        <v/>
      </c>
      <c r="Q1110">
        <f>IF($O1110="","",INDEX(Suivi!$E:$E,1131))</f>
        <v/>
      </c>
      <c r="R1110">
        <f>IF($O1110="","",INDEX(Suivi!$F:$F,1131))</f>
        <v/>
      </c>
      <c r="S1110">
        <f>IF($O1110="","",INDEX(Suivi!$G:$G,1131))</f>
        <v/>
      </c>
      <c r="T1110">
        <f>IF($O1110="","",IF(INDEX(Dossiers!$F$4:$F$63,21)="","",INDEX(Dossiers!$F$4:$F$63,21)))</f>
        <v/>
      </c>
      <c r="U1110">
        <f>IF($O1110="","",IF(INDEX(Dossiers!$G$4:$G$63,21)="","",INDEX(Dossiers!$G$4:$G$63,21)))</f>
        <v/>
      </c>
      <c r="V1110">
        <f>IF(OR($O1110="",NOT(ISNUMBER($Q1110))),"",$Q1110*1000000+1110)</f>
        <v/>
      </c>
      <c r="W1110" s="29">
        <f>IF($B1110="","",IFERROR(INDEX($U$4:$U$3183,MATCH(SMALL($V$4:$V$3183,1107),$V$4:$V$3183,0)),""))</f>
        <v/>
      </c>
    </row>
    <row r="1111">
      <c r="A1111">
        <f>IFERROR(INDEX($N$4:$N$3183,MATCH(SMALL($V$4:$V$3183,1108),$V$4:$V$3183,0)),"")</f>
        <v/>
      </c>
      <c r="B1111">
        <f>IFERROR(INDEX($O$4:$O$3183,MATCH(SMALL($V$4:$V$3183,1108),$V$4:$V$3183,0)),"")</f>
        <v/>
      </c>
      <c r="C1111">
        <f>IFERROR(INDEX($P$4:$P$3183,MATCH(SMALL($V$4:$V$3183,1108),$V$4:$V$3183,0)),"")</f>
        <v/>
      </c>
      <c r="D1111" s="29">
        <f>IFERROR(INDEX($Q$4:$Q$3183,MATCH(SMALL($V$4:$V$3183,1108),$V$4:$V$3183,0)),"")</f>
        <v/>
      </c>
      <c r="E1111" s="29">
        <f>IFERROR(INDEX($R$4:$R$3183,MATCH(SMALL($V$4:$V$3183,1108),$V$4:$V$3183,0)),"")</f>
        <v/>
      </c>
      <c r="F1111">
        <f>IFERROR(INDEX($S$4:$S$3183,MATCH(SMALL($V$4:$V$3183,1108),$V$4:$V$3183,0)),"")</f>
        <v/>
      </c>
      <c r="I1111" s="29">
        <f>IF($B1111="","",IFERROR(INDEX($U$4:$U$3183,MATCH(SMALL($V$4:$V$3183,1108),$V$4:$V$3183,0)),""))</f>
        <v/>
      </c>
      <c r="J1111">
        <f>IF($B1111="","",IF($D1111&gt;$F$2,"À venir",IF($E1111&lt;$D$2,"Passé","Dans la période")))</f>
        <v/>
      </c>
      <c r="K1111">
        <f>IF(OR($B1111="",NOT(ISNUMBER($D1111))),"",IF(AND($E1111&lt;$D$2,$G1111&lt;&gt;"X",$F1111&lt;&gt;"Réalisé",$F1111&lt;&gt;"Clôturé"),"RETARD",""))</f>
        <v/>
      </c>
      <c r="L1111">
        <f>IF(OR($B1111="",NOT(ISNUMBER($D1111))),"",IF(AND($D1111&gt;=$D$2,$D1111&lt;=$H$2,$G1111&lt;&gt;"X",$F1111&lt;&gt;"Réalisé",$F1111&lt;&gt;"Clôturé"),"≤ 7 j",""))</f>
        <v/>
      </c>
      <c r="M1111" s="29">
        <f>IF($B1111="","",IFERROR(INDEX($T$4:$T$3183,MATCH(SMALL($V$4:$V$3183,1108),$V$4:$V$3183,0)),""))</f>
        <v/>
      </c>
      <c r="O1111">
        <f>IF(INDEX(Suivi!$B:$B,1132)="","",INDEX(Suivi!$B:$B,1132))</f>
        <v/>
      </c>
      <c r="P1111">
        <f>IF($O1111="","",IF(INDEX(Suivi!$D:$D,1132)="",INDEX(Suivi!$C:$C,1132),INDEX(Suivi!$D:$D,1132)))</f>
        <v/>
      </c>
      <c r="Q1111">
        <f>IF($O1111="","",INDEX(Suivi!$E:$E,1132))</f>
        <v/>
      </c>
      <c r="R1111">
        <f>IF($O1111="","",INDEX(Suivi!$F:$F,1132))</f>
        <v/>
      </c>
      <c r="S1111">
        <f>IF($O1111="","",INDEX(Suivi!$G:$G,1132))</f>
        <v/>
      </c>
      <c r="T1111">
        <f>IF($O1111="","",IF(INDEX(Dossiers!$F$4:$F$63,21)="","",INDEX(Dossiers!$F$4:$F$63,21)))</f>
        <v/>
      </c>
      <c r="U1111">
        <f>IF($O1111="","",IF(INDEX(Dossiers!$G$4:$G$63,21)="","",INDEX(Dossiers!$G$4:$G$63,21)))</f>
        <v/>
      </c>
      <c r="V1111">
        <f>IF(OR($O1111="",NOT(ISNUMBER($Q1111))),"",$Q1111*1000000+1111)</f>
        <v/>
      </c>
      <c r="W1111" s="29">
        <f>IF($B1111="","",IFERROR(INDEX($U$4:$U$3183,MATCH(SMALL($V$4:$V$3183,1108),$V$4:$V$3183,0)),""))</f>
        <v/>
      </c>
    </row>
    <row r="1112">
      <c r="A1112">
        <f>IFERROR(INDEX($N$4:$N$3183,MATCH(SMALL($V$4:$V$3183,1109),$V$4:$V$3183,0)),"")</f>
        <v/>
      </c>
      <c r="B1112">
        <f>IFERROR(INDEX($O$4:$O$3183,MATCH(SMALL($V$4:$V$3183,1109),$V$4:$V$3183,0)),"")</f>
        <v/>
      </c>
      <c r="C1112">
        <f>IFERROR(INDEX($P$4:$P$3183,MATCH(SMALL($V$4:$V$3183,1109),$V$4:$V$3183,0)),"")</f>
        <v/>
      </c>
      <c r="D1112" s="29">
        <f>IFERROR(INDEX($Q$4:$Q$3183,MATCH(SMALL($V$4:$V$3183,1109),$V$4:$V$3183,0)),"")</f>
        <v/>
      </c>
      <c r="E1112" s="29">
        <f>IFERROR(INDEX($R$4:$R$3183,MATCH(SMALL($V$4:$V$3183,1109),$V$4:$V$3183,0)),"")</f>
        <v/>
      </c>
      <c r="F1112">
        <f>IFERROR(INDEX($S$4:$S$3183,MATCH(SMALL($V$4:$V$3183,1109),$V$4:$V$3183,0)),"")</f>
        <v/>
      </c>
      <c r="I1112" s="29">
        <f>IF($B1112="","",IFERROR(INDEX($U$4:$U$3183,MATCH(SMALL($V$4:$V$3183,1109),$V$4:$V$3183,0)),""))</f>
        <v/>
      </c>
      <c r="J1112">
        <f>IF($B1112="","",IF($D1112&gt;$F$2,"À venir",IF($E1112&lt;$D$2,"Passé","Dans la période")))</f>
        <v/>
      </c>
      <c r="K1112">
        <f>IF(OR($B1112="",NOT(ISNUMBER($D1112))),"",IF(AND($E1112&lt;$D$2,$G1112&lt;&gt;"X",$F1112&lt;&gt;"Réalisé",$F1112&lt;&gt;"Clôturé"),"RETARD",""))</f>
        <v/>
      </c>
      <c r="L1112">
        <f>IF(OR($B1112="",NOT(ISNUMBER($D1112))),"",IF(AND($D1112&gt;=$D$2,$D1112&lt;=$H$2,$G1112&lt;&gt;"X",$F1112&lt;&gt;"Réalisé",$F1112&lt;&gt;"Clôturé"),"≤ 7 j",""))</f>
        <v/>
      </c>
      <c r="M1112" s="29">
        <f>IF($B1112="","",IFERROR(INDEX($T$4:$T$3183,MATCH(SMALL($V$4:$V$3183,1109),$V$4:$V$3183,0)),""))</f>
        <v/>
      </c>
      <c r="O1112">
        <f>IF(INDEX(Suivi!$B:$B,1133)="","",INDEX(Suivi!$B:$B,1133))</f>
        <v/>
      </c>
      <c r="P1112">
        <f>IF($O1112="","",IF(INDEX(Suivi!$D:$D,1133)="",INDEX(Suivi!$C:$C,1133),INDEX(Suivi!$D:$D,1133)))</f>
        <v/>
      </c>
      <c r="Q1112">
        <f>IF($O1112="","",INDEX(Suivi!$E:$E,1133))</f>
        <v/>
      </c>
      <c r="R1112">
        <f>IF($O1112="","",INDEX(Suivi!$F:$F,1133))</f>
        <v/>
      </c>
      <c r="S1112">
        <f>IF($O1112="","",INDEX(Suivi!$G:$G,1133))</f>
        <v/>
      </c>
      <c r="T1112">
        <f>IF($O1112="","",IF(INDEX(Dossiers!$F$4:$F$63,21)="","",INDEX(Dossiers!$F$4:$F$63,21)))</f>
        <v/>
      </c>
      <c r="U1112">
        <f>IF($O1112="","",IF(INDEX(Dossiers!$G$4:$G$63,21)="","",INDEX(Dossiers!$G$4:$G$63,21)))</f>
        <v/>
      </c>
      <c r="V1112">
        <f>IF(OR($O1112="",NOT(ISNUMBER($Q1112))),"",$Q1112*1000000+1112)</f>
        <v/>
      </c>
      <c r="W1112" s="29">
        <f>IF($B1112="","",IFERROR(INDEX($U$4:$U$3183,MATCH(SMALL($V$4:$V$3183,1109),$V$4:$V$3183,0)),""))</f>
        <v/>
      </c>
    </row>
    <row r="1113">
      <c r="A1113">
        <f>IFERROR(INDEX($N$4:$N$3183,MATCH(SMALL($V$4:$V$3183,1110),$V$4:$V$3183,0)),"")</f>
        <v/>
      </c>
      <c r="B1113">
        <f>IFERROR(INDEX($O$4:$O$3183,MATCH(SMALL($V$4:$V$3183,1110),$V$4:$V$3183,0)),"")</f>
        <v/>
      </c>
      <c r="C1113">
        <f>IFERROR(INDEX($P$4:$P$3183,MATCH(SMALL($V$4:$V$3183,1110),$V$4:$V$3183,0)),"")</f>
        <v/>
      </c>
      <c r="D1113" s="29">
        <f>IFERROR(INDEX($Q$4:$Q$3183,MATCH(SMALL($V$4:$V$3183,1110),$V$4:$V$3183,0)),"")</f>
        <v/>
      </c>
      <c r="E1113" s="29">
        <f>IFERROR(INDEX($R$4:$R$3183,MATCH(SMALL($V$4:$V$3183,1110),$V$4:$V$3183,0)),"")</f>
        <v/>
      </c>
      <c r="F1113">
        <f>IFERROR(INDEX($S$4:$S$3183,MATCH(SMALL($V$4:$V$3183,1110),$V$4:$V$3183,0)),"")</f>
        <v/>
      </c>
      <c r="I1113" s="29">
        <f>IF($B1113="","",IFERROR(INDEX($U$4:$U$3183,MATCH(SMALL($V$4:$V$3183,1110),$V$4:$V$3183,0)),""))</f>
        <v/>
      </c>
      <c r="J1113">
        <f>IF($B1113="","",IF($D1113&gt;$F$2,"À venir",IF($E1113&lt;$D$2,"Passé","Dans la période")))</f>
        <v/>
      </c>
      <c r="K1113">
        <f>IF(OR($B1113="",NOT(ISNUMBER($D1113))),"",IF(AND($E1113&lt;$D$2,$G1113&lt;&gt;"X",$F1113&lt;&gt;"Réalisé",$F1113&lt;&gt;"Clôturé"),"RETARD",""))</f>
        <v/>
      </c>
      <c r="L1113">
        <f>IF(OR($B1113="",NOT(ISNUMBER($D1113))),"",IF(AND($D1113&gt;=$D$2,$D1113&lt;=$H$2,$G1113&lt;&gt;"X",$F1113&lt;&gt;"Réalisé",$F1113&lt;&gt;"Clôturé"),"≤ 7 j",""))</f>
        <v/>
      </c>
      <c r="M1113" s="29">
        <f>IF($B1113="","",IFERROR(INDEX($T$4:$T$3183,MATCH(SMALL($V$4:$V$3183,1110),$V$4:$V$3183,0)),""))</f>
        <v/>
      </c>
      <c r="O1113">
        <f>IF(INDEX(Suivi!$B:$B,1134)="","",INDEX(Suivi!$B:$B,1134))</f>
        <v/>
      </c>
      <c r="P1113">
        <f>IF($O1113="","",IF(INDEX(Suivi!$D:$D,1134)="",INDEX(Suivi!$C:$C,1134),INDEX(Suivi!$D:$D,1134)))</f>
        <v/>
      </c>
      <c r="Q1113">
        <f>IF($O1113="","",INDEX(Suivi!$E:$E,1134))</f>
        <v/>
      </c>
      <c r="R1113">
        <f>IF($O1113="","",INDEX(Suivi!$F:$F,1134))</f>
        <v/>
      </c>
      <c r="S1113">
        <f>IF($O1113="","",INDEX(Suivi!$G:$G,1134))</f>
        <v/>
      </c>
      <c r="T1113">
        <f>IF($O1113="","",IF(INDEX(Dossiers!$F$4:$F$63,21)="","",INDEX(Dossiers!$F$4:$F$63,21)))</f>
        <v/>
      </c>
      <c r="U1113">
        <f>IF($O1113="","",IF(INDEX(Dossiers!$G$4:$G$63,21)="","",INDEX(Dossiers!$G$4:$G$63,21)))</f>
        <v/>
      </c>
      <c r="V1113">
        <f>IF(OR($O1113="",NOT(ISNUMBER($Q1113))),"",$Q1113*1000000+1113)</f>
        <v/>
      </c>
      <c r="W1113" s="29">
        <f>IF($B1113="","",IFERROR(INDEX($U$4:$U$3183,MATCH(SMALL($V$4:$V$3183,1110),$V$4:$V$3183,0)),""))</f>
        <v/>
      </c>
    </row>
    <row r="1114">
      <c r="A1114">
        <f>IFERROR(INDEX($N$4:$N$3183,MATCH(SMALL($V$4:$V$3183,1111),$V$4:$V$3183,0)),"")</f>
        <v/>
      </c>
      <c r="B1114">
        <f>IFERROR(INDEX($O$4:$O$3183,MATCH(SMALL($V$4:$V$3183,1111),$V$4:$V$3183,0)),"")</f>
        <v/>
      </c>
      <c r="C1114">
        <f>IFERROR(INDEX($P$4:$P$3183,MATCH(SMALL($V$4:$V$3183,1111),$V$4:$V$3183,0)),"")</f>
        <v/>
      </c>
      <c r="D1114" s="29">
        <f>IFERROR(INDEX($Q$4:$Q$3183,MATCH(SMALL($V$4:$V$3183,1111),$V$4:$V$3183,0)),"")</f>
        <v/>
      </c>
      <c r="E1114" s="29">
        <f>IFERROR(INDEX($R$4:$R$3183,MATCH(SMALL($V$4:$V$3183,1111),$V$4:$V$3183,0)),"")</f>
        <v/>
      </c>
      <c r="F1114">
        <f>IFERROR(INDEX($S$4:$S$3183,MATCH(SMALL($V$4:$V$3183,1111),$V$4:$V$3183,0)),"")</f>
        <v/>
      </c>
      <c r="I1114" s="29">
        <f>IF($B1114="","",IFERROR(INDEX($U$4:$U$3183,MATCH(SMALL($V$4:$V$3183,1111),$V$4:$V$3183,0)),""))</f>
        <v/>
      </c>
      <c r="J1114">
        <f>IF($B1114="","",IF($D1114&gt;$F$2,"À venir",IF($E1114&lt;$D$2,"Passé","Dans la période")))</f>
        <v/>
      </c>
      <c r="K1114">
        <f>IF(OR($B1114="",NOT(ISNUMBER($D1114))),"",IF(AND($E1114&lt;$D$2,$G1114&lt;&gt;"X",$F1114&lt;&gt;"Réalisé",$F1114&lt;&gt;"Clôturé"),"RETARD",""))</f>
        <v/>
      </c>
      <c r="L1114">
        <f>IF(OR($B1114="",NOT(ISNUMBER($D1114))),"",IF(AND($D1114&gt;=$D$2,$D1114&lt;=$H$2,$G1114&lt;&gt;"X",$F1114&lt;&gt;"Réalisé",$F1114&lt;&gt;"Clôturé"),"≤ 7 j",""))</f>
        <v/>
      </c>
      <c r="M1114" s="29">
        <f>IF($B1114="","",IFERROR(INDEX($T$4:$T$3183,MATCH(SMALL($V$4:$V$3183,1111),$V$4:$V$3183,0)),""))</f>
        <v/>
      </c>
      <c r="O1114">
        <f>IF(INDEX(Suivi!$B:$B,1135)="","",INDEX(Suivi!$B:$B,1135))</f>
        <v/>
      </c>
      <c r="P1114">
        <f>IF($O1114="","",IF(INDEX(Suivi!$D:$D,1135)="",INDEX(Suivi!$C:$C,1135),INDEX(Suivi!$D:$D,1135)))</f>
        <v/>
      </c>
      <c r="Q1114">
        <f>IF($O1114="","",INDEX(Suivi!$E:$E,1135))</f>
        <v/>
      </c>
      <c r="R1114">
        <f>IF($O1114="","",INDEX(Suivi!$F:$F,1135))</f>
        <v/>
      </c>
      <c r="S1114">
        <f>IF($O1114="","",INDEX(Suivi!$G:$G,1135))</f>
        <v/>
      </c>
      <c r="T1114">
        <f>IF($O1114="","",IF(INDEX(Dossiers!$F$4:$F$63,21)="","",INDEX(Dossiers!$F$4:$F$63,21)))</f>
        <v/>
      </c>
      <c r="U1114">
        <f>IF($O1114="","",IF(INDEX(Dossiers!$G$4:$G$63,21)="","",INDEX(Dossiers!$G$4:$G$63,21)))</f>
        <v/>
      </c>
      <c r="V1114">
        <f>IF(OR($O1114="",NOT(ISNUMBER($Q1114))),"",$Q1114*1000000+1114)</f>
        <v/>
      </c>
      <c r="W1114" s="29">
        <f>IF($B1114="","",IFERROR(INDEX($U$4:$U$3183,MATCH(SMALL($V$4:$V$3183,1111),$V$4:$V$3183,0)),""))</f>
        <v/>
      </c>
    </row>
    <row r="1115">
      <c r="A1115">
        <f>IFERROR(INDEX($N$4:$N$3183,MATCH(SMALL($V$4:$V$3183,1112),$V$4:$V$3183,0)),"")</f>
        <v/>
      </c>
      <c r="B1115">
        <f>IFERROR(INDEX($O$4:$O$3183,MATCH(SMALL($V$4:$V$3183,1112),$V$4:$V$3183,0)),"")</f>
        <v/>
      </c>
      <c r="C1115">
        <f>IFERROR(INDEX($P$4:$P$3183,MATCH(SMALL($V$4:$V$3183,1112),$V$4:$V$3183,0)),"")</f>
        <v/>
      </c>
      <c r="D1115" s="29">
        <f>IFERROR(INDEX($Q$4:$Q$3183,MATCH(SMALL($V$4:$V$3183,1112),$V$4:$V$3183,0)),"")</f>
        <v/>
      </c>
      <c r="E1115" s="29">
        <f>IFERROR(INDEX($R$4:$R$3183,MATCH(SMALL($V$4:$V$3183,1112),$V$4:$V$3183,0)),"")</f>
        <v/>
      </c>
      <c r="F1115">
        <f>IFERROR(INDEX($S$4:$S$3183,MATCH(SMALL($V$4:$V$3183,1112),$V$4:$V$3183,0)),"")</f>
        <v/>
      </c>
      <c r="I1115" s="29">
        <f>IF($B1115="","",IFERROR(INDEX($U$4:$U$3183,MATCH(SMALL($V$4:$V$3183,1112),$V$4:$V$3183,0)),""))</f>
        <v/>
      </c>
      <c r="J1115">
        <f>IF($B1115="","",IF($D1115&gt;$F$2,"À venir",IF($E1115&lt;$D$2,"Passé","Dans la période")))</f>
        <v/>
      </c>
      <c r="K1115">
        <f>IF(OR($B1115="",NOT(ISNUMBER($D1115))),"",IF(AND($E1115&lt;$D$2,$G1115&lt;&gt;"X",$F1115&lt;&gt;"Réalisé",$F1115&lt;&gt;"Clôturé"),"RETARD",""))</f>
        <v/>
      </c>
      <c r="L1115">
        <f>IF(OR($B1115="",NOT(ISNUMBER($D1115))),"",IF(AND($D1115&gt;=$D$2,$D1115&lt;=$H$2,$G1115&lt;&gt;"X",$F1115&lt;&gt;"Réalisé",$F1115&lt;&gt;"Clôturé"),"≤ 7 j",""))</f>
        <v/>
      </c>
      <c r="M1115" s="29">
        <f>IF($B1115="","",IFERROR(INDEX($T$4:$T$3183,MATCH(SMALL($V$4:$V$3183,1112),$V$4:$V$3183,0)),""))</f>
        <v/>
      </c>
      <c r="O1115">
        <f>IF(INDEX(Suivi!$B:$B,1136)="","",INDEX(Suivi!$B:$B,1136))</f>
        <v/>
      </c>
      <c r="P1115">
        <f>IF($O1115="","",IF(INDEX(Suivi!$D:$D,1136)="",INDEX(Suivi!$C:$C,1136),INDEX(Suivi!$D:$D,1136)))</f>
        <v/>
      </c>
      <c r="Q1115">
        <f>IF($O1115="","",INDEX(Suivi!$E:$E,1136))</f>
        <v/>
      </c>
      <c r="R1115">
        <f>IF($O1115="","",INDEX(Suivi!$F:$F,1136))</f>
        <v/>
      </c>
      <c r="S1115">
        <f>IF($O1115="","",INDEX(Suivi!$G:$G,1136))</f>
        <v/>
      </c>
      <c r="T1115">
        <f>IF($O1115="","",IF(INDEX(Dossiers!$F$4:$F$63,21)="","",INDEX(Dossiers!$F$4:$F$63,21)))</f>
        <v/>
      </c>
      <c r="U1115">
        <f>IF($O1115="","",IF(INDEX(Dossiers!$G$4:$G$63,21)="","",INDEX(Dossiers!$G$4:$G$63,21)))</f>
        <v/>
      </c>
      <c r="V1115">
        <f>IF(OR($O1115="",NOT(ISNUMBER($Q1115))),"",$Q1115*1000000+1115)</f>
        <v/>
      </c>
      <c r="W1115" s="29">
        <f>IF($B1115="","",IFERROR(INDEX($U$4:$U$3183,MATCH(SMALL($V$4:$V$3183,1112),$V$4:$V$3183,0)),""))</f>
        <v/>
      </c>
    </row>
    <row r="1116">
      <c r="A1116">
        <f>IFERROR(INDEX($N$4:$N$3183,MATCH(SMALL($V$4:$V$3183,1113),$V$4:$V$3183,0)),"")</f>
        <v/>
      </c>
      <c r="B1116">
        <f>IFERROR(INDEX($O$4:$O$3183,MATCH(SMALL($V$4:$V$3183,1113),$V$4:$V$3183,0)),"")</f>
        <v/>
      </c>
      <c r="C1116">
        <f>IFERROR(INDEX($P$4:$P$3183,MATCH(SMALL($V$4:$V$3183,1113),$V$4:$V$3183,0)),"")</f>
        <v/>
      </c>
      <c r="D1116" s="29">
        <f>IFERROR(INDEX($Q$4:$Q$3183,MATCH(SMALL($V$4:$V$3183,1113),$V$4:$V$3183,0)),"")</f>
        <v/>
      </c>
      <c r="E1116" s="29">
        <f>IFERROR(INDEX($R$4:$R$3183,MATCH(SMALL($V$4:$V$3183,1113),$V$4:$V$3183,0)),"")</f>
        <v/>
      </c>
      <c r="F1116">
        <f>IFERROR(INDEX($S$4:$S$3183,MATCH(SMALL($V$4:$V$3183,1113),$V$4:$V$3183,0)),"")</f>
        <v/>
      </c>
      <c r="I1116" s="29">
        <f>IF($B1116="","",IFERROR(INDEX($U$4:$U$3183,MATCH(SMALL($V$4:$V$3183,1113),$V$4:$V$3183,0)),""))</f>
        <v/>
      </c>
      <c r="J1116">
        <f>IF($B1116="","",IF($D1116&gt;$F$2,"À venir",IF($E1116&lt;$D$2,"Passé","Dans la période")))</f>
        <v/>
      </c>
      <c r="K1116">
        <f>IF(OR($B1116="",NOT(ISNUMBER($D1116))),"",IF(AND($E1116&lt;$D$2,$G1116&lt;&gt;"X",$F1116&lt;&gt;"Réalisé",$F1116&lt;&gt;"Clôturé"),"RETARD",""))</f>
        <v/>
      </c>
      <c r="L1116">
        <f>IF(OR($B1116="",NOT(ISNUMBER($D1116))),"",IF(AND($D1116&gt;=$D$2,$D1116&lt;=$H$2,$G1116&lt;&gt;"X",$F1116&lt;&gt;"Réalisé",$F1116&lt;&gt;"Clôturé"),"≤ 7 j",""))</f>
        <v/>
      </c>
      <c r="M1116" s="29">
        <f>IF($B1116="","",IFERROR(INDEX($T$4:$T$3183,MATCH(SMALL($V$4:$V$3183,1113),$V$4:$V$3183,0)),""))</f>
        <v/>
      </c>
      <c r="O1116">
        <f>IF(INDEX(Suivi!$B:$B,1137)="","",INDEX(Suivi!$B:$B,1137))</f>
        <v/>
      </c>
      <c r="P1116">
        <f>IF($O1116="","",IF(INDEX(Suivi!$D:$D,1137)="",INDEX(Suivi!$C:$C,1137),INDEX(Suivi!$D:$D,1137)))</f>
        <v/>
      </c>
      <c r="Q1116">
        <f>IF($O1116="","",INDEX(Suivi!$E:$E,1137))</f>
        <v/>
      </c>
      <c r="R1116">
        <f>IF($O1116="","",INDEX(Suivi!$F:$F,1137))</f>
        <v/>
      </c>
      <c r="S1116">
        <f>IF($O1116="","",INDEX(Suivi!$G:$G,1137))</f>
        <v/>
      </c>
      <c r="T1116">
        <f>IF($O1116="","",IF(INDEX(Dossiers!$F$4:$F$63,21)="","",INDEX(Dossiers!$F$4:$F$63,21)))</f>
        <v/>
      </c>
      <c r="U1116">
        <f>IF($O1116="","",IF(INDEX(Dossiers!$G$4:$G$63,21)="","",INDEX(Dossiers!$G$4:$G$63,21)))</f>
        <v/>
      </c>
      <c r="V1116">
        <f>IF(OR($O1116="",NOT(ISNUMBER($Q1116))),"",$Q1116*1000000+1116)</f>
        <v/>
      </c>
      <c r="W1116" s="29">
        <f>IF($B1116="","",IFERROR(INDEX($U$4:$U$3183,MATCH(SMALL($V$4:$V$3183,1113),$V$4:$V$3183,0)),""))</f>
        <v/>
      </c>
    </row>
    <row r="1117">
      <c r="A1117">
        <f>IFERROR(INDEX($N$4:$N$3183,MATCH(SMALL($V$4:$V$3183,1114),$V$4:$V$3183,0)),"")</f>
        <v/>
      </c>
      <c r="B1117">
        <f>IFERROR(INDEX($O$4:$O$3183,MATCH(SMALL($V$4:$V$3183,1114),$V$4:$V$3183,0)),"")</f>
        <v/>
      </c>
      <c r="C1117">
        <f>IFERROR(INDEX($P$4:$P$3183,MATCH(SMALL($V$4:$V$3183,1114),$V$4:$V$3183,0)),"")</f>
        <v/>
      </c>
      <c r="D1117" s="29">
        <f>IFERROR(INDEX($Q$4:$Q$3183,MATCH(SMALL($V$4:$V$3183,1114),$V$4:$V$3183,0)),"")</f>
        <v/>
      </c>
      <c r="E1117" s="29">
        <f>IFERROR(INDEX($R$4:$R$3183,MATCH(SMALL($V$4:$V$3183,1114),$V$4:$V$3183,0)),"")</f>
        <v/>
      </c>
      <c r="F1117">
        <f>IFERROR(INDEX($S$4:$S$3183,MATCH(SMALL($V$4:$V$3183,1114),$V$4:$V$3183,0)),"")</f>
        <v/>
      </c>
      <c r="I1117" s="29">
        <f>IF($B1117="","",IFERROR(INDEX($U$4:$U$3183,MATCH(SMALL($V$4:$V$3183,1114),$V$4:$V$3183,0)),""))</f>
        <v/>
      </c>
      <c r="J1117">
        <f>IF($B1117="","",IF($D1117&gt;$F$2,"À venir",IF($E1117&lt;$D$2,"Passé","Dans la période")))</f>
        <v/>
      </c>
      <c r="K1117">
        <f>IF(OR($B1117="",NOT(ISNUMBER($D1117))),"",IF(AND($E1117&lt;$D$2,$G1117&lt;&gt;"X",$F1117&lt;&gt;"Réalisé",$F1117&lt;&gt;"Clôturé"),"RETARD",""))</f>
        <v/>
      </c>
      <c r="L1117">
        <f>IF(OR($B1117="",NOT(ISNUMBER($D1117))),"",IF(AND($D1117&gt;=$D$2,$D1117&lt;=$H$2,$G1117&lt;&gt;"X",$F1117&lt;&gt;"Réalisé",$F1117&lt;&gt;"Clôturé"),"≤ 7 j",""))</f>
        <v/>
      </c>
      <c r="M1117" s="29">
        <f>IF($B1117="","",IFERROR(INDEX($T$4:$T$3183,MATCH(SMALL($V$4:$V$3183,1114),$V$4:$V$3183,0)),""))</f>
        <v/>
      </c>
      <c r="O1117">
        <f>IF(INDEX(Suivi!$B:$B,1139)="","",INDEX(Suivi!$B:$B,1139))</f>
        <v/>
      </c>
      <c r="P1117">
        <f>IF($O1117="","",IF(INDEX(Suivi!$D:$D,1139)="",INDEX(Suivi!$C:$C,1139),INDEX(Suivi!$D:$D,1139)))</f>
        <v/>
      </c>
      <c r="Q1117">
        <f>IF($O1117="","",INDEX(Suivi!$E:$E,1139))</f>
        <v/>
      </c>
      <c r="R1117">
        <f>IF($O1117="","",INDEX(Suivi!$F:$F,1139))</f>
        <v/>
      </c>
      <c r="S1117">
        <f>IF($O1117="","",INDEX(Suivi!$G:$G,1139))</f>
        <v/>
      </c>
      <c r="T1117">
        <f>IF($O1117="","",IF(INDEX(Dossiers!$F$4:$F$63,22)="","",INDEX(Dossiers!$F$4:$F$63,22)))</f>
        <v/>
      </c>
      <c r="U1117">
        <f>IF($O1117="","",IF(INDEX(Dossiers!$G$4:$G$63,22)="","",INDEX(Dossiers!$G$4:$G$63,22)))</f>
        <v/>
      </c>
      <c r="V1117">
        <f>IF(OR($O1117="",NOT(ISNUMBER($Q1117))),"",$Q1117*1000000+1117)</f>
        <v/>
      </c>
      <c r="W1117" s="29">
        <f>IF($B1117="","",IFERROR(INDEX($U$4:$U$3183,MATCH(SMALL($V$4:$V$3183,1114),$V$4:$V$3183,0)),""))</f>
        <v/>
      </c>
    </row>
    <row r="1118">
      <c r="A1118">
        <f>IFERROR(INDEX($N$4:$N$3183,MATCH(SMALL($V$4:$V$3183,1115),$V$4:$V$3183,0)),"")</f>
        <v/>
      </c>
      <c r="B1118">
        <f>IFERROR(INDEX($O$4:$O$3183,MATCH(SMALL($V$4:$V$3183,1115),$V$4:$V$3183,0)),"")</f>
        <v/>
      </c>
      <c r="C1118">
        <f>IFERROR(INDEX($P$4:$P$3183,MATCH(SMALL($V$4:$V$3183,1115),$V$4:$V$3183,0)),"")</f>
        <v/>
      </c>
      <c r="D1118" s="29">
        <f>IFERROR(INDEX($Q$4:$Q$3183,MATCH(SMALL($V$4:$V$3183,1115),$V$4:$V$3183,0)),"")</f>
        <v/>
      </c>
      <c r="E1118" s="29">
        <f>IFERROR(INDEX($R$4:$R$3183,MATCH(SMALL($V$4:$V$3183,1115),$V$4:$V$3183,0)),"")</f>
        <v/>
      </c>
      <c r="F1118">
        <f>IFERROR(INDEX($S$4:$S$3183,MATCH(SMALL($V$4:$V$3183,1115),$V$4:$V$3183,0)),"")</f>
        <v/>
      </c>
      <c r="I1118" s="29">
        <f>IF($B1118="","",IFERROR(INDEX($U$4:$U$3183,MATCH(SMALL($V$4:$V$3183,1115),$V$4:$V$3183,0)),""))</f>
        <v/>
      </c>
      <c r="J1118">
        <f>IF($B1118="","",IF($D1118&gt;$F$2,"À venir",IF($E1118&lt;$D$2,"Passé","Dans la période")))</f>
        <v/>
      </c>
      <c r="K1118">
        <f>IF(OR($B1118="",NOT(ISNUMBER($D1118))),"",IF(AND($E1118&lt;$D$2,$G1118&lt;&gt;"X",$F1118&lt;&gt;"Réalisé",$F1118&lt;&gt;"Clôturé"),"RETARD",""))</f>
        <v/>
      </c>
      <c r="L1118">
        <f>IF(OR($B1118="",NOT(ISNUMBER($D1118))),"",IF(AND($D1118&gt;=$D$2,$D1118&lt;=$H$2,$G1118&lt;&gt;"X",$F1118&lt;&gt;"Réalisé",$F1118&lt;&gt;"Clôturé"),"≤ 7 j",""))</f>
        <v/>
      </c>
      <c r="M1118" s="29">
        <f>IF($B1118="","",IFERROR(INDEX($T$4:$T$3183,MATCH(SMALL($V$4:$V$3183,1115),$V$4:$V$3183,0)),""))</f>
        <v/>
      </c>
      <c r="O1118">
        <f>IF(INDEX(Suivi!$B:$B,1140)="","",INDEX(Suivi!$B:$B,1140))</f>
        <v/>
      </c>
      <c r="P1118">
        <f>IF($O1118="","",IF(INDEX(Suivi!$D:$D,1140)="",INDEX(Suivi!$C:$C,1140),INDEX(Suivi!$D:$D,1140)))</f>
        <v/>
      </c>
      <c r="Q1118">
        <f>IF($O1118="","",INDEX(Suivi!$E:$E,1140))</f>
        <v/>
      </c>
      <c r="R1118">
        <f>IF($O1118="","",INDEX(Suivi!$F:$F,1140))</f>
        <v/>
      </c>
      <c r="S1118">
        <f>IF($O1118="","",INDEX(Suivi!$G:$G,1140))</f>
        <v/>
      </c>
      <c r="T1118">
        <f>IF($O1118="","",IF(INDEX(Dossiers!$F$4:$F$63,22)="","",INDEX(Dossiers!$F$4:$F$63,22)))</f>
        <v/>
      </c>
      <c r="U1118">
        <f>IF($O1118="","",IF(INDEX(Dossiers!$G$4:$G$63,22)="","",INDEX(Dossiers!$G$4:$G$63,22)))</f>
        <v/>
      </c>
      <c r="V1118">
        <f>IF(OR($O1118="",NOT(ISNUMBER($Q1118))),"",$Q1118*1000000+1118)</f>
        <v/>
      </c>
      <c r="W1118" s="29">
        <f>IF($B1118="","",IFERROR(INDEX($U$4:$U$3183,MATCH(SMALL($V$4:$V$3183,1115),$V$4:$V$3183,0)),""))</f>
        <v/>
      </c>
    </row>
    <row r="1119">
      <c r="A1119">
        <f>IFERROR(INDEX($N$4:$N$3183,MATCH(SMALL($V$4:$V$3183,1116),$V$4:$V$3183,0)),"")</f>
        <v/>
      </c>
      <c r="B1119">
        <f>IFERROR(INDEX($O$4:$O$3183,MATCH(SMALL($V$4:$V$3183,1116),$V$4:$V$3183,0)),"")</f>
        <v/>
      </c>
      <c r="C1119">
        <f>IFERROR(INDEX($P$4:$P$3183,MATCH(SMALL($V$4:$V$3183,1116),$V$4:$V$3183,0)),"")</f>
        <v/>
      </c>
      <c r="D1119" s="29">
        <f>IFERROR(INDEX($Q$4:$Q$3183,MATCH(SMALL($V$4:$V$3183,1116),$V$4:$V$3183,0)),"")</f>
        <v/>
      </c>
      <c r="E1119" s="29">
        <f>IFERROR(INDEX($R$4:$R$3183,MATCH(SMALL($V$4:$V$3183,1116),$V$4:$V$3183,0)),"")</f>
        <v/>
      </c>
      <c r="F1119">
        <f>IFERROR(INDEX($S$4:$S$3183,MATCH(SMALL($V$4:$V$3183,1116),$V$4:$V$3183,0)),"")</f>
        <v/>
      </c>
      <c r="I1119" s="29">
        <f>IF($B1119="","",IFERROR(INDEX($U$4:$U$3183,MATCH(SMALL($V$4:$V$3183,1116),$V$4:$V$3183,0)),""))</f>
        <v/>
      </c>
      <c r="J1119">
        <f>IF($B1119="","",IF($D1119&gt;$F$2,"À venir",IF($E1119&lt;$D$2,"Passé","Dans la période")))</f>
        <v/>
      </c>
      <c r="K1119">
        <f>IF(OR($B1119="",NOT(ISNUMBER($D1119))),"",IF(AND($E1119&lt;$D$2,$G1119&lt;&gt;"X",$F1119&lt;&gt;"Réalisé",$F1119&lt;&gt;"Clôturé"),"RETARD",""))</f>
        <v/>
      </c>
      <c r="L1119">
        <f>IF(OR($B1119="",NOT(ISNUMBER($D1119))),"",IF(AND($D1119&gt;=$D$2,$D1119&lt;=$H$2,$G1119&lt;&gt;"X",$F1119&lt;&gt;"Réalisé",$F1119&lt;&gt;"Clôturé"),"≤ 7 j",""))</f>
        <v/>
      </c>
      <c r="M1119" s="29">
        <f>IF($B1119="","",IFERROR(INDEX($T$4:$T$3183,MATCH(SMALL($V$4:$V$3183,1116),$V$4:$V$3183,0)),""))</f>
        <v/>
      </c>
      <c r="O1119">
        <f>IF(INDEX(Suivi!$B:$B,1141)="","",INDEX(Suivi!$B:$B,1141))</f>
        <v/>
      </c>
      <c r="P1119">
        <f>IF($O1119="","",IF(INDEX(Suivi!$D:$D,1141)="",INDEX(Suivi!$C:$C,1141),INDEX(Suivi!$D:$D,1141)))</f>
        <v/>
      </c>
      <c r="Q1119">
        <f>IF($O1119="","",INDEX(Suivi!$E:$E,1141))</f>
        <v/>
      </c>
      <c r="R1119">
        <f>IF($O1119="","",INDEX(Suivi!$F:$F,1141))</f>
        <v/>
      </c>
      <c r="S1119">
        <f>IF($O1119="","",INDEX(Suivi!$G:$G,1141))</f>
        <v/>
      </c>
      <c r="T1119">
        <f>IF($O1119="","",IF(INDEX(Dossiers!$F$4:$F$63,22)="","",INDEX(Dossiers!$F$4:$F$63,22)))</f>
        <v/>
      </c>
      <c r="U1119">
        <f>IF($O1119="","",IF(INDEX(Dossiers!$G$4:$G$63,22)="","",INDEX(Dossiers!$G$4:$G$63,22)))</f>
        <v/>
      </c>
      <c r="V1119">
        <f>IF(OR($O1119="",NOT(ISNUMBER($Q1119))),"",$Q1119*1000000+1119)</f>
        <v/>
      </c>
      <c r="W1119" s="29">
        <f>IF($B1119="","",IFERROR(INDEX($U$4:$U$3183,MATCH(SMALL($V$4:$V$3183,1116),$V$4:$V$3183,0)),""))</f>
        <v/>
      </c>
    </row>
    <row r="1120">
      <c r="A1120">
        <f>IFERROR(INDEX($N$4:$N$3183,MATCH(SMALL($V$4:$V$3183,1117),$V$4:$V$3183,0)),"")</f>
        <v/>
      </c>
      <c r="B1120">
        <f>IFERROR(INDEX($O$4:$O$3183,MATCH(SMALL($V$4:$V$3183,1117),$V$4:$V$3183,0)),"")</f>
        <v/>
      </c>
      <c r="C1120">
        <f>IFERROR(INDEX($P$4:$P$3183,MATCH(SMALL($V$4:$V$3183,1117),$V$4:$V$3183,0)),"")</f>
        <v/>
      </c>
      <c r="D1120" s="29">
        <f>IFERROR(INDEX($Q$4:$Q$3183,MATCH(SMALL($V$4:$V$3183,1117),$V$4:$V$3183,0)),"")</f>
        <v/>
      </c>
      <c r="E1120" s="29">
        <f>IFERROR(INDEX($R$4:$R$3183,MATCH(SMALL($V$4:$V$3183,1117),$V$4:$V$3183,0)),"")</f>
        <v/>
      </c>
      <c r="F1120">
        <f>IFERROR(INDEX($S$4:$S$3183,MATCH(SMALL($V$4:$V$3183,1117),$V$4:$V$3183,0)),"")</f>
        <v/>
      </c>
      <c r="I1120" s="29">
        <f>IF($B1120="","",IFERROR(INDEX($U$4:$U$3183,MATCH(SMALL($V$4:$V$3183,1117),$V$4:$V$3183,0)),""))</f>
        <v/>
      </c>
      <c r="J1120">
        <f>IF($B1120="","",IF($D1120&gt;$F$2,"À venir",IF($E1120&lt;$D$2,"Passé","Dans la période")))</f>
        <v/>
      </c>
      <c r="K1120">
        <f>IF(OR($B1120="",NOT(ISNUMBER($D1120))),"",IF(AND($E1120&lt;$D$2,$G1120&lt;&gt;"X",$F1120&lt;&gt;"Réalisé",$F1120&lt;&gt;"Clôturé"),"RETARD",""))</f>
        <v/>
      </c>
      <c r="L1120">
        <f>IF(OR($B1120="",NOT(ISNUMBER($D1120))),"",IF(AND($D1120&gt;=$D$2,$D1120&lt;=$H$2,$G1120&lt;&gt;"X",$F1120&lt;&gt;"Réalisé",$F1120&lt;&gt;"Clôturé"),"≤ 7 j",""))</f>
        <v/>
      </c>
      <c r="M1120" s="29">
        <f>IF($B1120="","",IFERROR(INDEX($T$4:$T$3183,MATCH(SMALL($V$4:$V$3183,1117),$V$4:$V$3183,0)),""))</f>
        <v/>
      </c>
      <c r="O1120">
        <f>IF(INDEX(Suivi!$B:$B,1142)="","",INDEX(Suivi!$B:$B,1142))</f>
        <v/>
      </c>
      <c r="P1120">
        <f>IF($O1120="","",IF(INDEX(Suivi!$D:$D,1142)="",INDEX(Suivi!$C:$C,1142),INDEX(Suivi!$D:$D,1142)))</f>
        <v/>
      </c>
      <c r="Q1120">
        <f>IF($O1120="","",INDEX(Suivi!$E:$E,1142))</f>
        <v/>
      </c>
      <c r="R1120">
        <f>IF($O1120="","",INDEX(Suivi!$F:$F,1142))</f>
        <v/>
      </c>
      <c r="S1120">
        <f>IF($O1120="","",INDEX(Suivi!$G:$G,1142))</f>
        <v/>
      </c>
      <c r="T1120">
        <f>IF($O1120="","",IF(INDEX(Dossiers!$F$4:$F$63,22)="","",INDEX(Dossiers!$F$4:$F$63,22)))</f>
        <v/>
      </c>
      <c r="U1120">
        <f>IF($O1120="","",IF(INDEX(Dossiers!$G$4:$G$63,22)="","",INDEX(Dossiers!$G$4:$G$63,22)))</f>
        <v/>
      </c>
      <c r="V1120">
        <f>IF(OR($O1120="",NOT(ISNUMBER($Q1120))),"",$Q1120*1000000+1120)</f>
        <v/>
      </c>
      <c r="W1120" s="29">
        <f>IF($B1120="","",IFERROR(INDEX($U$4:$U$3183,MATCH(SMALL($V$4:$V$3183,1117),$V$4:$V$3183,0)),""))</f>
        <v/>
      </c>
    </row>
    <row r="1121">
      <c r="A1121">
        <f>IFERROR(INDEX($N$4:$N$3183,MATCH(SMALL($V$4:$V$3183,1118),$V$4:$V$3183,0)),"")</f>
        <v/>
      </c>
      <c r="B1121">
        <f>IFERROR(INDEX($O$4:$O$3183,MATCH(SMALL($V$4:$V$3183,1118),$V$4:$V$3183,0)),"")</f>
        <v/>
      </c>
      <c r="C1121">
        <f>IFERROR(INDEX($P$4:$P$3183,MATCH(SMALL($V$4:$V$3183,1118),$V$4:$V$3183,0)),"")</f>
        <v/>
      </c>
      <c r="D1121" s="29">
        <f>IFERROR(INDEX($Q$4:$Q$3183,MATCH(SMALL($V$4:$V$3183,1118),$V$4:$V$3183,0)),"")</f>
        <v/>
      </c>
      <c r="E1121" s="29">
        <f>IFERROR(INDEX($R$4:$R$3183,MATCH(SMALL($V$4:$V$3183,1118),$V$4:$V$3183,0)),"")</f>
        <v/>
      </c>
      <c r="F1121">
        <f>IFERROR(INDEX($S$4:$S$3183,MATCH(SMALL($V$4:$V$3183,1118),$V$4:$V$3183,0)),"")</f>
        <v/>
      </c>
      <c r="I1121" s="29">
        <f>IF($B1121="","",IFERROR(INDEX($U$4:$U$3183,MATCH(SMALL($V$4:$V$3183,1118),$V$4:$V$3183,0)),""))</f>
        <v/>
      </c>
      <c r="J1121">
        <f>IF($B1121="","",IF($D1121&gt;$F$2,"À venir",IF($E1121&lt;$D$2,"Passé","Dans la période")))</f>
        <v/>
      </c>
      <c r="K1121">
        <f>IF(OR($B1121="",NOT(ISNUMBER($D1121))),"",IF(AND($E1121&lt;$D$2,$G1121&lt;&gt;"X",$F1121&lt;&gt;"Réalisé",$F1121&lt;&gt;"Clôturé"),"RETARD",""))</f>
        <v/>
      </c>
      <c r="L1121">
        <f>IF(OR($B1121="",NOT(ISNUMBER($D1121))),"",IF(AND($D1121&gt;=$D$2,$D1121&lt;=$H$2,$G1121&lt;&gt;"X",$F1121&lt;&gt;"Réalisé",$F1121&lt;&gt;"Clôturé"),"≤ 7 j",""))</f>
        <v/>
      </c>
      <c r="M1121" s="29">
        <f>IF($B1121="","",IFERROR(INDEX($T$4:$T$3183,MATCH(SMALL($V$4:$V$3183,1118),$V$4:$V$3183,0)),""))</f>
        <v/>
      </c>
      <c r="O1121">
        <f>IF(INDEX(Suivi!$B:$B,1143)="","",INDEX(Suivi!$B:$B,1143))</f>
        <v/>
      </c>
      <c r="P1121">
        <f>IF($O1121="","",IF(INDEX(Suivi!$D:$D,1143)="",INDEX(Suivi!$C:$C,1143),INDEX(Suivi!$D:$D,1143)))</f>
        <v/>
      </c>
      <c r="Q1121">
        <f>IF($O1121="","",INDEX(Suivi!$E:$E,1143))</f>
        <v/>
      </c>
      <c r="R1121">
        <f>IF($O1121="","",INDEX(Suivi!$F:$F,1143))</f>
        <v/>
      </c>
      <c r="S1121">
        <f>IF($O1121="","",INDEX(Suivi!$G:$G,1143))</f>
        <v/>
      </c>
      <c r="T1121">
        <f>IF($O1121="","",IF(INDEX(Dossiers!$F$4:$F$63,22)="","",INDEX(Dossiers!$F$4:$F$63,22)))</f>
        <v/>
      </c>
      <c r="U1121">
        <f>IF($O1121="","",IF(INDEX(Dossiers!$G$4:$G$63,22)="","",INDEX(Dossiers!$G$4:$G$63,22)))</f>
        <v/>
      </c>
      <c r="V1121">
        <f>IF(OR($O1121="",NOT(ISNUMBER($Q1121))),"",$Q1121*1000000+1121)</f>
        <v/>
      </c>
      <c r="W1121" s="29">
        <f>IF($B1121="","",IFERROR(INDEX($U$4:$U$3183,MATCH(SMALL($V$4:$V$3183,1118),$V$4:$V$3183,0)),""))</f>
        <v/>
      </c>
    </row>
    <row r="1122">
      <c r="A1122">
        <f>IFERROR(INDEX($N$4:$N$3183,MATCH(SMALL($V$4:$V$3183,1119),$V$4:$V$3183,0)),"")</f>
        <v/>
      </c>
      <c r="B1122">
        <f>IFERROR(INDEX($O$4:$O$3183,MATCH(SMALL($V$4:$V$3183,1119),$V$4:$V$3183,0)),"")</f>
        <v/>
      </c>
      <c r="C1122">
        <f>IFERROR(INDEX($P$4:$P$3183,MATCH(SMALL($V$4:$V$3183,1119),$V$4:$V$3183,0)),"")</f>
        <v/>
      </c>
      <c r="D1122" s="29">
        <f>IFERROR(INDEX($Q$4:$Q$3183,MATCH(SMALL($V$4:$V$3183,1119),$V$4:$V$3183,0)),"")</f>
        <v/>
      </c>
      <c r="E1122" s="29">
        <f>IFERROR(INDEX($R$4:$R$3183,MATCH(SMALL($V$4:$V$3183,1119),$V$4:$V$3183,0)),"")</f>
        <v/>
      </c>
      <c r="F1122">
        <f>IFERROR(INDEX($S$4:$S$3183,MATCH(SMALL($V$4:$V$3183,1119),$V$4:$V$3183,0)),"")</f>
        <v/>
      </c>
      <c r="I1122" s="29">
        <f>IF($B1122="","",IFERROR(INDEX($U$4:$U$3183,MATCH(SMALL($V$4:$V$3183,1119),$V$4:$V$3183,0)),""))</f>
        <v/>
      </c>
      <c r="J1122">
        <f>IF($B1122="","",IF($D1122&gt;$F$2,"À venir",IF($E1122&lt;$D$2,"Passé","Dans la période")))</f>
        <v/>
      </c>
      <c r="K1122">
        <f>IF(OR($B1122="",NOT(ISNUMBER($D1122))),"",IF(AND($E1122&lt;$D$2,$G1122&lt;&gt;"X",$F1122&lt;&gt;"Réalisé",$F1122&lt;&gt;"Clôturé"),"RETARD",""))</f>
        <v/>
      </c>
      <c r="L1122">
        <f>IF(OR($B1122="",NOT(ISNUMBER($D1122))),"",IF(AND($D1122&gt;=$D$2,$D1122&lt;=$H$2,$G1122&lt;&gt;"X",$F1122&lt;&gt;"Réalisé",$F1122&lt;&gt;"Clôturé"),"≤ 7 j",""))</f>
        <v/>
      </c>
      <c r="M1122" s="29">
        <f>IF($B1122="","",IFERROR(INDEX($T$4:$T$3183,MATCH(SMALL($V$4:$V$3183,1119),$V$4:$V$3183,0)),""))</f>
        <v/>
      </c>
      <c r="O1122">
        <f>IF(INDEX(Suivi!$B:$B,1144)="","",INDEX(Suivi!$B:$B,1144))</f>
        <v/>
      </c>
      <c r="P1122">
        <f>IF($O1122="","",IF(INDEX(Suivi!$D:$D,1144)="",INDEX(Suivi!$C:$C,1144),INDEX(Suivi!$D:$D,1144)))</f>
        <v/>
      </c>
      <c r="Q1122">
        <f>IF($O1122="","",INDEX(Suivi!$E:$E,1144))</f>
        <v/>
      </c>
      <c r="R1122">
        <f>IF($O1122="","",INDEX(Suivi!$F:$F,1144))</f>
        <v/>
      </c>
      <c r="S1122">
        <f>IF($O1122="","",INDEX(Suivi!$G:$G,1144))</f>
        <v/>
      </c>
      <c r="T1122">
        <f>IF($O1122="","",IF(INDEX(Dossiers!$F$4:$F$63,22)="","",INDEX(Dossiers!$F$4:$F$63,22)))</f>
        <v/>
      </c>
      <c r="U1122">
        <f>IF($O1122="","",IF(INDEX(Dossiers!$G$4:$G$63,22)="","",INDEX(Dossiers!$G$4:$G$63,22)))</f>
        <v/>
      </c>
      <c r="V1122">
        <f>IF(OR($O1122="",NOT(ISNUMBER($Q1122))),"",$Q1122*1000000+1122)</f>
        <v/>
      </c>
      <c r="W1122" s="29">
        <f>IF($B1122="","",IFERROR(INDEX($U$4:$U$3183,MATCH(SMALL($V$4:$V$3183,1119),$V$4:$V$3183,0)),""))</f>
        <v/>
      </c>
    </row>
    <row r="1123">
      <c r="A1123">
        <f>IFERROR(INDEX($N$4:$N$3183,MATCH(SMALL($V$4:$V$3183,1120),$V$4:$V$3183,0)),"")</f>
        <v/>
      </c>
      <c r="B1123">
        <f>IFERROR(INDEX($O$4:$O$3183,MATCH(SMALL($V$4:$V$3183,1120),$V$4:$V$3183,0)),"")</f>
        <v/>
      </c>
      <c r="C1123">
        <f>IFERROR(INDEX($P$4:$P$3183,MATCH(SMALL($V$4:$V$3183,1120),$V$4:$V$3183,0)),"")</f>
        <v/>
      </c>
      <c r="D1123" s="29">
        <f>IFERROR(INDEX($Q$4:$Q$3183,MATCH(SMALL($V$4:$V$3183,1120),$V$4:$V$3183,0)),"")</f>
        <v/>
      </c>
      <c r="E1123" s="29">
        <f>IFERROR(INDEX($R$4:$R$3183,MATCH(SMALL($V$4:$V$3183,1120),$V$4:$V$3183,0)),"")</f>
        <v/>
      </c>
      <c r="F1123">
        <f>IFERROR(INDEX($S$4:$S$3183,MATCH(SMALL($V$4:$V$3183,1120),$V$4:$V$3183,0)),"")</f>
        <v/>
      </c>
      <c r="I1123" s="29">
        <f>IF($B1123="","",IFERROR(INDEX($U$4:$U$3183,MATCH(SMALL($V$4:$V$3183,1120),$V$4:$V$3183,0)),""))</f>
        <v/>
      </c>
      <c r="J1123">
        <f>IF($B1123="","",IF($D1123&gt;$F$2,"À venir",IF($E1123&lt;$D$2,"Passé","Dans la période")))</f>
        <v/>
      </c>
      <c r="K1123">
        <f>IF(OR($B1123="",NOT(ISNUMBER($D1123))),"",IF(AND($E1123&lt;$D$2,$G1123&lt;&gt;"X",$F1123&lt;&gt;"Réalisé",$F1123&lt;&gt;"Clôturé"),"RETARD",""))</f>
        <v/>
      </c>
      <c r="L1123">
        <f>IF(OR($B1123="",NOT(ISNUMBER($D1123))),"",IF(AND($D1123&gt;=$D$2,$D1123&lt;=$H$2,$G1123&lt;&gt;"X",$F1123&lt;&gt;"Réalisé",$F1123&lt;&gt;"Clôturé"),"≤ 7 j",""))</f>
        <v/>
      </c>
      <c r="M1123" s="29">
        <f>IF($B1123="","",IFERROR(INDEX($T$4:$T$3183,MATCH(SMALL($V$4:$V$3183,1120),$V$4:$V$3183,0)),""))</f>
        <v/>
      </c>
      <c r="O1123">
        <f>IF(INDEX(Suivi!$B:$B,1145)="","",INDEX(Suivi!$B:$B,1145))</f>
        <v/>
      </c>
      <c r="P1123">
        <f>IF($O1123="","",IF(INDEX(Suivi!$D:$D,1145)="",INDEX(Suivi!$C:$C,1145),INDEX(Suivi!$D:$D,1145)))</f>
        <v/>
      </c>
      <c r="Q1123">
        <f>IF($O1123="","",INDEX(Suivi!$E:$E,1145))</f>
        <v/>
      </c>
      <c r="R1123">
        <f>IF($O1123="","",INDEX(Suivi!$F:$F,1145))</f>
        <v/>
      </c>
      <c r="S1123">
        <f>IF($O1123="","",INDEX(Suivi!$G:$G,1145))</f>
        <v/>
      </c>
      <c r="T1123">
        <f>IF($O1123="","",IF(INDEX(Dossiers!$F$4:$F$63,22)="","",INDEX(Dossiers!$F$4:$F$63,22)))</f>
        <v/>
      </c>
      <c r="U1123">
        <f>IF($O1123="","",IF(INDEX(Dossiers!$G$4:$G$63,22)="","",INDEX(Dossiers!$G$4:$G$63,22)))</f>
        <v/>
      </c>
      <c r="V1123">
        <f>IF(OR($O1123="",NOT(ISNUMBER($Q1123))),"",$Q1123*1000000+1123)</f>
        <v/>
      </c>
      <c r="W1123" s="29">
        <f>IF($B1123="","",IFERROR(INDEX($U$4:$U$3183,MATCH(SMALL($V$4:$V$3183,1120),$V$4:$V$3183,0)),""))</f>
        <v/>
      </c>
    </row>
    <row r="1124">
      <c r="A1124">
        <f>IFERROR(INDEX($N$4:$N$3183,MATCH(SMALL($V$4:$V$3183,1121),$V$4:$V$3183,0)),"")</f>
        <v/>
      </c>
      <c r="B1124">
        <f>IFERROR(INDEX($O$4:$O$3183,MATCH(SMALL($V$4:$V$3183,1121),$V$4:$V$3183,0)),"")</f>
        <v/>
      </c>
      <c r="C1124">
        <f>IFERROR(INDEX($P$4:$P$3183,MATCH(SMALL($V$4:$V$3183,1121),$V$4:$V$3183,0)),"")</f>
        <v/>
      </c>
      <c r="D1124" s="29">
        <f>IFERROR(INDEX($Q$4:$Q$3183,MATCH(SMALL($V$4:$V$3183,1121),$V$4:$V$3183,0)),"")</f>
        <v/>
      </c>
      <c r="E1124" s="29">
        <f>IFERROR(INDEX($R$4:$R$3183,MATCH(SMALL($V$4:$V$3183,1121),$V$4:$V$3183,0)),"")</f>
        <v/>
      </c>
      <c r="F1124">
        <f>IFERROR(INDEX($S$4:$S$3183,MATCH(SMALL($V$4:$V$3183,1121),$V$4:$V$3183,0)),"")</f>
        <v/>
      </c>
      <c r="I1124" s="29">
        <f>IF($B1124="","",IFERROR(INDEX($U$4:$U$3183,MATCH(SMALL($V$4:$V$3183,1121),$V$4:$V$3183,0)),""))</f>
        <v/>
      </c>
      <c r="J1124">
        <f>IF($B1124="","",IF($D1124&gt;$F$2,"À venir",IF($E1124&lt;$D$2,"Passé","Dans la période")))</f>
        <v/>
      </c>
      <c r="K1124">
        <f>IF(OR($B1124="",NOT(ISNUMBER($D1124))),"",IF(AND($E1124&lt;$D$2,$G1124&lt;&gt;"X",$F1124&lt;&gt;"Réalisé",$F1124&lt;&gt;"Clôturé"),"RETARD",""))</f>
        <v/>
      </c>
      <c r="L1124">
        <f>IF(OR($B1124="",NOT(ISNUMBER($D1124))),"",IF(AND($D1124&gt;=$D$2,$D1124&lt;=$H$2,$G1124&lt;&gt;"X",$F1124&lt;&gt;"Réalisé",$F1124&lt;&gt;"Clôturé"),"≤ 7 j",""))</f>
        <v/>
      </c>
      <c r="M1124" s="29">
        <f>IF($B1124="","",IFERROR(INDEX($T$4:$T$3183,MATCH(SMALL($V$4:$V$3183,1121),$V$4:$V$3183,0)),""))</f>
        <v/>
      </c>
      <c r="O1124">
        <f>IF(INDEX(Suivi!$B:$B,1146)="","",INDEX(Suivi!$B:$B,1146))</f>
        <v/>
      </c>
      <c r="P1124">
        <f>IF($O1124="","",IF(INDEX(Suivi!$D:$D,1146)="",INDEX(Suivi!$C:$C,1146),INDEX(Suivi!$D:$D,1146)))</f>
        <v/>
      </c>
      <c r="Q1124">
        <f>IF($O1124="","",INDEX(Suivi!$E:$E,1146))</f>
        <v/>
      </c>
      <c r="R1124">
        <f>IF($O1124="","",INDEX(Suivi!$F:$F,1146))</f>
        <v/>
      </c>
      <c r="S1124">
        <f>IF($O1124="","",INDEX(Suivi!$G:$G,1146))</f>
        <v/>
      </c>
      <c r="T1124">
        <f>IF($O1124="","",IF(INDEX(Dossiers!$F$4:$F$63,22)="","",INDEX(Dossiers!$F$4:$F$63,22)))</f>
        <v/>
      </c>
      <c r="U1124">
        <f>IF($O1124="","",IF(INDEX(Dossiers!$G$4:$G$63,22)="","",INDEX(Dossiers!$G$4:$G$63,22)))</f>
        <v/>
      </c>
      <c r="V1124">
        <f>IF(OR($O1124="",NOT(ISNUMBER($Q1124))),"",$Q1124*1000000+1124)</f>
        <v/>
      </c>
      <c r="W1124" s="29">
        <f>IF($B1124="","",IFERROR(INDEX($U$4:$U$3183,MATCH(SMALL($V$4:$V$3183,1121),$V$4:$V$3183,0)),""))</f>
        <v/>
      </c>
    </row>
    <row r="1125">
      <c r="A1125">
        <f>IFERROR(INDEX($N$4:$N$3183,MATCH(SMALL($V$4:$V$3183,1122),$V$4:$V$3183,0)),"")</f>
        <v/>
      </c>
      <c r="B1125">
        <f>IFERROR(INDEX($O$4:$O$3183,MATCH(SMALL($V$4:$V$3183,1122),$V$4:$V$3183,0)),"")</f>
        <v/>
      </c>
      <c r="C1125">
        <f>IFERROR(INDEX($P$4:$P$3183,MATCH(SMALL($V$4:$V$3183,1122),$V$4:$V$3183,0)),"")</f>
        <v/>
      </c>
      <c r="D1125" s="29">
        <f>IFERROR(INDEX($Q$4:$Q$3183,MATCH(SMALL($V$4:$V$3183,1122),$V$4:$V$3183,0)),"")</f>
        <v/>
      </c>
      <c r="E1125" s="29">
        <f>IFERROR(INDEX($R$4:$R$3183,MATCH(SMALL($V$4:$V$3183,1122),$V$4:$V$3183,0)),"")</f>
        <v/>
      </c>
      <c r="F1125">
        <f>IFERROR(INDEX($S$4:$S$3183,MATCH(SMALL($V$4:$V$3183,1122),$V$4:$V$3183,0)),"")</f>
        <v/>
      </c>
      <c r="I1125" s="29">
        <f>IF($B1125="","",IFERROR(INDEX($U$4:$U$3183,MATCH(SMALL($V$4:$V$3183,1122),$V$4:$V$3183,0)),""))</f>
        <v/>
      </c>
      <c r="J1125">
        <f>IF($B1125="","",IF($D1125&gt;$F$2,"À venir",IF($E1125&lt;$D$2,"Passé","Dans la période")))</f>
        <v/>
      </c>
      <c r="K1125">
        <f>IF(OR($B1125="",NOT(ISNUMBER($D1125))),"",IF(AND($E1125&lt;$D$2,$G1125&lt;&gt;"X",$F1125&lt;&gt;"Réalisé",$F1125&lt;&gt;"Clôturé"),"RETARD",""))</f>
        <v/>
      </c>
      <c r="L1125">
        <f>IF(OR($B1125="",NOT(ISNUMBER($D1125))),"",IF(AND($D1125&gt;=$D$2,$D1125&lt;=$H$2,$G1125&lt;&gt;"X",$F1125&lt;&gt;"Réalisé",$F1125&lt;&gt;"Clôturé"),"≤ 7 j",""))</f>
        <v/>
      </c>
      <c r="M1125" s="29">
        <f>IF($B1125="","",IFERROR(INDEX($T$4:$T$3183,MATCH(SMALL($V$4:$V$3183,1122),$V$4:$V$3183,0)),""))</f>
        <v/>
      </c>
      <c r="O1125">
        <f>IF(INDEX(Suivi!$B:$B,1147)="","",INDEX(Suivi!$B:$B,1147))</f>
        <v/>
      </c>
      <c r="P1125">
        <f>IF($O1125="","",IF(INDEX(Suivi!$D:$D,1147)="",INDEX(Suivi!$C:$C,1147),INDEX(Suivi!$D:$D,1147)))</f>
        <v/>
      </c>
      <c r="Q1125">
        <f>IF($O1125="","",INDEX(Suivi!$E:$E,1147))</f>
        <v/>
      </c>
      <c r="R1125">
        <f>IF($O1125="","",INDEX(Suivi!$F:$F,1147))</f>
        <v/>
      </c>
      <c r="S1125">
        <f>IF($O1125="","",INDEX(Suivi!$G:$G,1147))</f>
        <v/>
      </c>
      <c r="T1125">
        <f>IF($O1125="","",IF(INDEX(Dossiers!$F$4:$F$63,22)="","",INDEX(Dossiers!$F$4:$F$63,22)))</f>
        <v/>
      </c>
      <c r="U1125">
        <f>IF($O1125="","",IF(INDEX(Dossiers!$G$4:$G$63,22)="","",INDEX(Dossiers!$G$4:$G$63,22)))</f>
        <v/>
      </c>
      <c r="V1125">
        <f>IF(OR($O1125="",NOT(ISNUMBER($Q1125))),"",$Q1125*1000000+1125)</f>
        <v/>
      </c>
      <c r="W1125" s="29">
        <f>IF($B1125="","",IFERROR(INDEX($U$4:$U$3183,MATCH(SMALL($V$4:$V$3183,1122),$V$4:$V$3183,0)),""))</f>
        <v/>
      </c>
    </row>
    <row r="1126">
      <c r="A1126">
        <f>IFERROR(INDEX($N$4:$N$3183,MATCH(SMALL($V$4:$V$3183,1123),$V$4:$V$3183,0)),"")</f>
        <v/>
      </c>
      <c r="B1126">
        <f>IFERROR(INDEX($O$4:$O$3183,MATCH(SMALL($V$4:$V$3183,1123),$V$4:$V$3183,0)),"")</f>
        <v/>
      </c>
      <c r="C1126">
        <f>IFERROR(INDEX($P$4:$P$3183,MATCH(SMALL($V$4:$V$3183,1123),$V$4:$V$3183,0)),"")</f>
        <v/>
      </c>
      <c r="D1126" s="29">
        <f>IFERROR(INDEX($Q$4:$Q$3183,MATCH(SMALL($V$4:$V$3183,1123),$V$4:$V$3183,0)),"")</f>
        <v/>
      </c>
      <c r="E1126" s="29">
        <f>IFERROR(INDEX($R$4:$R$3183,MATCH(SMALL($V$4:$V$3183,1123),$V$4:$V$3183,0)),"")</f>
        <v/>
      </c>
      <c r="F1126">
        <f>IFERROR(INDEX($S$4:$S$3183,MATCH(SMALL($V$4:$V$3183,1123),$V$4:$V$3183,0)),"")</f>
        <v/>
      </c>
      <c r="I1126" s="29">
        <f>IF($B1126="","",IFERROR(INDEX($U$4:$U$3183,MATCH(SMALL($V$4:$V$3183,1123),$V$4:$V$3183,0)),""))</f>
        <v/>
      </c>
      <c r="J1126">
        <f>IF($B1126="","",IF($D1126&gt;$F$2,"À venir",IF($E1126&lt;$D$2,"Passé","Dans la période")))</f>
        <v/>
      </c>
      <c r="K1126">
        <f>IF(OR($B1126="",NOT(ISNUMBER($D1126))),"",IF(AND($E1126&lt;$D$2,$G1126&lt;&gt;"X",$F1126&lt;&gt;"Réalisé",$F1126&lt;&gt;"Clôturé"),"RETARD",""))</f>
        <v/>
      </c>
      <c r="L1126">
        <f>IF(OR($B1126="",NOT(ISNUMBER($D1126))),"",IF(AND($D1126&gt;=$D$2,$D1126&lt;=$H$2,$G1126&lt;&gt;"X",$F1126&lt;&gt;"Réalisé",$F1126&lt;&gt;"Clôturé"),"≤ 7 j",""))</f>
        <v/>
      </c>
      <c r="M1126" s="29">
        <f>IF($B1126="","",IFERROR(INDEX($T$4:$T$3183,MATCH(SMALL($V$4:$V$3183,1123),$V$4:$V$3183,0)),""))</f>
        <v/>
      </c>
      <c r="O1126">
        <f>IF(INDEX(Suivi!$B:$B,1148)="","",INDEX(Suivi!$B:$B,1148))</f>
        <v/>
      </c>
      <c r="P1126">
        <f>IF($O1126="","",IF(INDEX(Suivi!$D:$D,1148)="",INDEX(Suivi!$C:$C,1148),INDEX(Suivi!$D:$D,1148)))</f>
        <v/>
      </c>
      <c r="Q1126">
        <f>IF($O1126="","",INDEX(Suivi!$E:$E,1148))</f>
        <v/>
      </c>
      <c r="R1126">
        <f>IF($O1126="","",INDEX(Suivi!$F:$F,1148))</f>
        <v/>
      </c>
      <c r="S1126">
        <f>IF($O1126="","",INDEX(Suivi!$G:$G,1148))</f>
        <v/>
      </c>
      <c r="T1126">
        <f>IF($O1126="","",IF(INDEX(Dossiers!$F$4:$F$63,22)="","",INDEX(Dossiers!$F$4:$F$63,22)))</f>
        <v/>
      </c>
      <c r="U1126">
        <f>IF($O1126="","",IF(INDEX(Dossiers!$G$4:$G$63,22)="","",INDEX(Dossiers!$G$4:$G$63,22)))</f>
        <v/>
      </c>
      <c r="V1126">
        <f>IF(OR($O1126="",NOT(ISNUMBER($Q1126))),"",$Q1126*1000000+1126)</f>
        <v/>
      </c>
      <c r="W1126" s="29">
        <f>IF($B1126="","",IFERROR(INDEX($U$4:$U$3183,MATCH(SMALL($V$4:$V$3183,1123),$V$4:$V$3183,0)),""))</f>
        <v/>
      </c>
    </row>
    <row r="1127">
      <c r="A1127">
        <f>IFERROR(INDEX($N$4:$N$3183,MATCH(SMALL($V$4:$V$3183,1124),$V$4:$V$3183,0)),"")</f>
        <v/>
      </c>
      <c r="B1127">
        <f>IFERROR(INDEX($O$4:$O$3183,MATCH(SMALL($V$4:$V$3183,1124),$V$4:$V$3183,0)),"")</f>
        <v/>
      </c>
      <c r="C1127">
        <f>IFERROR(INDEX($P$4:$P$3183,MATCH(SMALL($V$4:$V$3183,1124),$V$4:$V$3183,0)),"")</f>
        <v/>
      </c>
      <c r="D1127" s="29">
        <f>IFERROR(INDEX($Q$4:$Q$3183,MATCH(SMALL($V$4:$V$3183,1124),$V$4:$V$3183,0)),"")</f>
        <v/>
      </c>
      <c r="E1127" s="29">
        <f>IFERROR(INDEX($R$4:$R$3183,MATCH(SMALL($V$4:$V$3183,1124),$V$4:$V$3183,0)),"")</f>
        <v/>
      </c>
      <c r="F1127">
        <f>IFERROR(INDEX($S$4:$S$3183,MATCH(SMALL($V$4:$V$3183,1124),$V$4:$V$3183,0)),"")</f>
        <v/>
      </c>
      <c r="I1127" s="29">
        <f>IF($B1127="","",IFERROR(INDEX($U$4:$U$3183,MATCH(SMALL($V$4:$V$3183,1124),$V$4:$V$3183,0)),""))</f>
        <v/>
      </c>
      <c r="J1127">
        <f>IF($B1127="","",IF($D1127&gt;$F$2,"À venir",IF($E1127&lt;$D$2,"Passé","Dans la période")))</f>
        <v/>
      </c>
      <c r="K1127">
        <f>IF(OR($B1127="",NOT(ISNUMBER($D1127))),"",IF(AND($E1127&lt;$D$2,$G1127&lt;&gt;"X",$F1127&lt;&gt;"Réalisé",$F1127&lt;&gt;"Clôturé"),"RETARD",""))</f>
        <v/>
      </c>
      <c r="L1127">
        <f>IF(OR($B1127="",NOT(ISNUMBER($D1127))),"",IF(AND($D1127&gt;=$D$2,$D1127&lt;=$H$2,$G1127&lt;&gt;"X",$F1127&lt;&gt;"Réalisé",$F1127&lt;&gt;"Clôturé"),"≤ 7 j",""))</f>
        <v/>
      </c>
      <c r="M1127" s="29">
        <f>IF($B1127="","",IFERROR(INDEX($T$4:$T$3183,MATCH(SMALL($V$4:$V$3183,1124),$V$4:$V$3183,0)),""))</f>
        <v/>
      </c>
      <c r="O1127">
        <f>IF(INDEX(Suivi!$B:$B,1149)="","",INDEX(Suivi!$B:$B,1149))</f>
        <v/>
      </c>
      <c r="P1127">
        <f>IF($O1127="","",IF(INDEX(Suivi!$D:$D,1149)="",INDEX(Suivi!$C:$C,1149),INDEX(Suivi!$D:$D,1149)))</f>
        <v/>
      </c>
      <c r="Q1127">
        <f>IF($O1127="","",INDEX(Suivi!$E:$E,1149))</f>
        <v/>
      </c>
      <c r="R1127">
        <f>IF($O1127="","",INDEX(Suivi!$F:$F,1149))</f>
        <v/>
      </c>
      <c r="S1127">
        <f>IF($O1127="","",INDEX(Suivi!$G:$G,1149))</f>
        <v/>
      </c>
      <c r="T1127">
        <f>IF($O1127="","",IF(INDEX(Dossiers!$F$4:$F$63,22)="","",INDEX(Dossiers!$F$4:$F$63,22)))</f>
        <v/>
      </c>
      <c r="U1127">
        <f>IF($O1127="","",IF(INDEX(Dossiers!$G$4:$G$63,22)="","",INDEX(Dossiers!$G$4:$G$63,22)))</f>
        <v/>
      </c>
      <c r="V1127">
        <f>IF(OR($O1127="",NOT(ISNUMBER($Q1127))),"",$Q1127*1000000+1127)</f>
        <v/>
      </c>
      <c r="W1127" s="29">
        <f>IF($B1127="","",IFERROR(INDEX($U$4:$U$3183,MATCH(SMALL($V$4:$V$3183,1124),$V$4:$V$3183,0)),""))</f>
        <v/>
      </c>
    </row>
    <row r="1128">
      <c r="A1128">
        <f>IFERROR(INDEX($N$4:$N$3183,MATCH(SMALL($V$4:$V$3183,1125),$V$4:$V$3183,0)),"")</f>
        <v/>
      </c>
      <c r="B1128">
        <f>IFERROR(INDEX($O$4:$O$3183,MATCH(SMALL($V$4:$V$3183,1125),$V$4:$V$3183,0)),"")</f>
        <v/>
      </c>
      <c r="C1128">
        <f>IFERROR(INDEX($P$4:$P$3183,MATCH(SMALL($V$4:$V$3183,1125),$V$4:$V$3183,0)),"")</f>
        <v/>
      </c>
      <c r="D1128" s="29">
        <f>IFERROR(INDEX($Q$4:$Q$3183,MATCH(SMALL($V$4:$V$3183,1125),$V$4:$V$3183,0)),"")</f>
        <v/>
      </c>
      <c r="E1128" s="29">
        <f>IFERROR(INDEX($R$4:$R$3183,MATCH(SMALL($V$4:$V$3183,1125),$V$4:$V$3183,0)),"")</f>
        <v/>
      </c>
      <c r="F1128">
        <f>IFERROR(INDEX($S$4:$S$3183,MATCH(SMALL($V$4:$V$3183,1125),$V$4:$V$3183,0)),"")</f>
        <v/>
      </c>
      <c r="I1128" s="29">
        <f>IF($B1128="","",IFERROR(INDEX($U$4:$U$3183,MATCH(SMALL($V$4:$V$3183,1125),$V$4:$V$3183,0)),""))</f>
        <v/>
      </c>
      <c r="J1128">
        <f>IF($B1128="","",IF($D1128&gt;$F$2,"À venir",IF($E1128&lt;$D$2,"Passé","Dans la période")))</f>
        <v/>
      </c>
      <c r="K1128">
        <f>IF(OR($B1128="",NOT(ISNUMBER($D1128))),"",IF(AND($E1128&lt;$D$2,$G1128&lt;&gt;"X",$F1128&lt;&gt;"Réalisé",$F1128&lt;&gt;"Clôturé"),"RETARD",""))</f>
        <v/>
      </c>
      <c r="L1128">
        <f>IF(OR($B1128="",NOT(ISNUMBER($D1128))),"",IF(AND($D1128&gt;=$D$2,$D1128&lt;=$H$2,$G1128&lt;&gt;"X",$F1128&lt;&gt;"Réalisé",$F1128&lt;&gt;"Clôturé"),"≤ 7 j",""))</f>
        <v/>
      </c>
      <c r="M1128" s="29">
        <f>IF($B1128="","",IFERROR(INDEX($T$4:$T$3183,MATCH(SMALL($V$4:$V$3183,1125),$V$4:$V$3183,0)),""))</f>
        <v/>
      </c>
      <c r="O1128">
        <f>IF(INDEX(Suivi!$B:$B,1150)="","",INDEX(Suivi!$B:$B,1150))</f>
        <v/>
      </c>
      <c r="P1128">
        <f>IF($O1128="","",IF(INDEX(Suivi!$D:$D,1150)="",INDEX(Suivi!$C:$C,1150),INDEX(Suivi!$D:$D,1150)))</f>
        <v/>
      </c>
      <c r="Q1128">
        <f>IF($O1128="","",INDEX(Suivi!$E:$E,1150))</f>
        <v/>
      </c>
      <c r="R1128">
        <f>IF($O1128="","",INDEX(Suivi!$F:$F,1150))</f>
        <v/>
      </c>
      <c r="S1128">
        <f>IF($O1128="","",INDEX(Suivi!$G:$G,1150))</f>
        <v/>
      </c>
      <c r="T1128">
        <f>IF($O1128="","",IF(INDEX(Dossiers!$F$4:$F$63,22)="","",INDEX(Dossiers!$F$4:$F$63,22)))</f>
        <v/>
      </c>
      <c r="U1128">
        <f>IF($O1128="","",IF(INDEX(Dossiers!$G$4:$G$63,22)="","",INDEX(Dossiers!$G$4:$G$63,22)))</f>
        <v/>
      </c>
      <c r="V1128">
        <f>IF(OR($O1128="",NOT(ISNUMBER($Q1128))),"",$Q1128*1000000+1128)</f>
        <v/>
      </c>
      <c r="W1128" s="29">
        <f>IF($B1128="","",IFERROR(INDEX($U$4:$U$3183,MATCH(SMALL($V$4:$V$3183,1125),$V$4:$V$3183,0)),""))</f>
        <v/>
      </c>
    </row>
    <row r="1129">
      <c r="A1129">
        <f>IFERROR(INDEX($N$4:$N$3183,MATCH(SMALL($V$4:$V$3183,1126),$V$4:$V$3183,0)),"")</f>
        <v/>
      </c>
      <c r="B1129">
        <f>IFERROR(INDEX($O$4:$O$3183,MATCH(SMALL($V$4:$V$3183,1126),$V$4:$V$3183,0)),"")</f>
        <v/>
      </c>
      <c r="C1129">
        <f>IFERROR(INDEX($P$4:$P$3183,MATCH(SMALL($V$4:$V$3183,1126),$V$4:$V$3183,0)),"")</f>
        <v/>
      </c>
      <c r="D1129" s="29">
        <f>IFERROR(INDEX($Q$4:$Q$3183,MATCH(SMALL($V$4:$V$3183,1126),$V$4:$V$3183,0)),"")</f>
        <v/>
      </c>
      <c r="E1129" s="29">
        <f>IFERROR(INDEX($R$4:$R$3183,MATCH(SMALL($V$4:$V$3183,1126),$V$4:$V$3183,0)),"")</f>
        <v/>
      </c>
      <c r="F1129">
        <f>IFERROR(INDEX($S$4:$S$3183,MATCH(SMALL($V$4:$V$3183,1126),$V$4:$V$3183,0)),"")</f>
        <v/>
      </c>
      <c r="I1129" s="29">
        <f>IF($B1129="","",IFERROR(INDEX($U$4:$U$3183,MATCH(SMALL($V$4:$V$3183,1126),$V$4:$V$3183,0)),""))</f>
        <v/>
      </c>
      <c r="J1129">
        <f>IF($B1129="","",IF($D1129&gt;$F$2,"À venir",IF($E1129&lt;$D$2,"Passé","Dans la période")))</f>
        <v/>
      </c>
      <c r="K1129">
        <f>IF(OR($B1129="",NOT(ISNUMBER($D1129))),"",IF(AND($E1129&lt;$D$2,$G1129&lt;&gt;"X",$F1129&lt;&gt;"Réalisé",$F1129&lt;&gt;"Clôturé"),"RETARD",""))</f>
        <v/>
      </c>
      <c r="L1129">
        <f>IF(OR($B1129="",NOT(ISNUMBER($D1129))),"",IF(AND($D1129&gt;=$D$2,$D1129&lt;=$H$2,$G1129&lt;&gt;"X",$F1129&lt;&gt;"Réalisé",$F1129&lt;&gt;"Clôturé"),"≤ 7 j",""))</f>
        <v/>
      </c>
      <c r="M1129" s="29">
        <f>IF($B1129="","",IFERROR(INDEX($T$4:$T$3183,MATCH(SMALL($V$4:$V$3183,1126),$V$4:$V$3183,0)),""))</f>
        <v/>
      </c>
      <c r="O1129">
        <f>IF(INDEX(Suivi!$B:$B,1151)="","",INDEX(Suivi!$B:$B,1151))</f>
        <v/>
      </c>
      <c r="P1129">
        <f>IF($O1129="","",IF(INDEX(Suivi!$D:$D,1151)="",INDEX(Suivi!$C:$C,1151),INDEX(Suivi!$D:$D,1151)))</f>
        <v/>
      </c>
      <c r="Q1129">
        <f>IF($O1129="","",INDEX(Suivi!$E:$E,1151))</f>
        <v/>
      </c>
      <c r="R1129">
        <f>IF($O1129="","",INDEX(Suivi!$F:$F,1151))</f>
        <v/>
      </c>
      <c r="S1129">
        <f>IF($O1129="","",INDEX(Suivi!$G:$G,1151))</f>
        <v/>
      </c>
      <c r="T1129">
        <f>IF($O1129="","",IF(INDEX(Dossiers!$F$4:$F$63,22)="","",INDEX(Dossiers!$F$4:$F$63,22)))</f>
        <v/>
      </c>
      <c r="U1129">
        <f>IF($O1129="","",IF(INDEX(Dossiers!$G$4:$G$63,22)="","",INDEX(Dossiers!$G$4:$G$63,22)))</f>
        <v/>
      </c>
      <c r="V1129">
        <f>IF(OR($O1129="",NOT(ISNUMBER($Q1129))),"",$Q1129*1000000+1129)</f>
        <v/>
      </c>
      <c r="W1129" s="29">
        <f>IF($B1129="","",IFERROR(INDEX($U$4:$U$3183,MATCH(SMALL($V$4:$V$3183,1126),$V$4:$V$3183,0)),""))</f>
        <v/>
      </c>
    </row>
    <row r="1130">
      <c r="A1130">
        <f>IFERROR(INDEX($N$4:$N$3183,MATCH(SMALL($V$4:$V$3183,1127),$V$4:$V$3183,0)),"")</f>
        <v/>
      </c>
      <c r="B1130">
        <f>IFERROR(INDEX($O$4:$O$3183,MATCH(SMALL($V$4:$V$3183,1127),$V$4:$V$3183,0)),"")</f>
        <v/>
      </c>
      <c r="C1130">
        <f>IFERROR(INDEX($P$4:$P$3183,MATCH(SMALL($V$4:$V$3183,1127),$V$4:$V$3183,0)),"")</f>
        <v/>
      </c>
      <c r="D1130" s="29">
        <f>IFERROR(INDEX($Q$4:$Q$3183,MATCH(SMALL($V$4:$V$3183,1127),$V$4:$V$3183,0)),"")</f>
        <v/>
      </c>
      <c r="E1130" s="29">
        <f>IFERROR(INDEX($R$4:$R$3183,MATCH(SMALL($V$4:$V$3183,1127),$V$4:$V$3183,0)),"")</f>
        <v/>
      </c>
      <c r="F1130">
        <f>IFERROR(INDEX($S$4:$S$3183,MATCH(SMALL($V$4:$V$3183,1127),$V$4:$V$3183,0)),"")</f>
        <v/>
      </c>
      <c r="I1130" s="29">
        <f>IF($B1130="","",IFERROR(INDEX($U$4:$U$3183,MATCH(SMALL($V$4:$V$3183,1127),$V$4:$V$3183,0)),""))</f>
        <v/>
      </c>
      <c r="J1130">
        <f>IF($B1130="","",IF($D1130&gt;$F$2,"À venir",IF($E1130&lt;$D$2,"Passé","Dans la période")))</f>
        <v/>
      </c>
      <c r="K1130">
        <f>IF(OR($B1130="",NOT(ISNUMBER($D1130))),"",IF(AND($E1130&lt;$D$2,$G1130&lt;&gt;"X",$F1130&lt;&gt;"Réalisé",$F1130&lt;&gt;"Clôturé"),"RETARD",""))</f>
        <v/>
      </c>
      <c r="L1130">
        <f>IF(OR($B1130="",NOT(ISNUMBER($D1130))),"",IF(AND($D1130&gt;=$D$2,$D1130&lt;=$H$2,$G1130&lt;&gt;"X",$F1130&lt;&gt;"Réalisé",$F1130&lt;&gt;"Clôturé"),"≤ 7 j",""))</f>
        <v/>
      </c>
      <c r="M1130" s="29">
        <f>IF($B1130="","",IFERROR(INDEX($T$4:$T$3183,MATCH(SMALL($V$4:$V$3183,1127),$V$4:$V$3183,0)),""))</f>
        <v/>
      </c>
      <c r="O1130">
        <f>IF(INDEX(Suivi!$B:$B,1152)="","",INDEX(Suivi!$B:$B,1152))</f>
        <v/>
      </c>
      <c r="P1130">
        <f>IF($O1130="","",IF(INDEX(Suivi!$D:$D,1152)="",INDEX(Suivi!$C:$C,1152),INDEX(Suivi!$D:$D,1152)))</f>
        <v/>
      </c>
      <c r="Q1130">
        <f>IF($O1130="","",INDEX(Suivi!$E:$E,1152))</f>
        <v/>
      </c>
      <c r="R1130">
        <f>IF($O1130="","",INDEX(Suivi!$F:$F,1152))</f>
        <v/>
      </c>
      <c r="S1130">
        <f>IF($O1130="","",INDEX(Suivi!$G:$G,1152))</f>
        <v/>
      </c>
      <c r="T1130">
        <f>IF($O1130="","",IF(INDEX(Dossiers!$F$4:$F$63,22)="","",INDEX(Dossiers!$F$4:$F$63,22)))</f>
        <v/>
      </c>
      <c r="U1130">
        <f>IF($O1130="","",IF(INDEX(Dossiers!$G$4:$G$63,22)="","",INDEX(Dossiers!$G$4:$G$63,22)))</f>
        <v/>
      </c>
      <c r="V1130">
        <f>IF(OR($O1130="",NOT(ISNUMBER($Q1130))),"",$Q1130*1000000+1130)</f>
        <v/>
      </c>
      <c r="W1130" s="29">
        <f>IF($B1130="","",IFERROR(INDEX($U$4:$U$3183,MATCH(SMALL($V$4:$V$3183,1127),$V$4:$V$3183,0)),""))</f>
        <v/>
      </c>
    </row>
    <row r="1131">
      <c r="A1131">
        <f>IFERROR(INDEX($N$4:$N$3183,MATCH(SMALL($V$4:$V$3183,1128),$V$4:$V$3183,0)),"")</f>
        <v/>
      </c>
      <c r="B1131">
        <f>IFERROR(INDEX($O$4:$O$3183,MATCH(SMALL($V$4:$V$3183,1128),$V$4:$V$3183,0)),"")</f>
        <v/>
      </c>
      <c r="C1131">
        <f>IFERROR(INDEX($P$4:$P$3183,MATCH(SMALL($V$4:$V$3183,1128),$V$4:$V$3183,0)),"")</f>
        <v/>
      </c>
      <c r="D1131" s="29">
        <f>IFERROR(INDEX($Q$4:$Q$3183,MATCH(SMALL($V$4:$V$3183,1128),$V$4:$V$3183,0)),"")</f>
        <v/>
      </c>
      <c r="E1131" s="29">
        <f>IFERROR(INDEX($R$4:$R$3183,MATCH(SMALL($V$4:$V$3183,1128),$V$4:$V$3183,0)),"")</f>
        <v/>
      </c>
      <c r="F1131">
        <f>IFERROR(INDEX($S$4:$S$3183,MATCH(SMALL($V$4:$V$3183,1128),$V$4:$V$3183,0)),"")</f>
        <v/>
      </c>
      <c r="I1131" s="29">
        <f>IF($B1131="","",IFERROR(INDEX($U$4:$U$3183,MATCH(SMALL($V$4:$V$3183,1128),$V$4:$V$3183,0)),""))</f>
        <v/>
      </c>
      <c r="J1131">
        <f>IF($B1131="","",IF($D1131&gt;$F$2,"À venir",IF($E1131&lt;$D$2,"Passé","Dans la période")))</f>
        <v/>
      </c>
      <c r="K1131">
        <f>IF(OR($B1131="",NOT(ISNUMBER($D1131))),"",IF(AND($E1131&lt;$D$2,$G1131&lt;&gt;"X",$F1131&lt;&gt;"Réalisé",$F1131&lt;&gt;"Clôturé"),"RETARD",""))</f>
        <v/>
      </c>
      <c r="L1131">
        <f>IF(OR($B1131="",NOT(ISNUMBER($D1131))),"",IF(AND($D1131&gt;=$D$2,$D1131&lt;=$H$2,$G1131&lt;&gt;"X",$F1131&lt;&gt;"Réalisé",$F1131&lt;&gt;"Clôturé"),"≤ 7 j",""))</f>
        <v/>
      </c>
      <c r="M1131" s="29">
        <f>IF($B1131="","",IFERROR(INDEX($T$4:$T$3183,MATCH(SMALL($V$4:$V$3183,1128),$V$4:$V$3183,0)),""))</f>
        <v/>
      </c>
      <c r="O1131">
        <f>IF(INDEX(Suivi!$B:$B,1153)="","",INDEX(Suivi!$B:$B,1153))</f>
        <v/>
      </c>
      <c r="P1131">
        <f>IF($O1131="","",IF(INDEX(Suivi!$D:$D,1153)="",INDEX(Suivi!$C:$C,1153),INDEX(Suivi!$D:$D,1153)))</f>
        <v/>
      </c>
      <c r="Q1131">
        <f>IF($O1131="","",INDEX(Suivi!$E:$E,1153))</f>
        <v/>
      </c>
      <c r="R1131">
        <f>IF($O1131="","",INDEX(Suivi!$F:$F,1153))</f>
        <v/>
      </c>
      <c r="S1131">
        <f>IF($O1131="","",INDEX(Suivi!$G:$G,1153))</f>
        <v/>
      </c>
      <c r="T1131">
        <f>IF($O1131="","",IF(INDEX(Dossiers!$F$4:$F$63,22)="","",INDEX(Dossiers!$F$4:$F$63,22)))</f>
        <v/>
      </c>
      <c r="U1131">
        <f>IF($O1131="","",IF(INDEX(Dossiers!$G$4:$G$63,22)="","",INDEX(Dossiers!$G$4:$G$63,22)))</f>
        <v/>
      </c>
      <c r="V1131">
        <f>IF(OR($O1131="",NOT(ISNUMBER($Q1131))),"",$Q1131*1000000+1131)</f>
        <v/>
      </c>
      <c r="W1131" s="29">
        <f>IF($B1131="","",IFERROR(INDEX($U$4:$U$3183,MATCH(SMALL($V$4:$V$3183,1128),$V$4:$V$3183,0)),""))</f>
        <v/>
      </c>
    </row>
    <row r="1132">
      <c r="A1132">
        <f>IFERROR(INDEX($N$4:$N$3183,MATCH(SMALL($V$4:$V$3183,1129),$V$4:$V$3183,0)),"")</f>
        <v/>
      </c>
      <c r="B1132">
        <f>IFERROR(INDEX($O$4:$O$3183,MATCH(SMALL($V$4:$V$3183,1129),$V$4:$V$3183,0)),"")</f>
        <v/>
      </c>
      <c r="C1132">
        <f>IFERROR(INDEX($P$4:$P$3183,MATCH(SMALL($V$4:$V$3183,1129),$V$4:$V$3183,0)),"")</f>
        <v/>
      </c>
      <c r="D1132" s="29">
        <f>IFERROR(INDEX($Q$4:$Q$3183,MATCH(SMALL($V$4:$V$3183,1129),$V$4:$V$3183,0)),"")</f>
        <v/>
      </c>
      <c r="E1132" s="29">
        <f>IFERROR(INDEX($R$4:$R$3183,MATCH(SMALL($V$4:$V$3183,1129),$V$4:$V$3183,0)),"")</f>
        <v/>
      </c>
      <c r="F1132">
        <f>IFERROR(INDEX($S$4:$S$3183,MATCH(SMALL($V$4:$V$3183,1129),$V$4:$V$3183,0)),"")</f>
        <v/>
      </c>
      <c r="I1132" s="29">
        <f>IF($B1132="","",IFERROR(INDEX($U$4:$U$3183,MATCH(SMALL($V$4:$V$3183,1129),$V$4:$V$3183,0)),""))</f>
        <v/>
      </c>
      <c r="J1132">
        <f>IF($B1132="","",IF($D1132&gt;$F$2,"À venir",IF($E1132&lt;$D$2,"Passé","Dans la période")))</f>
        <v/>
      </c>
      <c r="K1132">
        <f>IF(OR($B1132="",NOT(ISNUMBER($D1132))),"",IF(AND($E1132&lt;$D$2,$G1132&lt;&gt;"X",$F1132&lt;&gt;"Réalisé",$F1132&lt;&gt;"Clôturé"),"RETARD",""))</f>
        <v/>
      </c>
      <c r="L1132">
        <f>IF(OR($B1132="",NOT(ISNUMBER($D1132))),"",IF(AND($D1132&gt;=$D$2,$D1132&lt;=$H$2,$G1132&lt;&gt;"X",$F1132&lt;&gt;"Réalisé",$F1132&lt;&gt;"Clôturé"),"≤ 7 j",""))</f>
        <v/>
      </c>
      <c r="M1132" s="29">
        <f>IF($B1132="","",IFERROR(INDEX($T$4:$T$3183,MATCH(SMALL($V$4:$V$3183,1129),$V$4:$V$3183,0)),""))</f>
        <v/>
      </c>
      <c r="O1132">
        <f>IF(INDEX(Suivi!$B:$B,1154)="","",INDEX(Suivi!$B:$B,1154))</f>
        <v/>
      </c>
      <c r="P1132">
        <f>IF($O1132="","",IF(INDEX(Suivi!$D:$D,1154)="",INDEX(Suivi!$C:$C,1154),INDEX(Suivi!$D:$D,1154)))</f>
        <v/>
      </c>
      <c r="Q1132">
        <f>IF($O1132="","",INDEX(Suivi!$E:$E,1154))</f>
        <v/>
      </c>
      <c r="R1132">
        <f>IF($O1132="","",INDEX(Suivi!$F:$F,1154))</f>
        <v/>
      </c>
      <c r="S1132">
        <f>IF($O1132="","",INDEX(Suivi!$G:$G,1154))</f>
        <v/>
      </c>
      <c r="T1132">
        <f>IF($O1132="","",IF(INDEX(Dossiers!$F$4:$F$63,22)="","",INDEX(Dossiers!$F$4:$F$63,22)))</f>
        <v/>
      </c>
      <c r="U1132">
        <f>IF($O1132="","",IF(INDEX(Dossiers!$G$4:$G$63,22)="","",INDEX(Dossiers!$G$4:$G$63,22)))</f>
        <v/>
      </c>
      <c r="V1132">
        <f>IF(OR($O1132="",NOT(ISNUMBER($Q1132))),"",$Q1132*1000000+1132)</f>
        <v/>
      </c>
      <c r="W1132" s="29">
        <f>IF($B1132="","",IFERROR(INDEX($U$4:$U$3183,MATCH(SMALL($V$4:$V$3183,1129),$V$4:$V$3183,0)),""))</f>
        <v/>
      </c>
    </row>
    <row r="1133">
      <c r="A1133">
        <f>IFERROR(INDEX($N$4:$N$3183,MATCH(SMALL($V$4:$V$3183,1130),$V$4:$V$3183,0)),"")</f>
        <v/>
      </c>
      <c r="B1133">
        <f>IFERROR(INDEX($O$4:$O$3183,MATCH(SMALL($V$4:$V$3183,1130),$V$4:$V$3183,0)),"")</f>
        <v/>
      </c>
      <c r="C1133">
        <f>IFERROR(INDEX($P$4:$P$3183,MATCH(SMALL($V$4:$V$3183,1130),$V$4:$V$3183,0)),"")</f>
        <v/>
      </c>
      <c r="D1133" s="29">
        <f>IFERROR(INDEX($Q$4:$Q$3183,MATCH(SMALL($V$4:$V$3183,1130),$V$4:$V$3183,0)),"")</f>
        <v/>
      </c>
      <c r="E1133" s="29">
        <f>IFERROR(INDEX($R$4:$R$3183,MATCH(SMALL($V$4:$V$3183,1130),$V$4:$V$3183,0)),"")</f>
        <v/>
      </c>
      <c r="F1133">
        <f>IFERROR(INDEX($S$4:$S$3183,MATCH(SMALL($V$4:$V$3183,1130),$V$4:$V$3183,0)),"")</f>
        <v/>
      </c>
      <c r="I1133" s="29">
        <f>IF($B1133="","",IFERROR(INDEX($U$4:$U$3183,MATCH(SMALL($V$4:$V$3183,1130),$V$4:$V$3183,0)),""))</f>
        <v/>
      </c>
      <c r="J1133">
        <f>IF($B1133="","",IF($D1133&gt;$F$2,"À venir",IF($E1133&lt;$D$2,"Passé","Dans la période")))</f>
        <v/>
      </c>
      <c r="K1133">
        <f>IF(OR($B1133="",NOT(ISNUMBER($D1133))),"",IF(AND($E1133&lt;$D$2,$G1133&lt;&gt;"X",$F1133&lt;&gt;"Réalisé",$F1133&lt;&gt;"Clôturé"),"RETARD",""))</f>
        <v/>
      </c>
      <c r="L1133">
        <f>IF(OR($B1133="",NOT(ISNUMBER($D1133))),"",IF(AND($D1133&gt;=$D$2,$D1133&lt;=$H$2,$G1133&lt;&gt;"X",$F1133&lt;&gt;"Réalisé",$F1133&lt;&gt;"Clôturé"),"≤ 7 j",""))</f>
        <v/>
      </c>
      <c r="M1133" s="29">
        <f>IF($B1133="","",IFERROR(INDEX($T$4:$T$3183,MATCH(SMALL($V$4:$V$3183,1130),$V$4:$V$3183,0)),""))</f>
        <v/>
      </c>
      <c r="O1133">
        <f>IF(INDEX(Suivi!$B:$B,1155)="","",INDEX(Suivi!$B:$B,1155))</f>
        <v/>
      </c>
      <c r="P1133">
        <f>IF($O1133="","",IF(INDEX(Suivi!$D:$D,1155)="",INDEX(Suivi!$C:$C,1155),INDEX(Suivi!$D:$D,1155)))</f>
        <v/>
      </c>
      <c r="Q1133">
        <f>IF($O1133="","",INDEX(Suivi!$E:$E,1155))</f>
        <v/>
      </c>
      <c r="R1133">
        <f>IF($O1133="","",INDEX(Suivi!$F:$F,1155))</f>
        <v/>
      </c>
      <c r="S1133">
        <f>IF($O1133="","",INDEX(Suivi!$G:$G,1155))</f>
        <v/>
      </c>
      <c r="T1133">
        <f>IF($O1133="","",IF(INDEX(Dossiers!$F$4:$F$63,22)="","",INDEX(Dossiers!$F$4:$F$63,22)))</f>
        <v/>
      </c>
      <c r="U1133">
        <f>IF($O1133="","",IF(INDEX(Dossiers!$G$4:$G$63,22)="","",INDEX(Dossiers!$G$4:$G$63,22)))</f>
        <v/>
      </c>
      <c r="V1133">
        <f>IF(OR($O1133="",NOT(ISNUMBER($Q1133))),"",$Q1133*1000000+1133)</f>
        <v/>
      </c>
      <c r="W1133" s="29">
        <f>IF($B1133="","",IFERROR(INDEX($U$4:$U$3183,MATCH(SMALL($V$4:$V$3183,1130),$V$4:$V$3183,0)),""))</f>
        <v/>
      </c>
    </row>
    <row r="1134">
      <c r="A1134">
        <f>IFERROR(INDEX($N$4:$N$3183,MATCH(SMALL($V$4:$V$3183,1131),$V$4:$V$3183,0)),"")</f>
        <v/>
      </c>
      <c r="B1134">
        <f>IFERROR(INDEX($O$4:$O$3183,MATCH(SMALL($V$4:$V$3183,1131),$V$4:$V$3183,0)),"")</f>
        <v/>
      </c>
      <c r="C1134">
        <f>IFERROR(INDEX($P$4:$P$3183,MATCH(SMALL($V$4:$V$3183,1131),$V$4:$V$3183,0)),"")</f>
        <v/>
      </c>
      <c r="D1134" s="29">
        <f>IFERROR(INDEX($Q$4:$Q$3183,MATCH(SMALL($V$4:$V$3183,1131),$V$4:$V$3183,0)),"")</f>
        <v/>
      </c>
      <c r="E1134" s="29">
        <f>IFERROR(INDEX($R$4:$R$3183,MATCH(SMALL($V$4:$V$3183,1131),$V$4:$V$3183,0)),"")</f>
        <v/>
      </c>
      <c r="F1134">
        <f>IFERROR(INDEX($S$4:$S$3183,MATCH(SMALL($V$4:$V$3183,1131),$V$4:$V$3183,0)),"")</f>
        <v/>
      </c>
      <c r="I1134" s="29">
        <f>IF($B1134="","",IFERROR(INDEX($U$4:$U$3183,MATCH(SMALL($V$4:$V$3183,1131),$V$4:$V$3183,0)),""))</f>
        <v/>
      </c>
      <c r="J1134">
        <f>IF($B1134="","",IF($D1134&gt;$F$2,"À venir",IF($E1134&lt;$D$2,"Passé","Dans la période")))</f>
        <v/>
      </c>
      <c r="K1134">
        <f>IF(OR($B1134="",NOT(ISNUMBER($D1134))),"",IF(AND($E1134&lt;$D$2,$G1134&lt;&gt;"X",$F1134&lt;&gt;"Réalisé",$F1134&lt;&gt;"Clôturé"),"RETARD",""))</f>
        <v/>
      </c>
      <c r="L1134">
        <f>IF(OR($B1134="",NOT(ISNUMBER($D1134))),"",IF(AND($D1134&gt;=$D$2,$D1134&lt;=$H$2,$G1134&lt;&gt;"X",$F1134&lt;&gt;"Réalisé",$F1134&lt;&gt;"Clôturé"),"≤ 7 j",""))</f>
        <v/>
      </c>
      <c r="M1134" s="29">
        <f>IF($B1134="","",IFERROR(INDEX($T$4:$T$3183,MATCH(SMALL($V$4:$V$3183,1131),$V$4:$V$3183,0)),""))</f>
        <v/>
      </c>
      <c r="O1134">
        <f>IF(INDEX(Suivi!$B:$B,1156)="","",INDEX(Suivi!$B:$B,1156))</f>
        <v/>
      </c>
      <c r="P1134">
        <f>IF($O1134="","",IF(INDEX(Suivi!$D:$D,1156)="",INDEX(Suivi!$C:$C,1156),INDEX(Suivi!$D:$D,1156)))</f>
        <v/>
      </c>
      <c r="Q1134">
        <f>IF($O1134="","",INDEX(Suivi!$E:$E,1156))</f>
        <v/>
      </c>
      <c r="R1134">
        <f>IF($O1134="","",INDEX(Suivi!$F:$F,1156))</f>
        <v/>
      </c>
      <c r="S1134">
        <f>IF($O1134="","",INDEX(Suivi!$G:$G,1156))</f>
        <v/>
      </c>
      <c r="T1134">
        <f>IF($O1134="","",IF(INDEX(Dossiers!$F$4:$F$63,22)="","",INDEX(Dossiers!$F$4:$F$63,22)))</f>
        <v/>
      </c>
      <c r="U1134">
        <f>IF($O1134="","",IF(INDEX(Dossiers!$G$4:$G$63,22)="","",INDEX(Dossiers!$G$4:$G$63,22)))</f>
        <v/>
      </c>
      <c r="V1134">
        <f>IF(OR($O1134="",NOT(ISNUMBER($Q1134))),"",$Q1134*1000000+1134)</f>
        <v/>
      </c>
      <c r="W1134" s="29">
        <f>IF($B1134="","",IFERROR(INDEX($U$4:$U$3183,MATCH(SMALL($V$4:$V$3183,1131),$V$4:$V$3183,0)),""))</f>
        <v/>
      </c>
    </row>
    <row r="1135">
      <c r="A1135">
        <f>IFERROR(INDEX($N$4:$N$3183,MATCH(SMALL($V$4:$V$3183,1132),$V$4:$V$3183,0)),"")</f>
        <v/>
      </c>
      <c r="B1135">
        <f>IFERROR(INDEX($O$4:$O$3183,MATCH(SMALL($V$4:$V$3183,1132),$V$4:$V$3183,0)),"")</f>
        <v/>
      </c>
      <c r="C1135">
        <f>IFERROR(INDEX($P$4:$P$3183,MATCH(SMALL($V$4:$V$3183,1132),$V$4:$V$3183,0)),"")</f>
        <v/>
      </c>
      <c r="D1135" s="29">
        <f>IFERROR(INDEX($Q$4:$Q$3183,MATCH(SMALL($V$4:$V$3183,1132),$V$4:$V$3183,0)),"")</f>
        <v/>
      </c>
      <c r="E1135" s="29">
        <f>IFERROR(INDEX($R$4:$R$3183,MATCH(SMALL($V$4:$V$3183,1132),$V$4:$V$3183,0)),"")</f>
        <v/>
      </c>
      <c r="F1135">
        <f>IFERROR(INDEX($S$4:$S$3183,MATCH(SMALL($V$4:$V$3183,1132),$V$4:$V$3183,0)),"")</f>
        <v/>
      </c>
      <c r="I1135" s="29">
        <f>IF($B1135="","",IFERROR(INDEX($U$4:$U$3183,MATCH(SMALL($V$4:$V$3183,1132),$V$4:$V$3183,0)),""))</f>
        <v/>
      </c>
      <c r="J1135">
        <f>IF($B1135="","",IF($D1135&gt;$F$2,"À venir",IF($E1135&lt;$D$2,"Passé","Dans la période")))</f>
        <v/>
      </c>
      <c r="K1135">
        <f>IF(OR($B1135="",NOT(ISNUMBER($D1135))),"",IF(AND($E1135&lt;$D$2,$G1135&lt;&gt;"X",$F1135&lt;&gt;"Réalisé",$F1135&lt;&gt;"Clôturé"),"RETARD",""))</f>
        <v/>
      </c>
      <c r="L1135">
        <f>IF(OR($B1135="",NOT(ISNUMBER($D1135))),"",IF(AND($D1135&gt;=$D$2,$D1135&lt;=$H$2,$G1135&lt;&gt;"X",$F1135&lt;&gt;"Réalisé",$F1135&lt;&gt;"Clôturé"),"≤ 7 j",""))</f>
        <v/>
      </c>
      <c r="M1135" s="29">
        <f>IF($B1135="","",IFERROR(INDEX($T$4:$T$3183,MATCH(SMALL($V$4:$V$3183,1132),$V$4:$V$3183,0)),""))</f>
        <v/>
      </c>
      <c r="O1135">
        <f>IF(INDEX(Suivi!$B:$B,1157)="","",INDEX(Suivi!$B:$B,1157))</f>
        <v/>
      </c>
      <c r="P1135">
        <f>IF($O1135="","",IF(INDEX(Suivi!$D:$D,1157)="",INDEX(Suivi!$C:$C,1157),INDEX(Suivi!$D:$D,1157)))</f>
        <v/>
      </c>
      <c r="Q1135">
        <f>IF($O1135="","",INDEX(Suivi!$E:$E,1157))</f>
        <v/>
      </c>
      <c r="R1135">
        <f>IF($O1135="","",INDEX(Suivi!$F:$F,1157))</f>
        <v/>
      </c>
      <c r="S1135">
        <f>IF($O1135="","",INDEX(Suivi!$G:$G,1157))</f>
        <v/>
      </c>
      <c r="T1135">
        <f>IF($O1135="","",IF(INDEX(Dossiers!$F$4:$F$63,22)="","",INDEX(Dossiers!$F$4:$F$63,22)))</f>
        <v/>
      </c>
      <c r="U1135">
        <f>IF($O1135="","",IF(INDEX(Dossiers!$G$4:$G$63,22)="","",INDEX(Dossiers!$G$4:$G$63,22)))</f>
        <v/>
      </c>
      <c r="V1135">
        <f>IF(OR($O1135="",NOT(ISNUMBER($Q1135))),"",$Q1135*1000000+1135)</f>
        <v/>
      </c>
      <c r="W1135" s="29">
        <f>IF($B1135="","",IFERROR(INDEX($U$4:$U$3183,MATCH(SMALL($V$4:$V$3183,1132),$V$4:$V$3183,0)),""))</f>
        <v/>
      </c>
    </row>
    <row r="1136">
      <c r="A1136">
        <f>IFERROR(INDEX($N$4:$N$3183,MATCH(SMALL($V$4:$V$3183,1133),$V$4:$V$3183,0)),"")</f>
        <v/>
      </c>
      <c r="B1136">
        <f>IFERROR(INDEX($O$4:$O$3183,MATCH(SMALL($V$4:$V$3183,1133),$V$4:$V$3183,0)),"")</f>
        <v/>
      </c>
      <c r="C1136">
        <f>IFERROR(INDEX($P$4:$P$3183,MATCH(SMALL($V$4:$V$3183,1133),$V$4:$V$3183,0)),"")</f>
        <v/>
      </c>
      <c r="D1136" s="29">
        <f>IFERROR(INDEX($Q$4:$Q$3183,MATCH(SMALL($V$4:$V$3183,1133),$V$4:$V$3183,0)),"")</f>
        <v/>
      </c>
      <c r="E1136" s="29">
        <f>IFERROR(INDEX($R$4:$R$3183,MATCH(SMALL($V$4:$V$3183,1133),$V$4:$V$3183,0)),"")</f>
        <v/>
      </c>
      <c r="F1136">
        <f>IFERROR(INDEX($S$4:$S$3183,MATCH(SMALL($V$4:$V$3183,1133),$V$4:$V$3183,0)),"")</f>
        <v/>
      </c>
      <c r="I1136" s="29">
        <f>IF($B1136="","",IFERROR(INDEX($U$4:$U$3183,MATCH(SMALL($V$4:$V$3183,1133),$V$4:$V$3183,0)),""))</f>
        <v/>
      </c>
      <c r="J1136">
        <f>IF($B1136="","",IF($D1136&gt;$F$2,"À venir",IF($E1136&lt;$D$2,"Passé","Dans la période")))</f>
        <v/>
      </c>
      <c r="K1136">
        <f>IF(OR($B1136="",NOT(ISNUMBER($D1136))),"",IF(AND($E1136&lt;$D$2,$G1136&lt;&gt;"X",$F1136&lt;&gt;"Réalisé",$F1136&lt;&gt;"Clôturé"),"RETARD",""))</f>
        <v/>
      </c>
      <c r="L1136">
        <f>IF(OR($B1136="",NOT(ISNUMBER($D1136))),"",IF(AND($D1136&gt;=$D$2,$D1136&lt;=$H$2,$G1136&lt;&gt;"X",$F1136&lt;&gt;"Réalisé",$F1136&lt;&gt;"Clôturé"),"≤ 7 j",""))</f>
        <v/>
      </c>
      <c r="M1136" s="29">
        <f>IF($B1136="","",IFERROR(INDEX($T$4:$T$3183,MATCH(SMALL($V$4:$V$3183,1133),$V$4:$V$3183,0)),""))</f>
        <v/>
      </c>
      <c r="O1136">
        <f>IF(INDEX(Suivi!$B:$B,1158)="","",INDEX(Suivi!$B:$B,1158))</f>
        <v/>
      </c>
      <c r="P1136">
        <f>IF($O1136="","",IF(INDEX(Suivi!$D:$D,1158)="",INDEX(Suivi!$C:$C,1158),INDEX(Suivi!$D:$D,1158)))</f>
        <v/>
      </c>
      <c r="Q1136">
        <f>IF($O1136="","",INDEX(Suivi!$E:$E,1158))</f>
        <v/>
      </c>
      <c r="R1136">
        <f>IF($O1136="","",INDEX(Suivi!$F:$F,1158))</f>
        <v/>
      </c>
      <c r="S1136">
        <f>IF($O1136="","",INDEX(Suivi!$G:$G,1158))</f>
        <v/>
      </c>
      <c r="T1136">
        <f>IF($O1136="","",IF(INDEX(Dossiers!$F$4:$F$63,22)="","",INDEX(Dossiers!$F$4:$F$63,22)))</f>
        <v/>
      </c>
      <c r="U1136">
        <f>IF($O1136="","",IF(INDEX(Dossiers!$G$4:$G$63,22)="","",INDEX(Dossiers!$G$4:$G$63,22)))</f>
        <v/>
      </c>
      <c r="V1136">
        <f>IF(OR($O1136="",NOT(ISNUMBER($Q1136))),"",$Q1136*1000000+1136)</f>
        <v/>
      </c>
      <c r="W1136" s="29">
        <f>IF($B1136="","",IFERROR(INDEX($U$4:$U$3183,MATCH(SMALL($V$4:$V$3183,1133),$V$4:$V$3183,0)),""))</f>
        <v/>
      </c>
    </row>
    <row r="1137">
      <c r="A1137">
        <f>IFERROR(INDEX($N$4:$N$3183,MATCH(SMALL($V$4:$V$3183,1134),$V$4:$V$3183,0)),"")</f>
        <v/>
      </c>
      <c r="B1137">
        <f>IFERROR(INDEX($O$4:$O$3183,MATCH(SMALL($V$4:$V$3183,1134),$V$4:$V$3183,0)),"")</f>
        <v/>
      </c>
      <c r="C1137">
        <f>IFERROR(INDEX($P$4:$P$3183,MATCH(SMALL($V$4:$V$3183,1134),$V$4:$V$3183,0)),"")</f>
        <v/>
      </c>
      <c r="D1137" s="29">
        <f>IFERROR(INDEX($Q$4:$Q$3183,MATCH(SMALL($V$4:$V$3183,1134),$V$4:$V$3183,0)),"")</f>
        <v/>
      </c>
      <c r="E1137" s="29">
        <f>IFERROR(INDEX($R$4:$R$3183,MATCH(SMALL($V$4:$V$3183,1134),$V$4:$V$3183,0)),"")</f>
        <v/>
      </c>
      <c r="F1137">
        <f>IFERROR(INDEX($S$4:$S$3183,MATCH(SMALL($V$4:$V$3183,1134),$V$4:$V$3183,0)),"")</f>
        <v/>
      </c>
      <c r="I1137" s="29">
        <f>IF($B1137="","",IFERROR(INDEX($U$4:$U$3183,MATCH(SMALL($V$4:$V$3183,1134),$V$4:$V$3183,0)),""))</f>
        <v/>
      </c>
      <c r="J1137">
        <f>IF($B1137="","",IF($D1137&gt;$F$2,"À venir",IF($E1137&lt;$D$2,"Passé","Dans la période")))</f>
        <v/>
      </c>
      <c r="K1137">
        <f>IF(OR($B1137="",NOT(ISNUMBER($D1137))),"",IF(AND($E1137&lt;$D$2,$G1137&lt;&gt;"X",$F1137&lt;&gt;"Réalisé",$F1137&lt;&gt;"Clôturé"),"RETARD",""))</f>
        <v/>
      </c>
      <c r="L1137">
        <f>IF(OR($B1137="",NOT(ISNUMBER($D1137))),"",IF(AND($D1137&gt;=$D$2,$D1137&lt;=$H$2,$G1137&lt;&gt;"X",$F1137&lt;&gt;"Réalisé",$F1137&lt;&gt;"Clôturé"),"≤ 7 j",""))</f>
        <v/>
      </c>
      <c r="M1137" s="29">
        <f>IF($B1137="","",IFERROR(INDEX($T$4:$T$3183,MATCH(SMALL($V$4:$V$3183,1134),$V$4:$V$3183,0)),""))</f>
        <v/>
      </c>
      <c r="O1137">
        <f>IF(INDEX(Suivi!$B:$B,1159)="","",INDEX(Suivi!$B:$B,1159))</f>
        <v/>
      </c>
      <c r="P1137">
        <f>IF($O1137="","",IF(INDEX(Suivi!$D:$D,1159)="",INDEX(Suivi!$C:$C,1159),INDEX(Suivi!$D:$D,1159)))</f>
        <v/>
      </c>
      <c r="Q1137">
        <f>IF($O1137="","",INDEX(Suivi!$E:$E,1159))</f>
        <v/>
      </c>
      <c r="R1137">
        <f>IF($O1137="","",INDEX(Suivi!$F:$F,1159))</f>
        <v/>
      </c>
      <c r="S1137">
        <f>IF($O1137="","",INDEX(Suivi!$G:$G,1159))</f>
        <v/>
      </c>
      <c r="T1137">
        <f>IF($O1137="","",IF(INDEX(Dossiers!$F$4:$F$63,22)="","",INDEX(Dossiers!$F$4:$F$63,22)))</f>
        <v/>
      </c>
      <c r="U1137">
        <f>IF($O1137="","",IF(INDEX(Dossiers!$G$4:$G$63,22)="","",INDEX(Dossiers!$G$4:$G$63,22)))</f>
        <v/>
      </c>
      <c r="V1137">
        <f>IF(OR($O1137="",NOT(ISNUMBER($Q1137))),"",$Q1137*1000000+1137)</f>
        <v/>
      </c>
      <c r="W1137" s="29">
        <f>IF($B1137="","",IFERROR(INDEX($U$4:$U$3183,MATCH(SMALL($V$4:$V$3183,1134),$V$4:$V$3183,0)),""))</f>
        <v/>
      </c>
    </row>
    <row r="1138">
      <c r="A1138">
        <f>IFERROR(INDEX($N$4:$N$3183,MATCH(SMALL($V$4:$V$3183,1135),$V$4:$V$3183,0)),"")</f>
        <v/>
      </c>
      <c r="B1138">
        <f>IFERROR(INDEX($O$4:$O$3183,MATCH(SMALL($V$4:$V$3183,1135),$V$4:$V$3183,0)),"")</f>
        <v/>
      </c>
      <c r="C1138">
        <f>IFERROR(INDEX($P$4:$P$3183,MATCH(SMALL($V$4:$V$3183,1135),$V$4:$V$3183,0)),"")</f>
        <v/>
      </c>
      <c r="D1138" s="29">
        <f>IFERROR(INDEX($Q$4:$Q$3183,MATCH(SMALL($V$4:$V$3183,1135),$V$4:$V$3183,0)),"")</f>
        <v/>
      </c>
      <c r="E1138" s="29">
        <f>IFERROR(INDEX($R$4:$R$3183,MATCH(SMALL($V$4:$V$3183,1135),$V$4:$V$3183,0)),"")</f>
        <v/>
      </c>
      <c r="F1138">
        <f>IFERROR(INDEX($S$4:$S$3183,MATCH(SMALL($V$4:$V$3183,1135),$V$4:$V$3183,0)),"")</f>
        <v/>
      </c>
      <c r="I1138" s="29">
        <f>IF($B1138="","",IFERROR(INDEX($U$4:$U$3183,MATCH(SMALL($V$4:$V$3183,1135),$V$4:$V$3183,0)),""))</f>
        <v/>
      </c>
      <c r="J1138">
        <f>IF($B1138="","",IF($D1138&gt;$F$2,"À venir",IF($E1138&lt;$D$2,"Passé","Dans la période")))</f>
        <v/>
      </c>
      <c r="K1138">
        <f>IF(OR($B1138="",NOT(ISNUMBER($D1138))),"",IF(AND($E1138&lt;$D$2,$G1138&lt;&gt;"X",$F1138&lt;&gt;"Réalisé",$F1138&lt;&gt;"Clôturé"),"RETARD",""))</f>
        <v/>
      </c>
      <c r="L1138">
        <f>IF(OR($B1138="",NOT(ISNUMBER($D1138))),"",IF(AND($D1138&gt;=$D$2,$D1138&lt;=$H$2,$G1138&lt;&gt;"X",$F1138&lt;&gt;"Réalisé",$F1138&lt;&gt;"Clôturé"),"≤ 7 j",""))</f>
        <v/>
      </c>
      <c r="M1138" s="29">
        <f>IF($B1138="","",IFERROR(INDEX($T$4:$T$3183,MATCH(SMALL($V$4:$V$3183,1135),$V$4:$V$3183,0)),""))</f>
        <v/>
      </c>
      <c r="O1138">
        <f>IF(INDEX(Suivi!$B:$B,1160)="","",INDEX(Suivi!$B:$B,1160))</f>
        <v/>
      </c>
      <c r="P1138">
        <f>IF($O1138="","",IF(INDEX(Suivi!$D:$D,1160)="",INDEX(Suivi!$C:$C,1160),INDEX(Suivi!$D:$D,1160)))</f>
        <v/>
      </c>
      <c r="Q1138">
        <f>IF($O1138="","",INDEX(Suivi!$E:$E,1160))</f>
        <v/>
      </c>
      <c r="R1138">
        <f>IF($O1138="","",INDEX(Suivi!$F:$F,1160))</f>
        <v/>
      </c>
      <c r="S1138">
        <f>IF($O1138="","",INDEX(Suivi!$G:$G,1160))</f>
        <v/>
      </c>
      <c r="T1138">
        <f>IF($O1138="","",IF(INDEX(Dossiers!$F$4:$F$63,22)="","",INDEX(Dossiers!$F$4:$F$63,22)))</f>
        <v/>
      </c>
      <c r="U1138">
        <f>IF($O1138="","",IF(INDEX(Dossiers!$G$4:$G$63,22)="","",INDEX(Dossiers!$G$4:$G$63,22)))</f>
        <v/>
      </c>
      <c r="V1138">
        <f>IF(OR($O1138="",NOT(ISNUMBER($Q1138))),"",$Q1138*1000000+1138)</f>
        <v/>
      </c>
      <c r="W1138" s="29">
        <f>IF($B1138="","",IFERROR(INDEX($U$4:$U$3183,MATCH(SMALL($V$4:$V$3183,1135),$V$4:$V$3183,0)),""))</f>
        <v/>
      </c>
    </row>
    <row r="1139">
      <c r="A1139">
        <f>IFERROR(INDEX($N$4:$N$3183,MATCH(SMALL($V$4:$V$3183,1136),$V$4:$V$3183,0)),"")</f>
        <v/>
      </c>
      <c r="B1139">
        <f>IFERROR(INDEX($O$4:$O$3183,MATCH(SMALL($V$4:$V$3183,1136),$V$4:$V$3183,0)),"")</f>
        <v/>
      </c>
      <c r="C1139">
        <f>IFERROR(INDEX($P$4:$P$3183,MATCH(SMALL($V$4:$V$3183,1136),$V$4:$V$3183,0)),"")</f>
        <v/>
      </c>
      <c r="D1139" s="29">
        <f>IFERROR(INDEX($Q$4:$Q$3183,MATCH(SMALL($V$4:$V$3183,1136),$V$4:$V$3183,0)),"")</f>
        <v/>
      </c>
      <c r="E1139" s="29">
        <f>IFERROR(INDEX($R$4:$R$3183,MATCH(SMALL($V$4:$V$3183,1136),$V$4:$V$3183,0)),"")</f>
        <v/>
      </c>
      <c r="F1139">
        <f>IFERROR(INDEX($S$4:$S$3183,MATCH(SMALL($V$4:$V$3183,1136),$V$4:$V$3183,0)),"")</f>
        <v/>
      </c>
      <c r="I1139" s="29">
        <f>IF($B1139="","",IFERROR(INDEX($U$4:$U$3183,MATCH(SMALL($V$4:$V$3183,1136),$V$4:$V$3183,0)),""))</f>
        <v/>
      </c>
      <c r="J1139">
        <f>IF($B1139="","",IF($D1139&gt;$F$2,"À venir",IF($E1139&lt;$D$2,"Passé","Dans la période")))</f>
        <v/>
      </c>
      <c r="K1139">
        <f>IF(OR($B1139="",NOT(ISNUMBER($D1139))),"",IF(AND($E1139&lt;$D$2,$G1139&lt;&gt;"X",$F1139&lt;&gt;"Réalisé",$F1139&lt;&gt;"Clôturé"),"RETARD",""))</f>
        <v/>
      </c>
      <c r="L1139">
        <f>IF(OR($B1139="",NOT(ISNUMBER($D1139))),"",IF(AND($D1139&gt;=$D$2,$D1139&lt;=$H$2,$G1139&lt;&gt;"X",$F1139&lt;&gt;"Réalisé",$F1139&lt;&gt;"Clôturé"),"≤ 7 j",""))</f>
        <v/>
      </c>
      <c r="M1139" s="29">
        <f>IF($B1139="","",IFERROR(INDEX($T$4:$T$3183,MATCH(SMALL($V$4:$V$3183,1136),$V$4:$V$3183,0)),""))</f>
        <v/>
      </c>
      <c r="O1139">
        <f>IF(INDEX(Suivi!$B:$B,1161)="","",INDEX(Suivi!$B:$B,1161))</f>
        <v/>
      </c>
      <c r="P1139">
        <f>IF($O1139="","",IF(INDEX(Suivi!$D:$D,1161)="",INDEX(Suivi!$C:$C,1161),INDEX(Suivi!$D:$D,1161)))</f>
        <v/>
      </c>
      <c r="Q1139">
        <f>IF($O1139="","",INDEX(Suivi!$E:$E,1161))</f>
        <v/>
      </c>
      <c r="R1139">
        <f>IF($O1139="","",INDEX(Suivi!$F:$F,1161))</f>
        <v/>
      </c>
      <c r="S1139">
        <f>IF($O1139="","",INDEX(Suivi!$G:$G,1161))</f>
        <v/>
      </c>
      <c r="T1139">
        <f>IF($O1139="","",IF(INDEX(Dossiers!$F$4:$F$63,22)="","",INDEX(Dossiers!$F$4:$F$63,22)))</f>
        <v/>
      </c>
      <c r="U1139">
        <f>IF($O1139="","",IF(INDEX(Dossiers!$G$4:$G$63,22)="","",INDEX(Dossiers!$G$4:$G$63,22)))</f>
        <v/>
      </c>
      <c r="V1139">
        <f>IF(OR($O1139="",NOT(ISNUMBER($Q1139))),"",$Q1139*1000000+1139)</f>
        <v/>
      </c>
      <c r="W1139" s="29">
        <f>IF($B1139="","",IFERROR(INDEX($U$4:$U$3183,MATCH(SMALL($V$4:$V$3183,1136),$V$4:$V$3183,0)),""))</f>
        <v/>
      </c>
    </row>
    <row r="1140">
      <c r="A1140">
        <f>IFERROR(INDEX($N$4:$N$3183,MATCH(SMALL($V$4:$V$3183,1137),$V$4:$V$3183,0)),"")</f>
        <v/>
      </c>
      <c r="B1140">
        <f>IFERROR(INDEX($O$4:$O$3183,MATCH(SMALL($V$4:$V$3183,1137),$V$4:$V$3183,0)),"")</f>
        <v/>
      </c>
      <c r="C1140">
        <f>IFERROR(INDEX($P$4:$P$3183,MATCH(SMALL($V$4:$V$3183,1137),$V$4:$V$3183,0)),"")</f>
        <v/>
      </c>
      <c r="D1140" s="29">
        <f>IFERROR(INDEX($Q$4:$Q$3183,MATCH(SMALL($V$4:$V$3183,1137),$V$4:$V$3183,0)),"")</f>
        <v/>
      </c>
      <c r="E1140" s="29">
        <f>IFERROR(INDEX($R$4:$R$3183,MATCH(SMALL($V$4:$V$3183,1137),$V$4:$V$3183,0)),"")</f>
        <v/>
      </c>
      <c r="F1140">
        <f>IFERROR(INDEX($S$4:$S$3183,MATCH(SMALL($V$4:$V$3183,1137),$V$4:$V$3183,0)),"")</f>
        <v/>
      </c>
      <c r="I1140" s="29">
        <f>IF($B1140="","",IFERROR(INDEX($U$4:$U$3183,MATCH(SMALL($V$4:$V$3183,1137),$V$4:$V$3183,0)),""))</f>
        <v/>
      </c>
      <c r="J1140">
        <f>IF($B1140="","",IF($D1140&gt;$F$2,"À venir",IF($E1140&lt;$D$2,"Passé","Dans la période")))</f>
        <v/>
      </c>
      <c r="K1140">
        <f>IF(OR($B1140="",NOT(ISNUMBER($D1140))),"",IF(AND($E1140&lt;$D$2,$G1140&lt;&gt;"X",$F1140&lt;&gt;"Réalisé",$F1140&lt;&gt;"Clôturé"),"RETARD",""))</f>
        <v/>
      </c>
      <c r="L1140">
        <f>IF(OR($B1140="",NOT(ISNUMBER($D1140))),"",IF(AND($D1140&gt;=$D$2,$D1140&lt;=$H$2,$G1140&lt;&gt;"X",$F1140&lt;&gt;"Réalisé",$F1140&lt;&gt;"Clôturé"),"≤ 7 j",""))</f>
        <v/>
      </c>
      <c r="M1140" s="29">
        <f>IF($B1140="","",IFERROR(INDEX($T$4:$T$3183,MATCH(SMALL($V$4:$V$3183,1137),$V$4:$V$3183,0)),""))</f>
        <v/>
      </c>
      <c r="O1140">
        <f>IF(INDEX(Suivi!$B:$B,1162)="","",INDEX(Suivi!$B:$B,1162))</f>
        <v/>
      </c>
      <c r="P1140">
        <f>IF($O1140="","",IF(INDEX(Suivi!$D:$D,1162)="",INDEX(Suivi!$C:$C,1162),INDEX(Suivi!$D:$D,1162)))</f>
        <v/>
      </c>
      <c r="Q1140">
        <f>IF($O1140="","",INDEX(Suivi!$E:$E,1162))</f>
        <v/>
      </c>
      <c r="R1140">
        <f>IF($O1140="","",INDEX(Suivi!$F:$F,1162))</f>
        <v/>
      </c>
      <c r="S1140">
        <f>IF($O1140="","",INDEX(Suivi!$G:$G,1162))</f>
        <v/>
      </c>
      <c r="T1140">
        <f>IF($O1140="","",IF(INDEX(Dossiers!$F$4:$F$63,22)="","",INDEX(Dossiers!$F$4:$F$63,22)))</f>
        <v/>
      </c>
      <c r="U1140">
        <f>IF($O1140="","",IF(INDEX(Dossiers!$G$4:$G$63,22)="","",INDEX(Dossiers!$G$4:$G$63,22)))</f>
        <v/>
      </c>
      <c r="V1140">
        <f>IF(OR($O1140="",NOT(ISNUMBER($Q1140))),"",$Q1140*1000000+1140)</f>
        <v/>
      </c>
      <c r="W1140" s="29">
        <f>IF($B1140="","",IFERROR(INDEX($U$4:$U$3183,MATCH(SMALL($V$4:$V$3183,1137),$V$4:$V$3183,0)),""))</f>
        <v/>
      </c>
    </row>
    <row r="1141">
      <c r="A1141">
        <f>IFERROR(INDEX($N$4:$N$3183,MATCH(SMALL($V$4:$V$3183,1138),$V$4:$V$3183,0)),"")</f>
        <v/>
      </c>
      <c r="B1141">
        <f>IFERROR(INDEX($O$4:$O$3183,MATCH(SMALL($V$4:$V$3183,1138),$V$4:$V$3183,0)),"")</f>
        <v/>
      </c>
      <c r="C1141">
        <f>IFERROR(INDEX($P$4:$P$3183,MATCH(SMALL($V$4:$V$3183,1138),$V$4:$V$3183,0)),"")</f>
        <v/>
      </c>
      <c r="D1141" s="29">
        <f>IFERROR(INDEX($Q$4:$Q$3183,MATCH(SMALL($V$4:$V$3183,1138),$V$4:$V$3183,0)),"")</f>
        <v/>
      </c>
      <c r="E1141" s="29">
        <f>IFERROR(INDEX($R$4:$R$3183,MATCH(SMALL($V$4:$V$3183,1138),$V$4:$V$3183,0)),"")</f>
        <v/>
      </c>
      <c r="F1141">
        <f>IFERROR(INDEX($S$4:$S$3183,MATCH(SMALL($V$4:$V$3183,1138),$V$4:$V$3183,0)),"")</f>
        <v/>
      </c>
      <c r="I1141" s="29">
        <f>IF($B1141="","",IFERROR(INDEX($U$4:$U$3183,MATCH(SMALL($V$4:$V$3183,1138),$V$4:$V$3183,0)),""))</f>
        <v/>
      </c>
      <c r="J1141">
        <f>IF($B1141="","",IF($D1141&gt;$F$2,"À venir",IF($E1141&lt;$D$2,"Passé","Dans la période")))</f>
        <v/>
      </c>
      <c r="K1141">
        <f>IF(OR($B1141="",NOT(ISNUMBER($D1141))),"",IF(AND($E1141&lt;$D$2,$G1141&lt;&gt;"X",$F1141&lt;&gt;"Réalisé",$F1141&lt;&gt;"Clôturé"),"RETARD",""))</f>
        <v/>
      </c>
      <c r="L1141">
        <f>IF(OR($B1141="",NOT(ISNUMBER($D1141))),"",IF(AND($D1141&gt;=$D$2,$D1141&lt;=$H$2,$G1141&lt;&gt;"X",$F1141&lt;&gt;"Réalisé",$F1141&lt;&gt;"Clôturé"),"≤ 7 j",""))</f>
        <v/>
      </c>
      <c r="M1141" s="29">
        <f>IF($B1141="","",IFERROR(INDEX($T$4:$T$3183,MATCH(SMALL($V$4:$V$3183,1138),$V$4:$V$3183,0)),""))</f>
        <v/>
      </c>
      <c r="O1141">
        <f>IF(INDEX(Suivi!$B:$B,1163)="","",INDEX(Suivi!$B:$B,1163))</f>
        <v/>
      </c>
      <c r="P1141">
        <f>IF($O1141="","",IF(INDEX(Suivi!$D:$D,1163)="",INDEX(Suivi!$C:$C,1163),INDEX(Suivi!$D:$D,1163)))</f>
        <v/>
      </c>
      <c r="Q1141">
        <f>IF($O1141="","",INDEX(Suivi!$E:$E,1163))</f>
        <v/>
      </c>
      <c r="R1141">
        <f>IF($O1141="","",INDEX(Suivi!$F:$F,1163))</f>
        <v/>
      </c>
      <c r="S1141">
        <f>IF($O1141="","",INDEX(Suivi!$G:$G,1163))</f>
        <v/>
      </c>
      <c r="T1141">
        <f>IF($O1141="","",IF(INDEX(Dossiers!$F$4:$F$63,22)="","",INDEX(Dossiers!$F$4:$F$63,22)))</f>
        <v/>
      </c>
      <c r="U1141">
        <f>IF($O1141="","",IF(INDEX(Dossiers!$G$4:$G$63,22)="","",INDEX(Dossiers!$G$4:$G$63,22)))</f>
        <v/>
      </c>
      <c r="V1141">
        <f>IF(OR($O1141="",NOT(ISNUMBER($Q1141))),"",$Q1141*1000000+1141)</f>
        <v/>
      </c>
      <c r="W1141" s="29">
        <f>IF($B1141="","",IFERROR(INDEX($U$4:$U$3183,MATCH(SMALL($V$4:$V$3183,1138),$V$4:$V$3183,0)),""))</f>
        <v/>
      </c>
    </row>
    <row r="1142">
      <c r="A1142">
        <f>IFERROR(INDEX($N$4:$N$3183,MATCH(SMALL($V$4:$V$3183,1139),$V$4:$V$3183,0)),"")</f>
        <v/>
      </c>
      <c r="B1142">
        <f>IFERROR(INDEX($O$4:$O$3183,MATCH(SMALL($V$4:$V$3183,1139),$V$4:$V$3183,0)),"")</f>
        <v/>
      </c>
      <c r="C1142">
        <f>IFERROR(INDEX($P$4:$P$3183,MATCH(SMALL($V$4:$V$3183,1139),$V$4:$V$3183,0)),"")</f>
        <v/>
      </c>
      <c r="D1142" s="29">
        <f>IFERROR(INDEX($Q$4:$Q$3183,MATCH(SMALL($V$4:$V$3183,1139),$V$4:$V$3183,0)),"")</f>
        <v/>
      </c>
      <c r="E1142" s="29">
        <f>IFERROR(INDEX($R$4:$R$3183,MATCH(SMALL($V$4:$V$3183,1139),$V$4:$V$3183,0)),"")</f>
        <v/>
      </c>
      <c r="F1142">
        <f>IFERROR(INDEX($S$4:$S$3183,MATCH(SMALL($V$4:$V$3183,1139),$V$4:$V$3183,0)),"")</f>
        <v/>
      </c>
      <c r="I1142" s="29">
        <f>IF($B1142="","",IFERROR(INDEX($U$4:$U$3183,MATCH(SMALL($V$4:$V$3183,1139),$V$4:$V$3183,0)),""))</f>
        <v/>
      </c>
      <c r="J1142">
        <f>IF($B1142="","",IF($D1142&gt;$F$2,"À venir",IF($E1142&lt;$D$2,"Passé","Dans la période")))</f>
        <v/>
      </c>
      <c r="K1142">
        <f>IF(OR($B1142="",NOT(ISNUMBER($D1142))),"",IF(AND($E1142&lt;$D$2,$G1142&lt;&gt;"X",$F1142&lt;&gt;"Réalisé",$F1142&lt;&gt;"Clôturé"),"RETARD",""))</f>
        <v/>
      </c>
      <c r="L1142">
        <f>IF(OR($B1142="",NOT(ISNUMBER($D1142))),"",IF(AND($D1142&gt;=$D$2,$D1142&lt;=$H$2,$G1142&lt;&gt;"X",$F1142&lt;&gt;"Réalisé",$F1142&lt;&gt;"Clôturé"),"≤ 7 j",""))</f>
        <v/>
      </c>
      <c r="M1142" s="29">
        <f>IF($B1142="","",IFERROR(INDEX($T$4:$T$3183,MATCH(SMALL($V$4:$V$3183,1139),$V$4:$V$3183,0)),""))</f>
        <v/>
      </c>
      <c r="O1142">
        <f>IF(INDEX(Suivi!$B:$B,1164)="","",INDEX(Suivi!$B:$B,1164))</f>
        <v/>
      </c>
      <c r="P1142">
        <f>IF($O1142="","",IF(INDEX(Suivi!$D:$D,1164)="",INDEX(Suivi!$C:$C,1164),INDEX(Suivi!$D:$D,1164)))</f>
        <v/>
      </c>
      <c r="Q1142">
        <f>IF($O1142="","",INDEX(Suivi!$E:$E,1164))</f>
        <v/>
      </c>
      <c r="R1142">
        <f>IF($O1142="","",INDEX(Suivi!$F:$F,1164))</f>
        <v/>
      </c>
      <c r="S1142">
        <f>IF($O1142="","",INDEX(Suivi!$G:$G,1164))</f>
        <v/>
      </c>
      <c r="T1142">
        <f>IF($O1142="","",IF(INDEX(Dossiers!$F$4:$F$63,22)="","",INDEX(Dossiers!$F$4:$F$63,22)))</f>
        <v/>
      </c>
      <c r="U1142">
        <f>IF($O1142="","",IF(INDEX(Dossiers!$G$4:$G$63,22)="","",INDEX(Dossiers!$G$4:$G$63,22)))</f>
        <v/>
      </c>
      <c r="V1142">
        <f>IF(OR($O1142="",NOT(ISNUMBER($Q1142))),"",$Q1142*1000000+1142)</f>
        <v/>
      </c>
      <c r="W1142" s="29">
        <f>IF($B1142="","",IFERROR(INDEX($U$4:$U$3183,MATCH(SMALL($V$4:$V$3183,1139),$V$4:$V$3183,0)),""))</f>
        <v/>
      </c>
    </row>
    <row r="1143">
      <c r="A1143">
        <f>IFERROR(INDEX($N$4:$N$3183,MATCH(SMALL($V$4:$V$3183,1140),$V$4:$V$3183,0)),"")</f>
        <v/>
      </c>
      <c r="B1143">
        <f>IFERROR(INDEX($O$4:$O$3183,MATCH(SMALL($V$4:$V$3183,1140),$V$4:$V$3183,0)),"")</f>
        <v/>
      </c>
      <c r="C1143">
        <f>IFERROR(INDEX($P$4:$P$3183,MATCH(SMALL($V$4:$V$3183,1140),$V$4:$V$3183,0)),"")</f>
        <v/>
      </c>
      <c r="D1143" s="29">
        <f>IFERROR(INDEX($Q$4:$Q$3183,MATCH(SMALL($V$4:$V$3183,1140),$V$4:$V$3183,0)),"")</f>
        <v/>
      </c>
      <c r="E1143" s="29">
        <f>IFERROR(INDEX($R$4:$R$3183,MATCH(SMALL($V$4:$V$3183,1140),$V$4:$V$3183,0)),"")</f>
        <v/>
      </c>
      <c r="F1143">
        <f>IFERROR(INDEX($S$4:$S$3183,MATCH(SMALL($V$4:$V$3183,1140),$V$4:$V$3183,0)),"")</f>
        <v/>
      </c>
      <c r="I1143" s="29">
        <f>IF($B1143="","",IFERROR(INDEX($U$4:$U$3183,MATCH(SMALL($V$4:$V$3183,1140),$V$4:$V$3183,0)),""))</f>
        <v/>
      </c>
      <c r="J1143">
        <f>IF($B1143="","",IF($D1143&gt;$F$2,"À venir",IF($E1143&lt;$D$2,"Passé","Dans la période")))</f>
        <v/>
      </c>
      <c r="K1143">
        <f>IF(OR($B1143="",NOT(ISNUMBER($D1143))),"",IF(AND($E1143&lt;$D$2,$G1143&lt;&gt;"X",$F1143&lt;&gt;"Réalisé",$F1143&lt;&gt;"Clôturé"),"RETARD",""))</f>
        <v/>
      </c>
      <c r="L1143">
        <f>IF(OR($B1143="",NOT(ISNUMBER($D1143))),"",IF(AND($D1143&gt;=$D$2,$D1143&lt;=$H$2,$G1143&lt;&gt;"X",$F1143&lt;&gt;"Réalisé",$F1143&lt;&gt;"Clôturé"),"≤ 7 j",""))</f>
        <v/>
      </c>
      <c r="M1143" s="29">
        <f>IF($B1143="","",IFERROR(INDEX($T$4:$T$3183,MATCH(SMALL($V$4:$V$3183,1140),$V$4:$V$3183,0)),""))</f>
        <v/>
      </c>
      <c r="O1143">
        <f>IF(INDEX(Suivi!$B:$B,1165)="","",INDEX(Suivi!$B:$B,1165))</f>
        <v/>
      </c>
      <c r="P1143">
        <f>IF($O1143="","",IF(INDEX(Suivi!$D:$D,1165)="",INDEX(Suivi!$C:$C,1165),INDEX(Suivi!$D:$D,1165)))</f>
        <v/>
      </c>
      <c r="Q1143">
        <f>IF($O1143="","",INDEX(Suivi!$E:$E,1165))</f>
        <v/>
      </c>
      <c r="R1143">
        <f>IF($O1143="","",INDEX(Suivi!$F:$F,1165))</f>
        <v/>
      </c>
      <c r="S1143">
        <f>IF($O1143="","",INDEX(Suivi!$G:$G,1165))</f>
        <v/>
      </c>
      <c r="T1143">
        <f>IF($O1143="","",IF(INDEX(Dossiers!$F$4:$F$63,22)="","",INDEX(Dossiers!$F$4:$F$63,22)))</f>
        <v/>
      </c>
      <c r="U1143">
        <f>IF($O1143="","",IF(INDEX(Dossiers!$G$4:$G$63,22)="","",INDEX(Dossiers!$G$4:$G$63,22)))</f>
        <v/>
      </c>
      <c r="V1143">
        <f>IF(OR($O1143="",NOT(ISNUMBER($Q1143))),"",$Q1143*1000000+1143)</f>
        <v/>
      </c>
      <c r="W1143" s="29">
        <f>IF($B1143="","",IFERROR(INDEX($U$4:$U$3183,MATCH(SMALL($V$4:$V$3183,1140),$V$4:$V$3183,0)),""))</f>
        <v/>
      </c>
    </row>
    <row r="1144">
      <c r="A1144">
        <f>IFERROR(INDEX($N$4:$N$3183,MATCH(SMALL($V$4:$V$3183,1141),$V$4:$V$3183,0)),"")</f>
        <v/>
      </c>
      <c r="B1144">
        <f>IFERROR(INDEX($O$4:$O$3183,MATCH(SMALL($V$4:$V$3183,1141),$V$4:$V$3183,0)),"")</f>
        <v/>
      </c>
      <c r="C1144">
        <f>IFERROR(INDEX($P$4:$P$3183,MATCH(SMALL($V$4:$V$3183,1141),$V$4:$V$3183,0)),"")</f>
        <v/>
      </c>
      <c r="D1144" s="29">
        <f>IFERROR(INDEX($Q$4:$Q$3183,MATCH(SMALL($V$4:$V$3183,1141),$V$4:$V$3183,0)),"")</f>
        <v/>
      </c>
      <c r="E1144" s="29">
        <f>IFERROR(INDEX($R$4:$R$3183,MATCH(SMALL($V$4:$V$3183,1141),$V$4:$V$3183,0)),"")</f>
        <v/>
      </c>
      <c r="F1144">
        <f>IFERROR(INDEX($S$4:$S$3183,MATCH(SMALL($V$4:$V$3183,1141),$V$4:$V$3183,0)),"")</f>
        <v/>
      </c>
      <c r="I1144" s="29">
        <f>IF($B1144="","",IFERROR(INDEX($U$4:$U$3183,MATCH(SMALL($V$4:$V$3183,1141),$V$4:$V$3183,0)),""))</f>
        <v/>
      </c>
      <c r="J1144">
        <f>IF($B1144="","",IF($D1144&gt;$F$2,"À venir",IF($E1144&lt;$D$2,"Passé","Dans la période")))</f>
        <v/>
      </c>
      <c r="K1144">
        <f>IF(OR($B1144="",NOT(ISNUMBER($D1144))),"",IF(AND($E1144&lt;$D$2,$G1144&lt;&gt;"X",$F1144&lt;&gt;"Réalisé",$F1144&lt;&gt;"Clôturé"),"RETARD",""))</f>
        <v/>
      </c>
      <c r="L1144">
        <f>IF(OR($B1144="",NOT(ISNUMBER($D1144))),"",IF(AND($D1144&gt;=$D$2,$D1144&lt;=$H$2,$G1144&lt;&gt;"X",$F1144&lt;&gt;"Réalisé",$F1144&lt;&gt;"Clôturé"),"≤ 7 j",""))</f>
        <v/>
      </c>
      <c r="M1144" s="29">
        <f>IF($B1144="","",IFERROR(INDEX($T$4:$T$3183,MATCH(SMALL($V$4:$V$3183,1141),$V$4:$V$3183,0)),""))</f>
        <v/>
      </c>
      <c r="O1144">
        <f>IF(INDEX(Suivi!$B:$B,1166)="","",INDEX(Suivi!$B:$B,1166))</f>
        <v/>
      </c>
      <c r="P1144">
        <f>IF($O1144="","",IF(INDEX(Suivi!$D:$D,1166)="",INDEX(Suivi!$C:$C,1166),INDEX(Suivi!$D:$D,1166)))</f>
        <v/>
      </c>
      <c r="Q1144">
        <f>IF($O1144="","",INDEX(Suivi!$E:$E,1166))</f>
        <v/>
      </c>
      <c r="R1144">
        <f>IF($O1144="","",INDEX(Suivi!$F:$F,1166))</f>
        <v/>
      </c>
      <c r="S1144">
        <f>IF($O1144="","",INDEX(Suivi!$G:$G,1166))</f>
        <v/>
      </c>
      <c r="T1144">
        <f>IF($O1144="","",IF(INDEX(Dossiers!$F$4:$F$63,22)="","",INDEX(Dossiers!$F$4:$F$63,22)))</f>
        <v/>
      </c>
      <c r="U1144">
        <f>IF($O1144="","",IF(INDEX(Dossiers!$G$4:$G$63,22)="","",INDEX(Dossiers!$G$4:$G$63,22)))</f>
        <v/>
      </c>
      <c r="V1144">
        <f>IF(OR($O1144="",NOT(ISNUMBER($Q1144))),"",$Q1144*1000000+1144)</f>
        <v/>
      </c>
      <c r="W1144" s="29">
        <f>IF($B1144="","",IFERROR(INDEX($U$4:$U$3183,MATCH(SMALL($V$4:$V$3183,1141),$V$4:$V$3183,0)),""))</f>
        <v/>
      </c>
    </row>
    <row r="1145">
      <c r="A1145">
        <f>IFERROR(INDEX($N$4:$N$3183,MATCH(SMALL($V$4:$V$3183,1142),$V$4:$V$3183,0)),"")</f>
        <v/>
      </c>
      <c r="B1145">
        <f>IFERROR(INDEX($O$4:$O$3183,MATCH(SMALL($V$4:$V$3183,1142),$V$4:$V$3183,0)),"")</f>
        <v/>
      </c>
      <c r="C1145">
        <f>IFERROR(INDEX($P$4:$P$3183,MATCH(SMALL($V$4:$V$3183,1142),$V$4:$V$3183,0)),"")</f>
        <v/>
      </c>
      <c r="D1145" s="29">
        <f>IFERROR(INDEX($Q$4:$Q$3183,MATCH(SMALL($V$4:$V$3183,1142),$V$4:$V$3183,0)),"")</f>
        <v/>
      </c>
      <c r="E1145" s="29">
        <f>IFERROR(INDEX($R$4:$R$3183,MATCH(SMALL($V$4:$V$3183,1142),$V$4:$V$3183,0)),"")</f>
        <v/>
      </c>
      <c r="F1145">
        <f>IFERROR(INDEX($S$4:$S$3183,MATCH(SMALL($V$4:$V$3183,1142),$V$4:$V$3183,0)),"")</f>
        <v/>
      </c>
      <c r="I1145" s="29">
        <f>IF($B1145="","",IFERROR(INDEX($U$4:$U$3183,MATCH(SMALL($V$4:$V$3183,1142),$V$4:$V$3183,0)),""))</f>
        <v/>
      </c>
      <c r="J1145">
        <f>IF($B1145="","",IF($D1145&gt;$F$2,"À venir",IF($E1145&lt;$D$2,"Passé","Dans la période")))</f>
        <v/>
      </c>
      <c r="K1145">
        <f>IF(OR($B1145="",NOT(ISNUMBER($D1145))),"",IF(AND($E1145&lt;$D$2,$G1145&lt;&gt;"X",$F1145&lt;&gt;"Réalisé",$F1145&lt;&gt;"Clôturé"),"RETARD",""))</f>
        <v/>
      </c>
      <c r="L1145">
        <f>IF(OR($B1145="",NOT(ISNUMBER($D1145))),"",IF(AND($D1145&gt;=$D$2,$D1145&lt;=$H$2,$G1145&lt;&gt;"X",$F1145&lt;&gt;"Réalisé",$F1145&lt;&gt;"Clôturé"),"≤ 7 j",""))</f>
        <v/>
      </c>
      <c r="M1145" s="29">
        <f>IF($B1145="","",IFERROR(INDEX($T$4:$T$3183,MATCH(SMALL($V$4:$V$3183,1142),$V$4:$V$3183,0)),""))</f>
        <v/>
      </c>
      <c r="O1145">
        <f>IF(INDEX(Suivi!$B:$B,1167)="","",INDEX(Suivi!$B:$B,1167))</f>
        <v/>
      </c>
      <c r="P1145">
        <f>IF($O1145="","",IF(INDEX(Suivi!$D:$D,1167)="",INDEX(Suivi!$C:$C,1167),INDEX(Suivi!$D:$D,1167)))</f>
        <v/>
      </c>
      <c r="Q1145">
        <f>IF($O1145="","",INDEX(Suivi!$E:$E,1167))</f>
        <v/>
      </c>
      <c r="R1145">
        <f>IF($O1145="","",INDEX(Suivi!$F:$F,1167))</f>
        <v/>
      </c>
      <c r="S1145">
        <f>IF($O1145="","",INDEX(Suivi!$G:$G,1167))</f>
        <v/>
      </c>
      <c r="T1145">
        <f>IF($O1145="","",IF(INDEX(Dossiers!$F$4:$F$63,22)="","",INDEX(Dossiers!$F$4:$F$63,22)))</f>
        <v/>
      </c>
      <c r="U1145">
        <f>IF($O1145="","",IF(INDEX(Dossiers!$G$4:$G$63,22)="","",INDEX(Dossiers!$G$4:$G$63,22)))</f>
        <v/>
      </c>
      <c r="V1145">
        <f>IF(OR($O1145="",NOT(ISNUMBER($Q1145))),"",$Q1145*1000000+1145)</f>
        <v/>
      </c>
      <c r="W1145" s="29">
        <f>IF($B1145="","",IFERROR(INDEX($U$4:$U$3183,MATCH(SMALL($V$4:$V$3183,1142),$V$4:$V$3183,0)),""))</f>
        <v/>
      </c>
    </row>
    <row r="1146">
      <c r="A1146">
        <f>IFERROR(INDEX($N$4:$N$3183,MATCH(SMALL($V$4:$V$3183,1143),$V$4:$V$3183,0)),"")</f>
        <v/>
      </c>
      <c r="B1146">
        <f>IFERROR(INDEX($O$4:$O$3183,MATCH(SMALL($V$4:$V$3183,1143),$V$4:$V$3183,0)),"")</f>
        <v/>
      </c>
      <c r="C1146">
        <f>IFERROR(INDEX($P$4:$P$3183,MATCH(SMALL($V$4:$V$3183,1143),$V$4:$V$3183,0)),"")</f>
        <v/>
      </c>
      <c r="D1146" s="29">
        <f>IFERROR(INDEX($Q$4:$Q$3183,MATCH(SMALL($V$4:$V$3183,1143),$V$4:$V$3183,0)),"")</f>
        <v/>
      </c>
      <c r="E1146" s="29">
        <f>IFERROR(INDEX($R$4:$R$3183,MATCH(SMALL($V$4:$V$3183,1143),$V$4:$V$3183,0)),"")</f>
        <v/>
      </c>
      <c r="F1146">
        <f>IFERROR(INDEX($S$4:$S$3183,MATCH(SMALL($V$4:$V$3183,1143),$V$4:$V$3183,0)),"")</f>
        <v/>
      </c>
      <c r="I1146" s="29">
        <f>IF($B1146="","",IFERROR(INDEX($U$4:$U$3183,MATCH(SMALL($V$4:$V$3183,1143),$V$4:$V$3183,0)),""))</f>
        <v/>
      </c>
      <c r="J1146">
        <f>IF($B1146="","",IF($D1146&gt;$F$2,"À venir",IF($E1146&lt;$D$2,"Passé","Dans la période")))</f>
        <v/>
      </c>
      <c r="K1146">
        <f>IF(OR($B1146="",NOT(ISNUMBER($D1146))),"",IF(AND($E1146&lt;$D$2,$G1146&lt;&gt;"X",$F1146&lt;&gt;"Réalisé",$F1146&lt;&gt;"Clôturé"),"RETARD",""))</f>
        <v/>
      </c>
      <c r="L1146">
        <f>IF(OR($B1146="",NOT(ISNUMBER($D1146))),"",IF(AND($D1146&gt;=$D$2,$D1146&lt;=$H$2,$G1146&lt;&gt;"X",$F1146&lt;&gt;"Réalisé",$F1146&lt;&gt;"Clôturé"),"≤ 7 j",""))</f>
        <v/>
      </c>
      <c r="M1146" s="29">
        <f>IF($B1146="","",IFERROR(INDEX($T$4:$T$3183,MATCH(SMALL($V$4:$V$3183,1143),$V$4:$V$3183,0)),""))</f>
        <v/>
      </c>
      <c r="O1146">
        <f>IF(INDEX(Suivi!$B:$B,1168)="","",INDEX(Suivi!$B:$B,1168))</f>
        <v/>
      </c>
      <c r="P1146">
        <f>IF($O1146="","",IF(INDEX(Suivi!$D:$D,1168)="",INDEX(Suivi!$C:$C,1168),INDEX(Suivi!$D:$D,1168)))</f>
        <v/>
      </c>
      <c r="Q1146">
        <f>IF($O1146="","",INDEX(Suivi!$E:$E,1168))</f>
        <v/>
      </c>
      <c r="R1146">
        <f>IF($O1146="","",INDEX(Suivi!$F:$F,1168))</f>
        <v/>
      </c>
      <c r="S1146">
        <f>IF($O1146="","",INDEX(Suivi!$G:$G,1168))</f>
        <v/>
      </c>
      <c r="T1146">
        <f>IF($O1146="","",IF(INDEX(Dossiers!$F$4:$F$63,22)="","",INDEX(Dossiers!$F$4:$F$63,22)))</f>
        <v/>
      </c>
      <c r="U1146">
        <f>IF($O1146="","",IF(INDEX(Dossiers!$G$4:$G$63,22)="","",INDEX(Dossiers!$G$4:$G$63,22)))</f>
        <v/>
      </c>
      <c r="V1146">
        <f>IF(OR($O1146="",NOT(ISNUMBER($Q1146))),"",$Q1146*1000000+1146)</f>
        <v/>
      </c>
      <c r="W1146" s="29">
        <f>IF($B1146="","",IFERROR(INDEX($U$4:$U$3183,MATCH(SMALL($V$4:$V$3183,1143),$V$4:$V$3183,0)),""))</f>
        <v/>
      </c>
    </row>
    <row r="1147">
      <c r="A1147">
        <f>IFERROR(INDEX($N$4:$N$3183,MATCH(SMALL($V$4:$V$3183,1144),$V$4:$V$3183,0)),"")</f>
        <v/>
      </c>
      <c r="B1147">
        <f>IFERROR(INDEX($O$4:$O$3183,MATCH(SMALL($V$4:$V$3183,1144),$V$4:$V$3183,0)),"")</f>
        <v/>
      </c>
      <c r="C1147">
        <f>IFERROR(INDEX($P$4:$P$3183,MATCH(SMALL($V$4:$V$3183,1144),$V$4:$V$3183,0)),"")</f>
        <v/>
      </c>
      <c r="D1147" s="29">
        <f>IFERROR(INDEX($Q$4:$Q$3183,MATCH(SMALL($V$4:$V$3183,1144),$V$4:$V$3183,0)),"")</f>
        <v/>
      </c>
      <c r="E1147" s="29">
        <f>IFERROR(INDEX($R$4:$R$3183,MATCH(SMALL($V$4:$V$3183,1144),$V$4:$V$3183,0)),"")</f>
        <v/>
      </c>
      <c r="F1147">
        <f>IFERROR(INDEX($S$4:$S$3183,MATCH(SMALL($V$4:$V$3183,1144),$V$4:$V$3183,0)),"")</f>
        <v/>
      </c>
      <c r="I1147" s="29">
        <f>IF($B1147="","",IFERROR(INDEX($U$4:$U$3183,MATCH(SMALL($V$4:$V$3183,1144),$V$4:$V$3183,0)),""))</f>
        <v/>
      </c>
      <c r="J1147">
        <f>IF($B1147="","",IF($D1147&gt;$F$2,"À venir",IF($E1147&lt;$D$2,"Passé","Dans la période")))</f>
        <v/>
      </c>
      <c r="K1147">
        <f>IF(OR($B1147="",NOT(ISNUMBER($D1147))),"",IF(AND($E1147&lt;$D$2,$G1147&lt;&gt;"X",$F1147&lt;&gt;"Réalisé",$F1147&lt;&gt;"Clôturé"),"RETARD",""))</f>
        <v/>
      </c>
      <c r="L1147">
        <f>IF(OR($B1147="",NOT(ISNUMBER($D1147))),"",IF(AND($D1147&gt;=$D$2,$D1147&lt;=$H$2,$G1147&lt;&gt;"X",$F1147&lt;&gt;"Réalisé",$F1147&lt;&gt;"Clôturé"),"≤ 7 j",""))</f>
        <v/>
      </c>
      <c r="M1147" s="29">
        <f>IF($B1147="","",IFERROR(INDEX($T$4:$T$3183,MATCH(SMALL($V$4:$V$3183,1144),$V$4:$V$3183,0)),""))</f>
        <v/>
      </c>
      <c r="O1147">
        <f>IF(INDEX(Suivi!$B:$B,1169)="","",INDEX(Suivi!$B:$B,1169))</f>
        <v/>
      </c>
      <c r="P1147">
        <f>IF($O1147="","",IF(INDEX(Suivi!$D:$D,1169)="",INDEX(Suivi!$C:$C,1169),INDEX(Suivi!$D:$D,1169)))</f>
        <v/>
      </c>
      <c r="Q1147">
        <f>IF($O1147="","",INDEX(Suivi!$E:$E,1169))</f>
        <v/>
      </c>
      <c r="R1147">
        <f>IF($O1147="","",INDEX(Suivi!$F:$F,1169))</f>
        <v/>
      </c>
      <c r="S1147">
        <f>IF($O1147="","",INDEX(Suivi!$G:$G,1169))</f>
        <v/>
      </c>
      <c r="T1147">
        <f>IF($O1147="","",IF(INDEX(Dossiers!$F$4:$F$63,22)="","",INDEX(Dossiers!$F$4:$F$63,22)))</f>
        <v/>
      </c>
      <c r="U1147">
        <f>IF($O1147="","",IF(INDEX(Dossiers!$G$4:$G$63,22)="","",INDEX(Dossiers!$G$4:$G$63,22)))</f>
        <v/>
      </c>
      <c r="V1147">
        <f>IF(OR($O1147="",NOT(ISNUMBER($Q1147))),"",$Q1147*1000000+1147)</f>
        <v/>
      </c>
      <c r="W1147" s="29">
        <f>IF($B1147="","",IFERROR(INDEX($U$4:$U$3183,MATCH(SMALL($V$4:$V$3183,1144),$V$4:$V$3183,0)),""))</f>
        <v/>
      </c>
    </row>
    <row r="1148">
      <c r="A1148">
        <f>IFERROR(INDEX($N$4:$N$3183,MATCH(SMALL($V$4:$V$3183,1145),$V$4:$V$3183,0)),"")</f>
        <v/>
      </c>
      <c r="B1148">
        <f>IFERROR(INDEX($O$4:$O$3183,MATCH(SMALL($V$4:$V$3183,1145),$V$4:$V$3183,0)),"")</f>
        <v/>
      </c>
      <c r="C1148">
        <f>IFERROR(INDEX($P$4:$P$3183,MATCH(SMALL($V$4:$V$3183,1145),$V$4:$V$3183,0)),"")</f>
        <v/>
      </c>
      <c r="D1148" s="29">
        <f>IFERROR(INDEX($Q$4:$Q$3183,MATCH(SMALL($V$4:$V$3183,1145),$V$4:$V$3183,0)),"")</f>
        <v/>
      </c>
      <c r="E1148" s="29">
        <f>IFERROR(INDEX($R$4:$R$3183,MATCH(SMALL($V$4:$V$3183,1145),$V$4:$V$3183,0)),"")</f>
        <v/>
      </c>
      <c r="F1148">
        <f>IFERROR(INDEX($S$4:$S$3183,MATCH(SMALL($V$4:$V$3183,1145),$V$4:$V$3183,0)),"")</f>
        <v/>
      </c>
      <c r="I1148" s="29">
        <f>IF($B1148="","",IFERROR(INDEX($U$4:$U$3183,MATCH(SMALL($V$4:$V$3183,1145),$V$4:$V$3183,0)),""))</f>
        <v/>
      </c>
      <c r="J1148">
        <f>IF($B1148="","",IF($D1148&gt;$F$2,"À venir",IF($E1148&lt;$D$2,"Passé","Dans la période")))</f>
        <v/>
      </c>
      <c r="K1148">
        <f>IF(OR($B1148="",NOT(ISNUMBER($D1148))),"",IF(AND($E1148&lt;$D$2,$G1148&lt;&gt;"X",$F1148&lt;&gt;"Réalisé",$F1148&lt;&gt;"Clôturé"),"RETARD",""))</f>
        <v/>
      </c>
      <c r="L1148">
        <f>IF(OR($B1148="",NOT(ISNUMBER($D1148))),"",IF(AND($D1148&gt;=$D$2,$D1148&lt;=$H$2,$G1148&lt;&gt;"X",$F1148&lt;&gt;"Réalisé",$F1148&lt;&gt;"Clôturé"),"≤ 7 j",""))</f>
        <v/>
      </c>
      <c r="M1148" s="29">
        <f>IF($B1148="","",IFERROR(INDEX($T$4:$T$3183,MATCH(SMALL($V$4:$V$3183,1145),$V$4:$V$3183,0)),""))</f>
        <v/>
      </c>
      <c r="O1148">
        <f>IF(INDEX(Suivi!$B:$B,1170)="","",INDEX(Suivi!$B:$B,1170))</f>
        <v/>
      </c>
      <c r="P1148">
        <f>IF($O1148="","",IF(INDEX(Suivi!$D:$D,1170)="",INDEX(Suivi!$C:$C,1170),INDEX(Suivi!$D:$D,1170)))</f>
        <v/>
      </c>
      <c r="Q1148">
        <f>IF($O1148="","",INDEX(Suivi!$E:$E,1170))</f>
        <v/>
      </c>
      <c r="R1148">
        <f>IF($O1148="","",INDEX(Suivi!$F:$F,1170))</f>
        <v/>
      </c>
      <c r="S1148">
        <f>IF($O1148="","",INDEX(Suivi!$G:$G,1170))</f>
        <v/>
      </c>
      <c r="T1148">
        <f>IF($O1148="","",IF(INDEX(Dossiers!$F$4:$F$63,22)="","",INDEX(Dossiers!$F$4:$F$63,22)))</f>
        <v/>
      </c>
      <c r="U1148">
        <f>IF($O1148="","",IF(INDEX(Dossiers!$G$4:$G$63,22)="","",INDEX(Dossiers!$G$4:$G$63,22)))</f>
        <v/>
      </c>
      <c r="V1148">
        <f>IF(OR($O1148="",NOT(ISNUMBER($Q1148))),"",$Q1148*1000000+1148)</f>
        <v/>
      </c>
      <c r="W1148" s="29">
        <f>IF($B1148="","",IFERROR(INDEX($U$4:$U$3183,MATCH(SMALL($V$4:$V$3183,1145),$V$4:$V$3183,0)),""))</f>
        <v/>
      </c>
    </row>
    <row r="1149">
      <c r="A1149">
        <f>IFERROR(INDEX($N$4:$N$3183,MATCH(SMALL($V$4:$V$3183,1146),$V$4:$V$3183,0)),"")</f>
        <v/>
      </c>
      <c r="B1149">
        <f>IFERROR(INDEX($O$4:$O$3183,MATCH(SMALL($V$4:$V$3183,1146),$V$4:$V$3183,0)),"")</f>
        <v/>
      </c>
      <c r="C1149">
        <f>IFERROR(INDEX($P$4:$P$3183,MATCH(SMALL($V$4:$V$3183,1146),$V$4:$V$3183,0)),"")</f>
        <v/>
      </c>
      <c r="D1149" s="29">
        <f>IFERROR(INDEX($Q$4:$Q$3183,MATCH(SMALL($V$4:$V$3183,1146),$V$4:$V$3183,0)),"")</f>
        <v/>
      </c>
      <c r="E1149" s="29">
        <f>IFERROR(INDEX($R$4:$R$3183,MATCH(SMALL($V$4:$V$3183,1146),$V$4:$V$3183,0)),"")</f>
        <v/>
      </c>
      <c r="F1149">
        <f>IFERROR(INDEX($S$4:$S$3183,MATCH(SMALL($V$4:$V$3183,1146),$V$4:$V$3183,0)),"")</f>
        <v/>
      </c>
      <c r="I1149" s="29">
        <f>IF($B1149="","",IFERROR(INDEX($U$4:$U$3183,MATCH(SMALL($V$4:$V$3183,1146),$V$4:$V$3183,0)),""))</f>
        <v/>
      </c>
      <c r="J1149">
        <f>IF($B1149="","",IF($D1149&gt;$F$2,"À venir",IF($E1149&lt;$D$2,"Passé","Dans la période")))</f>
        <v/>
      </c>
      <c r="K1149">
        <f>IF(OR($B1149="",NOT(ISNUMBER($D1149))),"",IF(AND($E1149&lt;$D$2,$G1149&lt;&gt;"X",$F1149&lt;&gt;"Réalisé",$F1149&lt;&gt;"Clôturé"),"RETARD",""))</f>
        <v/>
      </c>
      <c r="L1149">
        <f>IF(OR($B1149="",NOT(ISNUMBER($D1149))),"",IF(AND($D1149&gt;=$D$2,$D1149&lt;=$H$2,$G1149&lt;&gt;"X",$F1149&lt;&gt;"Réalisé",$F1149&lt;&gt;"Clôturé"),"≤ 7 j",""))</f>
        <v/>
      </c>
      <c r="M1149" s="29">
        <f>IF($B1149="","",IFERROR(INDEX($T$4:$T$3183,MATCH(SMALL($V$4:$V$3183,1146),$V$4:$V$3183,0)),""))</f>
        <v/>
      </c>
      <c r="O1149">
        <f>IF(INDEX(Suivi!$B:$B,1171)="","",INDEX(Suivi!$B:$B,1171))</f>
        <v/>
      </c>
      <c r="P1149">
        <f>IF($O1149="","",IF(INDEX(Suivi!$D:$D,1171)="",INDEX(Suivi!$C:$C,1171),INDEX(Suivi!$D:$D,1171)))</f>
        <v/>
      </c>
      <c r="Q1149">
        <f>IF($O1149="","",INDEX(Suivi!$E:$E,1171))</f>
        <v/>
      </c>
      <c r="R1149">
        <f>IF($O1149="","",INDEX(Suivi!$F:$F,1171))</f>
        <v/>
      </c>
      <c r="S1149">
        <f>IF($O1149="","",INDEX(Suivi!$G:$G,1171))</f>
        <v/>
      </c>
      <c r="T1149">
        <f>IF($O1149="","",IF(INDEX(Dossiers!$F$4:$F$63,22)="","",INDEX(Dossiers!$F$4:$F$63,22)))</f>
        <v/>
      </c>
      <c r="U1149">
        <f>IF($O1149="","",IF(INDEX(Dossiers!$G$4:$G$63,22)="","",INDEX(Dossiers!$G$4:$G$63,22)))</f>
        <v/>
      </c>
      <c r="V1149">
        <f>IF(OR($O1149="",NOT(ISNUMBER($Q1149))),"",$Q1149*1000000+1149)</f>
        <v/>
      </c>
      <c r="W1149" s="29">
        <f>IF($B1149="","",IFERROR(INDEX($U$4:$U$3183,MATCH(SMALL($V$4:$V$3183,1146),$V$4:$V$3183,0)),""))</f>
        <v/>
      </c>
    </row>
    <row r="1150">
      <c r="A1150">
        <f>IFERROR(INDEX($N$4:$N$3183,MATCH(SMALL($V$4:$V$3183,1147),$V$4:$V$3183,0)),"")</f>
        <v/>
      </c>
      <c r="B1150">
        <f>IFERROR(INDEX($O$4:$O$3183,MATCH(SMALL($V$4:$V$3183,1147),$V$4:$V$3183,0)),"")</f>
        <v/>
      </c>
      <c r="C1150">
        <f>IFERROR(INDEX($P$4:$P$3183,MATCH(SMALL($V$4:$V$3183,1147),$V$4:$V$3183,0)),"")</f>
        <v/>
      </c>
      <c r="D1150" s="29">
        <f>IFERROR(INDEX($Q$4:$Q$3183,MATCH(SMALL($V$4:$V$3183,1147),$V$4:$V$3183,0)),"")</f>
        <v/>
      </c>
      <c r="E1150" s="29">
        <f>IFERROR(INDEX($R$4:$R$3183,MATCH(SMALL($V$4:$V$3183,1147),$V$4:$V$3183,0)),"")</f>
        <v/>
      </c>
      <c r="F1150">
        <f>IFERROR(INDEX($S$4:$S$3183,MATCH(SMALL($V$4:$V$3183,1147),$V$4:$V$3183,0)),"")</f>
        <v/>
      </c>
      <c r="I1150" s="29">
        <f>IF($B1150="","",IFERROR(INDEX($U$4:$U$3183,MATCH(SMALL($V$4:$V$3183,1147),$V$4:$V$3183,0)),""))</f>
        <v/>
      </c>
      <c r="J1150">
        <f>IF($B1150="","",IF($D1150&gt;$F$2,"À venir",IF($E1150&lt;$D$2,"Passé","Dans la période")))</f>
        <v/>
      </c>
      <c r="K1150">
        <f>IF(OR($B1150="",NOT(ISNUMBER($D1150))),"",IF(AND($E1150&lt;$D$2,$G1150&lt;&gt;"X",$F1150&lt;&gt;"Réalisé",$F1150&lt;&gt;"Clôturé"),"RETARD",""))</f>
        <v/>
      </c>
      <c r="L1150">
        <f>IF(OR($B1150="",NOT(ISNUMBER($D1150))),"",IF(AND($D1150&gt;=$D$2,$D1150&lt;=$H$2,$G1150&lt;&gt;"X",$F1150&lt;&gt;"Réalisé",$F1150&lt;&gt;"Clôturé"),"≤ 7 j",""))</f>
        <v/>
      </c>
      <c r="M1150" s="29">
        <f>IF($B1150="","",IFERROR(INDEX($T$4:$T$3183,MATCH(SMALL($V$4:$V$3183,1147),$V$4:$V$3183,0)),""))</f>
        <v/>
      </c>
      <c r="O1150">
        <f>IF(INDEX(Suivi!$B:$B,1172)="","",INDEX(Suivi!$B:$B,1172))</f>
        <v/>
      </c>
      <c r="P1150">
        <f>IF($O1150="","",IF(INDEX(Suivi!$D:$D,1172)="",INDEX(Suivi!$C:$C,1172),INDEX(Suivi!$D:$D,1172)))</f>
        <v/>
      </c>
      <c r="Q1150">
        <f>IF($O1150="","",INDEX(Suivi!$E:$E,1172))</f>
        <v/>
      </c>
      <c r="R1150">
        <f>IF($O1150="","",INDEX(Suivi!$F:$F,1172))</f>
        <v/>
      </c>
      <c r="S1150">
        <f>IF($O1150="","",INDEX(Suivi!$G:$G,1172))</f>
        <v/>
      </c>
      <c r="T1150">
        <f>IF($O1150="","",IF(INDEX(Dossiers!$F$4:$F$63,22)="","",INDEX(Dossiers!$F$4:$F$63,22)))</f>
        <v/>
      </c>
      <c r="U1150">
        <f>IF($O1150="","",IF(INDEX(Dossiers!$G$4:$G$63,22)="","",INDEX(Dossiers!$G$4:$G$63,22)))</f>
        <v/>
      </c>
      <c r="V1150">
        <f>IF(OR($O1150="",NOT(ISNUMBER($Q1150))),"",$Q1150*1000000+1150)</f>
        <v/>
      </c>
      <c r="W1150" s="29">
        <f>IF($B1150="","",IFERROR(INDEX($U$4:$U$3183,MATCH(SMALL($V$4:$V$3183,1147),$V$4:$V$3183,0)),""))</f>
        <v/>
      </c>
    </row>
    <row r="1151">
      <c r="A1151">
        <f>IFERROR(INDEX($N$4:$N$3183,MATCH(SMALL($V$4:$V$3183,1148),$V$4:$V$3183,0)),"")</f>
        <v/>
      </c>
      <c r="B1151">
        <f>IFERROR(INDEX($O$4:$O$3183,MATCH(SMALL($V$4:$V$3183,1148),$V$4:$V$3183,0)),"")</f>
        <v/>
      </c>
      <c r="C1151">
        <f>IFERROR(INDEX($P$4:$P$3183,MATCH(SMALL($V$4:$V$3183,1148),$V$4:$V$3183,0)),"")</f>
        <v/>
      </c>
      <c r="D1151" s="29">
        <f>IFERROR(INDEX($Q$4:$Q$3183,MATCH(SMALL($V$4:$V$3183,1148),$V$4:$V$3183,0)),"")</f>
        <v/>
      </c>
      <c r="E1151" s="29">
        <f>IFERROR(INDEX($R$4:$R$3183,MATCH(SMALL($V$4:$V$3183,1148),$V$4:$V$3183,0)),"")</f>
        <v/>
      </c>
      <c r="F1151">
        <f>IFERROR(INDEX($S$4:$S$3183,MATCH(SMALL($V$4:$V$3183,1148),$V$4:$V$3183,0)),"")</f>
        <v/>
      </c>
      <c r="I1151" s="29">
        <f>IF($B1151="","",IFERROR(INDEX($U$4:$U$3183,MATCH(SMALL($V$4:$V$3183,1148),$V$4:$V$3183,0)),""))</f>
        <v/>
      </c>
      <c r="J1151">
        <f>IF($B1151="","",IF($D1151&gt;$F$2,"À venir",IF($E1151&lt;$D$2,"Passé","Dans la période")))</f>
        <v/>
      </c>
      <c r="K1151">
        <f>IF(OR($B1151="",NOT(ISNUMBER($D1151))),"",IF(AND($E1151&lt;$D$2,$G1151&lt;&gt;"X",$F1151&lt;&gt;"Réalisé",$F1151&lt;&gt;"Clôturé"),"RETARD",""))</f>
        <v/>
      </c>
      <c r="L1151">
        <f>IF(OR($B1151="",NOT(ISNUMBER($D1151))),"",IF(AND($D1151&gt;=$D$2,$D1151&lt;=$H$2,$G1151&lt;&gt;"X",$F1151&lt;&gt;"Réalisé",$F1151&lt;&gt;"Clôturé"),"≤ 7 j",""))</f>
        <v/>
      </c>
      <c r="M1151" s="29">
        <f>IF($B1151="","",IFERROR(INDEX($T$4:$T$3183,MATCH(SMALL($V$4:$V$3183,1148),$V$4:$V$3183,0)),""))</f>
        <v/>
      </c>
      <c r="O1151">
        <f>IF(INDEX(Suivi!$B:$B,1173)="","",INDEX(Suivi!$B:$B,1173))</f>
        <v/>
      </c>
      <c r="P1151">
        <f>IF($O1151="","",IF(INDEX(Suivi!$D:$D,1173)="",INDEX(Suivi!$C:$C,1173),INDEX(Suivi!$D:$D,1173)))</f>
        <v/>
      </c>
      <c r="Q1151">
        <f>IF($O1151="","",INDEX(Suivi!$E:$E,1173))</f>
        <v/>
      </c>
      <c r="R1151">
        <f>IF($O1151="","",INDEX(Suivi!$F:$F,1173))</f>
        <v/>
      </c>
      <c r="S1151">
        <f>IF($O1151="","",INDEX(Suivi!$G:$G,1173))</f>
        <v/>
      </c>
      <c r="T1151">
        <f>IF($O1151="","",IF(INDEX(Dossiers!$F$4:$F$63,22)="","",INDEX(Dossiers!$F$4:$F$63,22)))</f>
        <v/>
      </c>
      <c r="U1151">
        <f>IF($O1151="","",IF(INDEX(Dossiers!$G$4:$G$63,22)="","",INDEX(Dossiers!$G$4:$G$63,22)))</f>
        <v/>
      </c>
      <c r="V1151">
        <f>IF(OR($O1151="",NOT(ISNUMBER($Q1151))),"",$Q1151*1000000+1151)</f>
        <v/>
      </c>
      <c r="W1151" s="29">
        <f>IF($B1151="","",IFERROR(INDEX($U$4:$U$3183,MATCH(SMALL($V$4:$V$3183,1148),$V$4:$V$3183,0)),""))</f>
        <v/>
      </c>
    </row>
    <row r="1152">
      <c r="A1152">
        <f>IFERROR(INDEX($N$4:$N$3183,MATCH(SMALL($V$4:$V$3183,1149),$V$4:$V$3183,0)),"")</f>
        <v/>
      </c>
      <c r="B1152">
        <f>IFERROR(INDEX($O$4:$O$3183,MATCH(SMALL($V$4:$V$3183,1149),$V$4:$V$3183,0)),"")</f>
        <v/>
      </c>
      <c r="C1152">
        <f>IFERROR(INDEX($P$4:$P$3183,MATCH(SMALL($V$4:$V$3183,1149),$V$4:$V$3183,0)),"")</f>
        <v/>
      </c>
      <c r="D1152" s="29">
        <f>IFERROR(INDEX($Q$4:$Q$3183,MATCH(SMALL($V$4:$V$3183,1149),$V$4:$V$3183,0)),"")</f>
        <v/>
      </c>
      <c r="E1152" s="29">
        <f>IFERROR(INDEX($R$4:$R$3183,MATCH(SMALL($V$4:$V$3183,1149),$V$4:$V$3183,0)),"")</f>
        <v/>
      </c>
      <c r="F1152">
        <f>IFERROR(INDEX($S$4:$S$3183,MATCH(SMALL($V$4:$V$3183,1149),$V$4:$V$3183,0)),"")</f>
        <v/>
      </c>
      <c r="I1152" s="29">
        <f>IF($B1152="","",IFERROR(INDEX($U$4:$U$3183,MATCH(SMALL($V$4:$V$3183,1149),$V$4:$V$3183,0)),""))</f>
        <v/>
      </c>
      <c r="J1152">
        <f>IF($B1152="","",IF($D1152&gt;$F$2,"À venir",IF($E1152&lt;$D$2,"Passé","Dans la période")))</f>
        <v/>
      </c>
      <c r="K1152">
        <f>IF(OR($B1152="",NOT(ISNUMBER($D1152))),"",IF(AND($E1152&lt;$D$2,$G1152&lt;&gt;"X",$F1152&lt;&gt;"Réalisé",$F1152&lt;&gt;"Clôturé"),"RETARD",""))</f>
        <v/>
      </c>
      <c r="L1152">
        <f>IF(OR($B1152="",NOT(ISNUMBER($D1152))),"",IF(AND($D1152&gt;=$D$2,$D1152&lt;=$H$2,$G1152&lt;&gt;"X",$F1152&lt;&gt;"Réalisé",$F1152&lt;&gt;"Clôturé"),"≤ 7 j",""))</f>
        <v/>
      </c>
      <c r="M1152" s="29">
        <f>IF($B1152="","",IFERROR(INDEX($T$4:$T$3183,MATCH(SMALL($V$4:$V$3183,1149),$V$4:$V$3183,0)),""))</f>
        <v/>
      </c>
      <c r="O1152">
        <f>IF(INDEX(Suivi!$B:$B,1174)="","",INDEX(Suivi!$B:$B,1174))</f>
        <v/>
      </c>
      <c r="P1152">
        <f>IF($O1152="","",IF(INDEX(Suivi!$D:$D,1174)="",INDEX(Suivi!$C:$C,1174),INDEX(Suivi!$D:$D,1174)))</f>
        <v/>
      </c>
      <c r="Q1152">
        <f>IF($O1152="","",INDEX(Suivi!$E:$E,1174))</f>
        <v/>
      </c>
      <c r="R1152">
        <f>IF($O1152="","",INDEX(Suivi!$F:$F,1174))</f>
        <v/>
      </c>
      <c r="S1152">
        <f>IF($O1152="","",INDEX(Suivi!$G:$G,1174))</f>
        <v/>
      </c>
      <c r="T1152">
        <f>IF($O1152="","",IF(INDEX(Dossiers!$F$4:$F$63,22)="","",INDEX(Dossiers!$F$4:$F$63,22)))</f>
        <v/>
      </c>
      <c r="U1152">
        <f>IF($O1152="","",IF(INDEX(Dossiers!$G$4:$G$63,22)="","",INDEX(Dossiers!$G$4:$G$63,22)))</f>
        <v/>
      </c>
      <c r="V1152">
        <f>IF(OR($O1152="",NOT(ISNUMBER($Q1152))),"",$Q1152*1000000+1152)</f>
        <v/>
      </c>
      <c r="W1152" s="29">
        <f>IF($B1152="","",IFERROR(INDEX($U$4:$U$3183,MATCH(SMALL($V$4:$V$3183,1149),$V$4:$V$3183,0)),""))</f>
        <v/>
      </c>
    </row>
    <row r="1153">
      <c r="A1153">
        <f>IFERROR(INDEX($N$4:$N$3183,MATCH(SMALL($V$4:$V$3183,1150),$V$4:$V$3183,0)),"")</f>
        <v/>
      </c>
      <c r="B1153">
        <f>IFERROR(INDEX($O$4:$O$3183,MATCH(SMALL($V$4:$V$3183,1150),$V$4:$V$3183,0)),"")</f>
        <v/>
      </c>
      <c r="C1153">
        <f>IFERROR(INDEX($P$4:$P$3183,MATCH(SMALL($V$4:$V$3183,1150),$V$4:$V$3183,0)),"")</f>
        <v/>
      </c>
      <c r="D1153" s="29">
        <f>IFERROR(INDEX($Q$4:$Q$3183,MATCH(SMALL($V$4:$V$3183,1150),$V$4:$V$3183,0)),"")</f>
        <v/>
      </c>
      <c r="E1153" s="29">
        <f>IFERROR(INDEX($R$4:$R$3183,MATCH(SMALL($V$4:$V$3183,1150),$V$4:$V$3183,0)),"")</f>
        <v/>
      </c>
      <c r="F1153">
        <f>IFERROR(INDEX($S$4:$S$3183,MATCH(SMALL($V$4:$V$3183,1150),$V$4:$V$3183,0)),"")</f>
        <v/>
      </c>
      <c r="I1153" s="29">
        <f>IF($B1153="","",IFERROR(INDEX($U$4:$U$3183,MATCH(SMALL($V$4:$V$3183,1150),$V$4:$V$3183,0)),""))</f>
        <v/>
      </c>
      <c r="J1153">
        <f>IF($B1153="","",IF($D1153&gt;$F$2,"À venir",IF($E1153&lt;$D$2,"Passé","Dans la période")))</f>
        <v/>
      </c>
      <c r="K1153">
        <f>IF(OR($B1153="",NOT(ISNUMBER($D1153))),"",IF(AND($E1153&lt;$D$2,$G1153&lt;&gt;"X",$F1153&lt;&gt;"Réalisé",$F1153&lt;&gt;"Clôturé"),"RETARD",""))</f>
        <v/>
      </c>
      <c r="L1153">
        <f>IF(OR($B1153="",NOT(ISNUMBER($D1153))),"",IF(AND($D1153&gt;=$D$2,$D1153&lt;=$H$2,$G1153&lt;&gt;"X",$F1153&lt;&gt;"Réalisé",$F1153&lt;&gt;"Clôturé"),"≤ 7 j",""))</f>
        <v/>
      </c>
      <c r="M1153" s="29">
        <f>IF($B1153="","",IFERROR(INDEX($T$4:$T$3183,MATCH(SMALL($V$4:$V$3183,1150),$V$4:$V$3183,0)),""))</f>
        <v/>
      </c>
      <c r="O1153">
        <f>IF(INDEX(Suivi!$B:$B,1175)="","",INDEX(Suivi!$B:$B,1175))</f>
        <v/>
      </c>
      <c r="P1153">
        <f>IF($O1153="","",IF(INDEX(Suivi!$D:$D,1175)="",INDEX(Suivi!$C:$C,1175),INDEX(Suivi!$D:$D,1175)))</f>
        <v/>
      </c>
      <c r="Q1153">
        <f>IF($O1153="","",INDEX(Suivi!$E:$E,1175))</f>
        <v/>
      </c>
      <c r="R1153">
        <f>IF($O1153="","",INDEX(Suivi!$F:$F,1175))</f>
        <v/>
      </c>
      <c r="S1153">
        <f>IF($O1153="","",INDEX(Suivi!$G:$G,1175))</f>
        <v/>
      </c>
      <c r="T1153">
        <f>IF($O1153="","",IF(INDEX(Dossiers!$F$4:$F$63,22)="","",INDEX(Dossiers!$F$4:$F$63,22)))</f>
        <v/>
      </c>
      <c r="U1153">
        <f>IF($O1153="","",IF(INDEX(Dossiers!$G$4:$G$63,22)="","",INDEX(Dossiers!$G$4:$G$63,22)))</f>
        <v/>
      </c>
      <c r="V1153">
        <f>IF(OR($O1153="",NOT(ISNUMBER($Q1153))),"",$Q1153*1000000+1153)</f>
        <v/>
      </c>
      <c r="W1153" s="29">
        <f>IF($B1153="","",IFERROR(INDEX($U$4:$U$3183,MATCH(SMALL($V$4:$V$3183,1150),$V$4:$V$3183,0)),""))</f>
        <v/>
      </c>
    </row>
    <row r="1154">
      <c r="A1154">
        <f>IFERROR(INDEX($N$4:$N$3183,MATCH(SMALL($V$4:$V$3183,1151),$V$4:$V$3183,0)),"")</f>
        <v/>
      </c>
      <c r="B1154">
        <f>IFERROR(INDEX($O$4:$O$3183,MATCH(SMALL($V$4:$V$3183,1151),$V$4:$V$3183,0)),"")</f>
        <v/>
      </c>
      <c r="C1154">
        <f>IFERROR(INDEX($P$4:$P$3183,MATCH(SMALL($V$4:$V$3183,1151),$V$4:$V$3183,0)),"")</f>
        <v/>
      </c>
      <c r="D1154" s="29">
        <f>IFERROR(INDEX($Q$4:$Q$3183,MATCH(SMALL($V$4:$V$3183,1151),$V$4:$V$3183,0)),"")</f>
        <v/>
      </c>
      <c r="E1154" s="29">
        <f>IFERROR(INDEX($R$4:$R$3183,MATCH(SMALL($V$4:$V$3183,1151),$V$4:$V$3183,0)),"")</f>
        <v/>
      </c>
      <c r="F1154">
        <f>IFERROR(INDEX($S$4:$S$3183,MATCH(SMALL($V$4:$V$3183,1151),$V$4:$V$3183,0)),"")</f>
        <v/>
      </c>
      <c r="I1154" s="29">
        <f>IF($B1154="","",IFERROR(INDEX($U$4:$U$3183,MATCH(SMALL($V$4:$V$3183,1151),$V$4:$V$3183,0)),""))</f>
        <v/>
      </c>
      <c r="J1154">
        <f>IF($B1154="","",IF($D1154&gt;$F$2,"À venir",IF($E1154&lt;$D$2,"Passé","Dans la période")))</f>
        <v/>
      </c>
      <c r="K1154">
        <f>IF(OR($B1154="",NOT(ISNUMBER($D1154))),"",IF(AND($E1154&lt;$D$2,$G1154&lt;&gt;"X",$F1154&lt;&gt;"Réalisé",$F1154&lt;&gt;"Clôturé"),"RETARD",""))</f>
        <v/>
      </c>
      <c r="L1154">
        <f>IF(OR($B1154="",NOT(ISNUMBER($D1154))),"",IF(AND($D1154&gt;=$D$2,$D1154&lt;=$H$2,$G1154&lt;&gt;"X",$F1154&lt;&gt;"Réalisé",$F1154&lt;&gt;"Clôturé"),"≤ 7 j",""))</f>
        <v/>
      </c>
      <c r="M1154" s="29">
        <f>IF($B1154="","",IFERROR(INDEX($T$4:$T$3183,MATCH(SMALL($V$4:$V$3183,1151),$V$4:$V$3183,0)),""))</f>
        <v/>
      </c>
      <c r="O1154">
        <f>IF(INDEX(Suivi!$B:$B,1176)="","",INDEX(Suivi!$B:$B,1176))</f>
        <v/>
      </c>
      <c r="P1154">
        <f>IF($O1154="","",IF(INDEX(Suivi!$D:$D,1176)="",INDEX(Suivi!$C:$C,1176),INDEX(Suivi!$D:$D,1176)))</f>
        <v/>
      </c>
      <c r="Q1154">
        <f>IF($O1154="","",INDEX(Suivi!$E:$E,1176))</f>
        <v/>
      </c>
      <c r="R1154">
        <f>IF($O1154="","",INDEX(Suivi!$F:$F,1176))</f>
        <v/>
      </c>
      <c r="S1154">
        <f>IF($O1154="","",INDEX(Suivi!$G:$G,1176))</f>
        <v/>
      </c>
      <c r="T1154">
        <f>IF($O1154="","",IF(INDEX(Dossiers!$F$4:$F$63,22)="","",INDEX(Dossiers!$F$4:$F$63,22)))</f>
        <v/>
      </c>
      <c r="U1154">
        <f>IF($O1154="","",IF(INDEX(Dossiers!$G$4:$G$63,22)="","",INDEX(Dossiers!$G$4:$G$63,22)))</f>
        <v/>
      </c>
      <c r="V1154">
        <f>IF(OR($O1154="",NOT(ISNUMBER($Q1154))),"",$Q1154*1000000+1154)</f>
        <v/>
      </c>
      <c r="W1154" s="29">
        <f>IF($B1154="","",IFERROR(INDEX($U$4:$U$3183,MATCH(SMALL($V$4:$V$3183,1151),$V$4:$V$3183,0)),""))</f>
        <v/>
      </c>
    </row>
    <row r="1155">
      <c r="A1155">
        <f>IFERROR(INDEX($N$4:$N$3183,MATCH(SMALL($V$4:$V$3183,1152),$V$4:$V$3183,0)),"")</f>
        <v/>
      </c>
      <c r="B1155">
        <f>IFERROR(INDEX($O$4:$O$3183,MATCH(SMALL($V$4:$V$3183,1152),$V$4:$V$3183,0)),"")</f>
        <v/>
      </c>
      <c r="C1155">
        <f>IFERROR(INDEX($P$4:$P$3183,MATCH(SMALL($V$4:$V$3183,1152),$V$4:$V$3183,0)),"")</f>
        <v/>
      </c>
      <c r="D1155" s="29">
        <f>IFERROR(INDEX($Q$4:$Q$3183,MATCH(SMALL($V$4:$V$3183,1152),$V$4:$V$3183,0)),"")</f>
        <v/>
      </c>
      <c r="E1155" s="29">
        <f>IFERROR(INDEX($R$4:$R$3183,MATCH(SMALL($V$4:$V$3183,1152),$V$4:$V$3183,0)),"")</f>
        <v/>
      </c>
      <c r="F1155">
        <f>IFERROR(INDEX($S$4:$S$3183,MATCH(SMALL($V$4:$V$3183,1152),$V$4:$V$3183,0)),"")</f>
        <v/>
      </c>
      <c r="I1155" s="29">
        <f>IF($B1155="","",IFERROR(INDEX($U$4:$U$3183,MATCH(SMALL($V$4:$V$3183,1152),$V$4:$V$3183,0)),""))</f>
        <v/>
      </c>
      <c r="J1155">
        <f>IF($B1155="","",IF($D1155&gt;$F$2,"À venir",IF($E1155&lt;$D$2,"Passé","Dans la période")))</f>
        <v/>
      </c>
      <c r="K1155">
        <f>IF(OR($B1155="",NOT(ISNUMBER($D1155))),"",IF(AND($E1155&lt;$D$2,$G1155&lt;&gt;"X",$F1155&lt;&gt;"Réalisé",$F1155&lt;&gt;"Clôturé"),"RETARD",""))</f>
        <v/>
      </c>
      <c r="L1155">
        <f>IF(OR($B1155="",NOT(ISNUMBER($D1155))),"",IF(AND($D1155&gt;=$D$2,$D1155&lt;=$H$2,$G1155&lt;&gt;"X",$F1155&lt;&gt;"Réalisé",$F1155&lt;&gt;"Clôturé"),"≤ 7 j",""))</f>
        <v/>
      </c>
      <c r="M1155" s="29">
        <f>IF($B1155="","",IFERROR(INDEX($T$4:$T$3183,MATCH(SMALL($V$4:$V$3183,1152),$V$4:$V$3183,0)),""))</f>
        <v/>
      </c>
      <c r="O1155">
        <f>IF(INDEX(Suivi!$B:$B,1177)="","",INDEX(Suivi!$B:$B,1177))</f>
        <v/>
      </c>
      <c r="P1155">
        <f>IF($O1155="","",IF(INDEX(Suivi!$D:$D,1177)="",INDEX(Suivi!$C:$C,1177),INDEX(Suivi!$D:$D,1177)))</f>
        <v/>
      </c>
      <c r="Q1155">
        <f>IF($O1155="","",INDEX(Suivi!$E:$E,1177))</f>
        <v/>
      </c>
      <c r="R1155">
        <f>IF($O1155="","",INDEX(Suivi!$F:$F,1177))</f>
        <v/>
      </c>
      <c r="S1155">
        <f>IF($O1155="","",INDEX(Suivi!$G:$G,1177))</f>
        <v/>
      </c>
      <c r="T1155">
        <f>IF($O1155="","",IF(INDEX(Dossiers!$F$4:$F$63,22)="","",INDEX(Dossiers!$F$4:$F$63,22)))</f>
        <v/>
      </c>
      <c r="U1155">
        <f>IF($O1155="","",IF(INDEX(Dossiers!$G$4:$G$63,22)="","",INDEX(Dossiers!$G$4:$G$63,22)))</f>
        <v/>
      </c>
      <c r="V1155">
        <f>IF(OR($O1155="",NOT(ISNUMBER($Q1155))),"",$Q1155*1000000+1155)</f>
        <v/>
      </c>
      <c r="W1155" s="29">
        <f>IF($B1155="","",IFERROR(INDEX($U$4:$U$3183,MATCH(SMALL($V$4:$V$3183,1152),$V$4:$V$3183,0)),""))</f>
        <v/>
      </c>
    </row>
    <row r="1156">
      <c r="A1156">
        <f>IFERROR(INDEX($N$4:$N$3183,MATCH(SMALL($V$4:$V$3183,1153),$V$4:$V$3183,0)),"")</f>
        <v/>
      </c>
      <c r="B1156">
        <f>IFERROR(INDEX($O$4:$O$3183,MATCH(SMALL($V$4:$V$3183,1153),$V$4:$V$3183,0)),"")</f>
        <v/>
      </c>
      <c r="C1156">
        <f>IFERROR(INDEX($P$4:$P$3183,MATCH(SMALL($V$4:$V$3183,1153),$V$4:$V$3183,0)),"")</f>
        <v/>
      </c>
      <c r="D1156" s="29">
        <f>IFERROR(INDEX($Q$4:$Q$3183,MATCH(SMALL($V$4:$V$3183,1153),$V$4:$V$3183,0)),"")</f>
        <v/>
      </c>
      <c r="E1156" s="29">
        <f>IFERROR(INDEX($R$4:$R$3183,MATCH(SMALL($V$4:$V$3183,1153),$V$4:$V$3183,0)),"")</f>
        <v/>
      </c>
      <c r="F1156">
        <f>IFERROR(INDEX($S$4:$S$3183,MATCH(SMALL($V$4:$V$3183,1153),$V$4:$V$3183,0)),"")</f>
        <v/>
      </c>
      <c r="I1156" s="29">
        <f>IF($B1156="","",IFERROR(INDEX($U$4:$U$3183,MATCH(SMALL($V$4:$V$3183,1153),$V$4:$V$3183,0)),""))</f>
        <v/>
      </c>
      <c r="J1156">
        <f>IF($B1156="","",IF($D1156&gt;$F$2,"À venir",IF($E1156&lt;$D$2,"Passé","Dans la période")))</f>
        <v/>
      </c>
      <c r="K1156">
        <f>IF(OR($B1156="",NOT(ISNUMBER($D1156))),"",IF(AND($E1156&lt;$D$2,$G1156&lt;&gt;"X",$F1156&lt;&gt;"Réalisé",$F1156&lt;&gt;"Clôturé"),"RETARD",""))</f>
        <v/>
      </c>
      <c r="L1156">
        <f>IF(OR($B1156="",NOT(ISNUMBER($D1156))),"",IF(AND($D1156&gt;=$D$2,$D1156&lt;=$H$2,$G1156&lt;&gt;"X",$F1156&lt;&gt;"Réalisé",$F1156&lt;&gt;"Clôturé"),"≤ 7 j",""))</f>
        <v/>
      </c>
      <c r="M1156" s="29">
        <f>IF($B1156="","",IFERROR(INDEX($T$4:$T$3183,MATCH(SMALL($V$4:$V$3183,1153),$V$4:$V$3183,0)),""))</f>
        <v/>
      </c>
      <c r="O1156">
        <f>IF(INDEX(Suivi!$B:$B,1178)="","",INDEX(Suivi!$B:$B,1178))</f>
        <v/>
      </c>
      <c r="P1156">
        <f>IF($O1156="","",IF(INDEX(Suivi!$D:$D,1178)="",INDEX(Suivi!$C:$C,1178),INDEX(Suivi!$D:$D,1178)))</f>
        <v/>
      </c>
      <c r="Q1156">
        <f>IF($O1156="","",INDEX(Suivi!$E:$E,1178))</f>
        <v/>
      </c>
      <c r="R1156">
        <f>IF($O1156="","",INDEX(Suivi!$F:$F,1178))</f>
        <v/>
      </c>
      <c r="S1156">
        <f>IF($O1156="","",INDEX(Suivi!$G:$G,1178))</f>
        <v/>
      </c>
      <c r="T1156">
        <f>IF($O1156="","",IF(INDEX(Dossiers!$F$4:$F$63,22)="","",INDEX(Dossiers!$F$4:$F$63,22)))</f>
        <v/>
      </c>
      <c r="U1156">
        <f>IF($O1156="","",IF(INDEX(Dossiers!$G$4:$G$63,22)="","",INDEX(Dossiers!$G$4:$G$63,22)))</f>
        <v/>
      </c>
      <c r="V1156">
        <f>IF(OR($O1156="",NOT(ISNUMBER($Q1156))),"",$Q1156*1000000+1156)</f>
        <v/>
      </c>
      <c r="W1156" s="29">
        <f>IF($B1156="","",IFERROR(INDEX($U$4:$U$3183,MATCH(SMALL($V$4:$V$3183,1153),$V$4:$V$3183,0)),""))</f>
        <v/>
      </c>
    </row>
    <row r="1157">
      <c r="A1157">
        <f>IFERROR(INDEX($N$4:$N$3183,MATCH(SMALL($V$4:$V$3183,1154),$V$4:$V$3183,0)),"")</f>
        <v/>
      </c>
      <c r="B1157">
        <f>IFERROR(INDEX($O$4:$O$3183,MATCH(SMALL($V$4:$V$3183,1154),$V$4:$V$3183,0)),"")</f>
        <v/>
      </c>
      <c r="C1157">
        <f>IFERROR(INDEX($P$4:$P$3183,MATCH(SMALL($V$4:$V$3183,1154),$V$4:$V$3183,0)),"")</f>
        <v/>
      </c>
      <c r="D1157" s="29">
        <f>IFERROR(INDEX($Q$4:$Q$3183,MATCH(SMALL($V$4:$V$3183,1154),$V$4:$V$3183,0)),"")</f>
        <v/>
      </c>
      <c r="E1157" s="29">
        <f>IFERROR(INDEX($R$4:$R$3183,MATCH(SMALL($V$4:$V$3183,1154),$V$4:$V$3183,0)),"")</f>
        <v/>
      </c>
      <c r="F1157">
        <f>IFERROR(INDEX($S$4:$S$3183,MATCH(SMALL($V$4:$V$3183,1154),$V$4:$V$3183,0)),"")</f>
        <v/>
      </c>
      <c r="I1157" s="29">
        <f>IF($B1157="","",IFERROR(INDEX($U$4:$U$3183,MATCH(SMALL($V$4:$V$3183,1154),$V$4:$V$3183,0)),""))</f>
        <v/>
      </c>
      <c r="J1157">
        <f>IF($B1157="","",IF($D1157&gt;$F$2,"À venir",IF($E1157&lt;$D$2,"Passé","Dans la période")))</f>
        <v/>
      </c>
      <c r="K1157">
        <f>IF(OR($B1157="",NOT(ISNUMBER($D1157))),"",IF(AND($E1157&lt;$D$2,$G1157&lt;&gt;"X",$F1157&lt;&gt;"Réalisé",$F1157&lt;&gt;"Clôturé"),"RETARD",""))</f>
        <v/>
      </c>
      <c r="L1157">
        <f>IF(OR($B1157="",NOT(ISNUMBER($D1157))),"",IF(AND($D1157&gt;=$D$2,$D1157&lt;=$H$2,$G1157&lt;&gt;"X",$F1157&lt;&gt;"Réalisé",$F1157&lt;&gt;"Clôturé"),"≤ 7 j",""))</f>
        <v/>
      </c>
      <c r="M1157" s="29">
        <f>IF($B1157="","",IFERROR(INDEX($T$4:$T$3183,MATCH(SMALL($V$4:$V$3183,1154),$V$4:$V$3183,0)),""))</f>
        <v/>
      </c>
      <c r="O1157">
        <f>IF(INDEX(Suivi!$B:$B,1179)="","",INDEX(Suivi!$B:$B,1179))</f>
        <v/>
      </c>
      <c r="P1157">
        <f>IF($O1157="","",IF(INDEX(Suivi!$D:$D,1179)="",INDEX(Suivi!$C:$C,1179),INDEX(Suivi!$D:$D,1179)))</f>
        <v/>
      </c>
      <c r="Q1157">
        <f>IF($O1157="","",INDEX(Suivi!$E:$E,1179))</f>
        <v/>
      </c>
      <c r="R1157">
        <f>IF($O1157="","",INDEX(Suivi!$F:$F,1179))</f>
        <v/>
      </c>
      <c r="S1157">
        <f>IF($O1157="","",INDEX(Suivi!$G:$G,1179))</f>
        <v/>
      </c>
      <c r="T1157">
        <f>IF($O1157="","",IF(INDEX(Dossiers!$F$4:$F$63,22)="","",INDEX(Dossiers!$F$4:$F$63,22)))</f>
        <v/>
      </c>
      <c r="U1157">
        <f>IF($O1157="","",IF(INDEX(Dossiers!$G$4:$G$63,22)="","",INDEX(Dossiers!$G$4:$G$63,22)))</f>
        <v/>
      </c>
      <c r="V1157">
        <f>IF(OR($O1157="",NOT(ISNUMBER($Q1157))),"",$Q1157*1000000+1157)</f>
        <v/>
      </c>
      <c r="W1157" s="29">
        <f>IF($B1157="","",IFERROR(INDEX($U$4:$U$3183,MATCH(SMALL($V$4:$V$3183,1154),$V$4:$V$3183,0)),""))</f>
        <v/>
      </c>
    </row>
    <row r="1158">
      <c r="A1158">
        <f>IFERROR(INDEX($N$4:$N$3183,MATCH(SMALL($V$4:$V$3183,1155),$V$4:$V$3183,0)),"")</f>
        <v/>
      </c>
      <c r="B1158">
        <f>IFERROR(INDEX($O$4:$O$3183,MATCH(SMALL($V$4:$V$3183,1155),$V$4:$V$3183,0)),"")</f>
        <v/>
      </c>
      <c r="C1158">
        <f>IFERROR(INDEX($P$4:$P$3183,MATCH(SMALL($V$4:$V$3183,1155),$V$4:$V$3183,0)),"")</f>
        <v/>
      </c>
      <c r="D1158" s="29">
        <f>IFERROR(INDEX($Q$4:$Q$3183,MATCH(SMALL($V$4:$V$3183,1155),$V$4:$V$3183,0)),"")</f>
        <v/>
      </c>
      <c r="E1158" s="29">
        <f>IFERROR(INDEX($R$4:$R$3183,MATCH(SMALL($V$4:$V$3183,1155),$V$4:$V$3183,0)),"")</f>
        <v/>
      </c>
      <c r="F1158">
        <f>IFERROR(INDEX($S$4:$S$3183,MATCH(SMALL($V$4:$V$3183,1155),$V$4:$V$3183,0)),"")</f>
        <v/>
      </c>
      <c r="I1158" s="29">
        <f>IF($B1158="","",IFERROR(INDEX($U$4:$U$3183,MATCH(SMALL($V$4:$V$3183,1155),$V$4:$V$3183,0)),""))</f>
        <v/>
      </c>
      <c r="J1158">
        <f>IF($B1158="","",IF($D1158&gt;$F$2,"À venir",IF($E1158&lt;$D$2,"Passé","Dans la période")))</f>
        <v/>
      </c>
      <c r="K1158">
        <f>IF(OR($B1158="",NOT(ISNUMBER($D1158))),"",IF(AND($E1158&lt;$D$2,$G1158&lt;&gt;"X",$F1158&lt;&gt;"Réalisé",$F1158&lt;&gt;"Clôturé"),"RETARD",""))</f>
        <v/>
      </c>
      <c r="L1158">
        <f>IF(OR($B1158="",NOT(ISNUMBER($D1158))),"",IF(AND($D1158&gt;=$D$2,$D1158&lt;=$H$2,$G1158&lt;&gt;"X",$F1158&lt;&gt;"Réalisé",$F1158&lt;&gt;"Clôturé"),"≤ 7 j",""))</f>
        <v/>
      </c>
      <c r="M1158" s="29">
        <f>IF($B1158="","",IFERROR(INDEX($T$4:$T$3183,MATCH(SMALL($V$4:$V$3183,1155),$V$4:$V$3183,0)),""))</f>
        <v/>
      </c>
      <c r="O1158">
        <f>IF(INDEX(Suivi!$B:$B,1180)="","",INDEX(Suivi!$B:$B,1180))</f>
        <v/>
      </c>
      <c r="P1158">
        <f>IF($O1158="","",IF(INDEX(Suivi!$D:$D,1180)="",INDEX(Suivi!$C:$C,1180),INDEX(Suivi!$D:$D,1180)))</f>
        <v/>
      </c>
      <c r="Q1158">
        <f>IF($O1158="","",INDEX(Suivi!$E:$E,1180))</f>
        <v/>
      </c>
      <c r="R1158">
        <f>IF($O1158="","",INDEX(Suivi!$F:$F,1180))</f>
        <v/>
      </c>
      <c r="S1158">
        <f>IF($O1158="","",INDEX(Suivi!$G:$G,1180))</f>
        <v/>
      </c>
      <c r="T1158">
        <f>IF($O1158="","",IF(INDEX(Dossiers!$F$4:$F$63,22)="","",INDEX(Dossiers!$F$4:$F$63,22)))</f>
        <v/>
      </c>
      <c r="U1158">
        <f>IF($O1158="","",IF(INDEX(Dossiers!$G$4:$G$63,22)="","",INDEX(Dossiers!$G$4:$G$63,22)))</f>
        <v/>
      </c>
      <c r="V1158">
        <f>IF(OR($O1158="",NOT(ISNUMBER($Q1158))),"",$Q1158*1000000+1158)</f>
        <v/>
      </c>
      <c r="W1158" s="29">
        <f>IF($B1158="","",IFERROR(INDEX($U$4:$U$3183,MATCH(SMALL($V$4:$V$3183,1155),$V$4:$V$3183,0)),""))</f>
        <v/>
      </c>
    </row>
    <row r="1159">
      <c r="A1159">
        <f>IFERROR(INDEX($N$4:$N$3183,MATCH(SMALL($V$4:$V$3183,1156),$V$4:$V$3183,0)),"")</f>
        <v/>
      </c>
      <c r="B1159">
        <f>IFERROR(INDEX($O$4:$O$3183,MATCH(SMALL($V$4:$V$3183,1156),$V$4:$V$3183,0)),"")</f>
        <v/>
      </c>
      <c r="C1159">
        <f>IFERROR(INDEX($P$4:$P$3183,MATCH(SMALL($V$4:$V$3183,1156),$V$4:$V$3183,0)),"")</f>
        <v/>
      </c>
      <c r="D1159" s="29">
        <f>IFERROR(INDEX($Q$4:$Q$3183,MATCH(SMALL($V$4:$V$3183,1156),$V$4:$V$3183,0)),"")</f>
        <v/>
      </c>
      <c r="E1159" s="29">
        <f>IFERROR(INDEX($R$4:$R$3183,MATCH(SMALL($V$4:$V$3183,1156),$V$4:$V$3183,0)),"")</f>
        <v/>
      </c>
      <c r="F1159">
        <f>IFERROR(INDEX($S$4:$S$3183,MATCH(SMALL($V$4:$V$3183,1156),$V$4:$V$3183,0)),"")</f>
        <v/>
      </c>
      <c r="I1159" s="29">
        <f>IF($B1159="","",IFERROR(INDEX($U$4:$U$3183,MATCH(SMALL($V$4:$V$3183,1156),$V$4:$V$3183,0)),""))</f>
        <v/>
      </c>
      <c r="J1159">
        <f>IF($B1159="","",IF($D1159&gt;$F$2,"À venir",IF($E1159&lt;$D$2,"Passé","Dans la période")))</f>
        <v/>
      </c>
      <c r="K1159">
        <f>IF(OR($B1159="",NOT(ISNUMBER($D1159))),"",IF(AND($E1159&lt;$D$2,$G1159&lt;&gt;"X",$F1159&lt;&gt;"Réalisé",$F1159&lt;&gt;"Clôturé"),"RETARD",""))</f>
        <v/>
      </c>
      <c r="L1159">
        <f>IF(OR($B1159="",NOT(ISNUMBER($D1159))),"",IF(AND($D1159&gt;=$D$2,$D1159&lt;=$H$2,$G1159&lt;&gt;"X",$F1159&lt;&gt;"Réalisé",$F1159&lt;&gt;"Clôturé"),"≤ 7 j",""))</f>
        <v/>
      </c>
      <c r="M1159" s="29">
        <f>IF($B1159="","",IFERROR(INDEX($T$4:$T$3183,MATCH(SMALL($V$4:$V$3183,1156),$V$4:$V$3183,0)),""))</f>
        <v/>
      </c>
      <c r="O1159">
        <f>IF(INDEX(Suivi!$B:$B,1181)="","",INDEX(Suivi!$B:$B,1181))</f>
        <v/>
      </c>
      <c r="P1159">
        <f>IF($O1159="","",IF(INDEX(Suivi!$D:$D,1181)="",INDEX(Suivi!$C:$C,1181),INDEX(Suivi!$D:$D,1181)))</f>
        <v/>
      </c>
      <c r="Q1159">
        <f>IF($O1159="","",INDEX(Suivi!$E:$E,1181))</f>
        <v/>
      </c>
      <c r="R1159">
        <f>IF($O1159="","",INDEX(Suivi!$F:$F,1181))</f>
        <v/>
      </c>
      <c r="S1159">
        <f>IF($O1159="","",INDEX(Suivi!$G:$G,1181))</f>
        <v/>
      </c>
      <c r="T1159">
        <f>IF($O1159="","",IF(INDEX(Dossiers!$F$4:$F$63,22)="","",INDEX(Dossiers!$F$4:$F$63,22)))</f>
        <v/>
      </c>
      <c r="U1159">
        <f>IF($O1159="","",IF(INDEX(Dossiers!$G$4:$G$63,22)="","",INDEX(Dossiers!$G$4:$G$63,22)))</f>
        <v/>
      </c>
      <c r="V1159">
        <f>IF(OR($O1159="",NOT(ISNUMBER($Q1159))),"",$Q1159*1000000+1159)</f>
        <v/>
      </c>
      <c r="W1159" s="29">
        <f>IF($B1159="","",IFERROR(INDEX($U$4:$U$3183,MATCH(SMALL($V$4:$V$3183,1156),$V$4:$V$3183,0)),""))</f>
        <v/>
      </c>
    </row>
    <row r="1160">
      <c r="A1160">
        <f>IFERROR(INDEX($N$4:$N$3183,MATCH(SMALL($V$4:$V$3183,1157),$V$4:$V$3183,0)),"")</f>
        <v/>
      </c>
      <c r="B1160">
        <f>IFERROR(INDEX($O$4:$O$3183,MATCH(SMALL($V$4:$V$3183,1157),$V$4:$V$3183,0)),"")</f>
        <v/>
      </c>
      <c r="C1160">
        <f>IFERROR(INDEX($P$4:$P$3183,MATCH(SMALL($V$4:$V$3183,1157),$V$4:$V$3183,0)),"")</f>
        <v/>
      </c>
      <c r="D1160" s="29">
        <f>IFERROR(INDEX($Q$4:$Q$3183,MATCH(SMALL($V$4:$V$3183,1157),$V$4:$V$3183,0)),"")</f>
        <v/>
      </c>
      <c r="E1160" s="29">
        <f>IFERROR(INDEX($R$4:$R$3183,MATCH(SMALL($V$4:$V$3183,1157),$V$4:$V$3183,0)),"")</f>
        <v/>
      </c>
      <c r="F1160">
        <f>IFERROR(INDEX($S$4:$S$3183,MATCH(SMALL($V$4:$V$3183,1157),$V$4:$V$3183,0)),"")</f>
        <v/>
      </c>
      <c r="I1160" s="29">
        <f>IF($B1160="","",IFERROR(INDEX($U$4:$U$3183,MATCH(SMALL($V$4:$V$3183,1157),$V$4:$V$3183,0)),""))</f>
        <v/>
      </c>
      <c r="J1160">
        <f>IF($B1160="","",IF($D1160&gt;$F$2,"À venir",IF($E1160&lt;$D$2,"Passé","Dans la période")))</f>
        <v/>
      </c>
      <c r="K1160">
        <f>IF(OR($B1160="",NOT(ISNUMBER($D1160))),"",IF(AND($E1160&lt;$D$2,$G1160&lt;&gt;"X",$F1160&lt;&gt;"Réalisé",$F1160&lt;&gt;"Clôturé"),"RETARD",""))</f>
        <v/>
      </c>
      <c r="L1160">
        <f>IF(OR($B1160="",NOT(ISNUMBER($D1160))),"",IF(AND($D1160&gt;=$D$2,$D1160&lt;=$H$2,$G1160&lt;&gt;"X",$F1160&lt;&gt;"Réalisé",$F1160&lt;&gt;"Clôturé"),"≤ 7 j",""))</f>
        <v/>
      </c>
      <c r="M1160" s="29">
        <f>IF($B1160="","",IFERROR(INDEX($T$4:$T$3183,MATCH(SMALL($V$4:$V$3183,1157),$V$4:$V$3183,0)),""))</f>
        <v/>
      </c>
      <c r="O1160">
        <f>IF(INDEX(Suivi!$B:$B,1182)="","",INDEX(Suivi!$B:$B,1182))</f>
        <v/>
      </c>
      <c r="P1160">
        <f>IF($O1160="","",IF(INDEX(Suivi!$D:$D,1182)="",INDEX(Suivi!$C:$C,1182),INDEX(Suivi!$D:$D,1182)))</f>
        <v/>
      </c>
      <c r="Q1160">
        <f>IF($O1160="","",INDEX(Suivi!$E:$E,1182))</f>
        <v/>
      </c>
      <c r="R1160">
        <f>IF($O1160="","",INDEX(Suivi!$F:$F,1182))</f>
        <v/>
      </c>
      <c r="S1160">
        <f>IF($O1160="","",INDEX(Suivi!$G:$G,1182))</f>
        <v/>
      </c>
      <c r="T1160">
        <f>IF($O1160="","",IF(INDEX(Dossiers!$F$4:$F$63,22)="","",INDEX(Dossiers!$F$4:$F$63,22)))</f>
        <v/>
      </c>
      <c r="U1160">
        <f>IF($O1160="","",IF(INDEX(Dossiers!$G$4:$G$63,22)="","",INDEX(Dossiers!$G$4:$G$63,22)))</f>
        <v/>
      </c>
      <c r="V1160">
        <f>IF(OR($O1160="",NOT(ISNUMBER($Q1160))),"",$Q1160*1000000+1160)</f>
        <v/>
      </c>
      <c r="W1160" s="29">
        <f>IF($B1160="","",IFERROR(INDEX($U$4:$U$3183,MATCH(SMALL($V$4:$V$3183,1157),$V$4:$V$3183,0)),""))</f>
        <v/>
      </c>
    </row>
    <row r="1161">
      <c r="A1161">
        <f>IFERROR(INDEX($N$4:$N$3183,MATCH(SMALL($V$4:$V$3183,1158),$V$4:$V$3183,0)),"")</f>
        <v/>
      </c>
      <c r="B1161">
        <f>IFERROR(INDEX($O$4:$O$3183,MATCH(SMALL($V$4:$V$3183,1158),$V$4:$V$3183,0)),"")</f>
        <v/>
      </c>
      <c r="C1161">
        <f>IFERROR(INDEX($P$4:$P$3183,MATCH(SMALL($V$4:$V$3183,1158),$V$4:$V$3183,0)),"")</f>
        <v/>
      </c>
      <c r="D1161" s="29">
        <f>IFERROR(INDEX($Q$4:$Q$3183,MATCH(SMALL($V$4:$V$3183,1158),$V$4:$V$3183,0)),"")</f>
        <v/>
      </c>
      <c r="E1161" s="29">
        <f>IFERROR(INDEX($R$4:$R$3183,MATCH(SMALL($V$4:$V$3183,1158),$V$4:$V$3183,0)),"")</f>
        <v/>
      </c>
      <c r="F1161">
        <f>IFERROR(INDEX($S$4:$S$3183,MATCH(SMALL($V$4:$V$3183,1158),$V$4:$V$3183,0)),"")</f>
        <v/>
      </c>
      <c r="I1161" s="29">
        <f>IF($B1161="","",IFERROR(INDEX($U$4:$U$3183,MATCH(SMALL($V$4:$V$3183,1158),$V$4:$V$3183,0)),""))</f>
        <v/>
      </c>
      <c r="J1161">
        <f>IF($B1161="","",IF($D1161&gt;$F$2,"À venir",IF($E1161&lt;$D$2,"Passé","Dans la période")))</f>
        <v/>
      </c>
      <c r="K1161">
        <f>IF(OR($B1161="",NOT(ISNUMBER($D1161))),"",IF(AND($E1161&lt;$D$2,$G1161&lt;&gt;"X",$F1161&lt;&gt;"Réalisé",$F1161&lt;&gt;"Clôturé"),"RETARD",""))</f>
        <v/>
      </c>
      <c r="L1161">
        <f>IF(OR($B1161="",NOT(ISNUMBER($D1161))),"",IF(AND($D1161&gt;=$D$2,$D1161&lt;=$H$2,$G1161&lt;&gt;"X",$F1161&lt;&gt;"Réalisé",$F1161&lt;&gt;"Clôturé"),"≤ 7 j",""))</f>
        <v/>
      </c>
      <c r="M1161" s="29">
        <f>IF($B1161="","",IFERROR(INDEX($T$4:$T$3183,MATCH(SMALL($V$4:$V$3183,1158),$V$4:$V$3183,0)),""))</f>
        <v/>
      </c>
      <c r="O1161">
        <f>IF(INDEX(Suivi!$B:$B,1183)="","",INDEX(Suivi!$B:$B,1183))</f>
        <v/>
      </c>
      <c r="P1161">
        <f>IF($O1161="","",IF(INDEX(Suivi!$D:$D,1183)="",INDEX(Suivi!$C:$C,1183),INDEX(Suivi!$D:$D,1183)))</f>
        <v/>
      </c>
      <c r="Q1161">
        <f>IF($O1161="","",INDEX(Suivi!$E:$E,1183))</f>
        <v/>
      </c>
      <c r="R1161">
        <f>IF($O1161="","",INDEX(Suivi!$F:$F,1183))</f>
        <v/>
      </c>
      <c r="S1161">
        <f>IF($O1161="","",INDEX(Suivi!$G:$G,1183))</f>
        <v/>
      </c>
      <c r="T1161">
        <f>IF($O1161="","",IF(INDEX(Dossiers!$F$4:$F$63,22)="","",INDEX(Dossiers!$F$4:$F$63,22)))</f>
        <v/>
      </c>
      <c r="U1161">
        <f>IF($O1161="","",IF(INDEX(Dossiers!$G$4:$G$63,22)="","",INDEX(Dossiers!$G$4:$G$63,22)))</f>
        <v/>
      </c>
      <c r="V1161">
        <f>IF(OR($O1161="",NOT(ISNUMBER($Q1161))),"",$Q1161*1000000+1161)</f>
        <v/>
      </c>
      <c r="W1161" s="29">
        <f>IF($B1161="","",IFERROR(INDEX($U$4:$U$3183,MATCH(SMALL($V$4:$V$3183,1158),$V$4:$V$3183,0)),""))</f>
        <v/>
      </c>
    </row>
    <row r="1162">
      <c r="A1162">
        <f>IFERROR(INDEX($N$4:$N$3183,MATCH(SMALL($V$4:$V$3183,1159),$V$4:$V$3183,0)),"")</f>
        <v/>
      </c>
      <c r="B1162">
        <f>IFERROR(INDEX($O$4:$O$3183,MATCH(SMALL($V$4:$V$3183,1159),$V$4:$V$3183,0)),"")</f>
        <v/>
      </c>
      <c r="C1162">
        <f>IFERROR(INDEX($P$4:$P$3183,MATCH(SMALL($V$4:$V$3183,1159),$V$4:$V$3183,0)),"")</f>
        <v/>
      </c>
      <c r="D1162" s="29">
        <f>IFERROR(INDEX($Q$4:$Q$3183,MATCH(SMALL($V$4:$V$3183,1159),$V$4:$V$3183,0)),"")</f>
        <v/>
      </c>
      <c r="E1162" s="29">
        <f>IFERROR(INDEX($R$4:$R$3183,MATCH(SMALL($V$4:$V$3183,1159),$V$4:$V$3183,0)),"")</f>
        <v/>
      </c>
      <c r="F1162">
        <f>IFERROR(INDEX($S$4:$S$3183,MATCH(SMALL($V$4:$V$3183,1159),$V$4:$V$3183,0)),"")</f>
        <v/>
      </c>
      <c r="I1162" s="29">
        <f>IF($B1162="","",IFERROR(INDEX($U$4:$U$3183,MATCH(SMALL($V$4:$V$3183,1159),$V$4:$V$3183,0)),""))</f>
        <v/>
      </c>
      <c r="J1162">
        <f>IF($B1162="","",IF($D1162&gt;$F$2,"À venir",IF($E1162&lt;$D$2,"Passé","Dans la période")))</f>
        <v/>
      </c>
      <c r="K1162">
        <f>IF(OR($B1162="",NOT(ISNUMBER($D1162))),"",IF(AND($E1162&lt;$D$2,$G1162&lt;&gt;"X",$F1162&lt;&gt;"Réalisé",$F1162&lt;&gt;"Clôturé"),"RETARD",""))</f>
        <v/>
      </c>
      <c r="L1162">
        <f>IF(OR($B1162="",NOT(ISNUMBER($D1162))),"",IF(AND($D1162&gt;=$D$2,$D1162&lt;=$H$2,$G1162&lt;&gt;"X",$F1162&lt;&gt;"Réalisé",$F1162&lt;&gt;"Clôturé"),"≤ 7 j",""))</f>
        <v/>
      </c>
      <c r="M1162" s="29">
        <f>IF($B1162="","",IFERROR(INDEX($T$4:$T$3183,MATCH(SMALL($V$4:$V$3183,1159),$V$4:$V$3183,0)),""))</f>
        <v/>
      </c>
      <c r="O1162">
        <f>IF(INDEX(Suivi!$B:$B,1184)="","",INDEX(Suivi!$B:$B,1184))</f>
        <v/>
      </c>
      <c r="P1162">
        <f>IF($O1162="","",IF(INDEX(Suivi!$D:$D,1184)="",INDEX(Suivi!$C:$C,1184),INDEX(Suivi!$D:$D,1184)))</f>
        <v/>
      </c>
      <c r="Q1162">
        <f>IF($O1162="","",INDEX(Suivi!$E:$E,1184))</f>
        <v/>
      </c>
      <c r="R1162">
        <f>IF($O1162="","",INDEX(Suivi!$F:$F,1184))</f>
        <v/>
      </c>
      <c r="S1162">
        <f>IF($O1162="","",INDEX(Suivi!$G:$G,1184))</f>
        <v/>
      </c>
      <c r="T1162">
        <f>IF($O1162="","",IF(INDEX(Dossiers!$F$4:$F$63,22)="","",INDEX(Dossiers!$F$4:$F$63,22)))</f>
        <v/>
      </c>
      <c r="U1162">
        <f>IF($O1162="","",IF(INDEX(Dossiers!$G$4:$G$63,22)="","",INDEX(Dossiers!$G$4:$G$63,22)))</f>
        <v/>
      </c>
      <c r="V1162">
        <f>IF(OR($O1162="",NOT(ISNUMBER($Q1162))),"",$Q1162*1000000+1162)</f>
        <v/>
      </c>
      <c r="W1162" s="29">
        <f>IF($B1162="","",IFERROR(INDEX($U$4:$U$3183,MATCH(SMALL($V$4:$V$3183,1159),$V$4:$V$3183,0)),""))</f>
        <v/>
      </c>
    </row>
    <row r="1163">
      <c r="A1163">
        <f>IFERROR(INDEX($N$4:$N$3183,MATCH(SMALL($V$4:$V$3183,1160),$V$4:$V$3183,0)),"")</f>
        <v/>
      </c>
      <c r="B1163">
        <f>IFERROR(INDEX($O$4:$O$3183,MATCH(SMALL($V$4:$V$3183,1160),$V$4:$V$3183,0)),"")</f>
        <v/>
      </c>
      <c r="C1163">
        <f>IFERROR(INDEX($P$4:$P$3183,MATCH(SMALL($V$4:$V$3183,1160),$V$4:$V$3183,0)),"")</f>
        <v/>
      </c>
      <c r="D1163" s="29">
        <f>IFERROR(INDEX($Q$4:$Q$3183,MATCH(SMALL($V$4:$V$3183,1160),$V$4:$V$3183,0)),"")</f>
        <v/>
      </c>
      <c r="E1163" s="29">
        <f>IFERROR(INDEX($R$4:$R$3183,MATCH(SMALL($V$4:$V$3183,1160),$V$4:$V$3183,0)),"")</f>
        <v/>
      </c>
      <c r="F1163">
        <f>IFERROR(INDEX($S$4:$S$3183,MATCH(SMALL($V$4:$V$3183,1160),$V$4:$V$3183,0)),"")</f>
        <v/>
      </c>
      <c r="I1163" s="29">
        <f>IF($B1163="","",IFERROR(INDEX($U$4:$U$3183,MATCH(SMALL($V$4:$V$3183,1160),$V$4:$V$3183,0)),""))</f>
        <v/>
      </c>
      <c r="J1163">
        <f>IF($B1163="","",IF($D1163&gt;$F$2,"À venir",IF($E1163&lt;$D$2,"Passé","Dans la période")))</f>
        <v/>
      </c>
      <c r="K1163">
        <f>IF(OR($B1163="",NOT(ISNUMBER($D1163))),"",IF(AND($E1163&lt;$D$2,$G1163&lt;&gt;"X",$F1163&lt;&gt;"Réalisé",$F1163&lt;&gt;"Clôturé"),"RETARD",""))</f>
        <v/>
      </c>
      <c r="L1163">
        <f>IF(OR($B1163="",NOT(ISNUMBER($D1163))),"",IF(AND($D1163&gt;=$D$2,$D1163&lt;=$H$2,$G1163&lt;&gt;"X",$F1163&lt;&gt;"Réalisé",$F1163&lt;&gt;"Clôturé"),"≤ 7 j",""))</f>
        <v/>
      </c>
      <c r="M1163" s="29">
        <f>IF($B1163="","",IFERROR(INDEX($T$4:$T$3183,MATCH(SMALL($V$4:$V$3183,1160),$V$4:$V$3183,0)),""))</f>
        <v/>
      </c>
      <c r="O1163">
        <f>IF(INDEX(Suivi!$B:$B,1185)="","",INDEX(Suivi!$B:$B,1185))</f>
        <v/>
      </c>
      <c r="P1163">
        <f>IF($O1163="","",IF(INDEX(Suivi!$D:$D,1185)="",INDEX(Suivi!$C:$C,1185),INDEX(Suivi!$D:$D,1185)))</f>
        <v/>
      </c>
      <c r="Q1163">
        <f>IF($O1163="","",INDEX(Suivi!$E:$E,1185))</f>
        <v/>
      </c>
      <c r="R1163">
        <f>IF($O1163="","",INDEX(Suivi!$F:$F,1185))</f>
        <v/>
      </c>
      <c r="S1163">
        <f>IF($O1163="","",INDEX(Suivi!$G:$G,1185))</f>
        <v/>
      </c>
      <c r="T1163">
        <f>IF($O1163="","",IF(INDEX(Dossiers!$F$4:$F$63,22)="","",INDEX(Dossiers!$F$4:$F$63,22)))</f>
        <v/>
      </c>
      <c r="U1163">
        <f>IF($O1163="","",IF(INDEX(Dossiers!$G$4:$G$63,22)="","",INDEX(Dossiers!$G$4:$G$63,22)))</f>
        <v/>
      </c>
      <c r="V1163">
        <f>IF(OR($O1163="",NOT(ISNUMBER($Q1163))),"",$Q1163*1000000+1163)</f>
        <v/>
      </c>
      <c r="W1163" s="29">
        <f>IF($B1163="","",IFERROR(INDEX($U$4:$U$3183,MATCH(SMALL($V$4:$V$3183,1160),$V$4:$V$3183,0)),""))</f>
        <v/>
      </c>
    </row>
    <row r="1164">
      <c r="A1164">
        <f>IFERROR(INDEX($N$4:$N$3183,MATCH(SMALL($V$4:$V$3183,1161),$V$4:$V$3183,0)),"")</f>
        <v/>
      </c>
      <c r="B1164">
        <f>IFERROR(INDEX($O$4:$O$3183,MATCH(SMALL($V$4:$V$3183,1161),$V$4:$V$3183,0)),"")</f>
        <v/>
      </c>
      <c r="C1164">
        <f>IFERROR(INDEX($P$4:$P$3183,MATCH(SMALL($V$4:$V$3183,1161),$V$4:$V$3183,0)),"")</f>
        <v/>
      </c>
      <c r="D1164" s="29">
        <f>IFERROR(INDEX($Q$4:$Q$3183,MATCH(SMALL($V$4:$V$3183,1161),$V$4:$V$3183,0)),"")</f>
        <v/>
      </c>
      <c r="E1164" s="29">
        <f>IFERROR(INDEX($R$4:$R$3183,MATCH(SMALL($V$4:$V$3183,1161),$V$4:$V$3183,0)),"")</f>
        <v/>
      </c>
      <c r="F1164">
        <f>IFERROR(INDEX($S$4:$S$3183,MATCH(SMALL($V$4:$V$3183,1161),$V$4:$V$3183,0)),"")</f>
        <v/>
      </c>
      <c r="I1164" s="29">
        <f>IF($B1164="","",IFERROR(INDEX($U$4:$U$3183,MATCH(SMALL($V$4:$V$3183,1161),$V$4:$V$3183,0)),""))</f>
        <v/>
      </c>
      <c r="J1164">
        <f>IF($B1164="","",IF($D1164&gt;$F$2,"À venir",IF($E1164&lt;$D$2,"Passé","Dans la période")))</f>
        <v/>
      </c>
      <c r="K1164">
        <f>IF(OR($B1164="",NOT(ISNUMBER($D1164))),"",IF(AND($E1164&lt;$D$2,$G1164&lt;&gt;"X",$F1164&lt;&gt;"Réalisé",$F1164&lt;&gt;"Clôturé"),"RETARD",""))</f>
        <v/>
      </c>
      <c r="L1164">
        <f>IF(OR($B1164="",NOT(ISNUMBER($D1164))),"",IF(AND($D1164&gt;=$D$2,$D1164&lt;=$H$2,$G1164&lt;&gt;"X",$F1164&lt;&gt;"Réalisé",$F1164&lt;&gt;"Clôturé"),"≤ 7 j",""))</f>
        <v/>
      </c>
      <c r="M1164" s="29">
        <f>IF($B1164="","",IFERROR(INDEX($T$4:$T$3183,MATCH(SMALL($V$4:$V$3183,1161),$V$4:$V$3183,0)),""))</f>
        <v/>
      </c>
      <c r="O1164">
        <f>IF(INDEX(Suivi!$B:$B,1186)="","",INDEX(Suivi!$B:$B,1186))</f>
        <v/>
      </c>
      <c r="P1164">
        <f>IF($O1164="","",IF(INDEX(Suivi!$D:$D,1186)="",INDEX(Suivi!$C:$C,1186),INDEX(Suivi!$D:$D,1186)))</f>
        <v/>
      </c>
      <c r="Q1164">
        <f>IF($O1164="","",INDEX(Suivi!$E:$E,1186))</f>
        <v/>
      </c>
      <c r="R1164">
        <f>IF($O1164="","",INDEX(Suivi!$F:$F,1186))</f>
        <v/>
      </c>
      <c r="S1164">
        <f>IF($O1164="","",INDEX(Suivi!$G:$G,1186))</f>
        <v/>
      </c>
      <c r="T1164">
        <f>IF($O1164="","",IF(INDEX(Dossiers!$F$4:$F$63,22)="","",INDEX(Dossiers!$F$4:$F$63,22)))</f>
        <v/>
      </c>
      <c r="U1164">
        <f>IF($O1164="","",IF(INDEX(Dossiers!$G$4:$G$63,22)="","",INDEX(Dossiers!$G$4:$G$63,22)))</f>
        <v/>
      </c>
      <c r="V1164">
        <f>IF(OR($O1164="",NOT(ISNUMBER($Q1164))),"",$Q1164*1000000+1164)</f>
        <v/>
      </c>
      <c r="W1164" s="29">
        <f>IF($B1164="","",IFERROR(INDEX($U$4:$U$3183,MATCH(SMALL($V$4:$V$3183,1161),$V$4:$V$3183,0)),""))</f>
        <v/>
      </c>
    </row>
    <row r="1165">
      <c r="A1165">
        <f>IFERROR(INDEX($N$4:$N$3183,MATCH(SMALL($V$4:$V$3183,1162),$V$4:$V$3183,0)),"")</f>
        <v/>
      </c>
      <c r="B1165">
        <f>IFERROR(INDEX($O$4:$O$3183,MATCH(SMALL($V$4:$V$3183,1162),$V$4:$V$3183,0)),"")</f>
        <v/>
      </c>
      <c r="C1165">
        <f>IFERROR(INDEX($P$4:$P$3183,MATCH(SMALL($V$4:$V$3183,1162),$V$4:$V$3183,0)),"")</f>
        <v/>
      </c>
      <c r="D1165" s="29">
        <f>IFERROR(INDEX($Q$4:$Q$3183,MATCH(SMALL($V$4:$V$3183,1162),$V$4:$V$3183,0)),"")</f>
        <v/>
      </c>
      <c r="E1165" s="29">
        <f>IFERROR(INDEX($R$4:$R$3183,MATCH(SMALL($V$4:$V$3183,1162),$V$4:$V$3183,0)),"")</f>
        <v/>
      </c>
      <c r="F1165">
        <f>IFERROR(INDEX($S$4:$S$3183,MATCH(SMALL($V$4:$V$3183,1162),$V$4:$V$3183,0)),"")</f>
        <v/>
      </c>
      <c r="I1165" s="29">
        <f>IF($B1165="","",IFERROR(INDEX($U$4:$U$3183,MATCH(SMALL($V$4:$V$3183,1162),$V$4:$V$3183,0)),""))</f>
        <v/>
      </c>
      <c r="J1165">
        <f>IF($B1165="","",IF($D1165&gt;$F$2,"À venir",IF($E1165&lt;$D$2,"Passé","Dans la période")))</f>
        <v/>
      </c>
      <c r="K1165">
        <f>IF(OR($B1165="",NOT(ISNUMBER($D1165))),"",IF(AND($E1165&lt;$D$2,$G1165&lt;&gt;"X",$F1165&lt;&gt;"Réalisé",$F1165&lt;&gt;"Clôturé"),"RETARD",""))</f>
        <v/>
      </c>
      <c r="L1165">
        <f>IF(OR($B1165="",NOT(ISNUMBER($D1165))),"",IF(AND($D1165&gt;=$D$2,$D1165&lt;=$H$2,$G1165&lt;&gt;"X",$F1165&lt;&gt;"Réalisé",$F1165&lt;&gt;"Clôturé"),"≤ 7 j",""))</f>
        <v/>
      </c>
      <c r="M1165" s="29">
        <f>IF($B1165="","",IFERROR(INDEX($T$4:$T$3183,MATCH(SMALL($V$4:$V$3183,1162),$V$4:$V$3183,0)),""))</f>
        <v/>
      </c>
      <c r="O1165">
        <f>IF(INDEX(Suivi!$B:$B,1187)="","",INDEX(Suivi!$B:$B,1187))</f>
        <v/>
      </c>
      <c r="P1165">
        <f>IF($O1165="","",IF(INDEX(Suivi!$D:$D,1187)="",INDEX(Suivi!$C:$C,1187),INDEX(Suivi!$D:$D,1187)))</f>
        <v/>
      </c>
      <c r="Q1165">
        <f>IF($O1165="","",INDEX(Suivi!$E:$E,1187))</f>
        <v/>
      </c>
      <c r="R1165">
        <f>IF($O1165="","",INDEX(Suivi!$F:$F,1187))</f>
        <v/>
      </c>
      <c r="S1165">
        <f>IF($O1165="","",INDEX(Suivi!$G:$G,1187))</f>
        <v/>
      </c>
      <c r="T1165">
        <f>IF($O1165="","",IF(INDEX(Dossiers!$F$4:$F$63,22)="","",INDEX(Dossiers!$F$4:$F$63,22)))</f>
        <v/>
      </c>
      <c r="U1165">
        <f>IF($O1165="","",IF(INDEX(Dossiers!$G$4:$G$63,22)="","",INDEX(Dossiers!$G$4:$G$63,22)))</f>
        <v/>
      </c>
      <c r="V1165">
        <f>IF(OR($O1165="",NOT(ISNUMBER($Q1165))),"",$Q1165*1000000+1165)</f>
        <v/>
      </c>
      <c r="W1165" s="29">
        <f>IF($B1165="","",IFERROR(INDEX($U$4:$U$3183,MATCH(SMALL($V$4:$V$3183,1162),$V$4:$V$3183,0)),""))</f>
        <v/>
      </c>
    </row>
    <row r="1166">
      <c r="A1166">
        <f>IFERROR(INDEX($N$4:$N$3183,MATCH(SMALL($V$4:$V$3183,1163),$V$4:$V$3183,0)),"")</f>
        <v/>
      </c>
      <c r="B1166">
        <f>IFERROR(INDEX($O$4:$O$3183,MATCH(SMALL($V$4:$V$3183,1163),$V$4:$V$3183,0)),"")</f>
        <v/>
      </c>
      <c r="C1166">
        <f>IFERROR(INDEX($P$4:$P$3183,MATCH(SMALL($V$4:$V$3183,1163),$V$4:$V$3183,0)),"")</f>
        <v/>
      </c>
      <c r="D1166" s="29">
        <f>IFERROR(INDEX($Q$4:$Q$3183,MATCH(SMALL($V$4:$V$3183,1163),$V$4:$V$3183,0)),"")</f>
        <v/>
      </c>
      <c r="E1166" s="29">
        <f>IFERROR(INDEX($R$4:$R$3183,MATCH(SMALL($V$4:$V$3183,1163),$V$4:$V$3183,0)),"")</f>
        <v/>
      </c>
      <c r="F1166">
        <f>IFERROR(INDEX($S$4:$S$3183,MATCH(SMALL($V$4:$V$3183,1163),$V$4:$V$3183,0)),"")</f>
        <v/>
      </c>
      <c r="I1166" s="29">
        <f>IF($B1166="","",IFERROR(INDEX($U$4:$U$3183,MATCH(SMALL($V$4:$V$3183,1163),$V$4:$V$3183,0)),""))</f>
        <v/>
      </c>
      <c r="J1166">
        <f>IF($B1166="","",IF($D1166&gt;$F$2,"À venir",IF($E1166&lt;$D$2,"Passé","Dans la période")))</f>
        <v/>
      </c>
      <c r="K1166">
        <f>IF(OR($B1166="",NOT(ISNUMBER($D1166))),"",IF(AND($E1166&lt;$D$2,$G1166&lt;&gt;"X",$F1166&lt;&gt;"Réalisé",$F1166&lt;&gt;"Clôturé"),"RETARD",""))</f>
        <v/>
      </c>
      <c r="L1166">
        <f>IF(OR($B1166="",NOT(ISNUMBER($D1166))),"",IF(AND($D1166&gt;=$D$2,$D1166&lt;=$H$2,$G1166&lt;&gt;"X",$F1166&lt;&gt;"Réalisé",$F1166&lt;&gt;"Clôturé"),"≤ 7 j",""))</f>
        <v/>
      </c>
      <c r="M1166" s="29">
        <f>IF($B1166="","",IFERROR(INDEX($T$4:$T$3183,MATCH(SMALL($V$4:$V$3183,1163),$V$4:$V$3183,0)),""))</f>
        <v/>
      </c>
      <c r="O1166">
        <f>IF(INDEX(Suivi!$B:$B,1188)="","",INDEX(Suivi!$B:$B,1188))</f>
        <v/>
      </c>
      <c r="P1166">
        <f>IF($O1166="","",IF(INDEX(Suivi!$D:$D,1188)="",INDEX(Suivi!$C:$C,1188),INDEX(Suivi!$D:$D,1188)))</f>
        <v/>
      </c>
      <c r="Q1166">
        <f>IF($O1166="","",INDEX(Suivi!$E:$E,1188))</f>
        <v/>
      </c>
      <c r="R1166">
        <f>IF($O1166="","",INDEX(Suivi!$F:$F,1188))</f>
        <v/>
      </c>
      <c r="S1166">
        <f>IF($O1166="","",INDEX(Suivi!$G:$G,1188))</f>
        <v/>
      </c>
      <c r="T1166">
        <f>IF($O1166="","",IF(INDEX(Dossiers!$F$4:$F$63,22)="","",INDEX(Dossiers!$F$4:$F$63,22)))</f>
        <v/>
      </c>
      <c r="U1166">
        <f>IF($O1166="","",IF(INDEX(Dossiers!$G$4:$G$63,22)="","",INDEX(Dossiers!$G$4:$G$63,22)))</f>
        <v/>
      </c>
      <c r="V1166">
        <f>IF(OR($O1166="",NOT(ISNUMBER($Q1166))),"",$Q1166*1000000+1166)</f>
        <v/>
      </c>
      <c r="W1166" s="29">
        <f>IF($B1166="","",IFERROR(INDEX($U$4:$U$3183,MATCH(SMALL($V$4:$V$3183,1163),$V$4:$V$3183,0)),""))</f>
        <v/>
      </c>
    </row>
    <row r="1167">
      <c r="A1167">
        <f>IFERROR(INDEX($N$4:$N$3183,MATCH(SMALL($V$4:$V$3183,1164),$V$4:$V$3183,0)),"")</f>
        <v/>
      </c>
      <c r="B1167">
        <f>IFERROR(INDEX($O$4:$O$3183,MATCH(SMALL($V$4:$V$3183,1164),$V$4:$V$3183,0)),"")</f>
        <v/>
      </c>
      <c r="C1167">
        <f>IFERROR(INDEX($P$4:$P$3183,MATCH(SMALL($V$4:$V$3183,1164),$V$4:$V$3183,0)),"")</f>
        <v/>
      </c>
      <c r="D1167" s="29">
        <f>IFERROR(INDEX($Q$4:$Q$3183,MATCH(SMALL($V$4:$V$3183,1164),$V$4:$V$3183,0)),"")</f>
        <v/>
      </c>
      <c r="E1167" s="29">
        <f>IFERROR(INDEX($R$4:$R$3183,MATCH(SMALL($V$4:$V$3183,1164),$V$4:$V$3183,0)),"")</f>
        <v/>
      </c>
      <c r="F1167">
        <f>IFERROR(INDEX($S$4:$S$3183,MATCH(SMALL($V$4:$V$3183,1164),$V$4:$V$3183,0)),"")</f>
        <v/>
      </c>
      <c r="I1167" s="29">
        <f>IF($B1167="","",IFERROR(INDEX($U$4:$U$3183,MATCH(SMALL($V$4:$V$3183,1164),$V$4:$V$3183,0)),""))</f>
        <v/>
      </c>
      <c r="J1167">
        <f>IF($B1167="","",IF($D1167&gt;$F$2,"À venir",IF($E1167&lt;$D$2,"Passé","Dans la période")))</f>
        <v/>
      </c>
      <c r="K1167">
        <f>IF(OR($B1167="",NOT(ISNUMBER($D1167))),"",IF(AND($E1167&lt;$D$2,$G1167&lt;&gt;"X",$F1167&lt;&gt;"Réalisé",$F1167&lt;&gt;"Clôturé"),"RETARD",""))</f>
        <v/>
      </c>
      <c r="L1167">
        <f>IF(OR($B1167="",NOT(ISNUMBER($D1167))),"",IF(AND($D1167&gt;=$D$2,$D1167&lt;=$H$2,$G1167&lt;&gt;"X",$F1167&lt;&gt;"Réalisé",$F1167&lt;&gt;"Clôturé"),"≤ 7 j",""))</f>
        <v/>
      </c>
      <c r="M1167" s="29">
        <f>IF($B1167="","",IFERROR(INDEX($T$4:$T$3183,MATCH(SMALL($V$4:$V$3183,1164),$V$4:$V$3183,0)),""))</f>
        <v/>
      </c>
      <c r="O1167">
        <f>IF(INDEX(Suivi!$B:$B,1189)="","",INDEX(Suivi!$B:$B,1189))</f>
        <v/>
      </c>
      <c r="P1167">
        <f>IF($O1167="","",IF(INDEX(Suivi!$D:$D,1189)="",INDEX(Suivi!$C:$C,1189),INDEX(Suivi!$D:$D,1189)))</f>
        <v/>
      </c>
      <c r="Q1167">
        <f>IF($O1167="","",INDEX(Suivi!$E:$E,1189))</f>
        <v/>
      </c>
      <c r="R1167">
        <f>IF($O1167="","",INDEX(Suivi!$F:$F,1189))</f>
        <v/>
      </c>
      <c r="S1167">
        <f>IF($O1167="","",INDEX(Suivi!$G:$G,1189))</f>
        <v/>
      </c>
      <c r="T1167">
        <f>IF($O1167="","",IF(INDEX(Dossiers!$F$4:$F$63,22)="","",INDEX(Dossiers!$F$4:$F$63,22)))</f>
        <v/>
      </c>
      <c r="U1167">
        <f>IF($O1167="","",IF(INDEX(Dossiers!$G$4:$G$63,22)="","",INDEX(Dossiers!$G$4:$G$63,22)))</f>
        <v/>
      </c>
      <c r="V1167">
        <f>IF(OR($O1167="",NOT(ISNUMBER($Q1167))),"",$Q1167*1000000+1167)</f>
        <v/>
      </c>
      <c r="W1167" s="29">
        <f>IF($B1167="","",IFERROR(INDEX($U$4:$U$3183,MATCH(SMALL($V$4:$V$3183,1164),$V$4:$V$3183,0)),""))</f>
        <v/>
      </c>
    </row>
    <row r="1168">
      <c r="A1168">
        <f>IFERROR(INDEX($N$4:$N$3183,MATCH(SMALL($V$4:$V$3183,1165),$V$4:$V$3183,0)),"")</f>
        <v/>
      </c>
      <c r="B1168">
        <f>IFERROR(INDEX($O$4:$O$3183,MATCH(SMALL($V$4:$V$3183,1165),$V$4:$V$3183,0)),"")</f>
        <v/>
      </c>
      <c r="C1168">
        <f>IFERROR(INDEX($P$4:$P$3183,MATCH(SMALL($V$4:$V$3183,1165),$V$4:$V$3183,0)),"")</f>
        <v/>
      </c>
      <c r="D1168" s="29">
        <f>IFERROR(INDEX($Q$4:$Q$3183,MATCH(SMALL($V$4:$V$3183,1165),$V$4:$V$3183,0)),"")</f>
        <v/>
      </c>
      <c r="E1168" s="29">
        <f>IFERROR(INDEX($R$4:$R$3183,MATCH(SMALL($V$4:$V$3183,1165),$V$4:$V$3183,0)),"")</f>
        <v/>
      </c>
      <c r="F1168">
        <f>IFERROR(INDEX($S$4:$S$3183,MATCH(SMALL($V$4:$V$3183,1165),$V$4:$V$3183,0)),"")</f>
        <v/>
      </c>
      <c r="I1168" s="29">
        <f>IF($B1168="","",IFERROR(INDEX($U$4:$U$3183,MATCH(SMALL($V$4:$V$3183,1165),$V$4:$V$3183,0)),""))</f>
        <v/>
      </c>
      <c r="J1168">
        <f>IF($B1168="","",IF($D1168&gt;$F$2,"À venir",IF($E1168&lt;$D$2,"Passé","Dans la période")))</f>
        <v/>
      </c>
      <c r="K1168">
        <f>IF(OR($B1168="",NOT(ISNUMBER($D1168))),"",IF(AND($E1168&lt;$D$2,$G1168&lt;&gt;"X",$F1168&lt;&gt;"Réalisé",$F1168&lt;&gt;"Clôturé"),"RETARD",""))</f>
        <v/>
      </c>
      <c r="L1168">
        <f>IF(OR($B1168="",NOT(ISNUMBER($D1168))),"",IF(AND($D1168&gt;=$D$2,$D1168&lt;=$H$2,$G1168&lt;&gt;"X",$F1168&lt;&gt;"Réalisé",$F1168&lt;&gt;"Clôturé"),"≤ 7 j",""))</f>
        <v/>
      </c>
      <c r="M1168" s="29">
        <f>IF($B1168="","",IFERROR(INDEX($T$4:$T$3183,MATCH(SMALL($V$4:$V$3183,1165),$V$4:$V$3183,0)),""))</f>
        <v/>
      </c>
      <c r="O1168">
        <f>IF(INDEX(Suivi!$B:$B,1190)="","",INDEX(Suivi!$B:$B,1190))</f>
        <v/>
      </c>
      <c r="P1168">
        <f>IF($O1168="","",IF(INDEX(Suivi!$D:$D,1190)="",INDEX(Suivi!$C:$C,1190),INDEX(Suivi!$D:$D,1190)))</f>
        <v/>
      </c>
      <c r="Q1168">
        <f>IF($O1168="","",INDEX(Suivi!$E:$E,1190))</f>
        <v/>
      </c>
      <c r="R1168">
        <f>IF($O1168="","",INDEX(Suivi!$F:$F,1190))</f>
        <v/>
      </c>
      <c r="S1168">
        <f>IF($O1168="","",INDEX(Suivi!$G:$G,1190))</f>
        <v/>
      </c>
      <c r="T1168">
        <f>IF($O1168="","",IF(INDEX(Dossiers!$F$4:$F$63,22)="","",INDEX(Dossiers!$F$4:$F$63,22)))</f>
        <v/>
      </c>
      <c r="U1168">
        <f>IF($O1168="","",IF(INDEX(Dossiers!$G$4:$G$63,22)="","",INDEX(Dossiers!$G$4:$G$63,22)))</f>
        <v/>
      </c>
      <c r="V1168">
        <f>IF(OR($O1168="",NOT(ISNUMBER($Q1168))),"",$Q1168*1000000+1168)</f>
        <v/>
      </c>
      <c r="W1168" s="29">
        <f>IF($B1168="","",IFERROR(INDEX($U$4:$U$3183,MATCH(SMALL($V$4:$V$3183,1165),$V$4:$V$3183,0)),""))</f>
        <v/>
      </c>
    </row>
    <row r="1169">
      <c r="A1169">
        <f>IFERROR(INDEX($N$4:$N$3183,MATCH(SMALL($V$4:$V$3183,1166),$V$4:$V$3183,0)),"")</f>
        <v/>
      </c>
      <c r="B1169">
        <f>IFERROR(INDEX($O$4:$O$3183,MATCH(SMALL($V$4:$V$3183,1166),$V$4:$V$3183,0)),"")</f>
        <v/>
      </c>
      <c r="C1169">
        <f>IFERROR(INDEX($P$4:$P$3183,MATCH(SMALL($V$4:$V$3183,1166),$V$4:$V$3183,0)),"")</f>
        <v/>
      </c>
      <c r="D1169" s="29">
        <f>IFERROR(INDEX($Q$4:$Q$3183,MATCH(SMALL($V$4:$V$3183,1166),$V$4:$V$3183,0)),"")</f>
        <v/>
      </c>
      <c r="E1169" s="29">
        <f>IFERROR(INDEX($R$4:$R$3183,MATCH(SMALL($V$4:$V$3183,1166),$V$4:$V$3183,0)),"")</f>
        <v/>
      </c>
      <c r="F1169">
        <f>IFERROR(INDEX($S$4:$S$3183,MATCH(SMALL($V$4:$V$3183,1166),$V$4:$V$3183,0)),"")</f>
        <v/>
      </c>
      <c r="I1169" s="29">
        <f>IF($B1169="","",IFERROR(INDEX($U$4:$U$3183,MATCH(SMALL($V$4:$V$3183,1166),$V$4:$V$3183,0)),""))</f>
        <v/>
      </c>
      <c r="J1169">
        <f>IF($B1169="","",IF($D1169&gt;$F$2,"À venir",IF($E1169&lt;$D$2,"Passé","Dans la période")))</f>
        <v/>
      </c>
      <c r="K1169">
        <f>IF(OR($B1169="",NOT(ISNUMBER($D1169))),"",IF(AND($E1169&lt;$D$2,$G1169&lt;&gt;"X",$F1169&lt;&gt;"Réalisé",$F1169&lt;&gt;"Clôturé"),"RETARD",""))</f>
        <v/>
      </c>
      <c r="L1169">
        <f>IF(OR($B1169="",NOT(ISNUMBER($D1169))),"",IF(AND($D1169&gt;=$D$2,$D1169&lt;=$H$2,$G1169&lt;&gt;"X",$F1169&lt;&gt;"Réalisé",$F1169&lt;&gt;"Clôturé"),"≤ 7 j",""))</f>
        <v/>
      </c>
      <c r="M1169" s="29">
        <f>IF($B1169="","",IFERROR(INDEX($T$4:$T$3183,MATCH(SMALL($V$4:$V$3183,1166),$V$4:$V$3183,0)),""))</f>
        <v/>
      </c>
      <c r="O1169">
        <f>IF(INDEX(Suivi!$B:$B,1191)="","",INDEX(Suivi!$B:$B,1191))</f>
        <v/>
      </c>
      <c r="P1169">
        <f>IF($O1169="","",IF(INDEX(Suivi!$D:$D,1191)="",INDEX(Suivi!$C:$C,1191),INDEX(Suivi!$D:$D,1191)))</f>
        <v/>
      </c>
      <c r="Q1169">
        <f>IF($O1169="","",INDEX(Suivi!$E:$E,1191))</f>
        <v/>
      </c>
      <c r="R1169">
        <f>IF($O1169="","",INDEX(Suivi!$F:$F,1191))</f>
        <v/>
      </c>
      <c r="S1169">
        <f>IF($O1169="","",INDEX(Suivi!$G:$G,1191))</f>
        <v/>
      </c>
      <c r="T1169">
        <f>IF($O1169="","",IF(INDEX(Dossiers!$F$4:$F$63,22)="","",INDEX(Dossiers!$F$4:$F$63,22)))</f>
        <v/>
      </c>
      <c r="U1169">
        <f>IF($O1169="","",IF(INDEX(Dossiers!$G$4:$G$63,22)="","",INDEX(Dossiers!$G$4:$G$63,22)))</f>
        <v/>
      </c>
      <c r="V1169">
        <f>IF(OR($O1169="",NOT(ISNUMBER($Q1169))),"",$Q1169*1000000+1169)</f>
        <v/>
      </c>
      <c r="W1169" s="29">
        <f>IF($B1169="","",IFERROR(INDEX($U$4:$U$3183,MATCH(SMALL($V$4:$V$3183,1166),$V$4:$V$3183,0)),""))</f>
        <v/>
      </c>
    </row>
    <row r="1170">
      <c r="A1170">
        <f>IFERROR(INDEX($N$4:$N$3183,MATCH(SMALL($V$4:$V$3183,1167),$V$4:$V$3183,0)),"")</f>
        <v/>
      </c>
      <c r="B1170">
        <f>IFERROR(INDEX($O$4:$O$3183,MATCH(SMALL($V$4:$V$3183,1167),$V$4:$V$3183,0)),"")</f>
        <v/>
      </c>
      <c r="C1170">
        <f>IFERROR(INDEX($P$4:$P$3183,MATCH(SMALL($V$4:$V$3183,1167),$V$4:$V$3183,0)),"")</f>
        <v/>
      </c>
      <c r="D1170" s="29">
        <f>IFERROR(INDEX($Q$4:$Q$3183,MATCH(SMALL($V$4:$V$3183,1167),$V$4:$V$3183,0)),"")</f>
        <v/>
      </c>
      <c r="E1170" s="29">
        <f>IFERROR(INDEX($R$4:$R$3183,MATCH(SMALL($V$4:$V$3183,1167),$V$4:$V$3183,0)),"")</f>
        <v/>
      </c>
      <c r="F1170">
        <f>IFERROR(INDEX($S$4:$S$3183,MATCH(SMALL($V$4:$V$3183,1167),$V$4:$V$3183,0)),"")</f>
        <v/>
      </c>
      <c r="I1170" s="29">
        <f>IF($B1170="","",IFERROR(INDEX($U$4:$U$3183,MATCH(SMALL($V$4:$V$3183,1167),$V$4:$V$3183,0)),""))</f>
        <v/>
      </c>
      <c r="J1170">
        <f>IF($B1170="","",IF($D1170&gt;$F$2,"À venir",IF($E1170&lt;$D$2,"Passé","Dans la période")))</f>
        <v/>
      </c>
      <c r="K1170">
        <f>IF(OR($B1170="",NOT(ISNUMBER($D1170))),"",IF(AND($E1170&lt;$D$2,$G1170&lt;&gt;"X",$F1170&lt;&gt;"Réalisé",$F1170&lt;&gt;"Clôturé"),"RETARD",""))</f>
        <v/>
      </c>
      <c r="L1170">
        <f>IF(OR($B1170="",NOT(ISNUMBER($D1170))),"",IF(AND($D1170&gt;=$D$2,$D1170&lt;=$H$2,$G1170&lt;&gt;"X",$F1170&lt;&gt;"Réalisé",$F1170&lt;&gt;"Clôturé"),"≤ 7 j",""))</f>
        <v/>
      </c>
      <c r="M1170" s="29">
        <f>IF($B1170="","",IFERROR(INDEX($T$4:$T$3183,MATCH(SMALL($V$4:$V$3183,1167),$V$4:$V$3183,0)),""))</f>
        <v/>
      </c>
      <c r="O1170">
        <f>IF(INDEX(Suivi!$B:$B,1193)="","",INDEX(Suivi!$B:$B,1193))</f>
        <v/>
      </c>
      <c r="P1170">
        <f>IF($O1170="","",IF(INDEX(Suivi!$D:$D,1193)="",INDEX(Suivi!$C:$C,1193),INDEX(Suivi!$D:$D,1193)))</f>
        <v/>
      </c>
      <c r="Q1170">
        <f>IF($O1170="","",INDEX(Suivi!$E:$E,1193))</f>
        <v/>
      </c>
      <c r="R1170">
        <f>IF($O1170="","",INDEX(Suivi!$F:$F,1193))</f>
        <v/>
      </c>
      <c r="S1170">
        <f>IF($O1170="","",INDEX(Suivi!$G:$G,1193))</f>
        <v/>
      </c>
      <c r="T1170">
        <f>IF($O1170="","",IF(INDEX(Dossiers!$F$4:$F$63,23)="","",INDEX(Dossiers!$F$4:$F$63,23)))</f>
        <v/>
      </c>
      <c r="U1170">
        <f>IF($O1170="","",IF(INDEX(Dossiers!$G$4:$G$63,23)="","",INDEX(Dossiers!$G$4:$G$63,23)))</f>
        <v/>
      </c>
      <c r="V1170">
        <f>IF(OR($O1170="",NOT(ISNUMBER($Q1170))),"",$Q1170*1000000+1170)</f>
        <v/>
      </c>
      <c r="W1170" s="29">
        <f>IF($B1170="","",IFERROR(INDEX($U$4:$U$3183,MATCH(SMALL($V$4:$V$3183,1167),$V$4:$V$3183,0)),""))</f>
        <v/>
      </c>
    </row>
    <row r="1171">
      <c r="A1171">
        <f>IFERROR(INDEX($N$4:$N$3183,MATCH(SMALL($V$4:$V$3183,1168),$V$4:$V$3183,0)),"")</f>
        <v/>
      </c>
      <c r="B1171">
        <f>IFERROR(INDEX($O$4:$O$3183,MATCH(SMALL($V$4:$V$3183,1168),$V$4:$V$3183,0)),"")</f>
        <v/>
      </c>
      <c r="C1171">
        <f>IFERROR(INDEX($P$4:$P$3183,MATCH(SMALL($V$4:$V$3183,1168),$V$4:$V$3183,0)),"")</f>
        <v/>
      </c>
      <c r="D1171" s="29">
        <f>IFERROR(INDEX($Q$4:$Q$3183,MATCH(SMALL($V$4:$V$3183,1168),$V$4:$V$3183,0)),"")</f>
        <v/>
      </c>
      <c r="E1171" s="29">
        <f>IFERROR(INDEX($R$4:$R$3183,MATCH(SMALL($V$4:$V$3183,1168),$V$4:$V$3183,0)),"")</f>
        <v/>
      </c>
      <c r="F1171">
        <f>IFERROR(INDEX($S$4:$S$3183,MATCH(SMALL($V$4:$V$3183,1168),$V$4:$V$3183,0)),"")</f>
        <v/>
      </c>
      <c r="I1171" s="29">
        <f>IF($B1171="","",IFERROR(INDEX($U$4:$U$3183,MATCH(SMALL($V$4:$V$3183,1168),$V$4:$V$3183,0)),""))</f>
        <v/>
      </c>
      <c r="J1171">
        <f>IF($B1171="","",IF($D1171&gt;$F$2,"À venir",IF($E1171&lt;$D$2,"Passé","Dans la période")))</f>
        <v/>
      </c>
      <c r="K1171">
        <f>IF(OR($B1171="",NOT(ISNUMBER($D1171))),"",IF(AND($E1171&lt;$D$2,$G1171&lt;&gt;"X",$F1171&lt;&gt;"Réalisé",$F1171&lt;&gt;"Clôturé"),"RETARD",""))</f>
        <v/>
      </c>
      <c r="L1171">
        <f>IF(OR($B1171="",NOT(ISNUMBER($D1171))),"",IF(AND($D1171&gt;=$D$2,$D1171&lt;=$H$2,$G1171&lt;&gt;"X",$F1171&lt;&gt;"Réalisé",$F1171&lt;&gt;"Clôturé"),"≤ 7 j",""))</f>
        <v/>
      </c>
      <c r="M1171" s="29">
        <f>IF($B1171="","",IFERROR(INDEX($T$4:$T$3183,MATCH(SMALL($V$4:$V$3183,1168),$V$4:$V$3183,0)),""))</f>
        <v/>
      </c>
      <c r="O1171">
        <f>IF(INDEX(Suivi!$B:$B,1194)="","",INDEX(Suivi!$B:$B,1194))</f>
        <v/>
      </c>
      <c r="P1171">
        <f>IF($O1171="","",IF(INDEX(Suivi!$D:$D,1194)="",INDEX(Suivi!$C:$C,1194),INDEX(Suivi!$D:$D,1194)))</f>
        <v/>
      </c>
      <c r="Q1171">
        <f>IF($O1171="","",INDEX(Suivi!$E:$E,1194))</f>
        <v/>
      </c>
      <c r="R1171">
        <f>IF($O1171="","",INDEX(Suivi!$F:$F,1194))</f>
        <v/>
      </c>
      <c r="S1171">
        <f>IF($O1171="","",INDEX(Suivi!$G:$G,1194))</f>
        <v/>
      </c>
      <c r="T1171">
        <f>IF($O1171="","",IF(INDEX(Dossiers!$F$4:$F$63,23)="","",INDEX(Dossiers!$F$4:$F$63,23)))</f>
        <v/>
      </c>
      <c r="U1171">
        <f>IF($O1171="","",IF(INDEX(Dossiers!$G$4:$G$63,23)="","",INDEX(Dossiers!$G$4:$G$63,23)))</f>
        <v/>
      </c>
      <c r="V1171">
        <f>IF(OR($O1171="",NOT(ISNUMBER($Q1171))),"",$Q1171*1000000+1171)</f>
        <v/>
      </c>
      <c r="W1171" s="29">
        <f>IF($B1171="","",IFERROR(INDEX($U$4:$U$3183,MATCH(SMALL($V$4:$V$3183,1168),$V$4:$V$3183,0)),""))</f>
        <v/>
      </c>
    </row>
    <row r="1172">
      <c r="A1172">
        <f>IFERROR(INDEX($N$4:$N$3183,MATCH(SMALL($V$4:$V$3183,1169),$V$4:$V$3183,0)),"")</f>
        <v/>
      </c>
      <c r="B1172">
        <f>IFERROR(INDEX($O$4:$O$3183,MATCH(SMALL($V$4:$V$3183,1169),$V$4:$V$3183,0)),"")</f>
        <v/>
      </c>
      <c r="C1172">
        <f>IFERROR(INDEX($P$4:$P$3183,MATCH(SMALL($V$4:$V$3183,1169),$V$4:$V$3183,0)),"")</f>
        <v/>
      </c>
      <c r="D1172" s="29">
        <f>IFERROR(INDEX($Q$4:$Q$3183,MATCH(SMALL($V$4:$V$3183,1169),$V$4:$V$3183,0)),"")</f>
        <v/>
      </c>
      <c r="E1172" s="29">
        <f>IFERROR(INDEX($R$4:$R$3183,MATCH(SMALL($V$4:$V$3183,1169),$V$4:$V$3183,0)),"")</f>
        <v/>
      </c>
      <c r="F1172">
        <f>IFERROR(INDEX($S$4:$S$3183,MATCH(SMALL($V$4:$V$3183,1169),$V$4:$V$3183,0)),"")</f>
        <v/>
      </c>
      <c r="I1172" s="29">
        <f>IF($B1172="","",IFERROR(INDEX($U$4:$U$3183,MATCH(SMALL($V$4:$V$3183,1169),$V$4:$V$3183,0)),""))</f>
        <v/>
      </c>
      <c r="J1172">
        <f>IF($B1172="","",IF($D1172&gt;$F$2,"À venir",IF($E1172&lt;$D$2,"Passé","Dans la période")))</f>
        <v/>
      </c>
      <c r="K1172">
        <f>IF(OR($B1172="",NOT(ISNUMBER($D1172))),"",IF(AND($E1172&lt;$D$2,$G1172&lt;&gt;"X",$F1172&lt;&gt;"Réalisé",$F1172&lt;&gt;"Clôturé"),"RETARD",""))</f>
        <v/>
      </c>
      <c r="L1172">
        <f>IF(OR($B1172="",NOT(ISNUMBER($D1172))),"",IF(AND($D1172&gt;=$D$2,$D1172&lt;=$H$2,$G1172&lt;&gt;"X",$F1172&lt;&gt;"Réalisé",$F1172&lt;&gt;"Clôturé"),"≤ 7 j",""))</f>
        <v/>
      </c>
      <c r="M1172" s="29">
        <f>IF($B1172="","",IFERROR(INDEX($T$4:$T$3183,MATCH(SMALL($V$4:$V$3183,1169),$V$4:$V$3183,0)),""))</f>
        <v/>
      </c>
      <c r="O1172">
        <f>IF(INDEX(Suivi!$B:$B,1195)="","",INDEX(Suivi!$B:$B,1195))</f>
        <v/>
      </c>
      <c r="P1172">
        <f>IF($O1172="","",IF(INDEX(Suivi!$D:$D,1195)="",INDEX(Suivi!$C:$C,1195),INDEX(Suivi!$D:$D,1195)))</f>
        <v/>
      </c>
      <c r="Q1172">
        <f>IF($O1172="","",INDEX(Suivi!$E:$E,1195))</f>
        <v/>
      </c>
      <c r="R1172">
        <f>IF($O1172="","",INDEX(Suivi!$F:$F,1195))</f>
        <v/>
      </c>
      <c r="S1172">
        <f>IF($O1172="","",INDEX(Suivi!$G:$G,1195))</f>
        <v/>
      </c>
      <c r="T1172">
        <f>IF($O1172="","",IF(INDEX(Dossiers!$F$4:$F$63,23)="","",INDEX(Dossiers!$F$4:$F$63,23)))</f>
        <v/>
      </c>
      <c r="U1172">
        <f>IF($O1172="","",IF(INDEX(Dossiers!$G$4:$G$63,23)="","",INDEX(Dossiers!$G$4:$G$63,23)))</f>
        <v/>
      </c>
      <c r="V1172">
        <f>IF(OR($O1172="",NOT(ISNUMBER($Q1172))),"",$Q1172*1000000+1172)</f>
        <v/>
      </c>
      <c r="W1172" s="29">
        <f>IF($B1172="","",IFERROR(INDEX($U$4:$U$3183,MATCH(SMALL($V$4:$V$3183,1169),$V$4:$V$3183,0)),""))</f>
        <v/>
      </c>
    </row>
    <row r="1173">
      <c r="A1173">
        <f>IFERROR(INDEX($N$4:$N$3183,MATCH(SMALL($V$4:$V$3183,1170),$V$4:$V$3183,0)),"")</f>
        <v/>
      </c>
      <c r="B1173">
        <f>IFERROR(INDEX($O$4:$O$3183,MATCH(SMALL($V$4:$V$3183,1170),$V$4:$V$3183,0)),"")</f>
        <v/>
      </c>
      <c r="C1173">
        <f>IFERROR(INDEX($P$4:$P$3183,MATCH(SMALL($V$4:$V$3183,1170),$V$4:$V$3183,0)),"")</f>
        <v/>
      </c>
      <c r="D1173" s="29">
        <f>IFERROR(INDEX($Q$4:$Q$3183,MATCH(SMALL($V$4:$V$3183,1170),$V$4:$V$3183,0)),"")</f>
        <v/>
      </c>
      <c r="E1173" s="29">
        <f>IFERROR(INDEX($R$4:$R$3183,MATCH(SMALL($V$4:$V$3183,1170),$V$4:$V$3183,0)),"")</f>
        <v/>
      </c>
      <c r="F1173">
        <f>IFERROR(INDEX($S$4:$S$3183,MATCH(SMALL($V$4:$V$3183,1170),$V$4:$V$3183,0)),"")</f>
        <v/>
      </c>
      <c r="I1173" s="29">
        <f>IF($B1173="","",IFERROR(INDEX($U$4:$U$3183,MATCH(SMALL($V$4:$V$3183,1170),$V$4:$V$3183,0)),""))</f>
        <v/>
      </c>
      <c r="J1173">
        <f>IF($B1173="","",IF($D1173&gt;$F$2,"À venir",IF($E1173&lt;$D$2,"Passé","Dans la période")))</f>
        <v/>
      </c>
      <c r="K1173">
        <f>IF(OR($B1173="",NOT(ISNUMBER($D1173))),"",IF(AND($E1173&lt;$D$2,$G1173&lt;&gt;"X",$F1173&lt;&gt;"Réalisé",$F1173&lt;&gt;"Clôturé"),"RETARD",""))</f>
        <v/>
      </c>
      <c r="L1173">
        <f>IF(OR($B1173="",NOT(ISNUMBER($D1173))),"",IF(AND($D1173&gt;=$D$2,$D1173&lt;=$H$2,$G1173&lt;&gt;"X",$F1173&lt;&gt;"Réalisé",$F1173&lt;&gt;"Clôturé"),"≤ 7 j",""))</f>
        <v/>
      </c>
      <c r="M1173" s="29">
        <f>IF($B1173="","",IFERROR(INDEX($T$4:$T$3183,MATCH(SMALL($V$4:$V$3183,1170),$V$4:$V$3183,0)),""))</f>
        <v/>
      </c>
      <c r="O1173">
        <f>IF(INDEX(Suivi!$B:$B,1196)="","",INDEX(Suivi!$B:$B,1196))</f>
        <v/>
      </c>
      <c r="P1173">
        <f>IF($O1173="","",IF(INDEX(Suivi!$D:$D,1196)="",INDEX(Suivi!$C:$C,1196),INDEX(Suivi!$D:$D,1196)))</f>
        <v/>
      </c>
      <c r="Q1173">
        <f>IF($O1173="","",INDEX(Suivi!$E:$E,1196))</f>
        <v/>
      </c>
      <c r="R1173">
        <f>IF($O1173="","",INDEX(Suivi!$F:$F,1196))</f>
        <v/>
      </c>
      <c r="S1173">
        <f>IF($O1173="","",INDEX(Suivi!$G:$G,1196))</f>
        <v/>
      </c>
      <c r="T1173">
        <f>IF($O1173="","",IF(INDEX(Dossiers!$F$4:$F$63,23)="","",INDEX(Dossiers!$F$4:$F$63,23)))</f>
        <v/>
      </c>
      <c r="U1173">
        <f>IF($O1173="","",IF(INDEX(Dossiers!$G$4:$G$63,23)="","",INDEX(Dossiers!$G$4:$G$63,23)))</f>
        <v/>
      </c>
      <c r="V1173">
        <f>IF(OR($O1173="",NOT(ISNUMBER($Q1173))),"",$Q1173*1000000+1173)</f>
        <v/>
      </c>
      <c r="W1173" s="29">
        <f>IF($B1173="","",IFERROR(INDEX($U$4:$U$3183,MATCH(SMALL($V$4:$V$3183,1170),$V$4:$V$3183,0)),""))</f>
        <v/>
      </c>
    </row>
    <row r="1174">
      <c r="A1174">
        <f>IFERROR(INDEX($N$4:$N$3183,MATCH(SMALL($V$4:$V$3183,1171),$V$4:$V$3183,0)),"")</f>
        <v/>
      </c>
      <c r="B1174">
        <f>IFERROR(INDEX($O$4:$O$3183,MATCH(SMALL($V$4:$V$3183,1171),$V$4:$V$3183,0)),"")</f>
        <v/>
      </c>
      <c r="C1174">
        <f>IFERROR(INDEX($P$4:$P$3183,MATCH(SMALL($V$4:$V$3183,1171),$V$4:$V$3183,0)),"")</f>
        <v/>
      </c>
      <c r="D1174" s="29">
        <f>IFERROR(INDEX($Q$4:$Q$3183,MATCH(SMALL($V$4:$V$3183,1171),$V$4:$V$3183,0)),"")</f>
        <v/>
      </c>
      <c r="E1174" s="29">
        <f>IFERROR(INDEX($R$4:$R$3183,MATCH(SMALL($V$4:$V$3183,1171),$V$4:$V$3183,0)),"")</f>
        <v/>
      </c>
      <c r="F1174">
        <f>IFERROR(INDEX($S$4:$S$3183,MATCH(SMALL($V$4:$V$3183,1171),$V$4:$V$3183,0)),"")</f>
        <v/>
      </c>
      <c r="I1174" s="29">
        <f>IF($B1174="","",IFERROR(INDEX($U$4:$U$3183,MATCH(SMALL($V$4:$V$3183,1171),$V$4:$V$3183,0)),""))</f>
        <v/>
      </c>
      <c r="J1174">
        <f>IF($B1174="","",IF($D1174&gt;$F$2,"À venir",IF($E1174&lt;$D$2,"Passé","Dans la période")))</f>
        <v/>
      </c>
      <c r="K1174">
        <f>IF(OR($B1174="",NOT(ISNUMBER($D1174))),"",IF(AND($E1174&lt;$D$2,$G1174&lt;&gt;"X",$F1174&lt;&gt;"Réalisé",$F1174&lt;&gt;"Clôturé"),"RETARD",""))</f>
        <v/>
      </c>
      <c r="L1174">
        <f>IF(OR($B1174="",NOT(ISNUMBER($D1174))),"",IF(AND($D1174&gt;=$D$2,$D1174&lt;=$H$2,$G1174&lt;&gt;"X",$F1174&lt;&gt;"Réalisé",$F1174&lt;&gt;"Clôturé"),"≤ 7 j",""))</f>
        <v/>
      </c>
      <c r="M1174" s="29">
        <f>IF($B1174="","",IFERROR(INDEX($T$4:$T$3183,MATCH(SMALL($V$4:$V$3183,1171),$V$4:$V$3183,0)),""))</f>
        <v/>
      </c>
      <c r="O1174">
        <f>IF(INDEX(Suivi!$B:$B,1197)="","",INDEX(Suivi!$B:$B,1197))</f>
        <v/>
      </c>
      <c r="P1174">
        <f>IF($O1174="","",IF(INDEX(Suivi!$D:$D,1197)="",INDEX(Suivi!$C:$C,1197),INDEX(Suivi!$D:$D,1197)))</f>
        <v/>
      </c>
      <c r="Q1174">
        <f>IF($O1174="","",INDEX(Suivi!$E:$E,1197))</f>
        <v/>
      </c>
      <c r="R1174">
        <f>IF($O1174="","",INDEX(Suivi!$F:$F,1197))</f>
        <v/>
      </c>
      <c r="S1174">
        <f>IF($O1174="","",INDEX(Suivi!$G:$G,1197))</f>
        <v/>
      </c>
      <c r="T1174">
        <f>IF($O1174="","",IF(INDEX(Dossiers!$F$4:$F$63,23)="","",INDEX(Dossiers!$F$4:$F$63,23)))</f>
        <v/>
      </c>
      <c r="U1174">
        <f>IF($O1174="","",IF(INDEX(Dossiers!$G$4:$G$63,23)="","",INDEX(Dossiers!$G$4:$G$63,23)))</f>
        <v/>
      </c>
      <c r="V1174">
        <f>IF(OR($O1174="",NOT(ISNUMBER($Q1174))),"",$Q1174*1000000+1174)</f>
        <v/>
      </c>
      <c r="W1174" s="29">
        <f>IF($B1174="","",IFERROR(INDEX($U$4:$U$3183,MATCH(SMALL($V$4:$V$3183,1171),$V$4:$V$3183,0)),""))</f>
        <v/>
      </c>
    </row>
    <row r="1175">
      <c r="A1175">
        <f>IFERROR(INDEX($N$4:$N$3183,MATCH(SMALL($V$4:$V$3183,1172),$V$4:$V$3183,0)),"")</f>
        <v/>
      </c>
      <c r="B1175">
        <f>IFERROR(INDEX($O$4:$O$3183,MATCH(SMALL($V$4:$V$3183,1172),$V$4:$V$3183,0)),"")</f>
        <v/>
      </c>
      <c r="C1175">
        <f>IFERROR(INDEX($P$4:$P$3183,MATCH(SMALL($V$4:$V$3183,1172),$V$4:$V$3183,0)),"")</f>
        <v/>
      </c>
      <c r="D1175" s="29">
        <f>IFERROR(INDEX($Q$4:$Q$3183,MATCH(SMALL($V$4:$V$3183,1172),$V$4:$V$3183,0)),"")</f>
        <v/>
      </c>
      <c r="E1175" s="29">
        <f>IFERROR(INDEX($R$4:$R$3183,MATCH(SMALL($V$4:$V$3183,1172),$V$4:$V$3183,0)),"")</f>
        <v/>
      </c>
      <c r="F1175">
        <f>IFERROR(INDEX($S$4:$S$3183,MATCH(SMALL($V$4:$V$3183,1172),$V$4:$V$3183,0)),"")</f>
        <v/>
      </c>
      <c r="I1175" s="29">
        <f>IF($B1175="","",IFERROR(INDEX($U$4:$U$3183,MATCH(SMALL($V$4:$V$3183,1172),$V$4:$V$3183,0)),""))</f>
        <v/>
      </c>
      <c r="J1175">
        <f>IF($B1175="","",IF($D1175&gt;$F$2,"À venir",IF($E1175&lt;$D$2,"Passé","Dans la période")))</f>
        <v/>
      </c>
      <c r="K1175">
        <f>IF(OR($B1175="",NOT(ISNUMBER($D1175))),"",IF(AND($E1175&lt;$D$2,$G1175&lt;&gt;"X",$F1175&lt;&gt;"Réalisé",$F1175&lt;&gt;"Clôturé"),"RETARD",""))</f>
        <v/>
      </c>
      <c r="L1175">
        <f>IF(OR($B1175="",NOT(ISNUMBER($D1175))),"",IF(AND($D1175&gt;=$D$2,$D1175&lt;=$H$2,$G1175&lt;&gt;"X",$F1175&lt;&gt;"Réalisé",$F1175&lt;&gt;"Clôturé"),"≤ 7 j",""))</f>
        <v/>
      </c>
      <c r="M1175" s="29">
        <f>IF($B1175="","",IFERROR(INDEX($T$4:$T$3183,MATCH(SMALL($V$4:$V$3183,1172),$V$4:$V$3183,0)),""))</f>
        <v/>
      </c>
      <c r="O1175">
        <f>IF(INDEX(Suivi!$B:$B,1198)="","",INDEX(Suivi!$B:$B,1198))</f>
        <v/>
      </c>
      <c r="P1175">
        <f>IF($O1175="","",IF(INDEX(Suivi!$D:$D,1198)="",INDEX(Suivi!$C:$C,1198),INDEX(Suivi!$D:$D,1198)))</f>
        <v/>
      </c>
      <c r="Q1175">
        <f>IF($O1175="","",INDEX(Suivi!$E:$E,1198))</f>
        <v/>
      </c>
      <c r="R1175">
        <f>IF($O1175="","",INDEX(Suivi!$F:$F,1198))</f>
        <v/>
      </c>
      <c r="S1175">
        <f>IF($O1175="","",INDEX(Suivi!$G:$G,1198))</f>
        <v/>
      </c>
      <c r="T1175">
        <f>IF($O1175="","",IF(INDEX(Dossiers!$F$4:$F$63,23)="","",INDEX(Dossiers!$F$4:$F$63,23)))</f>
        <v/>
      </c>
      <c r="U1175">
        <f>IF($O1175="","",IF(INDEX(Dossiers!$G$4:$G$63,23)="","",INDEX(Dossiers!$G$4:$G$63,23)))</f>
        <v/>
      </c>
      <c r="V1175">
        <f>IF(OR($O1175="",NOT(ISNUMBER($Q1175))),"",$Q1175*1000000+1175)</f>
        <v/>
      </c>
      <c r="W1175" s="29">
        <f>IF($B1175="","",IFERROR(INDEX($U$4:$U$3183,MATCH(SMALL($V$4:$V$3183,1172),$V$4:$V$3183,0)),""))</f>
        <v/>
      </c>
    </row>
    <row r="1176">
      <c r="A1176">
        <f>IFERROR(INDEX($N$4:$N$3183,MATCH(SMALL($V$4:$V$3183,1173),$V$4:$V$3183,0)),"")</f>
        <v/>
      </c>
      <c r="B1176">
        <f>IFERROR(INDEX($O$4:$O$3183,MATCH(SMALL($V$4:$V$3183,1173),$V$4:$V$3183,0)),"")</f>
        <v/>
      </c>
      <c r="C1176">
        <f>IFERROR(INDEX($P$4:$P$3183,MATCH(SMALL($V$4:$V$3183,1173),$V$4:$V$3183,0)),"")</f>
        <v/>
      </c>
      <c r="D1176" s="29">
        <f>IFERROR(INDEX($Q$4:$Q$3183,MATCH(SMALL($V$4:$V$3183,1173),$V$4:$V$3183,0)),"")</f>
        <v/>
      </c>
      <c r="E1176" s="29">
        <f>IFERROR(INDEX($R$4:$R$3183,MATCH(SMALL($V$4:$V$3183,1173),$V$4:$V$3183,0)),"")</f>
        <v/>
      </c>
      <c r="F1176">
        <f>IFERROR(INDEX($S$4:$S$3183,MATCH(SMALL($V$4:$V$3183,1173),$V$4:$V$3183,0)),"")</f>
        <v/>
      </c>
      <c r="I1176" s="29">
        <f>IF($B1176="","",IFERROR(INDEX($U$4:$U$3183,MATCH(SMALL($V$4:$V$3183,1173),$V$4:$V$3183,0)),""))</f>
        <v/>
      </c>
      <c r="J1176">
        <f>IF($B1176="","",IF($D1176&gt;$F$2,"À venir",IF($E1176&lt;$D$2,"Passé","Dans la période")))</f>
        <v/>
      </c>
      <c r="K1176">
        <f>IF(OR($B1176="",NOT(ISNUMBER($D1176))),"",IF(AND($E1176&lt;$D$2,$G1176&lt;&gt;"X",$F1176&lt;&gt;"Réalisé",$F1176&lt;&gt;"Clôturé"),"RETARD",""))</f>
        <v/>
      </c>
      <c r="L1176">
        <f>IF(OR($B1176="",NOT(ISNUMBER($D1176))),"",IF(AND($D1176&gt;=$D$2,$D1176&lt;=$H$2,$G1176&lt;&gt;"X",$F1176&lt;&gt;"Réalisé",$F1176&lt;&gt;"Clôturé"),"≤ 7 j",""))</f>
        <v/>
      </c>
      <c r="M1176" s="29">
        <f>IF($B1176="","",IFERROR(INDEX($T$4:$T$3183,MATCH(SMALL($V$4:$V$3183,1173),$V$4:$V$3183,0)),""))</f>
        <v/>
      </c>
      <c r="O1176">
        <f>IF(INDEX(Suivi!$B:$B,1199)="","",INDEX(Suivi!$B:$B,1199))</f>
        <v/>
      </c>
      <c r="P1176">
        <f>IF($O1176="","",IF(INDEX(Suivi!$D:$D,1199)="",INDEX(Suivi!$C:$C,1199),INDEX(Suivi!$D:$D,1199)))</f>
        <v/>
      </c>
      <c r="Q1176">
        <f>IF($O1176="","",INDEX(Suivi!$E:$E,1199))</f>
        <v/>
      </c>
      <c r="R1176">
        <f>IF($O1176="","",INDEX(Suivi!$F:$F,1199))</f>
        <v/>
      </c>
      <c r="S1176">
        <f>IF($O1176="","",INDEX(Suivi!$G:$G,1199))</f>
        <v/>
      </c>
      <c r="T1176">
        <f>IF($O1176="","",IF(INDEX(Dossiers!$F$4:$F$63,23)="","",INDEX(Dossiers!$F$4:$F$63,23)))</f>
        <v/>
      </c>
      <c r="U1176">
        <f>IF($O1176="","",IF(INDEX(Dossiers!$G$4:$G$63,23)="","",INDEX(Dossiers!$G$4:$G$63,23)))</f>
        <v/>
      </c>
      <c r="V1176">
        <f>IF(OR($O1176="",NOT(ISNUMBER($Q1176))),"",$Q1176*1000000+1176)</f>
        <v/>
      </c>
      <c r="W1176" s="29">
        <f>IF($B1176="","",IFERROR(INDEX($U$4:$U$3183,MATCH(SMALL($V$4:$V$3183,1173),$V$4:$V$3183,0)),""))</f>
        <v/>
      </c>
    </row>
    <row r="1177">
      <c r="A1177">
        <f>IFERROR(INDEX($N$4:$N$3183,MATCH(SMALL($V$4:$V$3183,1174),$V$4:$V$3183,0)),"")</f>
        <v/>
      </c>
      <c r="B1177">
        <f>IFERROR(INDEX($O$4:$O$3183,MATCH(SMALL($V$4:$V$3183,1174),$V$4:$V$3183,0)),"")</f>
        <v/>
      </c>
      <c r="C1177">
        <f>IFERROR(INDEX($P$4:$P$3183,MATCH(SMALL($V$4:$V$3183,1174),$V$4:$V$3183,0)),"")</f>
        <v/>
      </c>
      <c r="D1177" s="29">
        <f>IFERROR(INDEX($Q$4:$Q$3183,MATCH(SMALL($V$4:$V$3183,1174),$V$4:$V$3183,0)),"")</f>
        <v/>
      </c>
      <c r="E1177" s="29">
        <f>IFERROR(INDEX($R$4:$R$3183,MATCH(SMALL($V$4:$V$3183,1174),$V$4:$V$3183,0)),"")</f>
        <v/>
      </c>
      <c r="F1177">
        <f>IFERROR(INDEX($S$4:$S$3183,MATCH(SMALL($V$4:$V$3183,1174),$V$4:$V$3183,0)),"")</f>
        <v/>
      </c>
      <c r="I1177" s="29">
        <f>IF($B1177="","",IFERROR(INDEX($U$4:$U$3183,MATCH(SMALL($V$4:$V$3183,1174),$V$4:$V$3183,0)),""))</f>
        <v/>
      </c>
      <c r="J1177">
        <f>IF($B1177="","",IF($D1177&gt;$F$2,"À venir",IF($E1177&lt;$D$2,"Passé","Dans la période")))</f>
        <v/>
      </c>
      <c r="K1177">
        <f>IF(OR($B1177="",NOT(ISNUMBER($D1177))),"",IF(AND($E1177&lt;$D$2,$G1177&lt;&gt;"X",$F1177&lt;&gt;"Réalisé",$F1177&lt;&gt;"Clôturé"),"RETARD",""))</f>
        <v/>
      </c>
      <c r="L1177">
        <f>IF(OR($B1177="",NOT(ISNUMBER($D1177))),"",IF(AND($D1177&gt;=$D$2,$D1177&lt;=$H$2,$G1177&lt;&gt;"X",$F1177&lt;&gt;"Réalisé",$F1177&lt;&gt;"Clôturé"),"≤ 7 j",""))</f>
        <v/>
      </c>
      <c r="M1177" s="29">
        <f>IF($B1177="","",IFERROR(INDEX($T$4:$T$3183,MATCH(SMALL($V$4:$V$3183,1174),$V$4:$V$3183,0)),""))</f>
        <v/>
      </c>
      <c r="O1177">
        <f>IF(INDEX(Suivi!$B:$B,1200)="","",INDEX(Suivi!$B:$B,1200))</f>
        <v/>
      </c>
      <c r="P1177">
        <f>IF($O1177="","",IF(INDEX(Suivi!$D:$D,1200)="",INDEX(Suivi!$C:$C,1200),INDEX(Suivi!$D:$D,1200)))</f>
        <v/>
      </c>
      <c r="Q1177">
        <f>IF($O1177="","",INDEX(Suivi!$E:$E,1200))</f>
        <v/>
      </c>
      <c r="R1177">
        <f>IF($O1177="","",INDEX(Suivi!$F:$F,1200))</f>
        <v/>
      </c>
      <c r="S1177">
        <f>IF($O1177="","",INDEX(Suivi!$G:$G,1200))</f>
        <v/>
      </c>
      <c r="T1177">
        <f>IF($O1177="","",IF(INDEX(Dossiers!$F$4:$F$63,23)="","",INDEX(Dossiers!$F$4:$F$63,23)))</f>
        <v/>
      </c>
      <c r="U1177">
        <f>IF($O1177="","",IF(INDEX(Dossiers!$G$4:$G$63,23)="","",INDEX(Dossiers!$G$4:$G$63,23)))</f>
        <v/>
      </c>
      <c r="V1177">
        <f>IF(OR($O1177="",NOT(ISNUMBER($Q1177))),"",$Q1177*1000000+1177)</f>
        <v/>
      </c>
      <c r="W1177" s="29">
        <f>IF($B1177="","",IFERROR(INDEX($U$4:$U$3183,MATCH(SMALL($V$4:$V$3183,1174),$V$4:$V$3183,0)),""))</f>
        <v/>
      </c>
    </row>
    <row r="1178">
      <c r="A1178">
        <f>IFERROR(INDEX($N$4:$N$3183,MATCH(SMALL($V$4:$V$3183,1175),$V$4:$V$3183,0)),"")</f>
        <v/>
      </c>
      <c r="B1178">
        <f>IFERROR(INDEX($O$4:$O$3183,MATCH(SMALL($V$4:$V$3183,1175),$V$4:$V$3183,0)),"")</f>
        <v/>
      </c>
      <c r="C1178">
        <f>IFERROR(INDEX($P$4:$P$3183,MATCH(SMALL($V$4:$V$3183,1175),$V$4:$V$3183,0)),"")</f>
        <v/>
      </c>
      <c r="D1178" s="29">
        <f>IFERROR(INDEX($Q$4:$Q$3183,MATCH(SMALL($V$4:$V$3183,1175),$V$4:$V$3183,0)),"")</f>
        <v/>
      </c>
      <c r="E1178" s="29">
        <f>IFERROR(INDEX($R$4:$R$3183,MATCH(SMALL($V$4:$V$3183,1175),$V$4:$V$3183,0)),"")</f>
        <v/>
      </c>
      <c r="F1178">
        <f>IFERROR(INDEX($S$4:$S$3183,MATCH(SMALL($V$4:$V$3183,1175),$V$4:$V$3183,0)),"")</f>
        <v/>
      </c>
      <c r="I1178" s="29">
        <f>IF($B1178="","",IFERROR(INDEX($U$4:$U$3183,MATCH(SMALL($V$4:$V$3183,1175),$V$4:$V$3183,0)),""))</f>
        <v/>
      </c>
      <c r="J1178">
        <f>IF($B1178="","",IF($D1178&gt;$F$2,"À venir",IF($E1178&lt;$D$2,"Passé","Dans la période")))</f>
        <v/>
      </c>
      <c r="K1178">
        <f>IF(OR($B1178="",NOT(ISNUMBER($D1178))),"",IF(AND($E1178&lt;$D$2,$G1178&lt;&gt;"X",$F1178&lt;&gt;"Réalisé",$F1178&lt;&gt;"Clôturé"),"RETARD",""))</f>
        <v/>
      </c>
      <c r="L1178">
        <f>IF(OR($B1178="",NOT(ISNUMBER($D1178))),"",IF(AND($D1178&gt;=$D$2,$D1178&lt;=$H$2,$G1178&lt;&gt;"X",$F1178&lt;&gt;"Réalisé",$F1178&lt;&gt;"Clôturé"),"≤ 7 j",""))</f>
        <v/>
      </c>
      <c r="M1178" s="29">
        <f>IF($B1178="","",IFERROR(INDEX($T$4:$T$3183,MATCH(SMALL($V$4:$V$3183,1175),$V$4:$V$3183,0)),""))</f>
        <v/>
      </c>
      <c r="O1178">
        <f>IF(INDEX(Suivi!$B:$B,1201)="","",INDEX(Suivi!$B:$B,1201))</f>
        <v/>
      </c>
      <c r="P1178">
        <f>IF($O1178="","",IF(INDEX(Suivi!$D:$D,1201)="",INDEX(Suivi!$C:$C,1201),INDEX(Suivi!$D:$D,1201)))</f>
        <v/>
      </c>
      <c r="Q1178">
        <f>IF($O1178="","",INDEX(Suivi!$E:$E,1201))</f>
        <v/>
      </c>
      <c r="R1178">
        <f>IF($O1178="","",INDEX(Suivi!$F:$F,1201))</f>
        <v/>
      </c>
      <c r="S1178">
        <f>IF($O1178="","",INDEX(Suivi!$G:$G,1201))</f>
        <v/>
      </c>
      <c r="T1178">
        <f>IF($O1178="","",IF(INDEX(Dossiers!$F$4:$F$63,23)="","",INDEX(Dossiers!$F$4:$F$63,23)))</f>
        <v/>
      </c>
      <c r="U1178">
        <f>IF($O1178="","",IF(INDEX(Dossiers!$G$4:$G$63,23)="","",INDEX(Dossiers!$G$4:$G$63,23)))</f>
        <v/>
      </c>
      <c r="V1178">
        <f>IF(OR($O1178="",NOT(ISNUMBER($Q1178))),"",$Q1178*1000000+1178)</f>
        <v/>
      </c>
      <c r="W1178" s="29">
        <f>IF($B1178="","",IFERROR(INDEX($U$4:$U$3183,MATCH(SMALL($V$4:$V$3183,1175),$V$4:$V$3183,0)),""))</f>
        <v/>
      </c>
    </row>
    <row r="1179">
      <c r="A1179">
        <f>IFERROR(INDEX($N$4:$N$3183,MATCH(SMALL($V$4:$V$3183,1176),$V$4:$V$3183,0)),"")</f>
        <v/>
      </c>
      <c r="B1179">
        <f>IFERROR(INDEX($O$4:$O$3183,MATCH(SMALL($V$4:$V$3183,1176),$V$4:$V$3183,0)),"")</f>
        <v/>
      </c>
      <c r="C1179">
        <f>IFERROR(INDEX($P$4:$P$3183,MATCH(SMALL($V$4:$V$3183,1176),$V$4:$V$3183,0)),"")</f>
        <v/>
      </c>
      <c r="D1179" s="29">
        <f>IFERROR(INDEX($Q$4:$Q$3183,MATCH(SMALL($V$4:$V$3183,1176),$V$4:$V$3183,0)),"")</f>
        <v/>
      </c>
      <c r="E1179" s="29">
        <f>IFERROR(INDEX($R$4:$R$3183,MATCH(SMALL($V$4:$V$3183,1176),$V$4:$V$3183,0)),"")</f>
        <v/>
      </c>
      <c r="F1179">
        <f>IFERROR(INDEX($S$4:$S$3183,MATCH(SMALL($V$4:$V$3183,1176),$V$4:$V$3183,0)),"")</f>
        <v/>
      </c>
      <c r="I1179" s="29">
        <f>IF($B1179="","",IFERROR(INDEX($U$4:$U$3183,MATCH(SMALL($V$4:$V$3183,1176),$V$4:$V$3183,0)),""))</f>
        <v/>
      </c>
      <c r="J1179">
        <f>IF($B1179="","",IF($D1179&gt;$F$2,"À venir",IF($E1179&lt;$D$2,"Passé","Dans la période")))</f>
        <v/>
      </c>
      <c r="K1179">
        <f>IF(OR($B1179="",NOT(ISNUMBER($D1179))),"",IF(AND($E1179&lt;$D$2,$G1179&lt;&gt;"X",$F1179&lt;&gt;"Réalisé",$F1179&lt;&gt;"Clôturé"),"RETARD",""))</f>
        <v/>
      </c>
      <c r="L1179">
        <f>IF(OR($B1179="",NOT(ISNUMBER($D1179))),"",IF(AND($D1179&gt;=$D$2,$D1179&lt;=$H$2,$G1179&lt;&gt;"X",$F1179&lt;&gt;"Réalisé",$F1179&lt;&gt;"Clôturé"),"≤ 7 j",""))</f>
        <v/>
      </c>
      <c r="M1179" s="29">
        <f>IF($B1179="","",IFERROR(INDEX($T$4:$T$3183,MATCH(SMALL($V$4:$V$3183,1176),$V$4:$V$3183,0)),""))</f>
        <v/>
      </c>
      <c r="O1179">
        <f>IF(INDEX(Suivi!$B:$B,1202)="","",INDEX(Suivi!$B:$B,1202))</f>
        <v/>
      </c>
      <c r="P1179">
        <f>IF($O1179="","",IF(INDEX(Suivi!$D:$D,1202)="",INDEX(Suivi!$C:$C,1202),INDEX(Suivi!$D:$D,1202)))</f>
        <v/>
      </c>
      <c r="Q1179">
        <f>IF($O1179="","",INDEX(Suivi!$E:$E,1202))</f>
        <v/>
      </c>
      <c r="R1179">
        <f>IF($O1179="","",INDEX(Suivi!$F:$F,1202))</f>
        <v/>
      </c>
      <c r="S1179">
        <f>IF($O1179="","",INDEX(Suivi!$G:$G,1202))</f>
        <v/>
      </c>
      <c r="T1179">
        <f>IF($O1179="","",IF(INDEX(Dossiers!$F$4:$F$63,23)="","",INDEX(Dossiers!$F$4:$F$63,23)))</f>
        <v/>
      </c>
      <c r="U1179">
        <f>IF($O1179="","",IF(INDEX(Dossiers!$G$4:$G$63,23)="","",INDEX(Dossiers!$G$4:$G$63,23)))</f>
        <v/>
      </c>
      <c r="V1179">
        <f>IF(OR($O1179="",NOT(ISNUMBER($Q1179))),"",$Q1179*1000000+1179)</f>
        <v/>
      </c>
      <c r="W1179" s="29">
        <f>IF($B1179="","",IFERROR(INDEX($U$4:$U$3183,MATCH(SMALL($V$4:$V$3183,1176),$V$4:$V$3183,0)),""))</f>
        <v/>
      </c>
    </row>
    <row r="1180">
      <c r="A1180">
        <f>IFERROR(INDEX($N$4:$N$3183,MATCH(SMALL($V$4:$V$3183,1177),$V$4:$V$3183,0)),"")</f>
        <v/>
      </c>
      <c r="B1180">
        <f>IFERROR(INDEX($O$4:$O$3183,MATCH(SMALL($V$4:$V$3183,1177),$V$4:$V$3183,0)),"")</f>
        <v/>
      </c>
      <c r="C1180">
        <f>IFERROR(INDEX($P$4:$P$3183,MATCH(SMALL($V$4:$V$3183,1177),$V$4:$V$3183,0)),"")</f>
        <v/>
      </c>
      <c r="D1180" s="29">
        <f>IFERROR(INDEX($Q$4:$Q$3183,MATCH(SMALL($V$4:$V$3183,1177),$V$4:$V$3183,0)),"")</f>
        <v/>
      </c>
      <c r="E1180" s="29">
        <f>IFERROR(INDEX($R$4:$R$3183,MATCH(SMALL($V$4:$V$3183,1177),$V$4:$V$3183,0)),"")</f>
        <v/>
      </c>
      <c r="F1180">
        <f>IFERROR(INDEX($S$4:$S$3183,MATCH(SMALL($V$4:$V$3183,1177),$V$4:$V$3183,0)),"")</f>
        <v/>
      </c>
      <c r="I1180" s="29">
        <f>IF($B1180="","",IFERROR(INDEX($U$4:$U$3183,MATCH(SMALL($V$4:$V$3183,1177),$V$4:$V$3183,0)),""))</f>
        <v/>
      </c>
      <c r="J1180">
        <f>IF($B1180="","",IF($D1180&gt;$F$2,"À venir",IF($E1180&lt;$D$2,"Passé","Dans la période")))</f>
        <v/>
      </c>
      <c r="K1180">
        <f>IF(OR($B1180="",NOT(ISNUMBER($D1180))),"",IF(AND($E1180&lt;$D$2,$G1180&lt;&gt;"X",$F1180&lt;&gt;"Réalisé",$F1180&lt;&gt;"Clôturé"),"RETARD",""))</f>
        <v/>
      </c>
      <c r="L1180">
        <f>IF(OR($B1180="",NOT(ISNUMBER($D1180))),"",IF(AND($D1180&gt;=$D$2,$D1180&lt;=$H$2,$G1180&lt;&gt;"X",$F1180&lt;&gt;"Réalisé",$F1180&lt;&gt;"Clôturé"),"≤ 7 j",""))</f>
        <v/>
      </c>
      <c r="M1180" s="29">
        <f>IF($B1180="","",IFERROR(INDEX($T$4:$T$3183,MATCH(SMALL($V$4:$V$3183,1177),$V$4:$V$3183,0)),""))</f>
        <v/>
      </c>
      <c r="O1180">
        <f>IF(INDEX(Suivi!$B:$B,1203)="","",INDEX(Suivi!$B:$B,1203))</f>
        <v/>
      </c>
      <c r="P1180">
        <f>IF($O1180="","",IF(INDEX(Suivi!$D:$D,1203)="",INDEX(Suivi!$C:$C,1203),INDEX(Suivi!$D:$D,1203)))</f>
        <v/>
      </c>
      <c r="Q1180">
        <f>IF($O1180="","",INDEX(Suivi!$E:$E,1203))</f>
        <v/>
      </c>
      <c r="R1180">
        <f>IF($O1180="","",INDEX(Suivi!$F:$F,1203))</f>
        <v/>
      </c>
      <c r="S1180">
        <f>IF($O1180="","",INDEX(Suivi!$G:$G,1203))</f>
        <v/>
      </c>
      <c r="T1180">
        <f>IF($O1180="","",IF(INDEX(Dossiers!$F$4:$F$63,23)="","",INDEX(Dossiers!$F$4:$F$63,23)))</f>
        <v/>
      </c>
      <c r="U1180">
        <f>IF($O1180="","",IF(INDEX(Dossiers!$G$4:$G$63,23)="","",INDEX(Dossiers!$G$4:$G$63,23)))</f>
        <v/>
      </c>
      <c r="V1180">
        <f>IF(OR($O1180="",NOT(ISNUMBER($Q1180))),"",$Q1180*1000000+1180)</f>
        <v/>
      </c>
      <c r="W1180" s="29">
        <f>IF($B1180="","",IFERROR(INDEX($U$4:$U$3183,MATCH(SMALL($V$4:$V$3183,1177),$V$4:$V$3183,0)),""))</f>
        <v/>
      </c>
    </row>
    <row r="1181">
      <c r="A1181">
        <f>IFERROR(INDEX($N$4:$N$3183,MATCH(SMALL($V$4:$V$3183,1178),$V$4:$V$3183,0)),"")</f>
        <v/>
      </c>
      <c r="B1181">
        <f>IFERROR(INDEX($O$4:$O$3183,MATCH(SMALL($V$4:$V$3183,1178),$V$4:$V$3183,0)),"")</f>
        <v/>
      </c>
      <c r="C1181">
        <f>IFERROR(INDEX($P$4:$P$3183,MATCH(SMALL($V$4:$V$3183,1178),$V$4:$V$3183,0)),"")</f>
        <v/>
      </c>
      <c r="D1181" s="29">
        <f>IFERROR(INDEX($Q$4:$Q$3183,MATCH(SMALL($V$4:$V$3183,1178),$V$4:$V$3183,0)),"")</f>
        <v/>
      </c>
      <c r="E1181" s="29">
        <f>IFERROR(INDEX($R$4:$R$3183,MATCH(SMALL($V$4:$V$3183,1178),$V$4:$V$3183,0)),"")</f>
        <v/>
      </c>
      <c r="F1181">
        <f>IFERROR(INDEX($S$4:$S$3183,MATCH(SMALL($V$4:$V$3183,1178),$V$4:$V$3183,0)),"")</f>
        <v/>
      </c>
      <c r="I1181" s="29">
        <f>IF($B1181="","",IFERROR(INDEX($U$4:$U$3183,MATCH(SMALL($V$4:$V$3183,1178),$V$4:$V$3183,0)),""))</f>
        <v/>
      </c>
      <c r="J1181">
        <f>IF($B1181="","",IF($D1181&gt;$F$2,"À venir",IF($E1181&lt;$D$2,"Passé","Dans la période")))</f>
        <v/>
      </c>
      <c r="K1181">
        <f>IF(OR($B1181="",NOT(ISNUMBER($D1181))),"",IF(AND($E1181&lt;$D$2,$G1181&lt;&gt;"X",$F1181&lt;&gt;"Réalisé",$F1181&lt;&gt;"Clôturé"),"RETARD",""))</f>
        <v/>
      </c>
      <c r="L1181">
        <f>IF(OR($B1181="",NOT(ISNUMBER($D1181))),"",IF(AND($D1181&gt;=$D$2,$D1181&lt;=$H$2,$G1181&lt;&gt;"X",$F1181&lt;&gt;"Réalisé",$F1181&lt;&gt;"Clôturé"),"≤ 7 j",""))</f>
        <v/>
      </c>
      <c r="M1181" s="29">
        <f>IF($B1181="","",IFERROR(INDEX($T$4:$T$3183,MATCH(SMALL($V$4:$V$3183,1178),$V$4:$V$3183,0)),""))</f>
        <v/>
      </c>
      <c r="O1181">
        <f>IF(INDEX(Suivi!$B:$B,1204)="","",INDEX(Suivi!$B:$B,1204))</f>
        <v/>
      </c>
      <c r="P1181">
        <f>IF($O1181="","",IF(INDEX(Suivi!$D:$D,1204)="",INDEX(Suivi!$C:$C,1204),INDEX(Suivi!$D:$D,1204)))</f>
        <v/>
      </c>
      <c r="Q1181">
        <f>IF($O1181="","",INDEX(Suivi!$E:$E,1204))</f>
        <v/>
      </c>
      <c r="R1181">
        <f>IF($O1181="","",INDEX(Suivi!$F:$F,1204))</f>
        <v/>
      </c>
      <c r="S1181">
        <f>IF($O1181="","",INDEX(Suivi!$G:$G,1204))</f>
        <v/>
      </c>
      <c r="T1181">
        <f>IF($O1181="","",IF(INDEX(Dossiers!$F$4:$F$63,23)="","",INDEX(Dossiers!$F$4:$F$63,23)))</f>
        <v/>
      </c>
      <c r="U1181">
        <f>IF($O1181="","",IF(INDEX(Dossiers!$G$4:$G$63,23)="","",INDEX(Dossiers!$G$4:$G$63,23)))</f>
        <v/>
      </c>
      <c r="V1181">
        <f>IF(OR($O1181="",NOT(ISNUMBER($Q1181))),"",$Q1181*1000000+1181)</f>
        <v/>
      </c>
      <c r="W1181" s="29">
        <f>IF($B1181="","",IFERROR(INDEX($U$4:$U$3183,MATCH(SMALL($V$4:$V$3183,1178),$V$4:$V$3183,0)),""))</f>
        <v/>
      </c>
    </row>
    <row r="1182">
      <c r="A1182">
        <f>IFERROR(INDEX($N$4:$N$3183,MATCH(SMALL($V$4:$V$3183,1179),$V$4:$V$3183,0)),"")</f>
        <v/>
      </c>
      <c r="B1182">
        <f>IFERROR(INDEX($O$4:$O$3183,MATCH(SMALL($V$4:$V$3183,1179),$V$4:$V$3183,0)),"")</f>
        <v/>
      </c>
      <c r="C1182">
        <f>IFERROR(INDEX($P$4:$P$3183,MATCH(SMALL($V$4:$V$3183,1179),$V$4:$V$3183,0)),"")</f>
        <v/>
      </c>
      <c r="D1182" s="29">
        <f>IFERROR(INDEX($Q$4:$Q$3183,MATCH(SMALL($V$4:$V$3183,1179),$V$4:$V$3183,0)),"")</f>
        <v/>
      </c>
      <c r="E1182" s="29">
        <f>IFERROR(INDEX($R$4:$R$3183,MATCH(SMALL($V$4:$V$3183,1179),$V$4:$V$3183,0)),"")</f>
        <v/>
      </c>
      <c r="F1182">
        <f>IFERROR(INDEX($S$4:$S$3183,MATCH(SMALL($V$4:$V$3183,1179),$V$4:$V$3183,0)),"")</f>
        <v/>
      </c>
      <c r="I1182" s="29">
        <f>IF($B1182="","",IFERROR(INDEX($U$4:$U$3183,MATCH(SMALL($V$4:$V$3183,1179),$V$4:$V$3183,0)),""))</f>
        <v/>
      </c>
      <c r="J1182">
        <f>IF($B1182="","",IF($D1182&gt;$F$2,"À venir",IF($E1182&lt;$D$2,"Passé","Dans la période")))</f>
        <v/>
      </c>
      <c r="K1182">
        <f>IF(OR($B1182="",NOT(ISNUMBER($D1182))),"",IF(AND($E1182&lt;$D$2,$G1182&lt;&gt;"X",$F1182&lt;&gt;"Réalisé",$F1182&lt;&gt;"Clôturé"),"RETARD",""))</f>
        <v/>
      </c>
      <c r="L1182">
        <f>IF(OR($B1182="",NOT(ISNUMBER($D1182))),"",IF(AND($D1182&gt;=$D$2,$D1182&lt;=$H$2,$G1182&lt;&gt;"X",$F1182&lt;&gt;"Réalisé",$F1182&lt;&gt;"Clôturé"),"≤ 7 j",""))</f>
        <v/>
      </c>
      <c r="M1182" s="29">
        <f>IF($B1182="","",IFERROR(INDEX($T$4:$T$3183,MATCH(SMALL($V$4:$V$3183,1179),$V$4:$V$3183,0)),""))</f>
        <v/>
      </c>
      <c r="O1182">
        <f>IF(INDEX(Suivi!$B:$B,1205)="","",INDEX(Suivi!$B:$B,1205))</f>
        <v/>
      </c>
      <c r="P1182">
        <f>IF($O1182="","",IF(INDEX(Suivi!$D:$D,1205)="",INDEX(Suivi!$C:$C,1205),INDEX(Suivi!$D:$D,1205)))</f>
        <v/>
      </c>
      <c r="Q1182">
        <f>IF($O1182="","",INDEX(Suivi!$E:$E,1205))</f>
        <v/>
      </c>
      <c r="R1182">
        <f>IF($O1182="","",INDEX(Suivi!$F:$F,1205))</f>
        <v/>
      </c>
      <c r="S1182">
        <f>IF($O1182="","",INDEX(Suivi!$G:$G,1205))</f>
        <v/>
      </c>
      <c r="T1182">
        <f>IF($O1182="","",IF(INDEX(Dossiers!$F$4:$F$63,23)="","",INDEX(Dossiers!$F$4:$F$63,23)))</f>
        <v/>
      </c>
      <c r="U1182">
        <f>IF($O1182="","",IF(INDEX(Dossiers!$G$4:$G$63,23)="","",INDEX(Dossiers!$G$4:$G$63,23)))</f>
        <v/>
      </c>
      <c r="V1182">
        <f>IF(OR($O1182="",NOT(ISNUMBER($Q1182))),"",$Q1182*1000000+1182)</f>
        <v/>
      </c>
      <c r="W1182" s="29">
        <f>IF($B1182="","",IFERROR(INDEX($U$4:$U$3183,MATCH(SMALL($V$4:$V$3183,1179),$V$4:$V$3183,0)),""))</f>
        <v/>
      </c>
    </row>
    <row r="1183">
      <c r="A1183">
        <f>IFERROR(INDEX($N$4:$N$3183,MATCH(SMALL($V$4:$V$3183,1180),$V$4:$V$3183,0)),"")</f>
        <v/>
      </c>
      <c r="B1183">
        <f>IFERROR(INDEX($O$4:$O$3183,MATCH(SMALL($V$4:$V$3183,1180),$V$4:$V$3183,0)),"")</f>
        <v/>
      </c>
      <c r="C1183">
        <f>IFERROR(INDEX($P$4:$P$3183,MATCH(SMALL($V$4:$V$3183,1180),$V$4:$V$3183,0)),"")</f>
        <v/>
      </c>
      <c r="D1183" s="29">
        <f>IFERROR(INDEX($Q$4:$Q$3183,MATCH(SMALL($V$4:$V$3183,1180),$V$4:$V$3183,0)),"")</f>
        <v/>
      </c>
      <c r="E1183" s="29">
        <f>IFERROR(INDEX($R$4:$R$3183,MATCH(SMALL($V$4:$V$3183,1180),$V$4:$V$3183,0)),"")</f>
        <v/>
      </c>
      <c r="F1183">
        <f>IFERROR(INDEX($S$4:$S$3183,MATCH(SMALL($V$4:$V$3183,1180),$V$4:$V$3183,0)),"")</f>
        <v/>
      </c>
      <c r="I1183" s="29">
        <f>IF($B1183="","",IFERROR(INDEX($U$4:$U$3183,MATCH(SMALL($V$4:$V$3183,1180),$V$4:$V$3183,0)),""))</f>
        <v/>
      </c>
      <c r="J1183">
        <f>IF($B1183="","",IF($D1183&gt;$F$2,"À venir",IF($E1183&lt;$D$2,"Passé","Dans la période")))</f>
        <v/>
      </c>
      <c r="K1183">
        <f>IF(OR($B1183="",NOT(ISNUMBER($D1183))),"",IF(AND($E1183&lt;$D$2,$G1183&lt;&gt;"X",$F1183&lt;&gt;"Réalisé",$F1183&lt;&gt;"Clôturé"),"RETARD",""))</f>
        <v/>
      </c>
      <c r="L1183">
        <f>IF(OR($B1183="",NOT(ISNUMBER($D1183))),"",IF(AND($D1183&gt;=$D$2,$D1183&lt;=$H$2,$G1183&lt;&gt;"X",$F1183&lt;&gt;"Réalisé",$F1183&lt;&gt;"Clôturé"),"≤ 7 j",""))</f>
        <v/>
      </c>
      <c r="M1183" s="29">
        <f>IF($B1183="","",IFERROR(INDEX($T$4:$T$3183,MATCH(SMALL($V$4:$V$3183,1180),$V$4:$V$3183,0)),""))</f>
        <v/>
      </c>
      <c r="O1183">
        <f>IF(INDEX(Suivi!$B:$B,1206)="","",INDEX(Suivi!$B:$B,1206))</f>
        <v/>
      </c>
      <c r="P1183">
        <f>IF($O1183="","",IF(INDEX(Suivi!$D:$D,1206)="",INDEX(Suivi!$C:$C,1206),INDEX(Suivi!$D:$D,1206)))</f>
        <v/>
      </c>
      <c r="Q1183">
        <f>IF($O1183="","",INDEX(Suivi!$E:$E,1206))</f>
        <v/>
      </c>
      <c r="R1183">
        <f>IF($O1183="","",INDEX(Suivi!$F:$F,1206))</f>
        <v/>
      </c>
      <c r="S1183">
        <f>IF($O1183="","",INDEX(Suivi!$G:$G,1206))</f>
        <v/>
      </c>
      <c r="T1183">
        <f>IF($O1183="","",IF(INDEX(Dossiers!$F$4:$F$63,23)="","",INDEX(Dossiers!$F$4:$F$63,23)))</f>
        <v/>
      </c>
      <c r="U1183">
        <f>IF($O1183="","",IF(INDEX(Dossiers!$G$4:$G$63,23)="","",INDEX(Dossiers!$G$4:$G$63,23)))</f>
        <v/>
      </c>
      <c r="V1183">
        <f>IF(OR($O1183="",NOT(ISNUMBER($Q1183))),"",$Q1183*1000000+1183)</f>
        <v/>
      </c>
      <c r="W1183" s="29">
        <f>IF($B1183="","",IFERROR(INDEX($U$4:$U$3183,MATCH(SMALL($V$4:$V$3183,1180),$V$4:$V$3183,0)),""))</f>
        <v/>
      </c>
    </row>
    <row r="1184">
      <c r="A1184">
        <f>IFERROR(INDEX($N$4:$N$3183,MATCH(SMALL($V$4:$V$3183,1181),$V$4:$V$3183,0)),"")</f>
        <v/>
      </c>
      <c r="B1184">
        <f>IFERROR(INDEX($O$4:$O$3183,MATCH(SMALL($V$4:$V$3183,1181),$V$4:$V$3183,0)),"")</f>
        <v/>
      </c>
      <c r="C1184">
        <f>IFERROR(INDEX($P$4:$P$3183,MATCH(SMALL($V$4:$V$3183,1181),$V$4:$V$3183,0)),"")</f>
        <v/>
      </c>
      <c r="D1184" s="29">
        <f>IFERROR(INDEX($Q$4:$Q$3183,MATCH(SMALL($V$4:$V$3183,1181),$V$4:$V$3183,0)),"")</f>
        <v/>
      </c>
      <c r="E1184" s="29">
        <f>IFERROR(INDEX($R$4:$R$3183,MATCH(SMALL($V$4:$V$3183,1181),$V$4:$V$3183,0)),"")</f>
        <v/>
      </c>
      <c r="F1184">
        <f>IFERROR(INDEX($S$4:$S$3183,MATCH(SMALL($V$4:$V$3183,1181),$V$4:$V$3183,0)),"")</f>
        <v/>
      </c>
      <c r="I1184" s="29">
        <f>IF($B1184="","",IFERROR(INDEX($U$4:$U$3183,MATCH(SMALL($V$4:$V$3183,1181),$V$4:$V$3183,0)),""))</f>
        <v/>
      </c>
      <c r="J1184">
        <f>IF($B1184="","",IF($D1184&gt;$F$2,"À venir",IF($E1184&lt;$D$2,"Passé","Dans la période")))</f>
        <v/>
      </c>
      <c r="K1184">
        <f>IF(OR($B1184="",NOT(ISNUMBER($D1184))),"",IF(AND($E1184&lt;$D$2,$G1184&lt;&gt;"X",$F1184&lt;&gt;"Réalisé",$F1184&lt;&gt;"Clôturé"),"RETARD",""))</f>
        <v/>
      </c>
      <c r="L1184">
        <f>IF(OR($B1184="",NOT(ISNUMBER($D1184))),"",IF(AND($D1184&gt;=$D$2,$D1184&lt;=$H$2,$G1184&lt;&gt;"X",$F1184&lt;&gt;"Réalisé",$F1184&lt;&gt;"Clôturé"),"≤ 7 j",""))</f>
        <v/>
      </c>
      <c r="M1184" s="29">
        <f>IF($B1184="","",IFERROR(INDEX($T$4:$T$3183,MATCH(SMALL($V$4:$V$3183,1181),$V$4:$V$3183,0)),""))</f>
        <v/>
      </c>
      <c r="O1184">
        <f>IF(INDEX(Suivi!$B:$B,1207)="","",INDEX(Suivi!$B:$B,1207))</f>
        <v/>
      </c>
      <c r="P1184">
        <f>IF($O1184="","",IF(INDEX(Suivi!$D:$D,1207)="",INDEX(Suivi!$C:$C,1207),INDEX(Suivi!$D:$D,1207)))</f>
        <v/>
      </c>
      <c r="Q1184">
        <f>IF($O1184="","",INDEX(Suivi!$E:$E,1207))</f>
        <v/>
      </c>
      <c r="R1184">
        <f>IF($O1184="","",INDEX(Suivi!$F:$F,1207))</f>
        <v/>
      </c>
      <c r="S1184">
        <f>IF($O1184="","",INDEX(Suivi!$G:$G,1207))</f>
        <v/>
      </c>
      <c r="T1184">
        <f>IF($O1184="","",IF(INDEX(Dossiers!$F$4:$F$63,23)="","",INDEX(Dossiers!$F$4:$F$63,23)))</f>
        <v/>
      </c>
      <c r="U1184">
        <f>IF($O1184="","",IF(INDEX(Dossiers!$G$4:$G$63,23)="","",INDEX(Dossiers!$G$4:$G$63,23)))</f>
        <v/>
      </c>
      <c r="V1184">
        <f>IF(OR($O1184="",NOT(ISNUMBER($Q1184))),"",$Q1184*1000000+1184)</f>
        <v/>
      </c>
      <c r="W1184" s="29">
        <f>IF($B1184="","",IFERROR(INDEX($U$4:$U$3183,MATCH(SMALL($V$4:$V$3183,1181),$V$4:$V$3183,0)),""))</f>
        <v/>
      </c>
    </row>
    <row r="1185">
      <c r="A1185">
        <f>IFERROR(INDEX($N$4:$N$3183,MATCH(SMALL($V$4:$V$3183,1182),$V$4:$V$3183,0)),"")</f>
        <v/>
      </c>
      <c r="B1185">
        <f>IFERROR(INDEX($O$4:$O$3183,MATCH(SMALL($V$4:$V$3183,1182),$V$4:$V$3183,0)),"")</f>
        <v/>
      </c>
      <c r="C1185">
        <f>IFERROR(INDEX($P$4:$P$3183,MATCH(SMALL($V$4:$V$3183,1182),$V$4:$V$3183,0)),"")</f>
        <v/>
      </c>
      <c r="D1185" s="29">
        <f>IFERROR(INDEX($Q$4:$Q$3183,MATCH(SMALL($V$4:$V$3183,1182),$V$4:$V$3183,0)),"")</f>
        <v/>
      </c>
      <c r="E1185" s="29">
        <f>IFERROR(INDEX($R$4:$R$3183,MATCH(SMALL($V$4:$V$3183,1182),$V$4:$V$3183,0)),"")</f>
        <v/>
      </c>
      <c r="F1185">
        <f>IFERROR(INDEX($S$4:$S$3183,MATCH(SMALL($V$4:$V$3183,1182),$V$4:$V$3183,0)),"")</f>
        <v/>
      </c>
      <c r="I1185" s="29">
        <f>IF($B1185="","",IFERROR(INDEX($U$4:$U$3183,MATCH(SMALL($V$4:$V$3183,1182),$V$4:$V$3183,0)),""))</f>
        <v/>
      </c>
      <c r="J1185">
        <f>IF($B1185="","",IF($D1185&gt;$F$2,"À venir",IF($E1185&lt;$D$2,"Passé","Dans la période")))</f>
        <v/>
      </c>
      <c r="K1185">
        <f>IF(OR($B1185="",NOT(ISNUMBER($D1185))),"",IF(AND($E1185&lt;$D$2,$G1185&lt;&gt;"X",$F1185&lt;&gt;"Réalisé",$F1185&lt;&gt;"Clôturé"),"RETARD",""))</f>
        <v/>
      </c>
      <c r="L1185">
        <f>IF(OR($B1185="",NOT(ISNUMBER($D1185))),"",IF(AND($D1185&gt;=$D$2,$D1185&lt;=$H$2,$G1185&lt;&gt;"X",$F1185&lt;&gt;"Réalisé",$F1185&lt;&gt;"Clôturé"),"≤ 7 j",""))</f>
        <v/>
      </c>
      <c r="M1185" s="29">
        <f>IF($B1185="","",IFERROR(INDEX($T$4:$T$3183,MATCH(SMALL($V$4:$V$3183,1182),$V$4:$V$3183,0)),""))</f>
        <v/>
      </c>
      <c r="O1185">
        <f>IF(INDEX(Suivi!$B:$B,1208)="","",INDEX(Suivi!$B:$B,1208))</f>
        <v/>
      </c>
      <c r="P1185">
        <f>IF($O1185="","",IF(INDEX(Suivi!$D:$D,1208)="",INDEX(Suivi!$C:$C,1208),INDEX(Suivi!$D:$D,1208)))</f>
        <v/>
      </c>
      <c r="Q1185">
        <f>IF($O1185="","",INDEX(Suivi!$E:$E,1208))</f>
        <v/>
      </c>
      <c r="R1185">
        <f>IF($O1185="","",INDEX(Suivi!$F:$F,1208))</f>
        <v/>
      </c>
      <c r="S1185">
        <f>IF($O1185="","",INDEX(Suivi!$G:$G,1208))</f>
        <v/>
      </c>
      <c r="T1185">
        <f>IF($O1185="","",IF(INDEX(Dossiers!$F$4:$F$63,23)="","",INDEX(Dossiers!$F$4:$F$63,23)))</f>
        <v/>
      </c>
      <c r="U1185">
        <f>IF($O1185="","",IF(INDEX(Dossiers!$G$4:$G$63,23)="","",INDEX(Dossiers!$G$4:$G$63,23)))</f>
        <v/>
      </c>
      <c r="V1185">
        <f>IF(OR($O1185="",NOT(ISNUMBER($Q1185))),"",$Q1185*1000000+1185)</f>
        <v/>
      </c>
      <c r="W1185" s="29">
        <f>IF($B1185="","",IFERROR(INDEX($U$4:$U$3183,MATCH(SMALL($V$4:$V$3183,1182),$V$4:$V$3183,0)),""))</f>
        <v/>
      </c>
    </row>
    <row r="1186">
      <c r="A1186">
        <f>IFERROR(INDEX($N$4:$N$3183,MATCH(SMALL($V$4:$V$3183,1183),$V$4:$V$3183,0)),"")</f>
        <v/>
      </c>
      <c r="B1186">
        <f>IFERROR(INDEX($O$4:$O$3183,MATCH(SMALL($V$4:$V$3183,1183),$V$4:$V$3183,0)),"")</f>
        <v/>
      </c>
      <c r="C1186">
        <f>IFERROR(INDEX($P$4:$P$3183,MATCH(SMALL($V$4:$V$3183,1183),$V$4:$V$3183,0)),"")</f>
        <v/>
      </c>
      <c r="D1186" s="29">
        <f>IFERROR(INDEX($Q$4:$Q$3183,MATCH(SMALL($V$4:$V$3183,1183),$V$4:$V$3183,0)),"")</f>
        <v/>
      </c>
      <c r="E1186" s="29">
        <f>IFERROR(INDEX($R$4:$R$3183,MATCH(SMALL($V$4:$V$3183,1183),$V$4:$V$3183,0)),"")</f>
        <v/>
      </c>
      <c r="F1186">
        <f>IFERROR(INDEX($S$4:$S$3183,MATCH(SMALL($V$4:$V$3183,1183),$V$4:$V$3183,0)),"")</f>
        <v/>
      </c>
      <c r="I1186" s="29">
        <f>IF($B1186="","",IFERROR(INDEX($U$4:$U$3183,MATCH(SMALL($V$4:$V$3183,1183),$V$4:$V$3183,0)),""))</f>
        <v/>
      </c>
      <c r="J1186">
        <f>IF($B1186="","",IF($D1186&gt;$F$2,"À venir",IF($E1186&lt;$D$2,"Passé","Dans la période")))</f>
        <v/>
      </c>
      <c r="K1186">
        <f>IF(OR($B1186="",NOT(ISNUMBER($D1186))),"",IF(AND($E1186&lt;$D$2,$G1186&lt;&gt;"X",$F1186&lt;&gt;"Réalisé",$F1186&lt;&gt;"Clôturé"),"RETARD",""))</f>
        <v/>
      </c>
      <c r="L1186">
        <f>IF(OR($B1186="",NOT(ISNUMBER($D1186))),"",IF(AND($D1186&gt;=$D$2,$D1186&lt;=$H$2,$G1186&lt;&gt;"X",$F1186&lt;&gt;"Réalisé",$F1186&lt;&gt;"Clôturé"),"≤ 7 j",""))</f>
        <v/>
      </c>
      <c r="M1186" s="29">
        <f>IF($B1186="","",IFERROR(INDEX($T$4:$T$3183,MATCH(SMALL($V$4:$V$3183,1183),$V$4:$V$3183,0)),""))</f>
        <v/>
      </c>
      <c r="O1186">
        <f>IF(INDEX(Suivi!$B:$B,1209)="","",INDEX(Suivi!$B:$B,1209))</f>
        <v/>
      </c>
      <c r="P1186">
        <f>IF($O1186="","",IF(INDEX(Suivi!$D:$D,1209)="",INDEX(Suivi!$C:$C,1209),INDEX(Suivi!$D:$D,1209)))</f>
        <v/>
      </c>
      <c r="Q1186">
        <f>IF($O1186="","",INDEX(Suivi!$E:$E,1209))</f>
        <v/>
      </c>
      <c r="R1186">
        <f>IF($O1186="","",INDEX(Suivi!$F:$F,1209))</f>
        <v/>
      </c>
      <c r="S1186">
        <f>IF($O1186="","",INDEX(Suivi!$G:$G,1209))</f>
        <v/>
      </c>
      <c r="T1186">
        <f>IF($O1186="","",IF(INDEX(Dossiers!$F$4:$F$63,23)="","",INDEX(Dossiers!$F$4:$F$63,23)))</f>
        <v/>
      </c>
      <c r="U1186">
        <f>IF($O1186="","",IF(INDEX(Dossiers!$G$4:$G$63,23)="","",INDEX(Dossiers!$G$4:$G$63,23)))</f>
        <v/>
      </c>
      <c r="V1186">
        <f>IF(OR($O1186="",NOT(ISNUMBER($Q1186))),"",$Q1186*1000000+1186)</f>
        <v/>
      </c>
      <c r="W1186" s="29">
        <f>IF($B1186="","",IFERROR(INDEX($U$4:$U$3183,MATCH(SMALL($V$4:$V$3183,1183),$V$4:$V$3183,0)),""))</f>
        <v/>
      </c>
    </row>
    <row r="1187">
      <c r="A1187">
        <f>IFERROR(INDEX($N$4:$N$3183,MATCH(SMALL($V$4:$V$3183,1184),$V$4:$V$3183,0)),"")</f>
        <v/>
      </c>
      <c r="B1187">
        <f>IFERROR(INDEX($O$4:$O$3183,MATCH(SMALL($V$4:$V$3183,1184),$V$4:$V$3183,0)),"")</f>
        <v/>
      </c>
      <c r="C1187">
        <f>IFERROR(INDEX($P$4:$P$3183,MATCH(SMALL($V$4:$V$3183,1184),$V$4:$V$3183,0)),"")</f>
        <v/>
      </c>
      <c r="D1187" s="29">
        <f>IFERROR(INDEX($Q$4:$Q$3183,MATCH(SMALL($V$4:$V$3183,1184),$V$4:$V$3183,0)),"")</f>
        <v/>
      </c>
      <c r="E1187" s="29">
        <f>IFERROR(INDEX($R$4:$R$3183,MATCH(SMALL($V$4:$V$3183,1184),$V$4:$V$3183,0)),"")</f>
        <v/>
      </c>
      <c r="F1187">
        <f>IFERROR(INDEX($S$4:$S$3183,MATCH(SMALL($V$4:$V$3183,1184),$V$4:$V$3183,0)),"")</f>
        <v/>
      </c>
      <c r="I1187" s="29">
        <f>IF($B1187="","",IFERROR(INDEX($U$4:$U$3183,MATCH(SMALL($V$4:$V$3183,1184),$V$4:$V$3183,0)),""))</f>
        <v/>
      </c>
      <c r="J1187">
        <f>IF($B1187="","",IF($D1187&gt;$F$2,"À venir",IF($E1187&lt;$D$2,"Passé","Dans la période")))</f>
        <v/>
      </c>
      <c r="K1187">
        <f>IF(OR($B1187="",NOT(ISNUMBER($D1187))),"",IF(AND($E1187&lt;$D$2,$G1187&lt;&gt;"X",$F1187&lt;&gt;"Réalisé",$F1187&lt;&gt;"Clôturé"),"RETARD",""))</f>
        <v/>
      </c>
      <c r="L1187">
        <f>IF(OR($B1187="",NOT(ISNUMBER($D1187))),"",IF(AND($D1187&gt;=$D$2,$D1187&lt;=$H$2,$G1187&lt;&gt;"X",$F1187&lt;&gt;"Réalisé",$F1187&lt;&gt;"Clôturé"),"≤ 7 j",""))</f>
        <v/>
      </c>
      <c r="M1187" s="29">
        <f>IF($B1187="","",IFERROR(INDEX($T$4:$T$3183,MATCH(SMALL($V$4:$V$3183,1184),$V$4:$V$3183,0)),""))</f>
        <v/>
      </c>
      <c r="O1187">
        <f>IF(INDEX(Suivi!$B:$B,1210)="","",INDEX(Suivi!$B:$B,1210))</f>
        <v/>
      </c>
      <c r="P1187">
        <f>IF($O1187="","",IF(INDEX(Suivi!$D:$D,1210)="",INDEX(Suivi!$C:$C,1210),INDEX(Suivi!$D:$D,1210)))</f>
        <v/>
      </c>
      <c r="Q1187">
        <f>IF($O1187="","",INDEX(Suivi!$E:$E,1210))</f>
        <v/>
      </c>
      <c r="R1187">
        <f>IF($O1187="","",INDEX(Suivi!$F:$F,1210))</f>
        <v/>
      </c>
      <c r="S1187">
        <f>IF($O1187="","",INDEX(Suivi!$G:$G,1210))</f>
        <v/>
      </c>
      <c r="T1187">
        <f>IF($O1187="","",IF(INDEX(Dossiers!$F$4:$F$63,23)="","",INDEX(Dossiers!$F$4:$F$63,23)))</f>
        <v/>
      </c>
      <c r="U1187">
        <f>IF($O1187="","",IF(INDEX(Dossiers!$G$4:$G$63,23)="","",INDEX(Dossiers!$G$4:$G$63,23)))</f>
        <v/>
      </c>
      <c r="V1187">
        <f>IF(OR($O1187="",NOT(ISNUMBER($Q1187))),"",$Q1187*1000000+1187)</f>
        <v/>
      </c>
      <c r="W1187" s="29">
        <f>IF($B1187="","",IFERROR(INDEX($U$4:$U$3183,MATCH(SMALL($V$4:$V$3183,1184),$V$4:$V$3183,0)),""))</f>
        <v/>
      </c>
    </row>
    <row r="1188">
      <c r="A1188">
        <f>IFERROR(INDEX($N$4:$N$3183,MATCH(SMALL($V$4:$V$3183,1185),$V$4:$V$3183,0)),"")</f>
        <v/>
      </c>
      <c r="B1188">
        <f>IFERROR(INDEX($O$4:$O$3183,MATCH(SMALL($V$4:$V$3183,1185),$V$4:$V$3183,0)),"")</f>
        <v/>
      </c>
      <c r="C1188">
        <f>IFERROR(INDEX($P$4:$P$3183,MATCH(SMALL($V$4:$V$3183,1185),$V$4:$V$3183,0)),"")</f>
        <v/>
      </c>
      <c r="D1188" s="29">
        <f>IFERROR(INDEX($Q$4:$Q$3183,MATCH(SMALL($V$4:$V$3183,1185),$V$4:$V$3183,0)),"")</f>
        <v/>
      </c>
      <c r="E1188" s="29">
        <f>IFERROR(INDEX($R$4:$R$3183,MATCH(SMALL($V$4:$V$3183,1185),$V$4:$V$3183,0)),"")</f>
        <v/>
      </c>
      <c r="F1188">
        <f>IFERROR(INDEX($S$4:$S$3183,MATCH(SMALL($V$4:$V$3183,1185),$V$4:$V$3183,0)),"")</f>
        <v/>
      </c>
      <c r="I1188" s="29">
        <f>IF($B1188="","",IFERROR(INDEX($U$4:$U$3183,MATCH(SMALL($V$4:$V$3183,1185),$V$4:$V$3183,0)),""))</f>
        <v/>
      </c>
      <c r="J1188">
        <f>IF($B1188="","",IF($D1188&gt;$F$2,"À venir",IF($E1188&lt;$D$2,"Passé","Dans la période")))</f>
        <v/>
      </c>
      <c r="K1188">
        <f>IF(OR($B1188="",NOT(ISNUMBER($D1188))),"",IF(AND($E1188&lt;$D$2,$G1188&lt;&gt;"X",$F1188&lt;&gt;"Réalisé",$F1188&lt;&gt;"Clôturé"),"RETARD",""))</f>
        <v/>
      </c>
      <c r="L1188">
        <f>IF(OR($B1188="",NOT(ISNUMBER($D1188))),"",IF(AND($D1188&gt;=$D$2,$D1188&lt;=$H$2,$G1188&lt;&gt;"X",$F1188&lt;&gt;"Réalisé",$F1188&lt;&gt;"Clôturé"),"≤ 7 j",""))</f>
        <v/>
      </c>
      <c r="M1188" s="29">
        <f>IF($B1188="","",IFERROR(INDEX($T$4:$T$3183,MATCH(SMALL($V$4:$V$3183,1185),$V$4:$V$3183,0)),""))</f>
        <v/>
      </c>
      <c r="O1188">
        <f>IF(INDEX(Suivi!$B:$B,1211)="","",INDEX(Suivi!$B:$B,1211))</f>
        <v/>
      </c>
      <c r="P1188">
        <f>IF($O1188="","",IF(INDEX(Suivi!$D:$D,1211)="",INDEX(Suivi!$C:$C,1211),INDEX(Suivi!$D:$D,1211)))</f>
        <v/>
      </c>
      <c r="Q1188">
        <f>IF($O1188="","",INDEX(Suivi!$E:$E,1211))</f>
        <v/>
      </c>
      <c r="R1188">
        <f>IF($O1188="","",INDEX(Suivi!$F:$F,1211))</f>
        <v/>
      </c>
      <c r="S1188">
        <f>IF($O1188="","",INDEX(Suivi!$G:$G,1211))</f>
        <v/>
      </c>
      <c r="T1188">
        <f>IF($O1188="","",IF(INDEX(Dossiers!$F$4:$F$63,23)="","",INDEX(Dossiers!$F$4:$F$63,23)))</f>
        <v/>
      </c>
      <c r="U1188">
        <f>IF($O1188="","",IF(INDEX(Dossiers!$G$4:$G$63,23)="","",INDEX(Dossiers!$G$4:$G$63,23)))</f>
        <v/>
      </c>
      <c r="V1188">
        <f>IF(OR($O1188="",NOT(ISNUMBER($Q1188))),"",$Q1188*1000000+1188)</f>
        <v/>
      </c>
      <c r="W1188" s="29">
        <f>IF($B1188="","",IFERROR(INDEX($U$4:$U$3183,MATCH(SMALL($V$4:$V$3183,1185),$V$4:$V$3183,0)),""))</f>
        <v/>
      </c>
    </row>
    <row r="1189">
      <c r="A1189">
        <f>IFERROR(INDEX($N$4:$N$3183,MATCH(SMALL($V$4:$V$3183,1186),$V$4:$V$3183,0)),"")</f>
        <v/>
      </c>
      <c r="B1189">
        <f>IFERROR(INDEX($O$4:$O$3183,MATCH(SMALL($V$4:$V$3183,1186),$V$4:$V$3183,0)),"")</f>
        <v/>
      </c>
      <c r="C1189">
        <f>IFERROR(INDEX($P$4:$P$3183,MATCH(SMALL($V$4:$V$3183,1186),$V$4:$V$3183,0)),"")</f>
        <v/>
      </c>
      <c r="D1189" s="29">
        <f>IFERROR(INDEX($Q$4:$Q$3183,MATCH(SMALL($V$4:$V$3183,1186),$V$4:$V$3183,0)),"")</f>
        <v/>
      </c>
      <c r="E1189" s="29">
        <f>IFERROR(INDEX($R$4:$R$3183,MATCH(SMALL($V$4:$V$3183,1186),$V$4:$V$3183,0)),"")</f>
        <v/>
      </c>
      <c r="F1189">
        <f>IFERROR(INDEX($S$4:$S$3183,MATCH(SMALL($V$4:$V$3183,1186),$V$4:$V$3183,0)),"")</f>
        <v/>
      </c>
      <c r="I1189" s="29">
        <f>IF($B1189="","",IFERROR(INDEX($U$4:$U$3183,MATCH(SMALL($V$4:$V$3183,1186),$V$4:$V$3183,0)),""))</f>
        <v/>
      </c>
      <c r="J1189">
        <f>IF($B1189="","",IF($D1189&gt;$F$2,"À venir",IF($E1189&lt;$D$2,"Passé","Dans la période")))</f>
        <v/>
      </c>
      <c r="K1189">
        <f>IF(OR($B1189="",NOT(ISNUMBER($D1189))),"",IF(AND($E1189&lt;$D$2,$G1189&lt;&gt;"X",$F1189&lt;&gt;"Réalisé",$F1189&lt;&gt;"Clôturé"),"RETARD",""))</f>
        <v/>
      </c>
      <c r="L1189">
        <f>IF(OR($B1189="",NOT(ISNUMBER($D1189))),"",IF(AND($D1189&gt;=$D$2,$D1189&lt;=$H$2,$G1189&lt;&gt;"X",$F1189&lt;&gt;"Réalisé",$F1189&lt;&gt;"Clôturé"),"≤ 7 j",""))</f>
        <v/>
      </c>
      <c r="M1189" s="29">
        <f>IF($B1189="","",IFERROR(INDEX($T$4:$T$3183,MATCH(SMALL($V$4:$V$3183,1186),$V$4:$V$3183,0)),""))</f>
        <v/>
      </c>
      <c r="O1189">
        <f>IF(INDEX(Suivi!$B:$B,1212)="","",INDEX(Suivi!$B:$B,1212))</f>
        <v/>
      </c>
      <c r="P1189">
        <f>IF($O1189="","",IF(INDEX(Suivi!$D:$D,1212)="",INDEX(Suivi!$C:$C,1212),INDEX(Suivi!$D:$D,1212)))</f>
        <v/>
      </c>
      <c r="Q1189">
        <f>IF($O1189="","",INDEX(Suivi!$E:$E,1212))</f>
        <v/>
      </c>
      <c r="R1189">
        <f>IF($O1189="","",INDEX(Suivi!$F:$F,1212))</f>
        <v/>
      </c>
      <c r="S1189">
        <f>IF($O1189="","",INDEX(Suivi!$G:$G,1212))</f>
        <v/>
      </c>
      <c r="T1189">
        <f>IF($O1189="","",IF(INDEX(Dossiers!$F$4:$F$63,23)="","",INDEX(Dossiers!$F$4:$F$63,23)))</f>
        <v/>
      </c>
      <c r="U1189">
        <f>IF($O1189="","",IF(INDEX(Dossiers!$G$4:$G$63,23)="","",INDEX(Dossiers!$G$4:$G$63,23)))</f>
        <v/>
      </c>
      <c r="V1189">
        <f>IF(OR($O1189="",NOT(ISNUMBER($Q1189))),"",$Q1189*1000000+1189)</f>
        <v/>
      </c>
      <c r="W1189" s="29">
        <f>IF($B1189="","",IFERROR(INDEX($U$4:$U$3183,MATCH(SMALL($V$4:$V$3183,1186),$V$4:$V$3183,0)),""))</f>
        <v/>
      </c>
    </row>
    <row r="1190">
      <c r="A1190">
        <f>IFERROR(INDEX($N$4:$N$3183,MATCH(SMALL($V$4:$V$3183,1187),$V$4:$V$3183,0)),"")</f>
        <v/>
      </c>
      <c r="B1190">
        <f>IFERROR(INDEX($O$4:$O$3183,MATCH(SMALL($V$4:$V$3183,1187),$V$4:$V$3183,0)),"")</f>
        <v/>
      </c>
      <c r="C1190">
        <f>IFERROR(INDEX($P$4:$P$3183,MATCH(SMALL($V$4:$V$3183,1187),$V$4:$V$3183,0)),"")</f>
        <v/>
      </c>
      <c r="D1190" s="29">
        <f>IFERROR(INDEX($Q$4:$Q$3183,MATCH(SMALL($V$4:$V$3183,1187),$V$4:$V$3183,0)),"")</f>
        <v/>
      </c>
      <c r="E1190" s="29">
        <f>IFERROR(INDEX($R$4:$R$3183,MATCH(SMALL($V$4:$V$3183,1187),$V$4:$V$3183,0)),"")</f>
        <v/>
      </c>
      <c r="F1190">
        <f>IFERROR(INDEX($S$4:$S$3183,MATCH(SMALL($V$4:$V$3183,1187),$V$4:$V$3183,0)),"")</f>
        <v/>
      </c>
      <c r="I1190" s="29">
        <f>IF($B1190="","",IFERROR(INDEX($U$4:$U$3183,MATCH(SMALL($V$4:$V$3183,1187),$V$4:$V$3183,0)),""))</f>
        <v/>
      </c>
      <c r="J1190">
        <f>IF($B1190="","",IF($D1190&gt;$F$2,"À venir",IF($E1190&lt;$D$2,"Passé","Dans la période")))</f>
        <v/>
      </c>
      <c r="K1190">
        <f>IF(OR($B1190="",NOT(ISNUMBER($D1190))),"",IF(AND($E1190&lt;$D$2,$G1190&lt;&gt;"X",$F1190&lt;&gt;"Réalisé",$F1190&lt;&gt;"Clôturé"),"RETARD",""))</f>
        <v/>
      </c>
      <c r="L1190">
        <f>IF(OR($B1190="",NOT(ISNUMBER($D1190))),"",IF(AND($D1190&gt;=$D$2,$D1190&lt;=$H$2,$G1190&lt;&gt;"X",$F1190&lt;&gt;"Réalisé",$F1190&lt;&gt;"Clôturé"),"≤ 7 j",""))</f>
        <v/>
      </c>
      <c r="M1190" s="29">
        <f>IF($B1190="","",IFERROR(INDEX($T$4:$T$3183,MATCH(SMALL($V$4:$V$3183,1187),$V$4:$V$3183,0)),""))</f>
        <v/>
      </c>
      <c r="O1190">
        <f>IF(INDEX(Suivi!$B:$B,1213)="","",INDEX(Suivi!$B:$B,1213))</f>
        <v/>
      </c>
      <c r="P1190">
        <f>IF($O1190="","",IF(INDEX(Suivi!$D:$D,1213)="",INDEX(Suivi!$C:$C,1213),INDEX(Suivi!$D:$D,1213)))</f>
        <v/>
      </c>
      <c r="Q1190">
        <f>IF($O1190="","",INDEX(Suivi!$E:$E,1213))</f>
        <v/>
      </c>
      <c r="R1190">
        <f>IF($O1190="","",INDEX(Suivi!$F:$F,1213))</f>
        <v/>
      </c>
      <c r="S1190">
        <f>IF($O1190="","",INDEX(Suivi!$G:$G,1213))</f>
        <v/>
      </c>
      <c r="T1190">
        <f>IF($O1190="","",IF(INDEX(Dossiers!$F$4:$F$63,23)="","",INDEX(Dossiers!$F$4:$F$63,23)))</f>
        <v/>
      </c>
      <c r="U1190">
        <f>IF($O1190="","",IF(INDEX(Dossiers!$G$4:$G$63,23)="","",INDEX(Dossiers!$G$4:$G$63,23)))</f>
        <v/>
      </c>
      <c r="V1190">
        <f>IF(OR($O1190="",NOT(ISNUMBER($Q1190))),"",$Q1190*1000000+1190)</f>
        <v/>
      </c>
      <c r="W1190" s="29">
        <f>IF($B1190="","",IFERROR(INDEX($U$4:$U$3183,MATCH(SMALL($V$4:$V$3183,1187),$V$4:$V$3183,0)),""))</f>
        <v/>
      </c>
    </row>
    <row r="1191">
      <c r="A1191">
        <f>IFERROR(INDEX($N$4:$N$3183,MATCH(SMALL($V$4:$V$3183,1188),$V$4:$V$3183,0)),"")</f>
        <v/>
      </c>
      <c r="B1191">
        <f>IFERROR(INDEX($O$4:$O$3183,MATCH(SMALL($V$4:$V$3183,1188),$V$4:$V$3183,0)),"")</f>
        <v/>
      </c>
      <c r="C1191">
        <f>IFERROR(INDEX($P$4:$P$3183,MATCH(SMALL($V$4:$V$3183,1188),$V$4:$V$3183,0)),"")</f>
        <v/>
      </c>
      <c r="D1191" s="29">
        <f>IFERROR(INDEX($Q$4:$Q$3183,MATCH(SMALL($V$4:$V$3183,1188),$V$4:$V$3183,0)),"")</f>
        <v/>
      </c>
      <c r="E1191" s="29">
        <f>IFERROR(INDEX($R$4:$R$3183,MATCH(SMALL($V$4:$V$3183,1188),$V$4:$V$3183,0)),"")</f>
        <v/>
      </c>
      <c r="F1191">
        <f>IFERROR(INDEX($S$4:$S$3183,MATCH(SMALL($V$4:$V$3183,1188),$V$4:$V$3183,0)),"")</f>
        <v/>
      </c>
      <c r="I1191" s="29">
        <f>IF($B1191="","",IFERROR(INDEX($U$4:$U$3183,MATCH(SMALL($V$4:$V$3183,1188),$V$4:$V$3183,0)),""))</f>
        <v/>
      </c>
      <c r="J1191">
        <f>IF($B1191="","",IF($D1191&gt;$F$2,"À venir",IF($E1191&lt;$D$2,"Passé","Dans la période")))</f>
        <v/>
      </c>
      <c r="K1191">
        <f>IF(OR($B1191="",NOT(ISNUMBER($D1191))),"",IF(AND($E1191&lt;$D$2,$G1191&lt;&gt;"X",$F1191&lt;&gt;"Réalisé",$F1191&lt;&gt;"Clôturé"),"RETARD",""))</f>
        <v/>
      </c>
      <c r="L1191">
        <f>IF(OR($B1191="",NOT(ISNUMBER($D1191))),"",IF(AND($D1191&gt;=$D$2,$D1191&lt;=$H$2,$G1191&lt;&gt;"X",$F1191&lt;&gt;"Réalisé",$F1191&lt;&gt;"Clôturé"),"≤ 7 j",""))</f>
        <v/>
      </c>
      <c r="M1191" s="29">
        <f>IF($B1191="","",IFERROR(INDEX($T$4:$T$3183,MATCH(SMALL($V$4:$V$3183,1188),$V$4:$V$3183,0)),""))</f>
        <v/>
      </c>
      <c r="O1191">
        <f>IF(INDEX(Suivi!$B:$B,1214)="","",INDEX(Suivi!$B:$B,1214))</f>
        <v/>
      </c>
      <c r="P1191">
        <f>IF($O1191="","",IF(INDEX(Suivi!$D:$D,1214)="",INDEX(Suivi!$C:$C,1214),INDEX(Suivi!$D:$D,1214)))</f>
        <v/>
      </c>
      <c r="Q1191">
        <f>IF($O1191="","",INDEX(Suivi!$E:$E,1214))</f>
        <v/>
      </c>
      <c r="R1191">
        <f>IF($O1191="","",INDEX(Suivi!$F:$F,1214))</f>
        <v/>
      </c>
      <c r="S1191">
        <f>IF($O1191="","",INDEX(Suivi!$G:$G,1214))</f>
        <v/>
      </c>
      <c r="T1191">
        <f>IF($O1191="","",IF(INDEX(Dossiers!$F$4:$F$63,23)="","",INDEX(Dossiers!$F$4:$F$63,23)))</f>
        <v/>
      </c>
      <c r="U1191">
        <f>IF($O1191="","",IF(INDEX(Dossiers!$G$4:$G$63,23)="","",INDEX(Dossiers!$G$4:$G$63,23)))</f>
        <v/>
      </c>
      <c r="V1191">
        <f>IF(OR($O1191="",NOT(ISNUMBER($Q1191))),"",$Q1191*1000000+1191)</f>
        <v/>
      </c>
      <c r="W1191" s="29">
        <f>IF($B1191="","",IFERROR(INDEX($U$4:$U$3183,MATCH(SMALL($V$4:$V$3183,1188),$V$4:$V$3183,0)),""))</f>
        <v/>
      </c>
    </row>
    <row r="1192">
      <c r="A1192">
        <f>IFERROR(INDEX($N$4:$N$3183,MATCH(SMALL($V$4:$V$3183,1189),$V$4:$V$3183,0)),"")</f>
        <v/>
      </c>
      <c r="B1192">
        <f>IFERROR(INDEX($O$4:$O$3183,MATCH(SMALL($V$4:$V$3183,1189),$V$4:$V$3183,0)),"")</f>
        <v/>
      </c>
      <c r="C1192">
        <f>IFERROR(INDEX($P$4:$P$3183,MATCH(SMALL($V$4:$V$3183,1189),$V$4:$V$3183,0)),"")</f>
        <v/>
      </c>
      <c r="D1192" s="29">
        <f>IFERROR(INDEX($Q$4:$Q$3183,MATCH(SMALL($V$4:$V$3183,1189),$V$4:$V$3183,0)),"")</f>
        <v/>
      </c>
      <c r="E1192" s="29">
        <f>IFERROR(INDEX($R$4:$R$3183,MATCH(SMALL($V$4:$V$3183,1189),$V$4:$V$3183,0)),"")</f>
        <v/>
      </c>
      <c r="F1192">
        <f>IFERROR(INDEX($S$4:$S$3183,MATCH(SMALL($V$4:$V$3183,1189),$V$4:$V$3183,0)),"")</f>
        <v/>
      </c>
      <c r="I1192" s="29">
        <f>IF($B1192="","",IFERROR(INDEX($U$4:$U$3183,MATCH(SMALL($V$4:$V$3183,1189),$V$4:$V$3183,0)),""))</f>
        <v/>
      </c>
      <c r="J1192">
        <f>IF($B1192="","",IF($D1192&gt;$F$2,"À venir",IF($E1192&lt;$D$2,"Passé","Dans la période")))</f>
        <v/>
      </c>
      <c r="K1192">
        <f>IF(OR($B1192="",NOT(ISNUMBER($D1192))),"",IF(AND($E1192&lt;$D$2,$G1192&lt;&gt;"X",$F1192&lt;&gt;"Réalisé",$F1192&lt;&gt;"Clôturé"),"RETARD",""))</f>
        <v/>
      </c>
      <c r="L1192">
        <f>IF(OR($B1192="",NOT(ISNUMBER($D1192))),"",IF(AND($D1192&gt;=$D$2,$D1192&lt;=$H$2,$G1192&lt;&gt;"X",$F1192&lt;&gt;"Réalisé",$F1192&lt;&gt;"Clôturé"),"≤ 7 j",""))</f>
        <v/>
      </c>
      <c r="M1192" s="29">
        <f>IF($B1192="","",IFERROR(INDEX($T$4:$T$3183,MATCH(SMALL($V$4:$V$3183,1189),$V$4:$V$3183,0)),""))</f>
        <v/>
      </c>
      <c r="O1192">
        <f>IF(INDEX(Suivi!$B:$B,1215)="","",INDEX(Suivi!$B:$B,1215))</f>
        <v/>
      </c>
      <c r="P1192">
        <f>IF($O1192="","",IF(INDEX(Suivi!$D:$D,1215)="",INDEX(Suivi!$C:$C,1215),INDEX(Suivi!$D:$D,1215)))</f>
        <v/>
      </c>
      <c r="Q1192">
        <f>IF($O1192="","",INDEX(Suivi!$E:$E,1215))</f>
        <v/>
      </c>
      <c r="R1192">
        <f>IF($O1192="","",INDEX(Suivi!$F:$F,1215))</f>
        <v/>
      </c>
      <c r="S1192">
        <f>IF($O1192="","",INDEX(Suivi!$G:$G,1215))</f>
        <v/>
      </c>
      <c r="T1192">
        <f>IF($O1192="","",IF(INDEX(Dossiers!$F$4:$F$63,23)="","",INDEX(Dossiers!$F$4:$F$63,23)))</f>
        <v/>
      </c>
      <c r="U1192">
        <f>IF($O1192="","",IF(INDEX(Dossiers!$G$4:$G$63,23)="","",INDEX(Dossiers!$G$4:$G$63,23)))</f>
        <v/>
      </c>
      <c r="V1192">
        <f>IF(OR($O1192="",NOT(ISNUMBER($Q1192))),"",$Q1192*1000000+1192)</f>
        <v/>
      </c>
      <c r="W1192" s="29">
        <f>IF($B1192="","",IFERROR(INDEX($U$4:$U$3183,MATCH(SMALL($V$4:$V$3183,1189),$V$4:$V$3183,0)),""))</f>
        <v/>
      </c>
    </row>
    <row r="1193">
      <c r="A1193">
        <f>IFERROR(INDEX($N$4:$N$3183,MATCH(SMALL($V$4:$V$3183,1190),$V$4:$V$3183,0)),"")</f>
        <v/>
      </c>
      <c r="B1193">
        <f>IFERROR(INDEX($O$4:$O$3183,MATCH(SMALL($V$4:$V$3183,1190),$V$4:$V$3183,0)),"")</f>
        <v/>
      </c>
      <c r="C1193">
        <f>IFERROR(INDEX($P$4:$P$3183,MATCH(SMALL($V$4:$V$3183,1190),$V$4:$V$3183,0)),"")</f>
        <v/>
      </c>
      <c r="D1193" s="29">
        <f>IFERROR(INDEX($Q$4:$Q$3183,MATCH(SMALL($V$4:$V$3183,1190),$V$4:$V$3183,0)),"")</f>
        <v/>
      </c>
      <c r="E1193" s="29">
        <f>IFERROR(INDEX($R$4:$R$3183,MATCH(SMALL($V$4:$V$3183,1190),$V$4:$V$3183,0)),"")</f>
        <v/>
      </c>
      <c r="F1193">
        <f>IFERROR(INDEX($S$4:$S$3183,MATCH(SMALL($V$4:$V$3183,1190),$V$4:$V$3183,0)),"")</f>
        <v/>
      </c>
      <c r="I1193" s="29">
        <f>IF($B1193="","",IFERROR(INDEX($U$4:$U$3183,MATCH(SMALL($V$4:$V$3183,1190),$V$4:$V$3183,0)),""))</f>
        <v/>
      </c>
      <c r="J1193">
        <f>IF($B1193="","",IF($D1193&gt;$F$2,"À venir",IF($E1193&lt;$D$2,"Passé","Dans la période")))</f>
        <v/>
      </c>
      <c r="K1193">
        <f>IF(OR($B1193="",NOT(ISNUMBER($D1193))),"",IF(AND($E1193&lt;$D$2,$G1193&lt;&gt;"X",$F1193&lt;&gt;"Réalisé",$F1193&lt;&gt;"Clôturé"),"RETARD",""))</f>
        <v/>
      </c>
      <c r="L1193">
        <f>IF(OR($B1193="",NOT(ISNUMBER($D1193))),"",IF(AND($D1193&gt;=$D$2,$D1193&lt;=$H$2,$G1193&lt;&gt;"X",$F1193&lt;&gt;"Réalisé",$F1193&lt;&gt;"Clôturé"),"≤ 7 j",""))</f>
        <v/>
      </c>
      <c r="M1193" s="29">
        <f>IF($B1193="","",IFERROR(INDEX($T$4:$T$3183,MATCH(SMALL($V$4:$V$3183,1190),$V$4:$V$3183,0)),""))</f>
        <v/>
      </c>
      <c r="O1193">
        <f>IF(INDEX(Suivi!$B:$B,1216)="","",INDEX(Suivi!$B:$B,1216))</f>
        <v/>
      </c>
      <c r="P1193">
        <f>IF($O1193="","",IF(INDEX(Suivi!$D:$D,1216)="",INDEX(Suivi!$C:$C,1216),INDEX(Suivi!$D:$D,1216)))</f>
        <v/>
      </c>
      <c r="Q1193">
        <f>IF($O1193="","",INDEX(Suivi!$E:$E,1216))</f>
        <v/>
      </c>
      <c r="R1193">
        <f>IF($O1193="","",INDEX(Suivi!$F:$F,1216))</f>
        <v/>
      </c>
      <c r="S1193">
        <f>IF($O1193="","",INDEX(Suivi!$G:$G,1216))</f>
        <v/>
      </c>
      <c r="T1193">
        <f>IF($O1193="","",IF(INDEX(Dossiers!$F$4:$F$63,23)="","",INDEX(Dossiers!$F$4:$F$63,23)))</f>
        <v/>
      </c>
      <c r="U1193">
        <f>IF($O1193="","",IF(INDEX(Dossiers!$G$4:$G$63,23)="","",INDEX(Dossiers!$G$4:$G$63,23)))</f>
        <v/>
      </c>
      <c r="V1193">
        <f>IF(OR($O1193="",NOT(ISNUMBER($Q1193))),"",$Q1193*1000000+1193)</f>
        <v/>
      </c>
      <c r="W1193" s="29">
        <f>IF($B1193="","",IFERROR(INDEX($U$4:$U$3183,MATCH(SMALL($V$4:$V$3183,1190),$V$4:$V$3183,0)),""))</f>
        <v/>
      </c>
    </row>
    <row r="1194">
      <c r="A1194">
        <f>IFERROR(INDEX($N$4:$N$3183,MATCH(SMALL($V$4:$V$3183,1191),$V$4:$V$3183,0)),"")</f>
        <v/>
      </c>
      <c r="B1194">
        <f>IFERROR(INDEX($O$4:$O$3183,MATCH(SMALL($V$4:$V$3183,1191),$V$4:$V$3183,0)),"")</f>
        <v/>
      </c>
      <c r="C1194">
        <f>IFERROR(INDEX($P$4:$P$3183,MATCH(SMALL($V$4:$V$3183,1191),$V$4:$V$3183,0)),"")</f>
        <v/>
      </c>
      <c r="D1194" s="29">
        <f>IFERROR(INDEX($Q$4:$Q$3183,MATCH(SMALL($V$4:$V$3183,1191),$V$4:$V$3183,0)),"")</f>
        <v/>
      </c>
      <c r="E1194" s="29">
        <f>IFERROR(INDEX($R$4:$R$3183,MATCH(SMALL($V$4:$V$3183,1191),$V$4:$V$3183,0)),"")</f>
        <v/>
      </c>
      <c r="F1194">
        <f>IFERROR(INDEX($S$4:$S$3183,MATCH(SMALL($V$4:$V$3183,1191),$V$4:$V$3183,0)),"")</f>
        <v/>
      </c>
      <c r="I1194" s="29">
        <f>IF($B1194="","",IFERROR(INDEX($U$4:$U$3183,MATCH(SMALL($V$4:$V$3183,1191),$V$4:$V$3183,0)),""))</f>
        <v/>
      </c>
      <c r="J1194">
        <f>IF($B1194="","",IF($D1194&gt;$F$2,"À venir",IF($E1194&lt;$D$2,"Passé","Dans la période")))</f>
        <v/>
      </c>
      <c r="K1194">
        <f>IF(OR($B1194="",NOT(ISNUMBER($D1194))),"",IF(AND($E1194&lt;$D$2,$G1194&lt;&gt;"X",$F1194&lt;&gt;"Réalisé",$F1194&lt;&gt;"Clôturé"),"RETARD",""))</f>
        <v/>
      </c>
      <c r="L1194">
        <f>IF(OR($B1194="",NOT(ISNUMBER($D1194))),"",IF(AND($D1194&gt;=$D$2,$D1194&lt;=$H$2,$G1194&lt;&gt;"X",$F1194&lt;&gt;"Réalisé",$F1194&lt;&gt;"Clôturé"),"≤ 7 j",""))</f>
        <v/>
      </c>
      <c r="M1194" s="29">
        <f>IF($B1194="","",IFERROR(INDEX($T$4:$T$3183,MATCH(SMALL($V$4:$V$3183,1191),$V$4:$V$3183,0)),""))</f>
        <v/>
      </c>
      <c r="O1194">
        <f>IF(INDEX(Suivi!$B:$B,1217)="","",INDEX(Suivi!$B:$B,1217))</f>
        <v/>
      </c>
      <c r="P1194">
        <f>IF($O1194="","",IF(INDEX(Suivi!$D:$D,1217)="",INDEX(Suivi!$C:$C,1217),INDEX(Suivi!$D:$D,1217)))</f>
        <v/>
      </c>
      <c r="Q1194">
        <f>IF($O1194="","",INDEX(Suivi!$E:$E,1217))</f>
        <v/>
      </c>
      <c r="R1194">
        <f>IF($O1194="","",INDEX(Suivi!$F:$F,1217))</f>
        <v/>
      </c>
      <c r="S1194">
        <f>IF($O1194="","",INDEX(Suivi!$G:$G,1217))</f>
        <v/>
      </c>
      <c r="T1194">
        <f>IF($O1194="","",IF(INDEX(Dossiers!$F$4:$F$63,23)="","",INDEX(Dossiers!$F$4:$F$63,23)))</f>
        <v/>
      </c>
      <c r="U1194">
        <f>IF($O1194="","",IF(INDEX(Dossiers!$G$4:$G$63,23)="","",INDEX(Dossiers!$G$4:$G$63,23)))</f>
        <v/>
      </c>
      <c r="V1194">
        <f>IF(OR($O1194="",NOT(ISNUMBER($Q1194))),"",$Q1194*1000000+1194)</f>
        <v/>
      </c>
      <c r="W1194" s="29">
        <f>IF($B1194="","",IFERROR(INDEX($U$4:$U$3183,MATCH(SMALL($V$4:$V$3183,1191),$V$4:$V$3183,0)),""))</f>
        <v/>
      </c>
    </row>
    <row r="1195">
      <c r="A1195">
        <f>IFERROR(INDEX($N$4:$N$3183,MATCH(SMALL($V$4:$V$3183,1192),$V$4:$V$3183,0)),"")</f>
        <v/>
      </c>
      <c r="B1195">
        <f>IFERROR(INDEX($O$4:$O$3183,MATCH(SMALL($V$4:$V$3183,1192),$V$4:$V$3183,0)),"")</f>
        <v/>
      </c>
      <c r="C1195">
        <f>IFERROR(INDEX($P$4:$P$3183,MATCH(SMALL($V$4:$V$3183,1192),$V$4:$V$3183,0)),"")</f>
        <v/>
      </c>
      <c r="D1195" s="29">
        <f>IFERROR(INDEX($Q$4:$Q$3183,MATCH(SMALL($V$4:$V$3183,1192),$V$4:$V$3183,0)),"")</f>
        <v/>
      </c>
      <c r="E1195" s="29">
        <f>IFERROR(INDEX($R$4:$R$3183,MATCH(SMALL($V$4:$V$3183,1192),$V$4:$V$3183,0)),"")</f>
        <v/>
      </c>
      <c r="F1195">
        <f>IFERROR(INDEX($S$4:$S$3183,MATCH(SMALL($V$4:$V$3183,1192),$V$4:$V$3183,0)),"")</f>
        <v/>
      </c>
      <c r="I1195" s="29">
        <f>IF($B1195="","",IFERROR(INDEX($U$4:$U$3183,MATCH(SMALL($V$4:$V$3183,1192),$V$4:$V$3183,0)),""))</f>
        <v/>
      </c>
      <c r="J1195">
        <f>IF($B1195="","",IF($D1195&gt;$F$2,"À venir",IF($E1195&lt;$D$2,"Passé","Dans la période")))</f>
        <v/>
      </c>
      <c r="K1195">
        <f>IF(OR($B1195="",NOT(ISNUMBER($D1195))),"",IF(AND($E1195&lt;$D$2,$G1195&lt;&gt;"X",$F1195&lt;&gt;"Réalisé",$F1195&lt;&gt;"Clôturé"),"RETARD",""))</f>
        <v/>
      </c>
      <c r="L1195">
        <f>IF(OR($B1195="",NOT(ISNUMBER($D1195))),"",IF(AND($D1195&gt;=$D$2,$D1195&lt;=$H$2,$G1195&lt;&gt;"X",$F1195&lt;&gt;"Réalisé",$F1195&lt;&gt;"Clôturé"),"≤ 7 j",""))</f>
        <v/>
      </c>
      <c r="M1195" s="29">
        <f>IF($B1195="","",IFERROR(INDEX($T$4:$T$3183,MATCH(SMALL($V$4:$V$3183,1192),$V$4:$V$3183,0)),""))</f>
        <v/>
      </c>
      <c r="O1195">
        <f>IF(INDEX(Suivi!$B:$B,1218)="","",INDEX(Suivi!$B:$B,1218))</f>
        <v/>
      </c>
      <c r="P1195">
        <f>IF($O1195="","",IF(INDEX(Suivi!$D:$D,1218)="",INDEX(Suivi!$C:$C,1218),INDEX(Suivi!$D:$D,1218)))</f>
        <v/>
      </c>
      <c r="Q1195">
        <f>IF($O1195="","",INDEX(Suivi!$E:$E,1218))</f>
        <v/>
      </c>
      <c r="R1195">
        <f>IF($O1195="","",INDEX(Suivi!$F:$F,1218))</f>
        <v/>
      </c>
      <c r="S1195">
        <f>IF($O1195="","",INDEX(Suivi!$G:$G,1218))</f>
        <v/>
      </c>
      <c r="T1195">
        <f>IF($O1195="","",IF(INDEX(Dossiers!$F$4:$F$63,23)="","",INDEX(Dossiers!$F$4:$F$63,23)))</f>
        <v/>
      </c>
      <c r="U1195">
        <f>IF($O1195="","",IF(INDEX(Dossiers!$G$4:$G$63,23)="","",INDEX(Dossiers!$G$4:$G$63,23)))</f>
        <v/>
      </c>
      <c r="V1195">
        <f>IF(OR($O1195="",NOT(ISNUMBER($Q1195))),"",$Q1195*1000000+1195)</f>
        <v/>
      </c>
      <c r="W1195" s="29">
        <f>IF($B1195="","",IFERROR(INDEX($U$4:$U$3183,MATCH(SMALL($V$4:$V$3183,1192),$V$4:$V$3183,0)),""))</f>
        <v/>
      </c>
    </row>
    <row r="1196">
      <c r="A1196">
        <f>IFERROR(INDEX($N$4:$N$3183,MATCH(SMALL($V$4:$V$3183,1193),$V$4:$V$3183,0)),"")</f>
        <v/>
      </c>
      <c r="B1196">
        <f>IFERROR(INDEX($O$4:$O$3183,MATCH(SMALL($V$4:$V$3183,1193),$V$4:$V$3183,0)),"")</f>
        <v/>
      </c>
      <c r="C1196">
        <f>IFERROR(INDEX($P$4:$P$3183,MATCH(SMALL($V$4:$V$3183,1193),$V$4:$V$3183,0)),"")</f>
        <v/>
      </c>
      <c r="D1196" s="29">
        <f>IFERROR(INDEX($Q$4:$Q$3183,MATCH(SMALL($V$4:$V$3183,1193),$V$4:$V$3183,0)),"")</f>
        <v/>
      </c>
      <c r="E1196" s="29">
        <f>IFERROR(INDEX($R$4:$R$3183,MATCH(SMALL($V$4:$V$3183,1193),$V$4:$V$3183,0)),"")</f>
        <v/>
      </c>
      <c r="F1196">
        <f>IFERROR(INDEX($S$4:$S$3183,MATCH(SMALL($V$4:$V$3183,1193),$V$4:$V$3183,0)),"")</f>
        <v/>
      </c>
      <c r="I1196" s="29">
        <f>IF($B1196="","",IFERROR(INDEX($U$4:$U$3183,MATCH(SMALL($V$4:$V$3183,1193),$V$4:$V$3183,0)),""))</f>
        <v/>
      </c>
      <c r="J1196">
        <f>IF($B1196="","",IF($D1196&gt;$F$2,"À venir",IF($E1196&lt;$D$2,"Passé","Dans la période")))</f>
        <v/>
      </c>
      <c r="K1196">
        <f>IF(OR($B1196="",NOT(ISNUMBER($D1196))),"",IF(AND($E1196&lt;$D$2,$G1196&lt;&gt;"X",$F1196&lt;&gt;"Réalisé",$F1196&lt;&gt;"Clôturé"),"RETARD",""))</f>
        <v/>
      </c>
      <c r="L1196">
        <f>IF(OR($B1196="",NOT(ISNUMBER($D1196))),"",IF(AND($D1196&gt;=$D$2,$D1196&lt;=$H$2,$G1196&lt;&gt;"X",$F1196&lt;&gt;"Réalisé",$F1196&lt;&gt;"Clôturé"),"≤ 7 j",""))</f>
        <v/>
      </c>
      <c r="M1196" s="29">
        <f>IF($B1196="","",IFERROR(INDEX($T$4:$T$3183,MATCH(SMALL($V$4:$V$3183,1193),$V$4:$V$3183,0)),""))</f>
        <v/>
      </c>
      <c r="O1196">
        <f>IF(INDEX(Suivi!$B:$B,1219)="","",INDEX(Suivi!$B:$B,1219))</f>
        <v/>
      </c>
      <c r="P1196">
        <f>IF($O1196="","",IF(INDEX(Suivi!$D:$D,1219)="",INDEX(Suivi!$C:$C,1219),INDEX(Suivi!$D:$D,1219)))</f>
        <v/>
      </c>
      <c r="Q1196">
        <f>IF($O1196="","",INDEX(Suivi!$E:$E,1219))</f>
        <v/>
      </c>
      <c r="R1196">
        <f>IF($O1196="","",INDEX(Suivi!$F:$F,1219))</f>
        <v/>
      </c>
      <c r="S1196">
        <f>IF($O1196="","",INDEX(Suivi!$G:$G,1219))</f>
        <v/>
      </c>
      <c r="T1196">
        <f>IF($O1196="","",IF(INDEX(Dossiers!$F$4:$F$63,23)="","",INDEX(Dossiers!$F$4:$F$63,23)))</f>
        <v/>
      </c>
      <c r="U1196">
        <f>IF($O1196="","",IF(INDEX(Dossiers!$G$4:$G$63,23)="","",INDEX(Dossiers!$G$4:$G$63,23)))</f>
        <v/>
      </c>
      <c r="V1196">
        <f>IF(OR($O1196="",NOT(ISNUMBER($Q1196))),"",$Q1196*1000000+1196)</f>
        <v/>
      </c>
      <c r="W1196" s="29">
        <f>IF($B1196="","",IFERROR(INDEX($U$4:$U$3183,MATCH(SMALL($V$4:$V$3183,1193),$V$4:$V$3183,0)),""))</f>
        <v/>
      </c>
    </row>
    <row r="1197">
      <c r="A1197">
        <f>IFERROR(INDEX($N$4:$N$3183,MATCH(SMALL($V$4:$V$3183,1194),$V$4:$V$3183,0)),"")</f>
        <v/>
      </c>
      <c r="B1197">
        <f>IFERROR(INDEX($O$4:$O$3183,MATCH(SMALL($V$4:$V$3183,1194),$V$4:$V$3183,0)),"")</f>
        <v/>
      </c>
      <c r="C1197">
        <f>IFERROR(INDEX($P$4:$P$3183,MATCH(SMALL($V$4:$V$3183,1194),$V$4:$V$3183,0)),"")</f>
        <v/>
      </c>
      <c r="D1197" s="29">
        <f>IFERROR(INDEX($Q$4:$Q$3183,MATCH(SMALL($V$4:$V$3183,1194),$V$4:$V$3183,0)),"")</f>
        <v/>
      </c>
      <c r="E1197" s="29">
        <f>IFERROR(INDEX($R$4:$R$3183,MATCH(SMALL($V$4:$V$3183,1194),$V$4:$V$3183,0)),"")</f>
        <v/>
      </c>
      <c r="F1197">
        <f>IFERROR(INDEX($S$4:$S$3183,MATCH(SMALL($V$4:$V$3183,1194),$V$4:$V$3183,0)),"")</f>
        <v/>
      </c>
      <c r="I1197" s="29">
        <f>IF($B1197="","",IFERROR(INDEX($U$4:$U$3183,MATCH(SMALL($V$4:$V$3183,1194),$V$4:$V$3183,0)),""))</f>
        <v/>
      </c>
      <c r="J1197">
        <f>IF($B1197="","",IF($D1197&gt;$F$2,"À venir",IF($E1197&lt;$D$2,"Passé","Dans la période")))</f>
        <v/>
      </c>
      <c r="K1197">
        <f>IF(OR($B1197="",NOT(ISNUMBER($D1197))),"",IF(AND($E1197&lt;$D$2,$G1197&lt;&gt;"X",$F1197&lt;&gt;"Réalisé",$F1197&lt;&gt;"Clôturé"),"RETARD",""))</f>
        <v/>
      </c>
      <c r="L1197">
        <f>IF(OR($B1197="",NOT(ISNUMBER($D1197))),"",IF(AND($D1197&gt;=$D$2,$D1197&lt;=$H$2,$G1197&lt;&gt;"X",$F1197&lt;&gt;"Réalisé",$F1197&lt;&gt;"Clôturé"),"≤ 7 j",""))</f>
        <v/>
      </c>
      <c r="M1197" s="29">
        <f>IF($B1197="","",IFERROR(INDEX($T$4:$T$3183,MATCH(SMALL($V$4:$V$3183,1194),$V$4:$V$3183,0)),""))</f>
        <v/>
      </c>
      <c r="O1197">
        <f>IF(INDEX(Suivi!$B:$B,1220)="","",INDEX(Suivi!$B:$B,1220))</f>
        <v/>
      </c>
      <c r="P1197">
        <f>IF($O1197="","",IF(INDEX(Suivi!$D:$D,1220)="",INDEX(Suivi!$C:$C,1220),INDEX(Suivi!$D:$D,1220)))</f>
        <v/>
      </c>
      <c r="Q1197">
        <f>IF($O1197="","",INDEX(Suivi!$E:$E,1220))</f>
        <v/>
      </c>
      <c r="R1197">
        <f>IF($O1197="","",INDEX(Suivi!$F:$F,1220))</f>
        <v/>
      </c>
      <c r="S1197">
        <f>IF($O1197="","",INDEX(Suivi!$G:$G,1220))</f>
        <v/>
      </c>
      <c r="T1197">
        <f>IF($O1197="","",IF(INDEX(Dossiers!$F$4:$F$63,23)="","",INDEX(Dossiers!$F$4:$F$63,23)))</f>
        <v/>
      </c>
      <c r="U1197">
        <f>IF($O1197="","",IF(INDEX(Dossiers!$G$4:$G$63,23)="","",INDEX(Dossiers!$G$4:$G$63,23)))</f>
        <v/>
      </c>
      <c r="V1197">
        <f>IF(OR($O1197="",NOT(ISNUMBER($Q1197))),"",$Q1197*1000000+1197)</f>
        <v/>
      </c>
      <c r="W1197" s="29">
        <f>IF($B1197="","",IFERROR(INDEX($U$4:$U$3183,MATCH(SMALL($V$4:$V$3183,1194),$V$4:$V$3183,0)),""))</f>
        <v/>
      </c>
    </row>
    <row r="1198">
      <c r="A1198">
        <f>IFERROR(INDEX($N$4:$N$3183,MATCH(SMALL($V$4:$V$3183,1195),$V$4:$V$3183,0)),"")</f>
        <v/>
      </c>
      <c r="B1198">
        <f>IFERROR(INDEX($O$4:$O$3183,MATCH(SMALL($V$4:$V$3183,1195),$V$4:$V$3183,0)),"")</f>
        <v/>
      </c>
      <c r="C1198">
        <f>IFERROR(INDEX($P$4:$P$3183,MATCH(SMALL($V$4:$V$3183,1195),$V$4:$V$3183,0)),"")</f>
        <v/>
      </c>
      <c r="D1198" s="29">
        <f>IFERROR(INDEX($Q$4:$Q$3183,MATCH(SMALL($V$4:$V$3183,1195),$V$4:$V$3183,0)),"")</f>
        <v/>
      </c>
      <c r="E1198" s="29">
        <f>IFERROR(INDEX($R$4:$R$3183,MATCH(SMALL($V$4:$V$3183,1195),$V$4:$V$3183,0)),"")</f>
        <v/>
      </c>
      <c r="F1198">
        <f>IFERROR(INDEX($S$4:$S$3183,MATCH(SMALL($V$4:$V$3183,1195),$V$4:$V$3183,0)),"")</f>
        <v/>
      </c>
      <c r="I1198" s="29">
        <f>IF($B1198="","",IFERROR(INDEX($U$4:$U$3183,MATCH(SMALL($V$4:$V$3183,1195),$V$4:$V$3183,0)),""))</f>
        <v/>
      </c>
      <c r="J1198">
        <f>IF($B1198="","",IF($D1198&gt;$F$2,"À venir",IF($E1198&lt;$D$2,"Passé","Dans la période")))</f>
        <v/>
      </c>
      <c r="K1198">
        <f>IF(OR($B1198="",NOT(ISNUMBER($D1198))),"",IF(AND($E1198&lt;$D$2,$G1198&lt;&gt;"X",$F1198&lt;&gt;"Réalisé",$F1198&lt;&gt;"Clôturé"),"RETARD",""))</f>
        <v/>
      </c>
      <c r="L1198">
        <f>IF(OR($B1198="",NOT(ISNUMBER($D1198))),"",IF(AND($D1198&gt;=$D$2,$D1198&lt;=$H$2,$G1198&lt;&gt;"X",$F1198&lt;&gt;"Réalisé",$F1198&lt;&gt;"Clôturé"),"≤ 7 j",""))</f>
        <v/>
      </c>
      <c r="M1198" s="29">
        <f>IF($B1198="","",IFERROR(INDEX($T$4:$T$3183,MATCH(SMALL($V$4:$V$3183,1195),$V$4:$V$3183,0)),""))</f>
        <v/>
      </c>
      <c r="O1198">
        <f>IF(INDEX(Suivi!$B:$B,1221)="","",INDEX(Suivi!$B:$B,1221))</f>
        <v/>
      </c>
      <c r="P1198">
        <f>IF($O1198="","",IF(INDEX(Suivi!$D:$D,1221)="",INDEX(Suivi!$C:$C,1221),INDEX(Suivi!$D:$D,1221)))</f>
        <v/>
      </c>
      <c r="Q1198">
        <f>IF($O1198="","",INDEX(Suivi!$E:$E,1221))</f>
        <v/>
      </c>
      <c r="R1198">
        <f>IF($O1198="","",INDEX(Suivi!$F:$F,1221))</f>
        <v/>
      </c>
      <c r="S1198">
        <f>IF($O1198="","",INDEX(Suivi!$G:$G,1221))</f>
        <v/>
      </c>
      <c r="T1198">
        <f>IF($O1198="","",IF(INDEX(Dossiers!$F$4:$F$63,23)="","",INDEX(Dossiers!$F$4:$F$63,23)))</f>
        <v/>
      </c>
      <c r="U1198">
        <f>IF($O1198="","",IF(INDEX(Dossiers!$G$4:$G$63,23)="","",INDEX(Dossiers!$G$4:$G$63,23)))</f>
        <v/>
      </c>
      <c r="V1198">
        <f>IF(OR($O1198="",NOT(ISNUMBER($Q1198))),"",$Q1198*1000000+1198)</f>
        <v/>
      </c>
      <c r="W1198" s="29">
        <f>IF($B1198="","",IFERROR(INDEX($U$4:$U$3183,MATCH(SMALL($V$4:$V$3183,1195),$V$4:$V$3183,0)),""))</f>
        <v/>
      </c>
    </row>
    <row r="1199">
      <c r="A1199">
        <f>IFERROR(INDEX($N$4:$N$3183,MATCH(SMALL($V$4:$V$3183,1196),$V$4:$V$3183,0)),"")</f>
        <v/>
      </c>
      <c r="B1199">
        <f>IFERROR(INDEX($O$4:$O$3183,MATCH(SMALL($V$4:$V$3183,1196),$V$4:$V$3183,0)),"")</f>
        <v/>
      </c>
      <c r="C1199">
        <f>IFERROR(INDEX($P$4:$P$3183,MATCH(SMALL($V$4:$V$3183,1196),$V$4:$V$3183,0)),"")</f>
        <v/>
      </c>
      <c r="D1199" s="29">
        <f>IFERROR(INDEX($Q$4:$Q$3183,MATCH(SMALL($V$4:$V$3183,1196),$V$4:$V$3183,0)),"")</f>
        <v/>
      </c>
      <c r="E1199" s="29">
        <f>IFERROR(INDEX($R$4:$R$3183,MATCH(SMALL($V$4:$V$3183,1196),$V$4:$V$3183,0)),"")</f>
        <v/>
      </c>
      <c r="F1199">
        <f>IFERROR(INDEX($S$4:$S$3183,MATCH(SMALL($V$4:$V$3183,1196),$V$4:$V$3183,0)),"")</f>
        <v/>
      </c>
      <c r="I1199" s="29">
        <f>IF($B1199="","",IFERROR(INDEX($U$4:$U$3183,MATCH(SMALL($V$4:$V$3183,1196),$V$4:$V$3183,0)),""))</f>
        <v/>
      </c>
      <c r="J1199">
        <f>IF($B1199="","",IF($D1199&gt;$F$2,"À venir",IF($E1199&lt;$D$2,"Passé","Dans la période")))</f>
        <v/>
      </c>
      <c r="K1199">
        <f>IF(OR($B1199="",NOT(ISNUMBER($D1199))),"",IF(AND($E1199&lt;$D$2,$G1199&lt;&gt;"X",$F1199&lt;&gt;"Réalisé",$F1199&lt;&gt;"Clôturé"),"RETARD",""))</f>
        <v/>
      </c>
      <c r="L1199">
        <f>IF(OR($B1199="",NOT(ISNUMBER($D1199))),"",IF(AND($D1199&gt;=$D$2,$D1199&lt;=$H$2,$G1199&lt;&gt;"X",$F1199&lt;&gt;"Réalisé",$F1199&lt;&gt;"Clôturé"),"≤ 7 j",""))</f>
        <v/>
      </c>
      <c r="M1199" s="29">
        <f>IF($B1199="","",IFERROR(INDEX($T$4:$T$3183,MATCH(SMALL($V$4:$V$3183,1196),$V$4:$V$3183,0)),""))</f>
        <v/>
      </c>
      <c r="O1199">
        <f>IF(INDEX(Suivi!$B:$B,1222)="","",INDEX(Suivi!$B:$B,1222))</f>
        <v/>
      </c>
      <c r="P1199">
        <f>IF($O1199="","",IF(INDEX(Suivi!$D:$D,1222)="",INDEX(Suivi!$C:$C,1222),INDEX(Suivi!$D:$D,1222)))</f>
        <v/>
      </c>
      <c r="Q1199">
        <f>IF($O1199="","",INDEX(Suivi!$E:$E,1222))</f>
        <v/>
      </c>
      <c r="R1199">
        <f>IF($O1199="","",INDEX(Suivi!$F:$F,1222))</f>
        <v/>
      </c>
      <c r="S1199">
        <f>IF($O1199="","",INDEX(Suivi!$G:$G,1222))</f>
        <v/>
      </c>
      <c r="T1199">
        <f>IF($O1199="","",IF(INDEX(Dossiers!$F$4:$F$63,23)="","",INDEX(Dossiers!$F$4:$F$63,23)))</f>
        <v/>
      </c>
      <c r="U1199">
        <f>IF($O1199="","",IF(INDEX(Dossiers!$G$4:$G$63,23)="","",INDEX(Dossiers!$G$4:$G$63,23)))</f>
        <v/>
      </c>
      <c r="V1199">
        <f>IF(OR($O1199="",NOT(ISNUMBER($Q1199))),"",$Q1199*1000000+1199)</f>
        <v/>
      </c>
      <c r="W1199" s="29">
        <f>IF($B1199="","",IFERROR(INDEX($U$4:$U$3183,MATCH(SMALL($V$4:$V$3183,1196),$V$4:$V$3183,0)),""))</f>
        <v/>
      </c>
    </row>
    <row r="1200">
      <c r="A1200">
        <f>IFERROR(INDEX($N$4:$N$3183,MATCH(SMALL($V$4:$V$3183,1197),$V$4:$V$3183,0)),"")</f>
        <v/>
      </c>
      <c r="B1200">
        <f>IFERROR(INDEX($O$4:$O$3183,MATCH(SMALL($V$4:$V$3183,1197),$V$4:$V$3183,0)),"")</f>
        <v/>
      </c>
      <c r="C1200">
        <f>IFERROR(INDEX($P$4:$P$3183,MATCH(SMALL($V$4:$V$3183,1197),$V$4:$V$3183,0)),"")</f>
        <v/>
      </c>
      <c r="D1200" s="29">
        <f>IFERROR(INDEX($Q$4:$Q$3183,MATCH(SMALL($V$4:$V$3183,1197),$V$4:$V$3183,0)),"")</f>
        <v/>
      </c>
      <c r="E1200" s="29">
        <f>IFERROR(INDEX($R$4:$R$3183,MATCH(SMALL($V$4:$V$3183,1197),$V$4:$V$3183,0)),"")</f>
        <v/>
      </c>
      <c r="F1200">
        <f>IFERROR(INDEX($S$4:$S$3183,MATCH(SMALL($V$4:$V$3183,1197),$V$4:$V$3183,0)),"")</f>
        <v/>
      </c>
      <c r="I1200" s="29">
        <f>IF($B1200="","",IFERROR(INDEX($U$4:$U$3183,MATCH(SMALL($V$4:$V$3183,1197),$V$4:$V$3183,0)),""))</f>
        <v/>
      </c>
      <c r="J1200">
        <f>IF($B1200="","",IF($D1200&gt;$F$2,"À venir",IF($E1200&lt;$D$2,"Passé","Dans la période")))</f>
        <v/>
      </c>
      <c r="K1200">
        <f>IF(OR($B1200="",NOT(ISNUMBER($D1200))),"",IF(AND($E1200&lt;$D$2,$G1200&lt;&gt;"X",$F1200&lt;&gt;"Réalisé",$F1200&lt;&gt;"Clôturé"),"RETARD",""))</f>
        <v/>
      </c>
      <c r="L1200">
        <f>IF(OR($B1200="",NOT(ISNUMBER($D1200))),"",IF(AND($D1200&gt;=$D$2,$D1200&lt;=$H$2,$G1200&lt;&gt;"X",$F1200&lt;&gt;"Réalisé",$F1200&lt;&gt;"Clôturé"),"≤ 7 j",""))</f>
        <v/>
      </c>
      <c r="M1200" s="29">
        <f>IF($B1200="","",IFERROR(INDEX($T$4:$T$3183,MATCH(SMALL($V$4:$V$3183,1197),$V$4:$V$3183,0)),""))</f>
        <v/>
      </c>
      <c r="O1200">
        <f>IF(INDEX(Suivi!$B:$B,1223)="","",INDEX(Suivi!$B:$B,1223))</f>
        <v/>
      </c>
      <c r="P1200">
        <f>IF($O1200="","",IF(INDEX(Suivi!$D:$D,1223)="",INDEX(Suivi!$C:$C,1223),INDEX(Suivi!$D:$D,1223)))</f>
        <v/>
      </c>
      <c r="Q1200">
        <f>IF($O1200="","",INDEX(Suivi!$E:$E,1223))</f>
        <v/>
      </c>
      <c r="R1200">
        <f>IF($O1200="","",INDEX(Suivi!$F:$F,1223))</f>
        <v/>
      </c>
      <c r="S1200">
        <f>IF($O1200="","",INDEX(Suivi!$G:$G,1223))</f>
        <v/>
      </c>
      <c r="T1200">
        <f>IF($O1200="","",IF(INDEX(Dossiers!$F$4:$F$63,23)="","",INDEX(Dossiers!$F$4:$F$63,23)))</f>
        <v/>
      </c>
      <c r="U1200">
        <f>IF($O1200="","",IF(INDEX(Dossiers!$G$4:$G$63,23)="","",INDEX(Dossiers!$G$4:$G$63,23)))</f>
        <v/>
      </c>
      <c r="V1200">
        <f>IF(OR($O1200="",NOT(ISNUMBER($Q1200))),"",$Q1200*1000000+1200)</f>
        <v/>
      </c>
      <c r="W1200" s="29">
        <f>IF($B1200="","",IFERROR(INDEX($U$4:$U$3183,MATCH(SMALL($V$4:$V$3183,1197),$V$4:$V$3183,0)),""))</f>
        <v/>
      </c>
    </row>
    <row r="1201">
      <c r="A1201">
        <f>IFERROR(INDEX($N$4:$N$3183,MATCH(SMALL($V$4:$V$3183,1198),$V$4:$V$3183,0)),"")</f>
        <v/>
      </c>
      <c r="B1201">
        <f>IFERROR(INDEX($O$4:$O$3183,MATCH(SMALL($V$4:$V$3183,1198),$V$4:$V$3183,0)),"")</f>
        <v/>
      </c>
      <c r="C1201">
        <f>IFERROR(INDEX($P$4:$P$3183,MATCH(SMALL($V$4:$V$3183,1198),$V$4:$V$3183,0)),"")</f>
        <v/>
      </c>
      <c r="D1201" s="29">
        <f>IFERROR(INDEX($Q$4:$Q$3183,MATCH(SMALL($V$4:$V$3183,1198),$V$4:$V$3183,0)),"")</f>
        <v/>
      </c>
      <c r="E1201" s="29">
        <f>IFERROR(INDEX($R$4:$R$3183,MATCH(SMALL($V$4:$V$3183,1198),$V$4:$V$3183,0)),"")</f>
        <v/>
      </c>
      <c r="F1201">
        <f>IFERROR(INDEX($S$4:$S$3183,MATCH(SMALL($V$4:$V$3183,1198),$V$4:$V$3183,0)),"")</f>
        <v/>
      </c>
      <c r="I1201" s="29">
        <f>IF($B1201="","",IFERROR(INDEX($U$4:$U$3183,MATCH(SMALL($V$4:$V$3183,1198),$V$4:$V$3183,0)),""))</f>
        <v/>
      </c>
      <c r="J1201">
        <f>IF($B1201="","",IF($D1201&gt;$F$2,"À venir",IF($E1201&lt;$D$2,"Passé","Dans la période")))</f>
        <v/>
      </c>
      <c r="K1201">
        <f>IF(OR($B1201="",NOT(ISNUMBER($D1201))),"",IF(AND($E1201&lt;$D$2,$G1201&lt;&gt;"X",$F1201&lt;&gt;"Réalisé",$F1201&lt;&gt;"Clôturé"),"RETARD",""))</f>
        <v/>
      </c>
      <c r="L1201">
        <f>IF(OR($B1201="",NOT(ISNUMBER($D1201))),"",IF(AND($D1201&gt;=$D$2,$D1201&lt;=$H$2,$G1201&lt;&gt;"X",$F1201&lt;&gt;"Réalisé",$F1201&lt;&gt;"Clôturé"),"≤ 7 j",""))</f>
        <v/>
      </c>
      <c r="M1201" s="29">
        <f>IF($B1201="","",IFERROR(INDEX($T$4:$T$3183,MATCH(SMALL($V$4:$V$3183,1198),$V$4:$V$3183,0)),""))</f>
        <v/>
      </c>
      <c r="O1201">
        <f>IF(INDEX(Suivi!$B:$B,1224)="","",INDEX(Suivi!$B:$B,1224))</f>
        <v/>
      </c>
      <c r="P1201">
        <f>IF($O1201="","",IF(INDEX(Suivi!$D:$D,1224)="",INDEX(Suivi!$C:$C,1224),INDEX(Suivi!$D:$D,1224)))</f>
        <v/>
      </c>
      <c r="Q1201">
        <f>IF($O1201="","",INDEX(Suivi!$E:$E,1224))</f>
        <v/>
      </c>
      <c r="R1201">
        <f>IF($O1201="","",INDEX(Suivi!$F:$F,1224))</f>
        <v/>
      </c>
      <c r="S1201">
        <f>IF($O1201="","",INDEX(Suivi!$G:$G,1224))</f>
        <v/>
      </c>
      <c r="T1201">
        <f>IF($O1201="","",IF(INDEX(Dossiers!$F$4:$F$63,23)="","",INDEX(Dossiers!$F$4:$F$63,23)))</f>
        <v/>
      </c>
      <c r="U1201">
        <f>IF($O1201="","",IF(INDEX(Dossiers!$G$4:$G$63,23)="","",INDEX(Dossiers!$G$4:$G$63,23)))</f>
        <v/>
      </c>
      <c r="V1201">
        <f>IF(OR($O1201="",NOT(ISNUMBER($Q1201))),"",$Q1201*1000000+1201)</f>
        <v/>
      </c>
      <c r="W1201" s="29">
        <f>IF($B1201="","",IFERROR(INDEX($U$4:$U$3183,MATCH(SMALL($V$4:$V$3183,1198),$V$4:$V$3183,0)),""))</f>
        <v/>
      </c>
    </row>
    <row r="1202">
      <c r="A1202">
        <f>IFERROR(INDEX($N$4:$N$3183,MATCH(SMALL($V$4:$V$3183,1199),$V$4:$V$3183,0)),"")</f>
        <v/>
      </c>
      <c r="B1202">
        <f>IFERROR(INDEX($O$4:$O$3183,MATCH(SMALL($V$4:$V$3183,1199),$V$4:$V$3183,0)),"")</f>
        <v/>
      </c>
      <c r="C1202">
        <f>IFERROR(INDEX($P$4:$P$3183,MATCH(SMALL($V$4:$V$3183,1199),$V$4:$V$3183,0)),"")</f>
        <v/>
      </c>
      <c r="D1202" s="29">
        <f>IFERROR(INDEX($Q$4:$Q$3183,MATCH(SMALL($V$4:$V$3183,1199),$V$4:$V$3183,0)),"")</f>
        <v/>
      </c>
      <c r="E1202" s="29">
        <f>IFERROR(INDEX($R$4:$R$3183,MATCH(SMALL($V$4:$V$3183,1199),$V$4:$V$3183,0)),"")</f>
        <v/>
      </c>
      <c r="F1202">
        <f>IFERROR(INDEX($S$4:$S$3183,MATCH(SMALL($V$4:$V$3183,1199),$V$4:$V$3183,0)),"")</f>
        <v/>
      </c>
      <c r="I1202" s="29">
        <f>IF($B1202="","",IFERROR(INDEX($U$4:$U$3183,MATCH(SMALL($V$4:$V$3183,1199),$V$4:$V$3183,0)),""))</f>
        <v/>
      </c>
      <c r="J1202">
        <f>IF($B1202="","",IF($D1202&gt;$F$2,"À venir",IF($E1202&lt;$D$2,"Passé","Dans la période")))</f>
        <v/>
      </c>
      <c r="K1202">
        <f>IF(OR($B1202="",NOT(ISNUMBER($D1202))),"",IF(AND($E1202&lt;$D$2,$G1202&lt;&gt;"X",$F1202&lt;&gt;"Réalisé",$F1202&lt;&gt;"Clôturé"),"RETARD",""))</f>
        <v/>
      </c>
      <c r="L1202">
        <f>IF(OR($B1202="",NOT(ISNUMBER($D1202))),"",IF(AND($D1202&gt;=$D$2,$D1202&lt;=$H$2,$G1202&lt;&gt;"X",$F1202&lt;&gt;"Réalisé",$F1202&lt;&gt;"Clôturé"),"≤ 7 j",""))</f>
        <v/>
      </c>
      <c r="M1202" s="29">
        <f>IF($B1202="","",IFERROR(INDEX($T$4:$T$3183,MATCH(SMALL($V$4:$V$3183,1199),$V$4:$V$3183,0)),""))</f>
        <v/>
      </c>
      <c r="O1202">
        <f>IF(INDEX(Suivi!$B:$B,1225)="","",INDEX(Suivi!$B:$B,1225))</f>
        <v/>
      </c>
      <c r="P1202">
        <f>IF($O1202="","",IF(INDEX(Suivi!$D:$D,1225)="",INDEX(Suivi!$C:$C,1225),INDEX(Suivi!$D:$D,1225)))</f>
        <v/>
      </c>
      <c r="Q1202">
        <f>IF($O1202="","",INDEX(Suivi!$E:$E,1225))</f>
        <v/>
      </c>
      <c r="R1202">
        <f>IF($O1202="","",INDEX(Suivi!$F:$F,1225))</f>
        <v/>
      </c>
      <c r="S1202">
        <f>IF($O1202="","",INDEX(Suivi!$G:$G,1225))</f>
        <v/>
      </c>
      <c r="T1202">
        <f>IF($O1202="","",IF(INDEX(Dossiers!$F$4:$F$63,23)="","",INDEX(Dossiers!$F$4:$F$63,23)))</f>
        <v/>
      </c>
      <c r="U1202">
        <f>IF($O1202="","",IF(INDEX(Dossiers!$G$4:$G$63,23)="","",INDEX(Dossiers!$G$4:$G$63,23)))</f>
        <v/>
      </c>
      <c r="V1202">
        <f>IF(OR($O1202="",NOT(ISNUMBER($Q1202))),"",$Q1202*1000000+1202)</f>
        <v/>
      </c>
      <c r="W1202" s="29">
        <f>IF($B1202="","",IFERROR(INDEX($U$4:$U$3183,MATCH(SMALL($V$4:$V$3183,1199),$V$4:$V$3183,0)),""))</f>
        <v/>
      </c>
    </row>
    <row r="1203">
      <c r="A1203">
        <f>IFERROR(INDEX($N$4:$N$3183,MATCH(SMALL($V$4:$V$3183,1200),$V$4:$V$3183,0)),"")</f>
        <v/>
      </c>
      <c r="B1203">
        <f>IFERROR(INDEX($O$4:$O$3183,MATCH(SMALL($V$4:$V$3183,1200),$V$4:$V$3183,0)),"")</f>
        <v/>
      </c>
      <c r="C1203">
        <f>IFERROR(INDEX($P$4:$P$3183,MATCH(SMALL($V$4:$V$3183,1200),$V$4:$V$3183,0)),"")</f>
        <v/>
      </c>
      <c r="D1203" s="29">
        <f>IFERROR(INDEX($Q$4:$Q$3183,MATCH(SMALL($V$4:$V$3183,1200),$V$4:$V$3183,0)),"")</f>
        <v/>
      </c>
      <c r="E1203" s="29">
        <f>IFERROR(INDEX($R$4:$R$3183,MATCH(SMALL($V$4:$V$3183,1200),$V$4:$V$3183,0)),"")</f>
        <v/>
      </c>
      <c r="F1203">
        <f>IFERROR(INDEX($S$4:$S$3183,MATCH(SMALL($V$4:$V$3183,1200),$V$4:$V$3183,0)),"")</f>
        <v/>
      </c>
      <c r="I1203" s="29">
        <f>IF($B1203="","",IFERROR(INDEX($U$4:$U$3183,MATCH(SMALL($V$4:$V$3183,1200),$V$4:$V$3183,0)),""))</f>
        <v/>
      </c>
      <c r="J1203">
        <f>IF($B1203="","",IF($D1203&gt;$F$2,"À venir",IF($E1203&lt;$D$2,"Passé","Dans la période")))</f>
        <v/>
      </c>
      <c r="K1203">
        <f>IF(OR($B1203="",NOT(ISNUMBER($D1203))),"",IF(AND($E1203&lt;$D$2,$G1203&lt;&gt;"X",$F1203&lt;&gt;"Réalisé",$F1203&lt;&gt;"Clôturé"),"RETARD",""))</f>
        <v/>
      </c>
      <c r="L1203">
        <f>IF(OR($B1203="",NOT(ISNUMBER($D1203))),"",IF(AND($D1203&gt;=$D$2,$D1203&lt;=$H$2,$G1203&lt;&gt;"X",$F1203&lt;&gt;"Réalisé",$F1203&lt;&gt;"Clôturé"),"≤ 7 j",""))</f>
        <v/>
      </c>
      <c r="M1203" s="29">
        <f>IF($B1203="","",IFERROR(INDEX($T$4:$T$3183,MATCH(SMALL($V$4:$V$3183,1200),$V$4:$V$3183,0)),""))</f>
        <v/>
      </c>
      <c r="O1203">
        <f>IF(INDEX(Suivi!$B:$B,1226)="","",INDEX(Suivi!$B:$B,1226))</f>
        <v/>
      </c>
      <c r="P1203">
        <f>IF($O1203="","",IF(INDEX(Suivi!$D:$D,1226)="",INDEX(Suivi!$C:$C,1226),INDEX(Suivi!$D:$D,1226)))</f>
        <v/>
      </c>
      <c r="Q1203">
        <f>IF($O1203="","",INDEX(Suivi!$E:$E,1226))</f>
        <v/>
      </c>
      <c r="R1203">
        <f>IF($O1203="","",INDEX(Suivi!$F:$F,1226))</f>
        <v/>
      </c>
      <c r="S1203">
        <f>IF($O1203="","",INDEX(Suivi!$G:$G,1226))</f>
        <v/>
      </c>
      <c r="T1203">
        <f>IF($O1203="","",IF(INDEX(Dossiers!$F$4:$F$63,23)="","",INDEX(Dossiers!$F$4:$F$63,23)))</f>
        <v/>
      </c>
      <c r="U1203">
        <f>IF($O1203="","",IF(INDEX(Dossiers!$G$4:$G$63,23)="","",INDEX(Dossiers!$G$4:$G$63,23)))</f>
        <v/>
      </c>
      <c r="V1203">
        <f>IF(OR($O1203="",NOT(ISNUMBER($Q1203))),"",$Q1203*1000000+1203)</f>
        <v/>
      </c>
      <c r="W1203" s="29">
        <f>IF($B1203="","",IFERROR(INDEX($U$4:$U$3183,MATCH(SMALL($V$4:$V$3183,1200),$V$4:$V$3183,0)),""))</f>
        <v/>
      </c>
    </row>
    <row r="1204">
      <c r="A1204">
        <f>IFERROR(INDEX($N$4:$N$3183,MATCH(SMALL($V$4:$V$3183,1201),$V$4:$V$3183,0)),"")</f>
        <v/>
      </c>
      <c r="B1204">
        <f>IFERROR(INDEX($O$4:$O$3183,MATCH(SMALL($V$4:$V$3183,1201),$V$4:$V$3183,0)),"")</f>
        <v/>
      </c>
      <c r="C1204">
        <f>IFERROR(INDEX($P$4:$P$3183,MATCH(SMALL($V$4:$V$3183,1201),$V$4:$V$3183,0)),"")</f>
        <v/>
      </c>
      <c r="D1204" s="29">
        <f>IFERROR(INDEX($Q$4:$Q$3183,MATCH(SMALL($V$4:$V$3183,1201),$V$4:$V$3183,0)),"")</f>
        <v/>
      </c>
      <c r="E1204" s="29">
        <f>IFERROR(INDEX($R$4:$R$3183,MATCH(SMALL($V$4:$V$3183,1201),$V$4:$V$3183,0)),"")</f>
        <v/>
      </c>
      <c r="F1204">
        <f>IFERROR(INDEX($S$4:$S$3183,MATCH(SMALL($V$4:$V$3183,1201),$V$4:$V$3183,0)),"")</f>
        <v/>
      </c>
      <c r="I1204" s="29">
        <f>IF($B1204="","",IFERROR(INDEX($U$4:$U$3183,MATCH(SMALL($V$4:$V$3183,1201),$V$4:$V$3183,0)),""))</f>
        <v/>
      </c>
      <c r="J1204">
        <f>IF($B1204="","",IF($D1204&gt;$F$2,"À venir",IF($E1204&lt;$D$2,"Passé","Dans la période")))</f>
        <v/>
      </c>
      <c r="K1204">
        <f>IF(OR($B1204="",NOT(ISNUMBER($D1204))),"",IF(AND($E1204&lt;$D$2,$G1204&lt;&gt;"X",$F1204&lt;&gt;"Réalisé",$F1204&lt;&gt;"Clôturé"),"RETARD",""))</f>
        <v/>
      </c>
      <c r="L1204">
        <f>IF(OR($B1204="",NOT(ISNUMBER($D1204))),"",IF(AND($D1204&gt;=$D$2,$D1204&lt;=$H$2,$G1204&lt;&gt;"X",$F1204&lt;&gt;"Réalisé",$F1204&lt;&gt;"Clôturé"),"≤ 7 j",""))</f>
        <v/>
      </c>
      <c r="M1204" s="29">
        <f>IF($B1204="","",IFERROR(INDEX($T$4:$T$3183,MATCH(SMALL($V$4:$V$3183,1201),$V$4:$V$3183,0)),""))</f>
        <v/>
      </c>
      <c r="O1204">
        <f>IF(INDEX(Suivi!$B:$B,1227)="","",INDEX(Suivi!$B:$B,1227))</f>
        <v/>
      </c>
      <c r="P1204">
        <f>IF($O1204="","",IF(INDEX(Suivi!$D:$D,1227)="",INDEX(Suivi!$C:$C,1227),INDEX(Suivi!$D:$D,1227)))</f>
        <v/>
      </c>
      <c r="Q1204">
        <f>IF($O1204="","",INDEX(Suivi!$E:$E,1227))</f>
        <v/>
      </c>
      <c r="R1204">
        <f>IF($O1204="","",INDEX(Suivi!$F:$F,1227))</f>
        <v/>
      </c>
      <c r="S1204">
        <f>IF($O1204="","",INDEX(Suivi!$G:$G,1227))</f>
        <v/>
      </c>
      <c r="T1204">
        <f>IF($O1204="","",IF(INDEX(Dossiers!$F$4:$F$63,23)="","",INDEX(Dossiers!$F$4:$F$63,23)))</f>
        <v/>
      </c>
      <c r="U1204">
        <f>IF($O1204="","",IF(INDEX(Dossiers!$G$4:$G$63,23)="","",INDEX(Dossiers!$G$4:$G$63,23)))</f>
        <v/>
      </c>
      <c r="V1204">
        <f>IF(OR($O1204="",NOT(ISNUMBER($Q1204))),"",$Q1204*1000000+1204)</f>
        <v/>
      </c>
      <c r="W1204" s="29">
        <f>IF($B1204="","",IFERROR(INDEX($U$4:$U$3183,MATCH(SMALL($V$4:$V$3183,1201),$V$4:$V$3183,0)),""))</f>
        <v/>
      </c>
    </row>
    <row r="1205">
      <c r="A1205">
        <f>IFERROR(INDEX($N$4:$N$3183,MATCH(SMALL($V$4:$V$3183,1202),$V$4:$V$3183,0)),"")</f>
        <v/>
      </c>
      <c r="B1205">
        <f>IFERROR(INDEX($O$4:$O$3183,MATCH(SMALL($V$4:$V$3183,1202),$V$4:$V$3183,0)),"")</f>
        <v/>
      </c>
      <c r="C1205">
        <f>IFERROR(INDEX($P$4:$P$3183,MATCH(SMALL($V$4:$V$3183,1202),$V$4:$V$3183,0)),"")</f>
        <v/>
      </c>
      <c r="D1205" s="29">
        <f>IFERROR(INDEX($Q$4:$Q$3183,MATCH(SMALL($V$4:$V$3183,1202),$V$4:$V$3183,0)),"")</f>
        <v/>
      </c>
      <c r="E1205" s="29">
        <f>IFERROR(INDEX($R$4:$R$3183,MATCH(SMALL($V$4:$V$3183,1202),$V$4:$V$3183,0)),"")</f>
        <v/>
      </c>
      <c r="F1205">
        <f>IFERROR(INDEX($S$4:$S$3183,MATCH(SMALL($V$4:$V$3183,1202),$V$4:$V$3183,0)),"")</f>
        <v/>
      </c>
      <c r="I1205" s="29">
        <f>IF($B1205="","",IFERROR(INDEX($U$4:$U$3183,MATCH(SMALL($V$4:$V$3183,1202),$V$4:$V$3183,0)),""))</f>
        <v/>
      </c>
      <c r="J1205">
        <f>IF($B1205="","",IF($D1205&gt;$F$2,"À venir",IF($E1205&lt;$D$2,"Passé","Dans la période")))</f>
        <v/>
      </c>
      <c r="K1205">
        <f>IF(OR($B1205="",NOT(ISNUMBER($D1205))),"",IF(AND($E1205&lt;$D$2,$G1205&lt;&gt;"X",$F1205&lt;&gt;"Réalisé",$F1205&lt;&gt;"Clôturé"),"RETARD",""))</f>
        <v/>
      </c>
      <c r="L1205">
        <f>IF(OR($B1205="",NOT(ISNUMBER($D1205))),"",IF(AND($D1205&gt;=$D$2,$D1205&lt;=$H$2,$G1205&lt;&gt;"X",$F1205&lt;&gt;"Réalisé",$F1205&lt;&gt;"Clôturé"),"≤ 7 j",""))</f>
        <v/>
      </c>
      <c r="M1205" s="29">
        <f>IF($B1205="","",IFERROR(INDEX($T$4:$T$3183,MATCH(SMALL($V$4:$V$3183,1202),$V$4:$V$3183,0)),""))</f>
        <v/>
      </c>
      <c r="O1205">
        <f>IF(INDEX(Suivi!$B:$B,1228)="","",INDEX(Suivi!$B:$B,1228))</f>
        <v/>
      </c>
      <c r="P1205">
        <f>IF($O1205="","",IF(INDEX(Suivi!$D:$D,1228)="",INDEX(Suivi!$C:$C,1228),INDEX(Suivi!$D:$D,1228)))</f>
        <v/>
      </c>
      <c r="Q1205">
        <f>IF($O1205="","",INDEX(Suivi!$E:$E,1228))</f>
        <v/>
      </c>
      <c r="R1205">
        <f>IF($O1205="","",INDEX(Suivi!$F:$F,1228))</f>
        <v/>
      </c>
      <c r="S1205">
        <f>IF($O1205="","",INDEX(Suivi!$G:$G,1228))</f>
        <v/>
      </c>
      <c r="T1205">
        <f>IF($O1205="","",IF(INDEX(Dossiers!$F$4:$F$63,23)="","",INDEX(Dossiers!$F$4:$F$63,23)))</f>
        <v/>
      </c>
      <c r="U1205">
        <f>IF($O1205="","",IF(INDEX(Dossiers!$G$4:$G$63,23)="","",INDEX(Dossiers!$G$4:$G$63,23)))</f>
        <v/>
      </c>
      <c r="V1205">
        <f>IF(OR($O1205="",NOT(ISNUMBER($Q1205))),"",$Q1205*1000000+1205)</f>
        <v/>
      </c>
      <c r="W1205" s="29">
        <f>IF($B1205="","",IFERROR(INDEX($U$4:$U$3183,MATCH(SMALL($V$4:$V$3183,1202),$V$4:$V$3183,0)),""))</f>
        <v/>
      </c>
    </row>
    <row r="1206">
      <c r="A1206">
        <f>IFERROR(INDEX($N$4:$N$3183,MATCH(SMALL($V$4:$V$3183,1203),$V$4:$V$3183,0)),"")</f>
        <v/>
      </c>
      <c r="B1206">
        <f>IFERROR(INDEX($O$4:$O$3183,MATCH(SMALL($V$4:$V$3183,1203),$V$4:$V$3183,0)),"")</f>
        <v/>
      </c>
      <c r="C1206">
        <f>IFERROR(INDEX($P$4:$P$3183,MATCH(SMALL($V$4:$V$3183,1203),$V$4:$V$3183,0)),"")</f>
        <v/>
      </c>
      <c r="D1206" s="29">
        <f>IFERROR(INDEX($Q$4:$Q$3183,MATCH(SMALL($V$4:$V$3183,1203),$V$4:$V$3183,0)),"")</f>
        <v/>
      </c>
      <c r="E1206" s="29">
        <f>IFERROR(INDEX($R$4:$R$3183,MATCH(SMALL($V$4:$V$3183,1203),$V$4:$V$3183,0)),"")</f>
        <v/>
      </c>
      <c r="F1206">
        <f>IFERROR(INDEX($S$4:$S$3183,MATCH(SMALL($V$4:$V$3183,1203),$V$4:$V$3183,0)),"")</f>
        <v/>
      </c>
      <c r="I1206" s="29">
        <f>IF($B1206="","",IFERROR(INDEX($U$4:$U$3183,MATCH(SMALL($V$4:$V$3183,1203),$V$4:$V$3183,0)),""))</f>
        <v/>
      </c>
      <c r="J1206">
        <f>IF($B1206="","",IF($D1206&gt;$F$2,"À venir",IF($E1206&lt;$D$2,"Passé","Dans la période")))</f>
        <v/>
      </c>
      <c r="K1206">
        <f>IF(OR($B1206="",NOT(ISNUMBER($D1206))),"",IF(AND($E1206&lt;$D$2,$G1206&lt;&gt;"X",$F1206&lt;&gt;"Réalisé",$F1206&lt;&gt;"Clôturé"),"RETARD",""))</f>
        <v/>
      </c>
      <c r="L1206">
        <f>IF(OR($B1206="",NOT(ISNUMBER($D1206))),"",IF(AND($D1206&gt;=$D$2,$D1206&lt;=$H$2,$G1206&lt;&gt;"X",$F1206&lt;&gt;"Réalisé",$F1206&lt;&gt;"Clôturé"),"≤ 7 j",""))</f>
        <v/>
      </c>
      <c r="M1206" s="29">
        <f>IF($B1206="","",IFERROR(INDEX($T$4:$T$3183,MATCH(SMALL($V$4:$V$3183,1203),$V$4:$V$3183,0)),""))</f>
        <v/>
      </c>
      <c r="O1206">
        <f>IF(INDEX(Suivi!$B:$B,1229)="","",INDEX(Suivi!$B:$B,1229))</f>
        <v/>
      </c>
      <c r="P1206">
        <f>IF($O1206="","",IF(INDEX(Suivi!$D:$D,1229)="",INDEX(Suivi!$C:$C,1229),INDEX(Suivi!$D:$D,1229)))</f>
        <v/>
      </c>
      <c r="Q1206">
        <f>IF($O1206="","",INDEX(Suivi!$E:$E,1229))</f>
        <v/>
      </c>
      <c r="R1206">
        <f>IF($O1206="","",INDEX(Suivi!$F:$F,1229))</f>
        <v/>
      </c>
      <c r="S1206">
        <f>IF($O1206="","",INDEX(Suivi!$G:$G,1229))</f>
        <v/>
      </c>
      <c r="T1206">
        <f>IF($O1206="","",IF(INDEX(Dossiers!$F$4:$F$63,23)="","",INDEX(Dossiers!$F$4:$F$63,23)))</f>
        <v/>
      </c>
      <c r="U1206">
        <f>IF($O1206="","",IF(INDEX(Dossiers!$G$4:$G$63,23)="","",INDEX(Dossiers!$G$4:$G$63,23)))</f>
        <v/>
      </c>
      <c r="V1206">
        <f>IF(OR($O1206="",NOT(ISNUMBER($Q1206))),"",$Q1206*1000000+1206)</f>
        <v/>
      </c>
      <c r="W1206" s="29">
        <f>IF($B1206="","",IFERROR(INDEX($U$4:$U$3183,MATCH(SMALL($V$4:$V$3183,1203),$V$4:$V$3183,0)),""))</f>
        <v/>
      </c>
    </row>
    <row r="1207">
      <c r="A1207">
        <f>IFERROR(INDEX($N$4:$N$3183,MATCH(SMALL($V$4:$V$3183,1204),$V$4:$V$3183,0)),"")</f>
        <v/>
      </c>
      <c r="B1207">
        <f>IFERROR(INDEX($O$4:$O$3183,MATCH(SMALL($V$4:$V$3183,1204),$V$4:$V$3183,0)),"")</f>
        <v/>
      </c>
      <c r="C1207">
        <f>IFERROR(INDEX($P$4:$P$3183,MATCH(SMALL($V$4:$V$3183,1204),$V$4:$V$3183,0)),"")</f>
        <v/>
      </c>
      <c r="D1207" s="29">
        <f>IFERROR(INDEX($Q$4:$Q$3183,MATCH(SMALL($V$4:$V$3183,1204),$V$4:$V$3183,0)),"")</f>
        <v/>
      </c>
      <c r="E1207" s="29">
        <f>IFERROR(INDEX($R$4:$R$3183,MATCH(SMALL($V$4:$V$3183,1204),$V$4:$V$3183,0)),"")</f>
        <v/>
      </c>
      <c r="F1207">
        <f>IFERROR(INDEX($S$4:$S$3183,MATCH(SMALL($V$4:$V$3183,1204),$V$4:$V$3183,0)),"")</f>
        <v/>
      </c>
      <c r="I1207" s="29">
        <f>IF($B1207="","",IFERROR(INDEX($U$4:$U$3183,MATCH(SMALL($V$4:$V$3183,1204),$V$4:$V$3183,0)),""))</f>
        <v/>
      </c>
      <c r="J1207">
        <f>IF($B1207="","",IF($D1207&gt;$F$2,"À venir",IF($E1207&lt;$D$2,"Passé","Dans la période")))</f>
        <v/>
      </c>
      <c r="K1207">
        <f>IF(OR($B1207="",NOT(ISNUMBER($D1207))),"",IF(AND($E1207&lt;$D$2,$G1207&lt;&gt;"X",$F1207&lt;&gt;"Réalisé",$F1207&lt;&gt;"Clôturé"),"RETARD",""))</f>
        <v/>
      </c>
      <c r="L1207">
        <f>IF(OR($B1207="",NOT(ISNUMBER($D1207))),"",IF(AND($D1207&gt;=$D$2,$D1207&lt;=$H$2,$G1207&lt;&gt;"X",$F1207&lt;&gt;"Réalisé",$F1207&lt;&gt;"Clôturé"),"≤ 7 j",""))</f>
        <v/>
      </c>
      <c r="M1207" s="29">
        <f>IF($B1207="","",IFERROR(INDEX($T$4:$T$3183,MATCH(SMALL($V$4:$V$3183,1204),$V$4:$V$3183,0)),""))</f>
        <v/>
      </c>
      <c r="O1207">
        <f>IF(INDEX(Suivi!$B:$B,1230)="","",INDEX(Suivi!$B:$B,1230))</f>
        <v/>
      </c>
      <c r="P1207">
        <f>IF($O1207="","",IF(INDEX(Suivi!$D:$D,1230)="",INDEX(Suivi!$C:$C,1230),INDEX(Suivi!$D:$D,1230)))</f>
        <v/>
      </c>
      <c r="Q1207">
        <f>IF($O1207="","",INDEX(Suivi!$E:$E,1230))</f>
        <v/>
      </c>
      <c r="R1207">
        <f>IF($O1207="","",INDEX(Suivi!$F:$F,1230))</f>
        <v/>
      </c>
      <c r="S1207">
        <f>IF($O1207="","",INDEX(Suivi!$G:$G,1230))</f>
        <v/>
      </c>
      <c r="T1207">
        <f>IF($O1207="","",IF(INDEX(Dossiers!$F$4:$F$63,23)="","",INDEX(Dossiers!$F$4:$F$63,23)))</f>
        <v/>
      </c>
      <c r="U1207">
        <f>IF($O1207="","",IF(INDEX(Dossiers!$G$4:$G$63,23)="","",INDEX(Dossiers!$G$4:$G$63,23)))</f>
        <v/>
      </c>
      <c r="V1207">
        <f>IF(OR($O1207="",NOT(ISNUMBER($Q1207))),"",$Q1207*1000000+1207)</f>
        <v/>
      </c>
      <c r="W1207" s="29">
        <f>IF($B1207="","",IFERROR(INDEX($U$4:$U$3183,MATCH(SMALL($V$4:$V$3183,1204),$V$4:$V$3183,0)),""))</f>
        <v/>
      </c>
    </row>
    <row r="1208">
      <c r="A1208">
        <f>IFERROR(INDEX($N$4:$N$3183,MATCH(SMALL($V$4:$V$3183,1205),$V$4:$V$3183,0)),"")</f>
        <v/>
      </c>
      <c r="B1208">
        <f>IFERROR(INDEX($O$4:$O$3183,MATCH(SMALL($V$4:$V$3183,1205),$V$4:$V$3183,0)),"")</f>
        <v/>
      </c>
      <c r="C1208">
        <f>IFERROR(INDEX($P$4:$P$3183,MATCH(SMALL($V$4:$V$3183,1205),$V$4:$V$3183,0)),"")</f>
        <v/>
      </c>
      <c r="D1208" s="29">
        <f>IFERROR(INDEX($Q$4:$Q$3183,MATCH(SMALL($V$4:$V$3183,1205),$V$4:$V$3183,0)),"")</f>
        <v/>
      </c>
      <c r="E1208" s="29">
        <f>IFERROR(INDEX($R$4:$R$3183,MATCH(SMALL($V$4:$V$3183,1205),$V$4:$V$3183,0)),"")</f>
        <v/>
      </c>
      <c r="F1208">
        <f>IFERROR(INDEX($S$4:$S$3183,MATCH(SMALL($V$4:$V$3183,1205),$V$4:$V$3183,0)),"")</f>
        <v/>
      </c>
      <c r="I1208" s="29">
        <f>IF($B1208="","",IFERROR(INDEX($U$4:$U$3183,MATCH(SMALL($V$4:$V$3183,1205),$V$4:$V$3183,0)),""))</f>
        <v/>
      </c>
      <c r="J1208">
        <f>IF($B1208="","",IF($D1208&gt;$F$2,"À venir",IF($E1208&lt;$D$2,"Passé","Dans la période")))</f>
        <v/>
      </c>
      <c r="K1208">
        <f>IF(OR($B1208="",NOT(ISNUMBER($D1208))),"",IF(AND($E1208&lt;$D$2,$G1208&lt;&gt;"X",$F1208&lt;&gt;"Réalisé",$F1208&lt;&gt;"Clôturé"),"RETARD",""))</f>
        <v/>
      </c>
      <c r="L1208">
        <f>IF(OR($B1208="",NOT(ISNUMBER($D1208))),"",IF(AND($D1208&gt;=$D$2,$D1208&lt;=$H$2,$G1208&lt;&gt;"X",$F1208&lt;&gt;"Réalisé",$F1208&lt;&gt;"Clôturé"),"≤ 7 j",""))</f>
        <v/>
      </c>
      <c r="M1208" s="29">
        <f>IF($B1208="","",IFERROR(INDEX($T$4:$T$3183,MATCH(SMALL($V$4:$V$3183,1205),$V$4:$V$3183,0)),""))</f>
        <v/>
      </c>
      <c r="O1208">
        <f>IF(INDEX(Suivi!$B:$B,1231)="","",INDEX(Suivi!$B:$B,1231))</f>
        <v/>
      </c>
      <c r="P1208">
        <f>IF($O1208="","",IF(INDEX(Suivi!$D:$D,1231)="",INDEX(Suivi!$C:$C,1231),INDEX(Suivi!$D:$D,1231)))</f>
        <v/>
      </c>
      <c r="Q1208">
        <f>IF($O1208="","",INDEX(Suivi!$E:$E,1231))</f>
        <v/>
      </c>
      <c r="R1208">
        <f>IF($O1208="","",INDEX(Suivi!$F:$F,1231))</f>
        <v/>
      </c>
      <c r="S1208">
        <f>IF($O1208="","",INDEX(Suivi!$G:$G,1231))</f>
        <v/>
      </c>
      <c r="T1208">
        <f>IF($O1208="","",IF(INDEX(Dossiers!$F$4:$F$63,23)="","",INDEX(Dossiers!$F$4:$F$63,23)))</f>
        <v/>
      </c>
      <c r="U1208">
        <f>IF($O1208="","",IF(INDEX(Dossiers!$G$4:$G$63,23)="","",INDEX(Dossiers!$G$4:$G$63,23)))</f>
        <v/>
      </c>
      <c r="V1208">
        <f>IF(OR($O1208="",NOT(ISNUMBER($Q1208))),"",$Q1208*1000000+1208)</f>
        <v/>
      </c>
      <c r="W1208" s="29">
        <f>IF($B1208="","",IFERROR(INDEX($U$4:$U$3183,MATCH(SMALL($V$4:$V$3183,1205),$V$4:$V$3183,0)),""))</f>
        <v/>
      </c>
    </row>
    <row r="1209">
      <c r="A1209">
        <f>IFERROR(INDEX($N$4:$N$3183,MATCH(SMALL($V$4:$V$3183,1206),$V$4:$V$3183,0)),"")</f>
        <v/>
      </c>
      <c r="B1209">
        <f>IFERROR(INDEX($O$4:$O$3183,MATCH(SMALL($V$4:$V$3183,1206),$V$4:$V$3183,0)),"")</f>
        <v/>
      </c>
      <c r="C1209">
        <f>IFERROR(INDEX($P$4:$P$3183,MATCH(SMALL($V$4:$V$3183,1206),$V$4:$V$3183,0)),"")</f>
        <v/>
      </c>
      <c r="D1209" s="29">
        <f>IFERROR(INDEX($Q$4:$Q$3183,MATCH(SMALL($V$4:$V$3183,1206),$V$4:$V$3183,0)),"")</f>
        <v/>
      </c>
      <c r="E1209" s="29">
        <f>IFERROR(INDEX($R$4:$R$3183,MATCH(SMALL($V$4:$V$3183,1206),$V$4:$V$3183,0)),"")</f>
        <v/>
      </c>
      <c r="F1209">
        <f>IFERROR(INDEX($S$4:$S$3183,MATCH(SMALL($V$4:$V$3183,1206),$V$4:$V$3183,0)),"")</f>
        <v/>
      </c>
      <c r="I1209" s="29">
        <f>IF($B1209="","",IFERROR(INDEX($U$4:$U$3183,MATCH(SMALL($V$4:$V$3183,1206),$V$4:$V$3183,0)),""))</f>
        <v/>
      </c>
      <c r="J1209">
        <f>IF($B1209="","",IF($D1209&gt;$F$2,"À venir",IF($E1209&lt;$D$2,"Passé","Dans la période")))</f>
        <v/>
      </c>
      <c r="K1209">
        <f>IF(OR($B1209="",NOT(ISNUMBER($D1209))),"",IF(AND($E1209&lt;$D$2,$G1209&lt;&gt;"X",$F1209&lt;&gt;"Réalisé",$F1209&lt;&gt;"Clôturé"),"RETARD",""))</f>
        <v/>
      </c>
      <c r="L1209">
        <f>IF(OR($B1209="",NOT(ISNUMBER($D1209))),"",IF(AND($D1209&gt;=$D$2,$D1209&lt;=$H$2,$G1209&lt;&gt;"X",$F1209&lt;&gt;"Réalisé",$F1209&lt;&gt;"Clôturé"),"≤ 7 j",""))</f>
        <v/>
      </c>
      <c r="M1209" s="29">
        <f>IF($B1209="","",IFERROR(INDEX($T$4:$T$3183,MATCH(SMALL($V$4:$V$3183,1206),$V$4:$V$3183,0)),""))</f>
        <v/>
      </c>
      <c r="O1209">
        <f>IF(INDEX(Suivi!$B:$B,1232)="","",INDEX(Suivi!$B:$B,1232))</f>
        <v/>
      </c>
      <c r="P1209">
        <f>IF($O1209="","",IF(INDEX(Suivi!$D:$D,1232)="",INDEX(Suivi!$C:$C,1232),INDEX(Suivi!$D:$D,1232)))</f>
        <v/>
      </c>
      <c r="Q1209">
        <f>IF($O1209="","",INDEX(Suivi!$E:$E,1232))</f>
        <v/>
      </c>
      <c r="R1209">
        <f>IF($O1209="","",INDEX(Suivi!$F:$F,1232))</f>
        <v/>
      </c>
      <c r="S1209">
        <f>IF($O1209="","",INDEX(Suivi!$G:$G,1232))</f>
        <v/>
      </c>
      <c r="T1209">
        <f>IF($O1209="","",IF(INDEX(Dossiers!$F$4:$F$63,23)="","",INDEX(Dossiers!$F$4:$F$63,23)))</f>
        <v/>
      </c>
      <c r="U1209">
        <f>IF($O1209="","",IF(INDEX(Dossiers!$G$4:$G$63,23)="","",INDEX(Dossiers!$G$4:$G$63,23)))</f>
        <v/>
      </c>
      <c r="V1209">
        <f>IF(OR($O1209="",NOT(ISNUMBER($Q1209))),"",$Q1209*1000000+1209)</f>
        <v/>
      </c>
      <c r="W1209" s="29">
        <f>IF($B1209="","",IFERROR(INDEX($U$4:$U$3183,MATCH(SMALL($V$4:$V$3183,1206),$V$4:$V$3183,0)),""))</f>
        <v/>
      </c>
    </row>
    <row r="1210">
      <c r="A1210">
        <f>IFERROR(INDEX($N$4:$N$3183,MATCH(SMALL($V$4:$V$3183,1207),$V$4:$V$3183,0)),"")</f>
        <v/>
      </c>
      <c r="B1210">
        <f>IFERROR(INDEX($O$4:$O$3183,MATCH(SMALL($V$4:$V$3183,1207),$V$4:$V$3183,0)),"")</f>
        <v/>
      </c>
      <c r="C1210">
        <f>IFERROR(INDEX($P$4:$P$3183,MATCH(SMALL($V$4:$V$3183,1207),$V$4:$V$3183,0)),"")</f>
        <v/>
      </c>
      <c r="D1210" s="29">
        <f>IFERROR(INDEX($Q$4:$Q$3183,MATCH(SMALL($V$4:$V$3183,1207),$V$4:$V$3183,0)),"")</f>
        <v/>
      </c>
      <c r="E1210" s="29">
        <f>IFERROR(INDEX($R$4:$R$3183,MATCH(SMALL($V$4:$V$3183,1207),$V$4:$V$3183,0)),"")</f>
        <v/>
      </c>
      <c r="F1210">
        <f>IFERROR(INDEX($S$4:$S$3183,MATCH(SMALL($V$4:$V$3183,1207),$V$4:$V$3183,0)),"")</f>
        <v/>
      </c>
      <c r="I1210" s="29">
        <f>IF($B1210="","",IFERROR(INDEX($U$4:$U$3183,MATCH(SMALL($V$4:$V$3183,1207),$V$4:$V$3183,0)),""))</f>
        <v/>
      </c>
      <c r="J1210">
        <f>IF($B1210="","",IF($D1210&gt;$F$2,"À venir",IF($E1210&lt;$D$2,"Passé","Dans la période")))</f>
        <v/>
      </c>
      <c r="K1210">
        <f>IF(OR($B1210="",NOT(ISNUMBER($D1210))),"",IF(AND($E1210&lt;$D$2,$G1210&lt;&gt;"X",$F1210&lt;&gt;"Réalisé",$F1210&lt;&gt;"Clôturé"),"RETARD",""))</f>
        <v/>
      </c>
      <c r="L1210">
        <f>IF(OR($B1210="",NOT(ISNUMBER($D1210))),"",IF(AND($D1210&gt;=$D$2,$D1210&lt;=$H$2,$G1210&lt;&gt;"X",$F1210&lt;&gt;"Réalisé",$F1210&lt;&gt;"Clôturé"),"≤ 7 j",""))</f>
        <v/>
      </c>
      <c r="M1210" s="29">
        <f>IF($B1210="","",IFERROR(INDEX($T$4:$T$3183,MATCH(SMALL($V$4:$V$3183,1207),$V$4:$V$3183,0)),""))</f>
        <v/>
      </c>
      <c r="O1210">
        <f>IF(INDEX(Suivi!$B:$B,1233)="","",INDEX(Suivi!$B:$B,1233))</f>
        <v/>
      </c>
      <c r="P1210">
        <f>IF($O1210="","",IF(INDEX(Suivi!$D:$D,1233)="",INDEX(Suivi!$C:$C,1233),INDEX(Suivi!$D:$D,1233)))</f>
        <v/>
      </c>
      <c r="Q1210">
        <f>IF($O1210="","",INDEX(Suivi!$E:$E,1233))</f>
        <v/>
      </c>
      <c r="R1210">
        <f>IF($O1210="","",INDEX(Suivi!$F:$F,1233))</f>
        <v/>
      </c>
      <c r="S1210">
        <f>IF($O1210="","",INDEX(Suivi!$G:$G,1233))</f>
        <v/>
      </c>
      <c r="T1210">
        <f>IF($O1210="","",IF(INDEX(Dossiers!$F$4:$F$63,23)="","",INDEX(Dossiers!$F$4:$F$63,23)))</f>
        <v/>
      </c>
      <c r="U1210">
        <f>IF($O1210="","",IF(INDEX(Dossiers!$G$4:$G$63,23)="","",INDEX(Dossiers!$G$4:$G$63,23)))</f>
        <v/>
      </c>
      <c r="V1210">
        <f>IF(OR($O1210="",NOT(ISNUMBER($Q1210))),"",$Q1210*1000000+1210)</f>
        <v/>
      </c>
      <c r="W1210" s="29">
        <f>IF($B1210="","",IFERROR(INDEX($U$4:$U$3183,MATCH(SMALL($V$4:$V$3183,1207),$V$4:$V$3183,0)),""))</f>
        <v/>
      </c>
    </row>
    <row r="1211">
      <c r="A1211">
        <f>IFERROR(INDEX($N$4:$N$3183,MATCH(SMALL($V$4:$V$3183,1208),$V$4:$V$3183,0)),"")</f>
        <v/>
      </c>
      <c r="B1211">
        <f>IFERROR(INDEX($O$4:$O$3183,MATCH(SMALL($V$4:$V$3183,1208),$V$4:$V$3183,0)),"")</f>
        <v/>
      </c>
      <c r="C1211">
        <f>IFERROR(INDEX($P$4:$P$3183,MATCH(SMALL($V$4:$V$3183,1208),$V$4:$V$3183,0)),"")</f>
        <v/>
      </c>
      <c r="D1211" s="29">
        <f>IFERROR(INDEX($Q$4:$Q$3183,MATCH(SMALL($V$4:$V$3183,1208),$V$4:$V$3183,0)),"")</f>
        <v/>
      </c>
      <c r="E1211" s="29">
        <f>IFERROR(INDEX($R$4:$R$3183,MATCH(SMALL($V$4:$V$3183,1208),$V$4:$V$3183,0)),"")</f>
        <v/>
      </c>
      <c r="F1211">
        <f>IFERROR(INDEX($S$4:$S$3183,MATCH(SMALL($V$4:$V$3183,1208),$V$4:$V$3183,0)),"")</f>
        <v/>
      </c>
      <c r="I1211" s="29">
        <f>IF($B1211="","",IFERROR(INDEX($U$4:$U$3183,MATCH(SMALL($V$4:$V$3183,1208),$V$4:$V$3183,0)),""))</f>
        <v/>
      </c>
      <c r="J1211">
        <f>IF($B1211="","",IF($D1211&gt;$F$2,"À venir",IF($E1211&lt;$D$2,"Passé","Dans la période")))</f>
        <v/>
      </c>
      <c r="K1211">
        <f>IF(OR($B1211="",NOT(ISNUMBER($D1211))),"",IF(AND($E1211&lt;$D$2,$G1211&lt;&gt;"X",$F1211&lt;&gt;"Réalisé",$F1211&lt;&gt;"Clôturé"),"RETARD",""))</f>
        <v/>
      </c>
      <c r="L1211">
        <f>IF(OR($B1211="",NOT(ISNUMBER($D1211))),"",IF(AND($D1211&gt;=$D$2,$D1211&lt;=$H$2,$G1211&lt;&gt;"X",$F1211&lt;&gt;"Réalisé",$F1211&lt;&gt;"Clôturé"),"≤ 7 j",""))</f>
        <v/>
      </c>
      <c r="M1211" s="29">
        <f>IF($B1211="","",IFERROR(INDEX($T$4:$T$3183,MATCH(SMALL($V$4:$V$3183,1208),$V$4:$V$3183,0)),""))</f>
        <v/>
      </c>
      <c r="O1211">
        <f>IF(INDEX(Suivi!$B:$B,1234)="","",INDEX(Suivi!$B:$B,1234))</f>
        <v/>
      </c>
      <c r="P1211">
        <f>IF($O1211="","",IF(INDEX(Suivi!$D:$D,1234)="",INDEX(Suivi!$C:$C,1234),INDEX(Suivi!$D:$D,1234)))</f>
        <v/>
      </c>
      <c r="Q1211">
        <f>IF($O1211="","",INDEX(Suivi!$E:$E,1234))</f>
        <v/>
      </c>
      <c r="R1211">
        <f>IF($O1211="","",INDEX(Suivi!$F:$F,1234))</f>
        <v/>
      </c>
      <c r="S1211">
        <f>IF($O1211="","",INDEX(Suivi!$G:$G,1234))</f>
        <v/>
      </c>
      <c r="T1211">
        <f>IF($O1211="","",IF(INDEX(Dossiers!$F$4:$F$63,23)="","",INDEX(Dossiers!$F$4:$F$63,23)))</f>
        <v/>
      </c>
      <c r="U1211">
        <f>IF($O1211="","",IF(INDEX(Dossiers!$G$4:$G$63,23)="","",INDEX(Dossiers!$G$4:$G$63,23)))</f>
        <v/>
      </c>
      <c r="V1211">
        <f>IF(OR($O1211="",NOT(ISNUMBER($Q1211))),"",$Q1211*1000000+1211)</f>
        <v/>
      </c>
      <c r="W1211" s="29">
        <f>IF($B1211="","",IFERROR(INDEX($U$4:$U$3183,MATCH(SMALL($V$4:$V$3183,1208),$V$4:$V$3183,0)),""))</f>
        <v/>
      </c>
    </row>
    <row r="1212">
      <c r="A1212">
        <f>IFERROR(INDEX($N$4:$N$3183,MATCH(SMALL($V$4:$V$3183,1209),$V$4:$V$3183,0)),"")</f>
        <v/>
      </c>
      <c r="B1212">
        <f>IFERROR(INDEX($O$4:$O$3183,MATCH(SMALL($V$4:$V$3183,1209),$V$4:$V$3183,0)),"")</f>
        <v/>
      </c>
      <c r="C1212">
        <f>IFERROR(INDEX($P$4:$P$3183,MATCH(SMALL($V$4:$V$3183,1209),$V$4:$V$3183,0)),"")</f>
        <v/>
      </c>
      <c r="D1212" s="29">
        <f>IFERROR(INDEX($Q$4:$Q$3183,MATCH(SMALL($V$4:$V$3183,1209),$V$4:$V$3183,0)),"")</f>
        <v/>
      </c>
      <c r="E1212" s="29">
        <f>IFERROR(INDEX($R$4:$R$3183,MATCH(SMALL($V$4:$V$3183,1209),$V$4:$V$3183,0)),"")</f>
        <v/>
      </c>
      <c r="F1212">
        <f>IFERROR(INDEX($S$4:$S$3183,MATCH(SMALL($V$4:$V$3183,1209),$V$4:$V$3183,0)),"")</f>
        <v/>
      </c>
      <c r="I1212" s="29">
        <f>IF($B1212="","",IFERROR(INDEX($U$4:$U$3183,MATCH(SMALL($V$4:$V$3183,1209),$V$4:$V$3183,0)),""))</f>
        <v/>
      </c>
      <c r="J1212">
        <f>IF($B1212="","",IF($D1212&gt;$F$2,"À venir",IF($E1212&lt;$D$2,"Passé","Dans la période")))</f>
        <v/>
      </c>
      <c r="K1212">
        <f>IF(OR($B1212="",NOT(ISNUMBER($D1212))),"",IF(AND($E1212&lt;$D$2,$G1212&lt;&gt;"X",$F1212&lt;&gt;"Réalisé",$F1212&lt;&gt;"Clôturé"),"RETARD",""))</f>
        <v/>
      </c>
      <c r="L1212">
        <f>IF(OR($B1212="",NOT(ISNUMBER($D1212))),"",IF(AND($D1212&gt;=$D$2,$D1212&lt;=$H$2,$G1212&lt;&gt;"X",$F1212&lt;&gt;"Réalisé",$F1212&lt;&gt;"Clôturé"),"≤ 7 j",""))</f>
        <v/>
      </c>
      <c r="M1212" s="29">
        <f>IF($B1212="","",IFERROR(INDEX($T$4:$T$3183,MATCH(SMALL($V$4:$V$3183,1209),$V$4:$V$3183,0)),""))</f>
        <v/>
      </c>
      <c r="O1212">
        <f>IF(INDEX(Suivi!$B:$B,1235)="","",INDEX(Suivi!$B:$B,1235))</f>
        <v/>
      </c>
      <c r="P1212">
        <f>IF($O1212="","",IF(INDEX(Suivi!$D:$D,1235)="",INDEX(Suivi!$C:$C,1235),INDEX(Suivi!$D:$D,1235)))</f>
        <v/>
      </c>
      <c r="Q1212">
        <f>IF($O1212="","",INDEX(Suivi!$E:$E,1235))</f>
        <v/>
      </c>
      <c r="R1212">
        <f>IF($O1212="","",INDEX(Suivi!$F:$F,1235))</f>
        <v/>
      </c>
      <c r="S1212">
        <f>IF($O1212="","",INDEX(Suivi!$G:$G,1235))</f>
        <v/>
      </c>
      <c r="T1212">
        <f>IF($O1212="","",IF(INDEX(Dossiers!$F$4:$F$63,23)="","",INDEX(Dossiers!$F$4:$F$63,23)))</f>
        <v/>
      </c>
      <c r="U1212">
        <f>IF($O1212="","",IF(INDEX(Dossiers!$G$4:$G$63,23)="","",INDEX(Dossiers!$G$4:$G$63,23)))</f>
        <v/>
      </c>
      <c r="V1212">
        <f>IF(OR($O1212="",NOT(ISNUMBER($Q1212))),"",$Q1212*1000000+1212)</f>
        <v/>
      </c>
      <c r="W1212" s="29">
        <f>IF($B1212="","",IFERROR(INDEX($U$4:$U$3183,MATCH(SMALL($V$4:$V$3183,1209),$V$4:$V$3183,0)),""))</f>
        <v/>
      </c>
    </row>
    <row r="1213">
      <c r="A1213">
        <f>IFERROR(INDEX($N$4:$N$3183,MATCH(SMALL($V$4:$V$3183,1210),$V$4:$V$3183,0)),"")</f>
        <v/>
      </c>
      <c r="B1213">
        <f>IFERROR(INDEX($O$4:$O$3183,MATCH(SMALL($V$4:$V$3183,1210),$V$4:$V$3183,0)),"")</f>
        <v/>
      </c>
      <c r="C1213">
        <f>IFERROR(INDEX($P$4:$P$3183,MATCH(SMALL($V$4:$V$3183,1210),$V$4:$V$3183,0)),"")</f>
        <v/>
      </c>
      <c r="D1213" s="29">
        <f>IFERROR(INDEX($Q$4:$Q$3183,MATCH(SMALL($V$4:$V$3183,1210),$V$4:$V$3183,0)),"")</f>
        <v/>
      </c>
      <c r="E1213" s="29">
        <f>IFERROR(INDEX($R$4:$R$3183,MATCH(SMALL($V$4:$V$3183,1210),$V$4:$V$3183,0)),"")</f>
        <v/>
      </c>
      <c r="F1213">
        <f>IFERROR(INDEX($S$4:$S$3183,MATCH(SMALL($V$4:$V$3183,1210),$V$4:$V$3183,0)),"")</f>
        <v/>
      </c>
      <c r="I1213" s="29">
        <f>IF($B1213="","",IFERROR(INDEX($U$4:$U$3183,MATCH(SMALL($V$4:$V$3183,1210),$V$4:$V$3183,0)),""))</f>
        <v/>
      </c>
      <c r="J1213">
        <f>IF($B1213="","",IF($D1213&gt;$F$2,"À venir",IF($E1213&lt;$D$2,"Passé","Dans la période")))</f>
        <v/>
      </c>
      <c r="K1213">
        <f>IF(OR($B1213="",NOT(ISNUMBER($D1213))),"",IF(AND($E1213&lt;$D$2,$G1213&lt;&gt;"X",$F1213&lt;&gt;"Réalisé",$F1213&lt;&gt;"Clôturé"),"RETARD",""))</f>
        <v/>
      </c>
      <c r="L1213">
        <f>IF(OR($B1213="",NOT(ISNUMBER($D1213))),"",IF(AND($D1213&gt;=$D$2,$D1213&lt;=$H$2,$G1213&lt;&gt;"X",$F1213&lt;&gt;"Réalisé",$F1213&lt;&gt;"Clôturé"),"≤ 7 j",""))</f>
        <v/>
      </c>
      <c r="M1213" s="29">
        <f>IF($B1213="","",IFERROR(INDEX($T$4:$T$3183,MATCH(SMALL($V$4:$V$3183,1210),$V$4:$V$3183,0)),""))</f>
        <v/>
      </c>
      <c r="O1213">
        <f>IF(INDEX(Suivi!$B:$B,1236)="","",INDEX(Suivi!$B:$B,1236))</f>
        <v/>
      </c>
      <c r="P1213">
        <f>IF($O1213="","",IF(INDEX(Suivi!$D:$D,1236)="",INDEX(Suivi!$C:$C,1236),INDEX(Suivi!$D:$D,1236)))</f>
        <v/>
      </c>
      <c r="Q1213">
        <f>IF($O1213="","",INDEX(Suivi!$E:$E,1236))</f>
        <v/>
      </c>
      <c r="R1213">
        <f>IF($O1213="","",INDEX(Suivi!$F:$F,1236))</f>
        <v/>
      </c>
      <c r="S1213">
        <f>IF($O1213="","",INDEX(Suivi!$G:$G,1236))</f>
        <v/>
      </c>
      <c r="T1213">
        <f>IF($O1213="","",IF(INDEX(Dossiers!$F$4:$F$63,23)="","",INDEX(Dossiers!$F$4:$F$63,23)))</f>
        <v/>
      </c>
      <c r="U1213">
        <f>IF($O1213="","",IF(INDEX(Dossiers!$G$4:$G$63,23)="","",INDEX(Dossiers!$G$4:$G$63,23)))</f>
        <v/>
      </c>
      <c r="V1213">
        <f>IF(OR($O1213="",NOT(ISNUMBER($Q1213))),"",$Q1213*1000000+1213)</f>
        <v/>
      </c>
      <c r="W1213" s="29">
        <f>IF($B1213="","",IFERROR(INDEX($U$4:$U$3183,MATCH(SMALL($V$4:$V$3183,1210),$V$4:$V$3183,0)),""))</f>
        <v/>
      </c>
    </row>
    <row r="1214">
      <c r="A1214">
        <f>IFERROR(INDEX($N$4:$N$3183,MATCH(SMALL($V$4:$V$3183,1211),$V$4:$V$3183,0)),"")</f>
        <v/>
      </c>
      <c r="B1214">
        <f>IFERROR(INDEX($O$4:$O$3183,MATCH(SMALL($V$4:$V$3183,1211),$V$4:$V$3183,0)),"")</f>
        <v/>
      </c>
      <c r="C1214">
        <f>IFERROR(INDEX($P$4:$P$3183,MATCH(SMALL($V$4:$V$3183,1211),$V$4:$V$3183,0)),"")</f>
        <v/>
      </c>
      <c r="D1214" s="29">
        <f>IFERROR(INDEX($Q$4:$Q$3183,MATCH(SMALL($V$4:$V$3183,1211),$V$4:$V$3183,0)),"")</f>
        <v/>
      </c>
      <c r="E1214" s="29">
        <f>IFERROR(INDEX($R$4:$R$3183,MATCH(SMALL($V$4:$V$3183,1211),$V$4:$V$3183,0)),"")</f>
        <v/>
      </c>
      <c r="F1214">
        <f>IFERROR(INDEX($S$4:$S$3183,MATCH(SMALL($V$4:$V$3183,1211),$V$4:$V$3183,0)),"")</f>
        <v/>
      </c>
      <c r="I1214" s="29">
        <f>IF($B1214="","",IFERROR(INDEX($U$4:$U$3183,MATCH(SMALL($V$4:$V$3183,1211),$V$4:$V$3183,0)),""))</f>
        <v/>
      </c>
      <c r="J1214">
        <f>IF($B1214="","",IF($D1214&gt;$F$2,"À venir",IF($E1214&lt;$D$2,"Passé","Dans la période")))</f>
        <v/>
      </c>
      <c r="K1214">
        <f>IF(OR($B1214="",NOT(ISNUMBER($D1214))),"",IF(AND($E1214&lt;$D$2,$G1214&lt;&gt;"X",$F1214&lt;&gt;"Réalisé",$F1214&lt;&gt;"Clôturé"),"RETARD",""))</f>
        <v/>
      </c>
      <c r="L1214">
        <f>IF(OR($B1214="",NOT(ISNUMBER($D1214))),"",IF(AND($D1214&gt;=$D$2,$D1214&lt;=$H$2,$G1214&lt;&gt;"X",$F1214&lt;&gt;"Réalisé",$F1214&lt;&gt;"Clôturé"),"≤ 7 j",""))</f>
        <v/>
      </c>
      <c r="M1214" s="29">
        <f>IF($B1214="","",IFERROR(INDEX($T$4:$T$3183,MATCH(SMALL($V$4:$V$3183,1211),$V$4:$V$3183,0)),""))</f>
        <v/>
      </c>
      <c r="O1214">
        <f>IF(INDEX(Suivi!$B:$B,1237)="","",INDEX(Suivi!$B:$B,1237))</f>
        <v/>
      </c>
      <c r="P1214">
        <f>IF($O1214="","",IF(INDEX(Suivi!$D:$D,1237)="",INDEX(Suivi!$C:$C,1237),INDEX(Suivi!$D:$D,1237)))</f>
        <v/>
      </c>
      <c r="Q1214">
        <f>IF($O1214="","",INDEX(Suivi!$E:$E,1237))</f>
        <v/>
      </c>
      <c r="R1214">
        <f>IF($O1214="","",INDEX(Suivi!$F:$F,1237))</f>
        <v/>
      </c>
      <c r="S1214">
        <f>IF($O1214="","",INDEX(Suivi!$G:$G,1237))</f>
        <v/>
      </c>
      <c r="T1214">
        <f>IF($O1214="","",IF(INDEX(Dossiers!$F$4:$F$63,23)="","",INDEX(Dossiers!$F$4:$F$63,23)))</f>
        <v/>
      </c>
      <c r="U1214">
        <f>IF($O1214="","",IF(INDEX(Dossiers!$G$4:$G$63,23)="","",INDEX(Dossiers!$G$4:$G$63,23)))</f>
        <v/>
      </c>
      <c r="V1214">
        <f>IF(OR($O1214="",NOT(ISNUMBER($Q1214))),"",$Q1214*1000000+1214)</f>
        <v/>
      </c>
      <c r="W1214" s="29">
        <f>IF($B1214="","",IFERROR(INDEX($U$4:$U$3183,MATCH(SMALL($V$4:$V$3183,1211),$V$4:$V$3183,0)),""))</f>
        <v/>
      </c>
    </row>
    <row r="1215">
      <c r="A1215">
        <f>IFERROR(INDEX($N$4:$N$3183,MATCH(SMALL($V$4:$V$3183,1212),$V$4:$V$3183,0)),"")</f>
        <v/>
      </c>
      <c r="B1215">
        <f>IFERROR(INDEX($O$4:$O$3183,MATCH(SMALL($V$4:$V$3183,1212),$V$4:$V$3183,0)),"")</f>
        <v/>
      </c>
      <c r="C1215">
        <f>IFERROR(INDEX($P$4:$P$3183,MATCH(SMALL($V$4:$V$3183,1212),$V$4:$V$3183,0)),"")</f>
        <v/>
      </c>
      <c r="D1215" s="29">
        <f>IFERROR(INDEX($Q$4:$Q$3183,MATCH(SMALL($V$4:$V$3183,1212),$V$4:$V$3183,0)),"")</f>
        <v/>
      </c>
      <c r="E1215" s="29">
        <f>IFERROR(INDEX($R$4:$R$3183,MATCH(SMALL($V$4:$V$3183,1212),$V$4:$V$3183,0)),"")</f>
        <v/>
      </c>
      <c r="F1215">
        <f>IFERROR(INDEX($S$4:$S$3183,MATCH(SMALL($V$4:$V$3183,1212),$V$4:$V$3183,0)),"")</f>
        <v/>
      </c>
      <c r="I1215" s="29">
        <f>IF($B1215="","",IFERROR(INDEX($U$4:$U$3183,MATCH(SMALL($V$4:$V$3183,1212),$V$4:$V$3183,0)),""))</f>
        <v/>
      </c>
      <c r="J1215">
        <f>IF($B1215="","",IF($D1215&gt;$F$2,"À venir",IF($E1215&lt;$D$2,"Passé","Dans la période")))</f>
        <v/>
      </c>
      <c r="K1215">
        <f>IF(OR($B1215="",NOT(ISNUMBER($D1215))),"",IF(AND($E1215&lt;$D$2,$G1215&lt;&gt;"X",$F1215&lt;&gt;"Réalisé",$F1215&lt;&gt;"Clôturé"),"RETARD",""))</f>
        <v/>
      </c>
      <c r="L1215">
        <f>IF(OR($B1215="",NOT(ISNUMBER($D1215))),"",IF(AND($D1215&gt;=$D$2,$D1215&lt;=$H$2,$G1215&lt;&gt;"X",$F1215&lt;&gt;"Réalisé",$F1215&lt;&gt;"Clôturé"),"≤ 7 j",""))</f>
        <v/>
      </c>
      <c r="M1215" s="29">
        <f>IF($B1215="","",IFERROR(INDEX($T$4:$T$3183,MATCH(SMALL($V$4:$V$3183,1212),$V$4:$V$3183,0)),""))</f>
        <v/>
      </c>
      <c r="O1215">
        <f>IF(INDEX(Suivi!$B:$B,1238)="","",INDEX(Suivi!$B:$B,1238))</f>
        <v/>
      </c>
      <c r="P1215">
        <f>IF($O1215="","",IF(INDEX(Suivi!$D:$D,1238)="",INDEX(Suivi!$C:$C,1238),INDEX(Suivi!$D:$D,1238)))</f>
        <v/>
      </c>
      <c r="Q1215">
        <f>IF($O1215="","",INDEX(Suivi!$E:$E,1238))</f>
        <v/>
      </c>
      <c r="R1215">
        <f>IF($O1215="","",INDEX(Suivi!$F:$F,1238))</f>
        <v/>
      </c>
      <c r="S1215">
        <f>IF($O1215="","",INDEX(Suivi!$G:$G,1238))</f>
        <v/>
      </c>
      <c r="T1215">
        <f>IF($O1215="","",IF(INDEX(Dossiers!$F$4:$F$63,23)="","",INDEX(Dossiers!$F$4:$F$63,23)))</f>
        <v/>
      </c>
      <c r="U1215">
        <f>IF($O1215="","",IF(INDEX(Dossiers!$G$4:$G$63,23)="","",INDEX(Dossiers!$G$4:$G$63,23)))</f>
        <v/>
      </c>
      <c r="V1215">
        <f>IF(OR($O1215="",NOT(ISNUMBER($Q1215))),"",$Q1215*1000000+1215)</f>
        <v/>
      </c>
      <c r="W1215" s="29">
        <f>IF($B1215="","",IFERROR(INDEX($U$4:$U$3183,MATCH(SMALL($V$4:$V$3183,1212),$V$4:$V$3183,0)),""))</f>
        <v/>
      </c>
    </row>
    <row r="1216">
      <c r="A1216">
        <f>IFERROR(INDEX($N$4:$N$3183,MATCH(SMALL($V$4:$V$3183,1213),$V$4:$V$3183,0)),"")</f>
        <v/>
      </c>
      <c r="B1216">
        <f>IFERROR(INDEX($O$4:$O$3183,MATCH(SMALL($V$4:$V$3183,1213),$V$4:$V$3183,0)),"")</f>
        <v/>
      </c>
      <c r="C1216">
        <f>IFERROR(INDEX($P$4:$P$3183,MATCH(SMALL($V$4:$V$3183,1213),$V$4:$V$3183,0)),"")</f>
        <v/>
      </c>
      <c r="D1216" s="29">
        <f>IFERROR(INDEX($Q$4:$Q$3183,MATCH(SMALL($V$4:$V$3183,1213),$V$4:$V$3183,0)),"")</f>
        <v/>
      </c>
      <c r="E1216" s="29">
        <f>IFERROR(INDEX($R$4:$R$3183,MATCH(SMALL($V$4:$V$3183,1213),$V$4:$V$3183,0)),"")</f>
        <v/>
      </c>
      <c r="F1216">
        <f>IFERROR(INDEX($S$4:$S$3183,MATCH(SMALL($V$4:$V$3183,1213),$V$4:$V$3183,0)),"")</f>
        <v/>
      </c>
      <c r="I1216" s="29">
        <f>IF($B1216="","",IFERROR(INDEX($U$4:$U$3183,MATCH(SMALL($V$4:$V$3183,1213),$V$4:$V$3183,0)),""))</f>
        <v/>
      </c>
      <c r="J1216">
        <f>IF($B1216="","",IF($D1216&gt;$F$2,"À venir",IF($E1216&lt;$D$2,"Passé","Dans la période")))</f>
        <v/>
      </c>
      <c r="K1216">
        <f>IF(OR($B1216="",NOT(ISNUMBER($D1216))),"",IF(AND($E1216&lt;$D$2,$G1216&lt;&gt;"X",$F1216&lt;&gt;"Réalisé",$F1216&lt;&gt;"Clôturé"),"RETARD",""))</f>
        <v/>
      </c>
      <c r="L1216">
        <f>IF(OR($B1216="",NOT(ISNUMBER($D1216))),"",IF(AND($D1216&gt;=$D$2,$D1216&lt;=$H$2,$G1216&lt;&gt;"X",$F1216&lt;&gt;"Réalisé",$F1216&lt;&gt;"Clôturé"),"≤ 7 j",""))</f>
        <v/>
      </c>
      <c r="M1216" s="29">
        <f>IF($B1216="","",IFERROR(INDEX($T$4:$T$3183,MATCH(SMALL($V$4:$V$3183,1213),$V$4:$V$3183,0)),""))</f>
        <v/>
      </c>
      <c r="O1216">
        <f>IF(INDEX(Suivi!$B:$B,1239)="","",INDEX(Suivi!$B:$B,1239))</f>
        <v/>
      </c>
      <c r="P1216">
        <f>IF($O1216="","",IF(INDEX(Suivi!$D:$D,1239)="",INDEX(Suivi!$C:$C,1239),INDEX(Suivi!$D:$D,1239)))</f>
        <v/>
      </c>
      <c r="Q1216">
        <f>IF($O1216="","",INDEX(Suivi!$E:$E,1239))</f>
        <v/>
      </c>
      <c r="R1216">
        <f>IF($O1216="","",INDEX(Suivi!$F:$F,1239))</f>
        <v/>
      </c>
      <c r="S1216">
        <f>IF($O1216="","",INDEX(Suivi!$G:$G,1239))</f>
        <v/>
      </c>
      <c r="T1216">
        <f>IF($O1216="","",IF(INDEX(Dossiers!$F$4:$F$63,23)="","",INDEX(Dossiers!$F$4:$F$63,23)))</f>
        <v/>
      </c>
      <c r="U1216">
        <f>IF($O1216="","",IF(INDEX(Dossiers!$G$4:$G$63,23)="","",INDEX(Dossiers!$G$4:$G$63,23)))</f>
        <v/>
      </c>
      <c r="V1216">
        <f>IF(OR($O1216="",NOT(ISNUMBER($Q1216))),"",$Q1216*1000000+1216)</f>
        <v/>
      </c>
      <c r="W1216" s="29">
        <f>IF($B1216="","",IFERROR(INDEX($U$4:$U$3183,MATCH(SMALL($V$4:$V$3183,1213),$V$4:$V$3183,0)),""))</f>
        <v/>
      </c>
    </row>
    <row r="1217">
      <c r="A1217">
        <f>IFERROR(INDEX($N$4:$N$3183,MATCH(SMALL($V$4:$V$3183,1214),$V$4:$V$3183,0)),"")</f>
        <v/>
      </c>
      <c r="B1217">
        <f>IFERROR(INDEX($O$4:$O$3183,MATCH(SMALL($V$4:$V$3183,1214),$V$4:$V$3183,0)),"")</f>
        <v/>
      </c>
      <c r="C1217">
        <f>IFERROR(INDEX($P$4:$P$3183,MATCH(SMALL($V$4:$V$3183,1214),$V$4:$V$3183,0)),"")</f>
        <v/>
      </c>
      <c r="D1217" s="29">
        <f>IFERROR(INDEX($Q$4:$Q$3183,MATCH(SMALL($V$4:$V$3183,1214),$V$4:$V$3183,0)),"")</f>
        <v/>
      </c>
      <c r="E1217" s="29">
        <f>IFERROR(INDEX($R$4:$R$3183,MATCH(SMALL($V$4:$V$3183,1214),$V$4:$V$3183,0)),"")</f>
        <v/>
      </c>
      <c r="F1217">
        <f>IFERROR(INDEX($S$4:$S$3183,MATCH(SMALL($V$4:$V$3183,1214),$V$4:$V$3183,0)),"")</f>
        <v/>
      </c>
      <c r="I1217" s="29">
        <f>IF($B1217="","",IFERROR(INDEX($U$4:$U$3183,MATCH(SMALL($V$4:$V$3183,1214),$V$4:$V$3183,0)),""))</f>
        <v/>
      </c>
      <c r="J1217">
        <f>IF($B1217="","",IF($D1217&gt;$F$2,"À venir",IF($E1217&lt;$D$2,"Passé","Dans la période")))</f>
        <v/>
      </c>
      <c r="K1217">
        <f>IF(OR($B1217="",NOT(ISNUMBER($D1217))),"",IF(AND($E1217&lt;$D$2,$G1217&lt;&gt;"X",$F1217&lt;&gt;"Réalisé",$F1217&lt;&gt;"Clôturé"),"RETARD",""))</f>
        <v/>
      </c>
      <c r="L1217">
        <f>IF(OR($B1217="",NOT(ISNUMBER($D1217))),"",IF(AND($D1217&gt;=$D$2,$D1217&lt;=$H$2,$G1217&lt;&gt;"X",$F1217&lt;&gt;"Réalisé",$F1217&lt;&gt;"Clôturé"),"≤ 7 j",""))</f>
        <v/>
      </c>
      <c r="M1217" s="29">
        <f>IF($B1217="","",IFERROR(INDEX($T$4:$T$3183,MATCH(SMALL($V$4:$V$3183,1214),$V$4:$V$3183,0)),""))</f>
        <v/>
      </c>
      <c r="O1217">
        <f>IF(INDEX(Suivi!$B:$B,1240)="","",INDEX(Suivi!$B:$B,1240))</f>
        <v/>
      </c>
      <c r="P1217">
        <f>IF($O1217="","",IF(INDEX(Suivi!$D:$D,1240)="",INDEX(Suivi!$C:$C,1240),INDEX(Suivi!$D:$D,1240)))</f>
        <v/>
      </c>
      <c r="Q1217">
        <f>IF($O1217="","",INDEX(Suivi!$E:$E,1240))</f>
        <v/>
      </c>
      <c r="R1217">
        <f>IF($O1217="","",INDEX(Suivi!$F:$F,1240))</f>
        <v/>
      </c>
      <c r="S1217">
        <f>IF($O1217="","",INDEX(Suivi!$G:$G,1240))</f>
        <v/>
      </c>
      <c r="T1217">
        <f>IF($O1217="","",IF(INDEX(Dossiers!$F$4:$F$63,23)="","",INDEX(Dossiers!$F$4:$F$63,23)))</f>
        <v/>
      </c>
      <c r="U1217">
        <f>IF($O1217="","",IF(INDEX(Dossiers!$G$4:$G$63,23)="","",INDEX(Dossiers!$G$4:$G$63,23)))</f>
        <v/>
      </c>
      <c r="V1217">
        <f>IF(OR($O1217="",NOT(ISNUMBER($Q1217))),"",$Q1217*1000000+1217)</f>
        <v/>
      </c>
      <c r="W1217" s="29">
        <f>IF($B1217="","",IFERROR(INDEX($U$4:$U$3183,MATCH(SMALL($V$4:$V$3183,1214),$V$4:$V$3183,0)),""))</f>
        <v/>
      </c>
    </row>
    <row r="1218">
      <c r="A1218">
        <f>IFERROR(INDEX($N$4:$N$3183,MATCH(SMALL($V$4:$V$3183,1215),$V$4:$V$3183,0)),"")</f>
        <v/>
      </c>
      <c r="B1218">
        <f>IFERROR(INDEX($O$4:$O$3183,MATCH(SMALL($V$4:$V$3183,1215),$V$4:$V$3183,0)),"")</f>
        <v/>
      </c>
      <c r="C1218">
        <f>IFERROR(INDEX($P$4:$P$3183,MATCH(SMALL($V$4:$V$3183,1215),$V$4:$V$3183,0)),"")</f>
        <v/>
      </c>
      <c r="D1218" s="29">
        <f>IFERROR(INDEX($Q$4:$Q$3183,MATCH(SMALL($V$4:$V$3183,1215),$V$4:$V$3183,0)),"")</f>
        <v/>
      </c>
      <c r="E1218" s="29">
        <f>IFERROR(INDEX($R$4:$R$3183,MATCH(SMALL($V$4:$V$3183,1215),$V$4:$V$3183,0)),"")</f>
        <v/>
      </c>
      <c r="F1218">
        <f>IFERROR(INDEX($S$4:$S$3183,MATCH(SMALL($V$4:$V$3183,1215),$V$4:$V$3183,0)),"")</f>
        <v/>
      </c>
      <c r="I1218" s="29">
        <f>IF($B1218="","",IFERROR(INDEX($U$4:$U$3183,MATCH(SMALL($V$4:$V$3183,1215),$V$4:$V$3183,0)),""))</f>
        <v/>
      </c>
      <c r="J1218">
        <f>IF($B1218="","",IF($D1218&gt;$F$2,"À venir",IF($E1218&lt;$D$2,"Passé","Dans la période")))</f>
        <v/>
      </c>
      <c r="K1218">
        <f>IF(OR($B1218="",NOT(ISNUMBER($D1218))),"",IF(AND($E1218&lt;$D$2,$G1218&lt;&gt;"X",$F1218&lt;&gt;"Réalisé",$F1218&lt;&gt;"Clôturé"),"RETARD",""))</f>
        <v/>
      </c>
      <c r="L1218">
        <f>IF(OR($B1218="",NOT(ISNUMBER($D1218))),"",IF(AND($D1218&gt;=$D$2,$D1218&lt;=$H$2,$G1218&lt;&gt;"X",$F1218&lt;&gt;"Réalisé",$F1218&lt;&gt;"Clôturé"),"≤ 7 j",""))</f>
        <v/>
      </c>
      <c r="M1218" s="29">
        <f>IF($B1218="","",IFERROR(INDEX($T$4:$T$3183,MATCH(SMALL($V$4:$V$3183,1215),$V$4:$V$3183,0)),""))</f>
        <v/>
      </c>
      <c r="O1218">
        <f>IF(INDEX(Suivi!$B:$B,1241)="","",INDEX(Suivi!$B:$B,1241))</f>
        <v/>
      </c>
      <c r="P1218">
        <f>IF($O1218="","",IF(INDEX(Suivi!$D:$D,1241)="",INDEX(Suivi!$C:$C,1241),INDEX(Suivi!$D:$D,1241)))</f>
        <v/>
      </c>
      <c r="Q1218">
        <f>IF($O1218="","",INDEX(Suivi!$E:$E,1241))</f>
        <v/>
      </c>
      <c r="R1218">
        <f>IF($O1218="","",INDEX(Suivi!$F:$F,1241))</f>
        <v/>
      </c>
      <c r="S1218">
        <f>IF($O1218="","",INDEX(Suivi!$G:$G,1241))</f>
        <v/>
      </c>
      <c r="T1218">
        <f>IF($O1218="","",IF(INDEX(Dossiers!$F$4:$F$63,23)="","",INDEX(Dossiers!$F$4:$F$63,23)))</f>
        <v/>
      </c>
      <c r="U1218">
        <f>IF($O1218="","",IF(INDEX(Dossiers!$G$4:$G$63,23)="","",INDEX(Dossiers!$G$4:$G$63,23)))</f>
        <v/>
      </c>
      <c r="V1218">
        <f>IF(OR($O1218="",NOT(ISNUMBER($Q1218))),"",$Q1218*1000000+1218)</f>
        <v/>
      </c>
      <c r="W1218" s="29">
        <f>IF($B1218="","",IFERROR(INDEX($U$4:$U$3183,MATCH(SMALL($V$4:$V$3183,1215),$V$4:$V$3183,0)),""))</f>
        <v/>
      </c>
    </row>
    <row r="1219">
      <c r="A1219">
        <f>IFERROR(INDEX($N$4:$N$3183,MATCH(SMALL($V$4:$V$3183,1216),$V$4:$V$3183,0)),"")</f>
        <v/>
      </c>
      <c r="B1219">
        <f>IFERROR(INDEX($O$4:$O$3183,MATCH(SMALL($V$4:$V$3183,1216),$V$4:$V$3183,0)),"")</f>
        <v/>
      </c>
      <c r="C1219">
        <f>IFERROR(INDEX($P$4:$P$3183,MATCH(SMALL($V$4:$V$3183,1216),$V$4:$V$3183,0)),"")</f>
        <v/>
      </c>
      <c r="D1219" s="29">
        <f>IFERROR(INDEX($Q$4:$Q$3183,MATCH(SMALL($V$4:$V$3183,1216),$V$4:$V$3183,0)),"")</f>
        <v/>
      </c>
      <c r="E1219" s="29">
        <f>IFERROR(INDEX($R$4:$R$3183,MATCH(SMALL($V$4:$V$3183,1216),$V$4:$V$3183,0)),"")</f>
        <v/>
      </c>
      <c r="F1219">
        <f>IFERROR(INDEX($S$4:$S$3183,MATCH(SMALL($V$4:$V$3183,1216),$V$4:$V$3183,0)),"")</f>
        <v/>
      </c>
      <c r="I1219" s="29">
        <f>IF($B1219="","",IFERROR(INDEX($U$4:$U$3183,MATCH(SMALL($V$4:$V$3183,1216),$V$4:$V$3183,0)),""))</f>
        <v/>
      </c>
      <c r="J1219">
        <f>IF($B1219="","",IF($D1219&gt;$F$2,"À venir",IF($E1219&lt;$D$2,"Passé","Dans la période")))</f>
        <v/>
      </c>
      <c r="K1219">
        <f>IF(OR($B1219="",NOT(ISNUMBER($D1219))),"",IF(AND($E1219&lt;$D$2,$G1219&lt;&gt;"X",$F1219&lt;&gt;"Réalisé",$F1219&lt;&gt;"Clôturé"),"RETARD",""))</f>
        <v/>
      </c>
      <c r="L1219">
        <f>IF(OR($B1219="",NOT(ISNUMBER($D1219))),"",IF(AND($D1219&gt;=$D$2,$D1219&lt;=$H$2,$G1219&lt;&gt;"X",$F1219&lt;&gt;"Réalisé",$F1219&lt;&gt;"Clôturé"),"≤ 7 j",""))</f>
        <v/>
      </c>
      <c r="M1219" s="29">
        <f>IF($B1219="","",IFERROR(INDEX($T$4:$T$3183,MATCH(SMALL($V$4:$V$3183,1216),$V$4:$V$3183,0)),""))</f>
        <v/>
      </c>
      <c r="O1219">
        <f>IF(INDEX(Suivi!$B:$B,1242)="","",INDEX(Suivi!$B:$B,1242))</f>
        <v/>
      </c>
      <c r="P1219">
        <f>IF($O1219="","",IF(INDEX(Suivi!$D:$D,1242)="",INDEX(Suivi!$C:$C,1242),INDEX(Suivi!$D:$D,1242)))</f>
        <v/>
      </c>
      <c r="Q1219">
        <f>IF($O1219="","",INDEX(Suivi!$E:$E,1242))</f>
        <v/>
      </c>
      <c r="R1219">
        <f>IF($O1219="","",INDEX(Suivi!$F:$F,1242))</f>
        <v/>
      </c>
      <c r="S1219">
        <f>IF($O1219="","",INDEX(Suivi!$G:$G,1242))</f>
        <v/>
      </c>
      <c r="T1219">
        <f>IF($O1219="","",IF(INDEX(Dossiers!$F$4:$F$63,23)="","",INDEX(Dossiers!$F$4:$F$63,23)))</f>
        <v/>
      </c>
      <c r="U1219">
        <f>IF($O1219="","",IF(INDEX(Dossiers!$G$4:$G$63,23)="","",INDEX(Dossiers!$G$4:$G$63,23)))</f>
        <v/>
      </c>
      <c r="V1219">
        <f>IF(OR($O1219="",NOT(ISNUMBER($Q1219))),"",$Q1219*1000000+1219)</f>
        <v/>
      </c>
      <c r="W1219" s="29">
        <f>IF($B1219="","",IFERROR(INDEX($U$4:$U$3183,MATCH(SMALL($V$4:$V$3183,1216),$V$4:$V$3183,0)),""))</f>
        <v/>
      </c>
    </row>
    <row r="1220">
      <c r="A1220">
        <f>IFERROR(INDEX($N$4:$N$3183,MATCH(SMALL($V$4:$V$3183,1217),$V$4:$V$3183,0)),"")</f>
        <v/>
      </c>
      <c r="B1220">
        <f>IFERROR(INDEX($O$4:$O$3183,MATCH(SMALL($V$4:$V$3183,1217),$V$4:$V$3183,0)),"")</f>
        <v/>
      </c>
      <c r="C1220">
        <f>IFERROR(INDEX($P$4:$P$3183,MATCH(SMALL($V$4:$V$3183,1217),$V$4:$V$3183,0)),"")</f>
        <v/>
      </c>
      <c r="D1220" s="29">
        <f>IFERROR(INDEX($Q$4:$Q$3183,MATCH(SMALL($V$4:$V$3183,1217),$V$4:$V$3183,0)),"")</f>
        <v/>
      </c>
      <c r="E1220" s="29">
        <f>IFERROR(INDEX($R$4:$R$3183,MATCH(SMALL($V$4:$V$3183,1217),$V$4:$V$3183,0)),"")</f>
        <v/>
      </c>
      <c r="F1220">
        <f>IFERROR(INDEX($S$4:$S$3183,MATCH(SMALL($V$4:$V$3183,1217),$V$4:$V$3183,0)),"")</f>
        <v/>
      </c>
      <c r="I1220" s="29">
        <f>IF($B1220="","",IFERROR(INDEX($U$4:$U$3183,MATCH(SMALL($V$4:$V$3183,1217),$V$4:$V$3183,0)),""))</f>
        <v/>
      </c>
      <c r="J1220">
        <f>IF($B1220="","",IF($D1220&gt;$F$2,"À venir",IF($E1220&lt;$D$2,"Passé","Dans la période")))</f>
        <v/>
      </c>
      <c r="K1220">
        <f>IF(OR($B1220="",NOT(ISNUMBER($D1220))),"",IF(AND($E1220&lt;$D$2,$G1220&lt;&gt;"X",$F1220&lt;&gt;"Réalisé",$F1220&lt;&gt;"Clôturé"),"RETARD",""))</f>
        <v/>
      </c>
      <c r="L1220">
        <f>IF(OR($B1220="",NOT(ISNUMBER($D1220))),"",IF(AND($D1220&gt;=$D$2,$D1220&lt;=$H$2,$G1220&lt;&gt;"X",$F1220&lt;&gt;"Réalisé",$F1220&lt;&gt;"Clôturé"),"≤ 7 j",""))</f>
        <v/>
      </c>
      <c r="M1220" s="29">
        <f>IF($B1220="","",IFERROR(INDEX($T$4:$T$3183,MATCH(SMALL($V$4:$V$3183,1217),$V$4:$V$3183,0)),""))</f>
        <v/>
      </c>
      <c r="O1220">
        <f>IF(INDEX(Suivi!$B:$B,1243)="","",INDEX(Suivi!$B:$B,1243))</f>
        <v/>
      </c>
      <c r="P1220">
        <f>IF($O1220="","",IF(INDEX(Suivi!$D:$D,1243)="",INDEX(Suivi!$C:$C,1243),INDEX(Suivi!$D:$D,1243)))</f>
        <v/>
      </c>
      <c r="Q1220">
        <f>IF($O1220="","",INDEX(Suivi!$E:$E,1243))</f>
        <v/>
      </c>
      <c r="R1220">
        <f>IF($O1220="","",INDEX(Suivi!$F:$F,1243))</f>
        <v/>
      </c>
      <c r="S1220">
        <f>IF($O1220="","",INDEX(Suivi!$G:$G,1243))</f>
        <v/>
      </c>
      <c r="T1220">
        <f>IF($O1220="","",IF(INDEX(Dossiers!$F$4:$F$63,23)="","",INDEX(Dossiers!$F$4:$F$63,23)))</f>
        <v/>
      </c>
      <c r="U1220">
        <f>IF($O1220="","",IF(INDEX(Dossiers!$G$4:$G$63,23)="","",INDEX(Dossiers!$G$4:$G$63,23)))</f>
        <v/>
      </c>
      <c r="V1220">
        <f>IF(OR($O1220="",NOT(ISNUMBER($Q1220))),"",$Q1220*1000000+1220)</f>
        <v/>
      </c>
      <c r="W1220" s="29">
        <f>IF($B1220="","",IFERROR(INDEX($U$4:$U$3183,MATCH(SMALL($V$4:$V$3183,1217),$V$4:$V$3183,0)),""))</f>
        <v/>
      </c>
    </row>
    <row r="1221">
      <c r="A1221">
        <f>IFERROR(INDEX($N$4:$N$3183,MATCH(SMALL($V$4:$V$3183,1218),$V$4:$V$3183,0)),"")</f>
        <v/>
      </c>
      <c r="B1221">
        <f>IFERROR(INDEX($O$4:$O$3183,MATCH(SMALL($V$4:$V$3183,1218),$V$4:$V$3183,0)),"")</f>
        <v/>
      </c>
      <c r="C1221">
        <f>IFERROR(INDEX($P$4:$P$3183,MATCH(SMALL($V$4:$V$3183,1218),$V$4:$V$3183,0)),"")</f>
        <v/>
      </c>
      <c r="D1221" s="29">
        <f>IFERROR(INDEX($Q$4:$Q$3183,MATCH(SMALL($V$4:$V$3183,1218),$V$4:$V$3183,0)),"")</f>
        <v/>
      </c>
      <c r="E1221" s="29">
        <f>IFERROR(INDEX($R$4:$R$3183,MATCH(SMALL($V$4:$V$3183,1218),$V$4:$V$3183,0)),"")</f>
        <v/>
      </c>
      <c r="F1221">
        <f>IFERROR(INDEX($S$4:$S$3183,MATCH(SMALL($V$4:$V$3183,1218),$V$4:$V$3183,0)),"")</f>
        <v/>
      </c>
      <c r="I1221" s="29">
        <f>IF($B1221="","",IFERROR(INDEX($U$4:$U$3183,MATCH(SMALL($V$4:$V$3183,1218),$V$4:$V$3183,0)),""))</f>
        <v/>
      </c>
      <c r="J1221">
        <f>IF($B1221="","",IF($D1221&gt;$F$2,"À venir",IF($E1221&lt;$D$2,"Passé","Dans la période")))</f>
        <v/>
      </c>
      <c r="K1221">
        <f>IF(OR($B1221="",NOT(ISNUMBER($D1221))),"",IF(AND($E1221&lt;$D$2,$G1221&lt;&gt;"X",$F1221&lt;&gt;"Réalisé",$F1221&lt;&gt;"Clôturé"),"RETARD",""))</f>
        <v/>
      </c>
      <c r="L1221">
        <f>IF(OR($B1221="",NOT(ISNUMBER($D1221))),"",IF(AND($D1221&gt;=$D$2,$D1221&lt;=$H$2,$G1221&lt;&gt;"X",$F1221&lt;&gt;"Réalisé",$F1221&lt;&gt;"Clôturé"),"≤ 7 j",""))</f>
        <v/>
      </c>
      <c r="M1221" s="29">
        <f>IF($B1221="","",IFERROR(INDEX($T$4:$T$3183,MATCH(SMALL($V$4:$V$3183,1218),$V$4:$V$3183,0)),""))</f>
        <v/>
      </c>
      <c r="O1221">
        <f>IF(INDEX(Suivi!$B:$B,1244)="","",INDEX(Suivi!$B:$B,1244))</f>
        <v/>
      </c>
      <c r="P1221">
        <f>IF($O1221="","",IF(INDEX(Suivi!$D:$D,1244)="",INDEX(Suivi!$C:$C,1244),INDEX(Suivi!$D:$D,1244)))</f>
        <v/>
      </c>
      <c r="Q1221">
        <f>IF($O1221="","",INDEX(Suivi!$E:$E,1244))</f>
        <v/>
      </c>
      <c r="R1221">
        <f>IF($O1221="","",INDEX(Suivi!$F:$F,1244))</f>
        <v/>
      </c>
      <c r="S1221">
        <f>IF($O1221="","",INDEX(Suivi!$G:$G,1244))</f>
        <v/>
      </c>
      <c r="T1221">
        <f>IF($O1221="","",IF(INDEX(Dossiers!$F$4:$F$63,23)="","",INDEX(Dossiers!$F$4:$F$63,23)))</f>
        <v/>
      </c>
      <c r="U1221">
        <f>IF($O1221="","",IF(INDEX(Dossiers!$G$4:$G$63,23)="","",INDEX(Dossiers!$G$4:$G$63,23)))</f>
        <v/>
      </c>
      <c r="V1221">
        <f>IF(OR($O1221="",NOT(ISNUMBER($Q1221))),"",$Q1221*1000000+1221)</f>
        <v/>
      </c>
      <c r="W1221" s="29">
        <f>IF($B1221="","",IFERROR(INDEX($U$4:$U$3183,MATCH(SMALL($V$4:$V$3183,1218),$V$4:$V$3183,0)),""))</f>
        <v/>
      </c>
    </row>
    <row r="1222">
      <c r="A1222">
        <f>IFERROR(INDEX($N$4:$N$3183,MATCH(SMALL($V$4:$V$3183,1219),$V$4:$V$3183,0)),"")</f>
        <v/>
      </c>
      <c r="B1222">
        <f>IFERROR(INDEX($O$4:$O$3183,MATCH(SMALL($V$4:$V$3183,1219),$V$4:$V$3183,0)),"")</f>
        <v/>
      </c>
      <c r="C1222">
        <f>IFERROR(INDEX($P$4:$P$3183,MATCH(SMALL($V$4:$V$3183,1219),$V$4:$V$3183,0)),"")</f>
        <v/>
      </c>
      <c r="D1222" s="29">
        <f>IFERROR(INDEX($Q$4:$Q$3183,MATCH(SMALL($V$4:$V$3183,1219),$V$4:$V$3183,0)),"")</f>
        <v/>
      </c>
      <c r="E1222" s="29">
        <f>IFERROR(INDEX($R$4:$R$3183,MATCH(SMALL($V$4:$V$3183,1219),$V$4:$V$3183,0)),"")</f>
        <v/>
      </c>
      <c r="F1222">
        <f>IFERROR(INDEX($S$4:$S$3183,MATCH(SMALL($V$4:$V$3183,1219),$V$4:$V$3183,0)),"")</f>
        <v/>
      </c>
      <c r="I1222" s="29">
        <f>IF($B1222="","",IFERROR(INDEX($U$4:$U$3183,MATCH(SMALL($V$4:$V$3183,1219),$V$4:$V$3183,0)),""))</f>
        <v/>
      </c>
      <c r="J1222">
        <f>IF($B1222="","",IF($D1222&gt;$F$2,"À venir",IF($E1222&lt;$D$2,"Passé","Dans la période")))</f>
        <v/>
      </c>
      <c r="K1222">
        <f>IF(OR($B1222="",NOT(ISNUMBER($D1222))),"",IF(AND($E1222&lt;$D$2,$G1222&lt;&gt;"X",$F1222&lt;&gt;"Réalisé",$F1222&lt;&gt;"Clôturé"),"RETARD",""))</f>
        <v/>
      </c>
      <c r="L1222">
        <f>IF(OR($B1222="",NOT(ISNUMBER($D1222))),"",IF(AND($D1222&gt;=$D$2,$D1222&lt;=$H$2,$G1222&lt;&gt;"X",$F1222&lt;&gt;"Réalisé",$F1222&lt;&gt;"Clôturé"),"≤ 7 j",""))</f>
        <v/>
      </c>
      <c r="M1222" s="29">
        <f>IF($B1222="","",IFERROR(INDEX($T$4:$T$3183,MATCH(SMALL($V$4:$V$3183,1219),$V$4:$V$3183,0)),""))</f>
        <v/>
      </c>
      <c r="O1222">
        <f>IF(INDEX(Suivi!$B:$B,1245)="","",INDEX(Suivi!$B:$B,1245))</f>
        <v/>
      </c>
      <c r="P1222">
        <f>IF($O1222="","",IF(INDEX(Suivi!$D:$D,1245)="",INDEX(Suivi!$C:$C,1245),INDEX(Suivi!$D:$D,1245)))</f>
        <v/>
      </c>
      <c r="Q1222">
        <f>IF($O1222="","",INDEX(Suivi!$E:$E,1245))</f>
        <v/>
      </c>
      <c r="R1222">
        <f>IF($O1222="","",INDEX(Suivi!$F:$F,1245))</f>
        <v/>
      </c>
      <c r="S1222">
        <f>IF($O1222="","",INDEX(Suivi!$G:$G,1245))</f>
        <v/>
      </c>
      <c r="T1222">
        <f>IF($O1222="","",IF(INDEX(Dossiers!$F$4:$F$63,23)="","",INDEX(Dossiers!$F$4:$F$63,23)))</f>
        <v/>
      </c>
      <c r="U1222">
        <f>IF($O1222="","",IF(INDEX(Dossiers!$G$4:$G$63,23)="","",INDEX(Dossiers!$G$4:$G$63,23)))</f>
        <v/>
      </c>
      <c r="V1222">
        <f>IF(OR($O1222="",NOT(ISNUMBER($Q1222))),"",$Q1222*1000000+1222)</f>
        <v/>
      </c>
      <c r="W1222" s="29">
        <f>IF($B1222="","",IFERROR(INDEX($U$4:$U$3183,MATCH(SMALL($V$4:$V$3183,1219),$V$4:$V$3183,0)),""))</f>
        <v/>
      </c>
    </row>
    <row r="1223">
      <c r="A1223">
        <f>IFERROR(INDEX($N$4:$N$3183,MATCH(SMALL($V$4:$V$3183,1220),$V$4:$V$3183,0)),"")</f>
        <v/>
      </c>
      <c r="B1223">
        <f>IFERROR(INDEX($O$4:$O$3183,MATCH(SMALL($V$4:$V$3183,1220),$V$4:$V$3183,0)),"")</f>
        <v/>
      </c>
      <c r="C1223">
        <f>IFERROR(INDEX($P$4:$P$3183,MATCH(SMALL($V$4:$V$3183,1220),$V$4:$V$3183,0)),"")</f>
        <v/>
      </c>
      <c r="D1223" s="29">
        <f>IFERROR(INDEX($Q$4:$Q$3183,MATCH(SMALL($V$4:$V$3183,1220),$V$4:$V$3183,0)),"")</f>
        <v/>
      </c>
      <c r="E1223" s="29">
        <f>IFERROR(INDEX($R$4:$R$3183,MATCH(SMALL($V$4:$V$3183,1220),$V$4:$V$3183,0)),"")</f>
        <v/>
      </c>
      <c r="F1223">
        <f>IFERROR(INDEX($S$4:$S$3183,MATCH(SMALL($V$4:$V$3183,1220),$V$4:$V$3183,0)),"")</f>
        <v/>
      </c>
      <c r="I1223" s="29">
        <f>IF($B1223="","",IFERROR(INDEX($U$4:$U$3183,MATCH(SMALL($V$4:$V$3183,1220),$V$4:$V$3183,0)),""))</f>
        <v/>
      </c>
      <c r="J1223">
        <f>IF($B1223="","",IF($D1223&gt;$F$2,"À venir",IF($E1223&lt;$D$2,"Passé","Dans la période")))</f>
        <v/>
      </c>
      <c r="K1223">
        <f>IF(OR($B1223="",NOT(ISNUMBER($D1223))),"",IF(AND($E1223&lt;$D$2,$G1223&lt;&gt;"X",$F1223&lt;&gt;"Réalisé",$F1223&lt;&gt;"Clôturé"),"RETARD",""))</f>
        <v/>
      </c>
      <c r="L1223">
        <f>IF(OR($B1223="",NOT(ISNUMBER($D1223))),"",IF(AND($D1223&gt;=$D$2,$D1223&lt;=$H$2,$G1223&lt;&gt;"X",$F1223&lt;&gt;"Réalisé",$F1223&lt;&gt;"Clôturé"),"≤ 7 j",""))</f>
        <v/>
      </c>
      <c r="M1223" s="29">
        <f>IF($B1223="","",IFERROR(INDEX($T$4:$T$3183,MATCH(SMALL($V$4:$V$3183,1220),$V$4:$V$3183,0)),""))</f>
        <v/>
      </c>
      <c r="O1223">
        <f>IF(INDEX(Suivi!$B:$B,1247)="","",INDEX(Suivi!$B:$B,1247))</f>
        <v/>
      </c>
      <c r="P1223">
        <f>IF($O1223="","",IF(INDEX(Suivi!$D:$D,1247)="",INDEX(Suivi!$C:$C,1247),INDEX(Suivi!$D:$D,1247)))</f>
        <v/>
      </c>
      <c r="Q1223">
        <f>IF($O1223="","",INDEX(Suivi!$E:$E,1247))</f>
        <v/>
      </c>
      <c r="R1223">
        <f>IF($O1223="","",INDEX(Suivi!$F:$F,1247))</f>
        <v/>
      </c>
      <c r="S1223">
        <f>IF($O1223="","",INDEX(Suivi!$G:$G,1247))</f>
        <v/>
      </c>
      <c r="T1223">
        <f>IF($O1223="","",IF(INDEX(Dossiers!$F$4:$F$63,24)="","",INDEX(Dossiers!$F$4:$F$63,24)))</f>
        <v/>
      </c>
      <c r="U1223">
        <f>IF($O1223="","",IF(INDEX(Dossiers!$G$4:$G$63,24)="","",INDEX(Dossiers!$G$4:$G$63,24)))</f>
        <v/>
      </c>
      <c r="V1223">
        <f>IF(OR($O1223="",NOT(ISNUMBER($Q1223))),"",$Q1223*1000000+1223)</f>
        <v/>
      </c>
      <c r="W1223" s="29">
        <f>IF($B1223="","",IFERROR(INDEX($U$4:$U$3183,MATCH(SMALL($V$4:$V$3183,1220),$V$4:$V$3183,0)),""))</f>
        <v/>
      </c>
    </row>
    <row r="1224">
      <c r="A1224">
        <f>IFERROR(INDEX($N$4:$N$3183,MATCH(SMALL($V$4:$V$3183,1221),$V$4:$V$3183,0)),"")</f>
        <v/>
      </c>
      <c r="B1224">
        <f>IFERROR(INDEX($O$4:$O$3183,MATCH(SMALL($V$4:$V$3183,1221),$V$4:$V$3183,0)),"")</f>
        <v/>
      </c>
      <c r="C1224">
        <f>IFERROR(INDEX($P$4:$P$3183,MATCH(SMALL($V$4:$V$3183,1221),$V$4:$V$3183,0)),"")</f>
        <v/>
      </c>
      <c r="D1224" s="29">
        <f>IFERROR(INDEX($Q$4:$Q$3183,MATCH(SMALL($V$4:$V$3183,1221),$V$4:$V$3183,0)),"")</f>
        <v/>
      </c>
      <c r="E1224" s="29">
        <f>IFERROR(INDEX($R$4:$R$3183,MATCH(SMALL($V$4:$V$3183,1221),$V$4:$V$3183,0)),"")</f>
        <v/>
      </c>
      <c r="F1224">
        <f>IFERROR(INDEX($S$4:$S$3183,MATCH(SMALL($V$4:$V$3183,1221),$V$4:$V$3183,0)),"")</f>
        <v/>
      </c>
      <c r="I1224" s="29">
        <f>IF($B1224="","",IFERROR(INDEX($U$4:$U$3183,MATCH(SMALL($V$4:$V$3183,1221),$V$4:$V$3183,0)),""))</f>
        <v/>
      </c>
      <c r="J1224">
        <f>IF($B1224="","",IF($D1224&gt;$F$2,"À venir",IF($E1224&lt;$D$2,"Passé","Dans la période")))</f>
        <v/>
      </c>
      <c r="K1224">
        <f>IF(OR($B1224="",NOT(ISNUMBER($D1224))),"",IF(AND($E1224&lt;$D$2,$G1224&lt;&gt;"X",$F1224&lt;&gt;"Réalisé",$F1224&lt;&gt;"Clôturé"),"RETARD",""))</f>
        <v/>
      </c>
      <c r="L1224">
        <f>IF(OR($B1224="",NOT(ISNUMBER($D1224))),"",IF(AND($D1224&gt;=$D$2,$D1224&lt;=$H$2,$G1224&lt;&gt;"X",$F1224&lt;&gt;"Réalisé",$F1224&lt;&gt;"Clôturé"),"≤ 7 j",""))</f>
        <v/>
      </c>
      <c r="M1224" s="29">
        <f>IF($B1224="","",IFERROR(INDEX($T$4:$T$3183,MATCH(SMALL($V$4:$V$3183,1221),$V$4:$V$3183,0)),""))</f>
        <v/>
      </c>
      <c r="O1224">
        <f>IF(INDEX(Suivi!$B:$B,1248)="","",INDEX(Suivi!$B:$B,1248))</f>
        <v/>
      </c>
      <c r="P1224">
        <f>IF($O1224="","",IF(INDEX(Suivi!$D:$D,1248)="",INDEX(Suivi!$C:$C,1248),INDEX(Suivi!$D:$D,1248)))</f>
        <v/>
      </c>
      <c r="Q1224">
        <f>IF($O1224="","",INDEX(Suivi!$E:$E,1248))</f>
        <v/>
      </c>
      <c r="R1224">
        <f>IF($O1224="","",INDEX(Suivi!$F:$F,1248))</f>
        <v/>
      </c>
      <c r="S1224">
        <f>IF($O1224="","",INDEX(Suivi!$G:$G,1248))</f>
        <v/>
      </c>
      <c r="T1224">
        <f>IF($O1224="","",IF(INDEX(Dossiers!$F$4:$F$63,24)="","",INDEX(Dossiers!$F$4:$F$63,24)))</f>
        <v/>
      </c>
      <c r="U1224">
        <f>IF($O1224="","",IF(INDEX(Dossiers!$G$4:$G$63,24)="","",INDEX(Dossiers!$G$4:$G$63,24)))</f>
        <v/>
      </c>
      <c r="V1224">
        <f>IF(OR($O1224="",NOT(ISNUMBER($Q1224))),"",$Q1224*1000000+1224)</f>
        <v/>
      </c>
      <c r="W1224" s="29">
        <f>IF($B1224="","",IFERROR(INDEX($U$4:$U$3183,MATCH(SMALL($V$4:$V$3183,1221),$V$4:$V$3183,0)),""))</f>
        <v/>
      </c>
    </row>
    <row r="1225">
      <c r="A1225">
        <f>IFERROR(INDEX($N$4:$N$3183,MATCH(SMALL($V$4:$V$3183,1222),$V$4:$V$3183,0)),"")</f>
        <v/>
      </c>
      <c r="B1225">
        <f>IFERROR(INDEX($O$4:$O$3183,MATCH(SMALL($V$4:$V$3183,1222),$V$4:$V$3183,0)),"")</f>
        <v/>
      </c>
      <c r="C1225">
        <f>IFERROR(INDEX($P$4:$P$3183,MATCH(SMALL($V$4:$V$3183,1222),$V$4:$V$3183,0)),"")</f>
        <v/>
      </c>
      <c r="D1225" s="29">
        <f>IFERROR(INDEX($Q$4:$Q$3183,MATCH(SMALL($V$4:$V$3183,1222),$V$4:$V$3183,0)),"")</f>
        <v/>
      </c>
      <c r="E1225" s="29">
        <f>IFERROR(INDEX($R$4:$R$3183,MATCH(SMALL($V$4:$V$3183,1222),$V$4:$V$3183,0)),"")</f>
        <v/>
      </c>
      <c r="F1225">
        <f>IFERROR(INDEX($S$4:$S$3183,MATCH(SMALL($V$4:$V$3183,1222),$V$4:$V$3183,0)),"")</f>
        <v/>
      </c>
      <c r="I1225" s="29">
        <f>IF($B1225="","",IFERROR(INDEX($U$4:$U$3183,MATCH(SMALL($V$4:$V$3183,1222),$V$4:$V$3183,0)),""))</f>
        <v/>
      </c>
      <c r="J1225">
        <f>IF($B1225="","",IF($D1225&gt;$F$2,"À venir",IF($E1225&lt;$D$2,"Passé","Dans la période")))</f>
        <v/>
      </c>
      <c r="K1225">
        <f>IF(OR($B1225="",NOT(ISNUMBER($D1225))),"",IF(AND($E1225&lt;$D$2,$G1225&lt;&gt;"X",$F1225&lt;&gt;"Réalisé",$F1225&lt;&gt;"Clôturé"),"RETARD",""))</f>
        <v/>
      </c>
      <c r="L1225">
        <f>IF(OR($B1225="",NOT(ISNUMBER($D1225))),"",IF(AND($D1225&gt;=$D$2,$D1225&lt;=$H$2,$G1225&lt;&gt;"X",$F1225&lt;&gt;"Réalisé",$F1225&lt;&gt;"Clôturé"),"≤ 7 j",""))</f>
        <v/>
      </c>
      <c r="M1225" s="29">
        <f>IF($B1225="","",IFERROR(INDEX($T$4:$T$3183,MATCH(SMALL($V$4:$V$3183,1222),$V$4:$V$3183,0)),""))</f>
        <v/>
      </c>
      <c r="O1225">
        <f>IF(INDEX(Suivi!$B:$B,1249)="","",INDEX(Suivi!$B:$B,1249))</f>
        <v/>
      </c>
      <c r="P1225">
        <f>IF($O1225="","",IF(INDEX(Suivi!$D:$D,1249)="",INDEX(Suivi!$C:$C,1249),INDEX(Suivi!$D:$D,1249)))</f>
        <v/>
      </c>
      <c r="Q1225">
        <f>IF($O1225="","",INDEX(Suivi!$E:$E,1249))</f>
        <v/>
      </c>
      <c r="R1225">
        <f>IF($O1225="","",INDEX(Suivi!$F:$F,1249))</f>
        <v/>
      </c>
      <c r="S1225">
        <f>IF($O1225="","",INDEX(Suivi!$G:$G,1249))</f>
        <v/>
      </c>
      <c r="T1225">
        <f>IF($O1225="","",IF(INDEX(Dossiers!$F$4:$F$63,24)="","",INDEX(Dossiers!$F$4:$F$63,24)))</f>
        <v/>
      </c>
      <c r="U1225">
        <f>IF($O1225="","",IF(INDEX(Dossiers!$G$4:$G$63,24)="","",INDEX(Dossiers!$G$4:$G$63,24)))</f>
        <v/>
      </c>
      <c r="V1225">
        <f>IF(OR($O1225="",NOT(ISNUMBER($Q1225))),"",$Q1225*1000000+1225)</f>
        <v/>
      </c>
      <c r="W1225" s="29">
        <f>IF($B1225="","",IFERROR(INDEX($U$4:$U$3183,MATCH(SMALL($V$4:$V$3183,1222),$V$4:$V$3183,0)),""))</f>
        <v/>
      </c>
    </row>
    <row r="1226">
      <c r="A1226">
        <f>IFERROR(INDEX($N$4:$N$3183,MATCH(SMALL($V$4:$V$3183,1223),$V$4:$V$3183,0)),"")</f>
        <v/>
      </c>
      <c r="B1226">
        <f>IFERROR(INDEX($O$4:$O$3183,MATCH(SMALL($V$4:$V$3183,1223),$V$4:$V$3183,0)),"")</f>
        <v/>
      </c>
      <c r="C1226">
        <f>IFERROR(INDEX($P$4:$P$3183,MATCH(SMALL($V$4:$V$3183,1223),$V$4:$V$3183,0)),"")</f>
        <v/>
      </c>
      <c r="D1226" s="29">
        <f>IFERROR(INDEX($Q$4:$Q$3183,MATCH(SMALL($V$4:$V$3183,1223),$V$4:$V$3183,0)),"")</f>
        <v/>
      </c>
      <c r="E1226" s="29">
        <f>IFERROR(INDEX($R$4:$R$3183,MATCH(SMALL($V$4:$V$3183,1223),$V$4:$V$3183,0)),"")</f>
        <v/>
      </c>
      <c r="F1226">
        <f>IFERROR(INDEX($S$4:$S$3183,MATCH(SMALL($V$4:$V$3183,1223),$V$4:$V$3183,0)),"")</f>
        <v/>
      </c>
      <c r="I1226" s="29">
        <f>IF($B1226="","",IFERROR(INDEX($U$4:$U$3183,MATCH(SMALL($V$4:$V$3183,1223),$V$4:$V$3183,0)),""))</f>
        <v/>
      </c>
      <c r="J1226">
        <f>IF($B1226="","",IF($D1226&gt;$F$2,"À venir",IF($E1226&lt;$D$2,"Passé","Dans la période")))</f>
        <v/>
      </c>
      <c r="K1226">
        <f>IF(OR($B1226="",NOT(ISNUMBER($D1226))),"",IF(AND($E1226&lt;$D$2,$G1226&lt;&gt;"X",$F1226&lt;&gt;"Réalisé",$F1226&lt;&gt;"Clôturé"),"RETARD",""))</f>
        <v/>
      </c>
      <c r="L1226">
        <f>IF(OR($B1226="",NOT(ISNUMBER($D1226))),"",IF(AND($D1226&gt;=$D$2,$D1226&lt;=$H$2,$G1226&lt;&gt;"X",$F1226&lt;&gt;"Réalisé",$F1226&lt;&gt;"Clôturé"),"≤ 7 j",""))</f>
        <v/>
      </c>
      <c r="M1226" s="29">
        <f>IF($B1226="","",IFERROR(INDEX($T$4:$T$3183,MATCH(SMALL($V$4:$V$3183,1223),$V$4:$V$3183,0)),""))</f>
        <v/>
      </c>
      <c r="O1226">
        <f>IF(INDEX(Suivi!$B:$B,1250)="","",INDEX(Suivi!$B:$B,1250))</f>
        <v/>
      </c>
      <c r="P1226">
        <f>IF($O1226="","",IF(INDEX(Suivi!$D:$D,1250)="",INDEX(Suivi!$C:$C,1250),INDEX(Suivi!$D:$D,1250)))</f>
        <v/>
      </c>
      <c r="Q1226">
        <f>IF($O1226="","",INDEX(Suivi!$E:$E,1250))</f>
        <v/>
      </c>
      <c r="R1226">
        <f>IF($O1226="","",INDEX(Suivi!$F:$F,1250))</f>
        <v/>
      </c>
      <c r="S1226">
        <f>IF($O1226="","",INDEX(Suivi!$G:$G,1250))</f>
        <v/>
      </c>
      <c r="T1226">
        <f>IF($O1226="","",IF(INDEX(Dossiers!$F$4:$F$63,24)="","",INDEX(Dossiers!$F$4:$F$63,24)))</f>
        <v/>
      </c>
      <c r="U1226">
        <f>IF($O1226="","",IF(INDEX(Dossiers!$G$4:$G$63,24)="","",INDEX(Dossiers!$G$4:$G$63,24)))</f>
        <v/>
      </c>
      <c r="V1226">
        <f>IF(OR($O1226="",NOT(ISNUMBER($Q1226))),"",$Q1226*1000000+1226)</f>
        <v/>
      </c>
      <c r="W1226" s="29">
        <f>IF($B1226="","",IFERROR(INDEX($U$4:$U$3183,MATCH(SMALL($V$4:$V$3183,1223),$V$4:$V$3183,0)),""))</f>
        <v/>
      </c>
    </row>
    <row r="1227">
      <c r="A1227">
        <f>IFERROR(INDEX($N$4:$N$3183,MATCH(SMALL($V$4:$V$3183,1224),$V$4:$V$3183,0)),"")</f>
        <v/>
      </c>
      <c r="B1227">
        <f>IFERROR(INDEX($O$4:$O$3183,MATCH(SMALL($V$4:$V$3183,1224),$V$4:$V$3183,0)),"")</f>
        <v/>
      </c>
      <c r="C1227">
        <f>IFERROR(INDEX($P$4:$P$3183,MATCH(SMALL($V$4:$V$3183,1224),$V$4:$V$3183,0)),"")</f>
        <v/>
      </c>
      <c r="D1227" s="29">
        <f>IFERROR(INDEX($Q$4:$Q$3183,MATCH(SMALL($V$4:$V$3183,1224),$V$4:$V$3183,0)),"")</f>
        <v/>
      </c>
      <c r="E1227" s="29">
        <f>IFERROR(INDEX($R$4:$R$3183,MATCH(SMALL($V$4:$V$3183,1224),$V$4:$V$3183,0)),"")</f>
        <v/>
      </c>
      <c r="F1227">
        <f>IFERROR(INDEX($S$4:$S$3183,MATCH(SMALL($V$4:$V$3183,1224),$V$4:$V$3183,0)),"")</f>
        <v/>
      </c>
      <c r="I1227" s="29">
        <f>IF($B1227="","",IFERROR(INDEX($U$4:$U$3183,MATCH(SMALL($V$4:$V$3183,1224),$V$4:$V$3183,0)),""))</f>
        <v/>
      </c>
      <c r="J1227">
        <f>IF($B1227="","",IF($D1227&gt;$F$2,"À venir",IF($E1227&lt;$D$2,"Passé","Dans la période")))</f>
        <v/>
      </c>
      <c r="K1227">
        <f>IF(OR($B1227="",NOT(ISNUMBER($D1227))),"",IF(AND($E1227&lt;$D$2,$G1227&lt;&gt;"X",$F1227&lt;&gt;"Réalisé",$F1227&lt;&gt;"Clôturé"),"RETARD",""))</f>
        <v/>
      </c>
      <c r="L1227">
        <f>IF(OR($B1227="",NOT(ISNUMBER($D1227))),"",IF(AND($D1227&gt;=$D$2,$D1227&lt;=$H$2,$G1227&lt;&gt;"X",$F1227&lt;&gt;"Réalisé",$F1227&lt;&gt;"Clôturé"),"≤ 7 j",""))</f>
        <v/>
      </c>
      <c r="M1227" s="29">
        <f>IF($B1227="","",IFERROR(INDEX($T$4:$T$3183,MATCH(SMALL($V$4:$V$3183,1224),$V$4:$V$3183,0)),""))</f>
        <v/>
      </c>
      <c r="O1227">
        <f>IF(INDEX(Suivi!$B:$B,1251)="","",INDEX(Suivi!$B:$B,1251))</f>
        <v/>
      </c>
      <c r="P1227">
        <f>IF($O1227="","",IF(INDEX(Suivi!$D:$D,1251)="",INDEX(Suivi!$C:$C,1251),INDEX(Suivi!$D:$D,1251)))</f>
        <v/>
      </c>
      <c r="Q1227">
        <f>IF($O1227="","",INDEX(Suivi!$E:$E,1251))</f>
        <v/>
      </c>
      <c r="R1227">
        <f>IF($O1227="","",INDEX(Suivi!$F:$F,1251))</f>
        <v/>
      </c>
      <c r="S1227">
        <f>IF($O1227="","",INDEX(Suivi!$G:$G,1251))</f>
        <v/>
      </c>
      <c r="T1227">
        <f>IF($O1227="","",IF(INDEX(Dossiers!$F$4:$F$63,24)="","",INDEX(Dossiers!$F$4:$F$63,24)))</f>
        <v/>
      </c>
      <c r="U1227">
        <f>IF($O1227="","",IF(INDEX(Dossiers!$G$4:$G$63,24)="","",INDEX(Dossiers!$G$4:$G$63,24)))</f>
        <v/>
      </c>
      <c r="V1227">
        <f>IF(OR($O1227="",NOT(ISNUMBER($Q1227))),"",$Q1227*1000000+1227)</f>
        <v/>
      </c>
      <c r="W1227" s="29">
        <f>IF($B1227="","",IFERROR(INDEX($U$4:$U$3183,MATCH(SMALL($V$4:$V$3183,1224),$V$4:$V$3183,0)),""))</f>
        <v/>
      </c>
    </row>
    <row r="1228">
      <c r="A1228">
        <f>IFERROR(INDEX($N$4:$N$3183,MATCH(SMALL($V$4:$V$3183,1225),$V$4:$V$3183,0)),"")</f>
        <v/>
      </c>
      <c r="B1228">
        <f>IFERROR(INDEX($O$4:$O$3183,MATCH(SMALL($V$4:$V$3183,1225),$V$4:$V$3183,0)),"")</f>
        <v/>
      </c>
      <c r="C1228">
        <f>IFERROR(INDEX($P$4:$P$3183,MATCH(SMALL($V$4:$V$3183,1225),$V$4:$V$3183,0)),"")</f>
        <v/>
      </c>
      <c r="D1228" s="29">
        <f>IFERROR(INDEX($Q$4:$Q$3183,MATCH(SMALL($V$4:$V$3183,1225),$V$4:$V$3183,0)),"")</f>
        <v/>
      </c>
      <c r="E1228" s="29">
        <f>IFERROR(INDEX($R$4:$R$3183,MATCH(SMALL($V$4:$V$3183,1225),$V$4:$V$3183,0)),"")</f>
        <v/>
      </c>
      <c r="F1228">
        <f>IFERROR(INDEX($S$4:$S$3183,MATCH(SMALL($V$4:$V$3183,1225),$V$4:$V$3183,0)),"")</f>
        <v/>
      </c>
      <c r="I1228" s="29">
        <f>IF($B1228="","",IFERROR(INDEX($U$4:$U$3183,MATCH(SMALL($V$4:$V$3183,1225),$V$4:$V$3183,0)),""))</f>
        <v/>
      </c>
      <c r="J1228">
        <f>IF($B1228="","",IF($D1228&gt;$F$2,"À venir",IF($E1228&lt;$D$2,"Passé","Dans la période")))</f>
        <v/>
      </c>
      <c r="K1228">
        <f>IF(OR($B1228="",NOT(ISNUMBER($D1228))),"",IF(AND($E1228&lt;$D$2,$G1228&lt;&gt;"X",$F1228&lt;&gt;"Réalisé",$F1228&lt;&gt;"Clôturé"),"RETARD",""))</f>
        <v/>
      </c>
      <c r="L1228">
        <f>IF(OR($B1228="",NOT(ISNUMBER($D1228))),"",IF(AND($D1228&gt;=$D$2,$D1228&lt;=$H$2,$G1228&lt;&gt;"X",$F1228&lt;&gt;"Réalisé",$F1228&lt;&gt;"Clôturé"),"≤ 7 j",""))</f>
        <v/>
      </c>
      <c r="M1228" s="29">
        <f>IF($B1228="","",IFERROR(INDEX($T$4:$T$3183,MATCH(SMALL($V$4:$V$3183,1225),$V$4:$V$3183,0)),""))</f>
        <v/>
      </c>
      <c r="O1228">
        <f>IF(INDEX(Suivi!$B:$B,1252)="","",INDEX(Suivi!$B:$B,1252))</f>
        <v/>
      </c>
      <c r="P1228">
        <f>IF($O1228="","",IF(INDEX(Suivi!$D:$D,1252)="",INDEX(Suivi!$C:$C,1252),INDEX(Suivi!$D:$D,1252)))</f>
        <v/>
      </c>
      <c r="Q1228">
        <f>IF($O1228="","",INDEX(Suivi!$E:$E,1252))</f>
        <v/>
      </c>
      <c r="R1228">
        <f>IF($O1228="","",INDEX(Suivi!$F:$F,1252))</f>
        <v/>
      </c>
      <c r="S1228">
        <f>IF($O1228="","",INDEX(Suivi!$G:$G,1252))</f>
        <v/>
      </c>
      <c r="T1228">
        <f>IF($O1228="","",IF(INDEX(Dossiers!$F$4:$F$63,24)="","",INDEX(Dossiers!$F$4:$F$63,24)))</f>
        <v/>
      </c>
      <c r="U1228">
        <f>IF($O1228="","",IF(INDEX(Dossiers!$G$4:$G$63,24)="","",INDEX(Dossiers!$G$4:$G$63,24)))</f>
        <v/>
      </c>
      <c r="V1228">
        <f>IF(OR($O1228="",NOT(ISNUMBER($Q1228))),"",$Q1228*1000000+1228)</f>
        <v/>
      </c>
      <c r="W1228" s="29">
        <f>IF($B1228="","",IFERROR(INDEX($U$4:$U$3183,MATCH(SMALL($V$4:$V$3183,1225),$V$4:$V$3183,0)),""))</f>
        <v/>
      </c>
    </row>
    <row r="1229">
      <c r="A1229">
        <f>IFERROR(INDEX($N$4:$N$3183,MATCH(SMALL($V$4:$V$3183,1226),$V$4:$V$3183,0)),"")</f>
        <v/>
      </c>
      <c r="B1229">
        <f>IFERROR(INDEX($O$4:$O$3183,MATCH(SMALL($V$4:$V$3183,1226),$V$4:$V$3183,0)),"")</f>
        <v/>
      </c>
      <c r="C1229">
        <f>IFERROR(INDEX($P$4:$P$3183,MATCH(SMALL($V$4:$V$3183,1226),$V$4:$V$3183,0)),"")</f>
        <v/>
      </c>
      <c r="D1229" s="29">
        <f>IFERROR(INDEX($Q$4:$Q$3183,MATCH(SMALL($V$4:$V$3183,1226),$V$4:$V$3183,0)),"")</f>
        <v/>
      </c>
      <c r="E1229" s="29">
        <f>IFERROR(INDEX($R$4:$R$3183,MATCH(SMALL($V$4:$V$3183,1226),$V$4:$V$3183,0)),"")</f>
        <v/>
      </c>
      <c r="F1229">
        <f>IFERROR(INDEX($S$4:$S$3183,MATCH(SMALL($V$4:$V$3183,1226),$V$4:$V$3183,0)),"")</f>
        <v/>
      </c>
      <c r="I1229" s="29">
        <f>IF($B1229="","",IFERROR(INDEX($U$4:$U$3183,MATCH(SMALL($V$4:$V$3183,1226),$V$4:$V$3183,0)),""))</f>
        <v/>
      </c>
      <c r="J1229">
        <f>IF($B1229="","",IF($D1229&gt;$F$2,"À venir",IF($E1229&lt;$D$2,"Passé","Dans la période")))</f>
        <v/>
      </c>
      <c r="K1229">
        <f>IF(OR($B1229="",NOT(ISNUMBER($D1229))),"",IF(AND($E1229&lt;$D$2,$G1229&lt;&gt;"X",$F1229&lt;&gt;"Réalisé",$F1229&lt;&gt;"Clôturé"),"RETARD",""))</f>
        <v/>
      </c>
      <c r="L1229">
        <f>IF(OR($B1229="",NOT(ISNUMBER($D1229))),"",IF(AND($D1229&gt;=$D$2,$D1229&lt;=$H$2,$G1229&lt;&gt;"X",$F1229&lt;&gt;"Réalisé",$F1229&lt;&gt;"Clôturé"),"≤ 7 j",""))</f>
        <v/>
      </c>
      <c r="M1229" s="29">
        <f>IF($B1229="","",IFERROR(INDEX($T$4:$T$3183,MATCH(SMALL($V$4:$V$3183,1226),$V$4:$V$3183,0)),""))</f>
        <v/>
      </c>
      <c r="O1229">
        <f>IF(INDEX(Suivi!$B:$B,1253)="","",INDEX(Suivi!$B:$B,1253))</f>
        <v/>
      </c>
      <c r="P1229">
        <f>IF($O1229="","",IF(INDEX(Suivi!$D:$D,1253)="",INDEX(Suivi!$C:$C,1253),INDEX(Suivi!$D:$D,1253)))</f>
        <v/>
      </c>
      <c r="Q1229">
        <f>IF($O1229="","",INDEX(Suivi!$E:$E,1253))</f>
        <v/>
      </c>
      <c r="R1229">
        <f>IF($O1229="","",INDEX(Suivi!$F:$F,1253))</f>
        <v/>
      </c>
      <c r="S1229">
        <f>IF($O1229="","",INDEX(Suivi!$G:$G,1253))</f>
        <v/>
      </c>
      <c r="T1229">
        <f>IF($O1229="","",IF(INDEX(Dossiers!$F$4:$F$63,24)="","",INDEX(Dossiers!$F$4:$F$63,24)))</f>
        <v/>
      </c>
      <c r="U1229">
        <f>IF($O1229="","",IF(INDEX(Dossiers!$G$4:$G$63,24)="","",INDEX(Dossiers!$G$4:$G$63,24)))</f>
        <v/>
      </c>
      <c r="V1229">
        <f>IF(OR($O1229="",NOT(ISNUMBER($Q1229))),"",$Q1229*1000000+1229)</f>
        <v/>
      </c>
      <c r="W1229" s="29">
        <f>IF($B1229="","",IFERROR(INDEX($U$4:$U$3183,MATCH(SMALL($V$4:$V$3183,1226),$V$4:$V$3183,0)),""))</f>
        <v/>
      </c>
    </row>
    <row r="1230">
      <c r="A1230">
        <f>IFERROR(INDEX($N$4:$N$3183,MATCH(SMALL($V$4:$V$3183,1227),$V$4:$V$3183,0)),"")</f>
        <v/>
      </c>
      <c r="B1230">
        <f>IFERROR(INDEX($O$4:$O$3183,MATCH(SMALL($V$4:$V$3183,1227),$V$4:$V$3183,0)),"")</f>
        <v/>
      </c>
      <c r="C1230">
        <f>IFERROR(INDEX($P$4:$P$3183,MATCH(SMALL($V$4:$V$3183,1227),$V$4:$V$3183,0)),"")</f>
        <v/>
      </c>
      <c r="D1230" s="29">
        <f>IFERROR(INDEX($Q$4:$Q$3183,MATCH(SMALL($V$4:$V$3183,1227),$V$4:$V$3183,0)),"")</f>
        <v/>
      </c>
      <c r="E1230" s="29">
        <f>IFERROR(INDEX($R$4:$R$3183,MATCH(SMALL($V$4:$V$3183,1227),$V$4:$V$3183,0)),"")</f>
        <v/>
      </c>
      <c r="F1230">
        <f>IFERROR(INDEX($S$4:$S$3183,MATCH(SMALL($V$4:$V$3183,1227),$V$4:$V$3183,0)),"")</f>
        <v/>
      </c>
      <c r="I1230" s="29">
        <f>IF($B1230="","",IFERROR(INDEX($U$4:$U$3183,MATCH(SMALL($V$4:$V$3183,1227),$V$4:$V$3183,0)),""))</f>
        <v/>
      </c>
      <c r="J1230">
        <f>IF($B1230="","",IF($D1230&gt;$F$2,"À venir",IF($E1230&lt;$D$2,"Passé","Dans la période")))</f>
        <v/>
      </c>
      <c r="K1230">
        <f>IF(OR($B1230="",NOT(ISNUMBER($D1230))),"",IF(AND($E1230&lt;$D$2,$G1230&lt;&gt;"X",$F1230&lt;&gt;"Réalisé",$F1230&lt;&gt;"Clôturé"),"RETARD",""))</f>
        <v/>
      </c>
      <c r="L1230">
        <f>IF(OR($B1230="",NOT(ISNUMBER($D1230))),"",IF(AND($D1230&gt;=$D$2,$D1230&lt;=$H$2,$G1230&lt;&gt;"X",$F1230&lt;&gt;"Réalisé",$F1230&lt;&gt;"Clôturé"),"≤ 7 j",""))</f>
        <v/>
      </c>
      <c r="M1230" s="29">
        <f>IF($B1230="","",IFERROR(INDEX($T$4:$T$3183,MATCH(SMALL($V$4:$V$3183,1227),$V$4:$V$3183,0)),""))</f>
        <v/>
      </c>
      <c r="O1230">
        <f>IF(INDEX(Suivi!$B:$B,1254)="","",INDEX(Suivi!$B:$B,1254))</f>
        <v/>
      </c>
      <c r="P1230">
        <f>IF($O1230="","",IF(INDEX(Suivi!$D:$D,1254)="",INDEX(Suivi!$C:$C,1254),INDEX(Suivi!$D:$D,1254)))</f>
        <v/>
      </c>
      <c r="Q1230">
        <f>IF($O1230="","",INDEX(Suivi!$E:$E,1254))</f>
        <v/>
      </c>
      <c r="R1230">
        <f>IF($O1230="","",INDEX(Suivi!$F:$F,1254))</f>
        <v/>
      </c>
      <c r="S1230">
        <f>IF($O1230="","",INDEX(Suivi!$G:$G,1254))</f>
        <v/>
      </c>
      <c r="T1230">
        <f>IF($O1230="","",IF(INDEX(Dossiers!$F$4:$F$63,24)="","",INDEX(Dossiers!$F$4:$F$63,24)))</f>
        <v/>
      </c>
      <c r="U1230">
        <f>IF($O1230="","",IF(INDEX(Dossiers!$G$4:$G$63,24)="","",INDEX(Dossiers!$G$4:$G$63,24)))</f>
        <v/>
      </c>
      <c r="V1230">
        <f>IF(OR($O1230="",NOT(ISNUMBER($Q1230))),"",$Q1230*1000000+1230)</f>
        <v/>
      </c>
      <c r="W1230" s="29">
        <f>IF($B1230="","",IFERROR(INDEX($U$4:$U$3183,MATCH(SMALL($V$4:$V$3183,1227),$V$4:$V$3183,0)),""))</f>
        <v/>
      </c>
    </row>
    <row r="1231">
      <c r="A1231">
        <f>IFERROR(INDEX($N$4:$N$3183,MATCH(SMALL($V$4:$V$3183,1228),$V$4:$V$3183,0)),"")</f>
        <v/>
      </c>
      <c r="B1231">
        <f>IFERROR(INDEX($O$4:$O$3183,MATCH(SMALL($V$4:$V$3183,1228),$V$4:$V$3183,0)),"")</f>
        <v/>
      </c>
      <c r="C1231">
        <f>IFERROR(INDEX($P$4:$P$3183,MATCH(SMALL($V$4:$V$3183,1228),$V$4:$V$3183,0)),"")</f>
        <v/>
      </c>
      <c r="D1231" s="29">
        <f>IFERROR(INDEX($Q$4:$Q$3183,MATCH(SMALL($V$4:$V$3183,1228),$V$4:$V$3183,0)),"")</f>
        <v/>
      </c>
      <c r="E1231" s="29">
        <f>IFERROR(INDEX($R$4:$R$3183,MATCH(SMALL($V$4:$V$3183,1228),$V$4:$V$3183,0)),"")</f>
        <v/>
      </c>
      <c r="F1231">
        <f>IFERROR(INDEX($S$4:$S$3183,MATCH(SMALL($V$4:$V$3183,1228),$V$4:$V$3183,0)),"")</f>
        <v/>
      </c>
      <c r="I1231" s="29">
        <f>IF($B1231="","",IFERROR(INDEX($U$4:$U$3183,MATCH(SMALL($V$4:$V$3183,1228),$V$4:$V$3183,0)),""))</f>
        <v/>
      </c>
      <c r="J1231">
        <f>IF($B1231="","",IF($D1231&gt;$F$2,"À venir",IF($E1231&lt;$D$2,"Passé","Dans la période")))</f>
        <v/>
      </c>
      <c r="K1231">
        <f>IF(OR($B1231="",NOT(ISNUMBER($D1231))),"",IF(AND($E1231&lt;$D$2,$G1231&lt;&gt;"X",$F1231&lt;&gt;"Réalisé",$F1231&lt;&gt;"Clôturé"),"RETARD",""))</f>
        <v/>
      </c>
      <c r="L1231">
        <f>IF(OR($B1231="",NOT(ISNUMBER($D1231))),"",IF(AND($D1231&gt;=$D$2,$D1231&lt;=$H$2,$G1231&lt;&gt;"X",$F1231&lt;&gt;"Réalisé",$F1231&lt;&gt;"Clôturé"),"≤ 7 j",""))</f>
        <v/>
      </c>
      <c r="M1231" s="29">
        <f>IF($B1231="","",IFERROR(INDEX($T$4:$T$3183,MATCH(SMALL($V$4:$V$3183,1228),$V$4:$V$3183,0)),""))</f>
        <v/>
      </c>
      <c r="O1231">
        <f>IF(INDEX(Suivi!$B:$B,1255)="","",INDEX(Suivi!$B:$B,1255))</f>
        <v/>
      </c>
      <c r="P1231">
        <f>IF($O1231="","",IF(INDEX(Suivi!$D:$D,1255)="",INDEX(Suivi!$C:$C,1255),INDEX(Suivi!$D:$D,1255)))</f>
        <v/>
      </c>
      <c r="Q1231">
        <f>IF($O1231="","",INDEX(Suivi!$E:$E,1255))</f>
        <v/>
      </c>
      <c r="R1231">
        <f>IF($O1231="","",INDEX(Suivi!$F:$F,1255))</f>
        <v/>
      </c>
      <c r="S1231">
        <f>IF($O1231="","",INDEX(Suivi!$G:$G,1255))</f>
        <v/>
      </c>
      <c r="T1231">
        <f>IF($O1231="","",IF(INDEX(Dossiers!$F$4:$F$63,24)="","",INDEX(Dossiers!$F$4:$F$63,24)))</f>
        <v/>
      </c>
      <c r="U1231">
        <f>IF($O1231="","",IF(INDEX(Dossiers!$G$4:$G$63,24)="","",INDEX(Dossiers!$G$4:$G$63,24)))</f>
        <v/>
      </c>
      <c r="V1231">
        <f>IF(OR($O1231="",NOT(ISNUMBER($Q1231))),"",$Q1231*1000000+1231)</f>
        <v/>
      </c>
      <c r="W1231" s="29">
        <f>IF($B1231="","",IFERROR(INDEX($U$4:$U$3183,MATCH(SMALL($V$4:$V$3183,1228),$V$4:$V$3183,0)),""))</f>
        <v/>
      </c>
    </row>
    <row r="1232">
      <c r="A1232">
        <f>IFERROR(INDEX($N$4:$N$3183,MATCH(SMALL($V$4:$V$3183,1229),$V$4:$V$3183,0)),"")</f>
        <v/>
      </c>
      <c r="B1232">
        <f>IFERROR(INDEX($O$4:$O$3183,MATCH(SMALL($V$4:$V$3183,1229),$V$4:$V$3183,0)),"")</f>
        <v/>
      </c>
      <c r="C1232">
        <f>IFERROR(INDEX($P$4:$P$3183,MATCH(SMALL($V$4:$V$3183,1229),$V$4:$V$3183,0)),"")</f>
        <v/>
      </c>
      <c r="D1232" s="29">
        <f>IFERROR(INDEX($Q$4:$Q$3183,MATCH(SMALL($V$4:$V$3183,1229),$V$4:$V$3183,0)),"")</f>
        <v/>
      </c>
      <c r="E1232" s="29">
        <f>IFERROR(INDEX($R$4:$R$3183,MATCH(SMALL($V$4:$V$3183,1229),$V$4:$V$3183,0)),"")</f>
        <v/>
      </c>
      <c r="F1232">
        <f>IFERROR(INDEX($S$4:$S$3183,MATCH(SMALL($V$4:$V$3183,1229),$V$4:$V$3183,0)),"")</f>
        <v/>
      </c>
      <c r="I1232" s="29">
        <f>IF($B1232="","",IFERROR(INDEX($U$4:$U$3183,MATCH(SMALL($V$4:$V$3183,1229),$V$4:$V$3183,0)),""))</f>
        <v/>
      </c>
      <c r="J1232">
        <f>IF($B1232="","",IF($D1232&gt;$F$2,"À venir",IF($E1232&lt;$D$2,"Passé","Dans la période")))</f>
        <v/>
      </c>
      <c r="K1232">
        <f>IF(OR($B1232="",NOT(ISNUMBER($D1232))),"",IF(AND($E1232&lt;$D$2,$G1232&lt;&gt;"X",$F1232&lt;&gt;"Réalisé",$F1232&lt;&gt;"Clôturé"),"RETARD",""))</f>
        <v/>
      </c>
      <c r="L1232">
        <f>IF(OR($B1232="",NOT(ISNUMBER($D1232))),"",IF(AND($D1232&gt;=$D$2,$D1232&lt;=$H$2,$G1232&lt;&gt;"X",$F1232&lt;&gt;"Réalisé",$F1232&lt;&gt;"Clôturé"),"≤ 7 j",""))</f>
        <v/>
      </c>
      <c r="M1232" s="29">
        <f>IF($B1232="","",IFERROR(INDEX($T$4:$T$3183,MATCH(SMALL($V$4:$V$3183,1229),$V$4:$V$3183,0)),""))</f>
        <v/>
      </c>
      <c r="O1232">
        <f>IF(INDEX(Suivi!$B:$B,1256)="","",INDEX(Suivi!$B:$B,1256))</f>
        <v/>
      </c>
      <c r="P1232">
        <f>IF($O1232="","",IF(INDEX(Suivi!$D:$D,1256)="",INDEX(Suivi!$C:$C,1256),INDEX(Suivi!$D:$D,1256)))</f>
        <v/>
      </c>
      <c r="Q1232">
        <f>IF($O1232="","",INDEX(Suivi!$E:$E,1256))</f>
        <v/>
      </c>
      <c r="R1232">
        <f>IF($O1232="","",INDEX(Suivi!$F:$F,1256))</f>
        <v/>
      </c>
      <c r="S1232">
        <f>IF($O1232="","",INDEX(Suivi!$G:$G,1256))</f>
        <v/>
      </c>
      <c r="T1232">
        <f>IF($O1232="","",IF(INDEX(Dossiers!$F$4:$F$63,24)="","",INDEX(Dossiers!$F$4:$F$63,24)))</f>
        <v/>
      </c>
      <c r="U1232">
        <f>IF($O1232="","",IF(INDEX(Dossiers!$G$4:$G$63,24)="","",INDEX(Dossiers!$G$4:$G$63,24)))</f>
        <v/>
      </c>
      <c r="V1232">
        <f>IF(OR($O1232="",NOT(ISNUMBER($Q1232))),"",$Q1232*1000000+1232)</f>
        <v/>
      </c>
      <c r="W1232" s="29">
        <f>IF($B1232="","",IFERROR(INDEX($U$4:$U$3183,MATCH(SMALL($V$4:$V$3183,1229),$V$4:$V$3183,0)),""))</f>
        <v/>
      </c>
    </row>
    <row r="1233">
      <c r="A1233">
        <f>IFERROR(INDEX($N$4:$N$3183,MATCH(SMALL($V$4:$V$3183,1230),$V$4:$V$3183,0)),"")</f>
        <v/>
      </c>
      <c r="B1233">
        <f>IFERROR(INDEX($O$4:$O$3183,MATCH(SMALL($V$4:$V$3183,1230),$V$4:$V$3183,0)),"")</f>
        <v/>
      </c>
      <c r="C1233">
        <f>IFERROR(INDEX($P$4:$P$3183,MATCH(SMALL($V$4:$V$3183,1230),$V$4:$V$3183,0)),"")</f>
        <v/>
      </c>
      <c r="D1233" s="29">
        <f>IFERROR(INDEX($Q$4:$Q$3183,MATCH(SMALL($V$4:$V$3183,1230),$V$4:$V$3183,0)),"")</f>
        <v/>
      </c>
      <c r="E1233" s="29">
        <f>IFERROR(INDEX($R$4:$R$3183,MATCH(SMALL($V$4:$V$3183,1230),$V$4:$V$3183,0)),"")</f>
        <v/>
      </c>
      <c r="F1233">
        <f>IFERROR(INDEX($S$4:$S$3183,MATCH(SMALL($V$4:$V$3183,1230),$V$4:$V$3183,0)),"")</f>
        <v/>
      </c>
      <c r="I1233" s="29">
        <f>IF($B1233="","",IFERROR(INDEX($U$4:$U$3183,MATCH(SMALL($V$4:$V$3183,1230),$V$4:$V$3183,0)),""))</f>
        <v/>
      </c>
      <c r="J1233">
        <f>IF($B1233="","",IF($D1233&gt;$F$2,"À venir",IF($E1233&lt;$D$2,"Passé","Dans la période")))</f>
        <v/>
      </c>
      <c r="K1233">
        <f>IF(OR($B1233="",NOT(ISNUMBER($D1233))),"",IF(AND($E1233&lt;$D$2,$G1233&lt;&gt;"X",$F1233&lt;&gt;"Réalisé",$F1233&lt;&gt;"Clôturé"),"RETARD",""))</f>
        <v/>
      </c>
      <c r="L1233">
        <f>IF(OR($B1233="",NOT(ISNUMBER($D1233))),"",IF(AND($D1233&gt;=$D$2,$D1233&lt;=$H$2,$G1233&lt;&gt;"X",$F1233&lt;&gt;"Réalisé",$F1233&lt;&gt;"Clôturé"),"≤ 7 j",""))</f>
        <v/>
      </c>
      <c r="M1233" s="29">
        <f>IF($B1233="","",IFERROR(INDEX($T$4:$T$3183,MATCH(SMALL($V$4:$V$3183,1230),$V$4:$V$3183,0)),""))</f>
        <v/>
      </c>
      <c r="O1233">
        <f>IF(INDEX(Suivi!$B:$B,1257)="","",INDEX(Suivi!$B:$B,1257))</f>
        <v/>
      </c>
      <c r="P1233">
        <f>IF($O1233="","",IF(INDEX(Suivi!$D:$D,1257)="",INDEX(Suivi!$C:$C,1257),INDEX(Suivi!$D:$D,1257)))</f>
        <v/>
      </c>
      <c r="Q1233">
        <f>IF($O1233="","",INDEX(Suivi!$E:$E,1257))</f>
        <v/>
      </c>
      <c r="R1233">
        <f>IF($O1233="","",INDEX(Suivi!$F:$F,1257))</f>
        <v/>
      </c>
      <c r="S1233">
        <f>IF($O1233="","",INDEX(Suivi!$G:$G,1257))</f>
        <v/>
      </c>
      <c r="T1233">
        <f>IF($O1233="","",IF(INDEX(Dossiers!$F$4:$F$63,24)="","",INDEX(Dossiers!$F$4:$F$63,24)))</f>
        <v/>
      </c>
      <c r="U1233">
        <f>IF($O1233="","",IF(INDEX(Dossiers!$G$4:$G$63,24)="","",INDEX(Dossiers!$G$4:$G$63,24)))</f>
        <v/>
      </c>
      <c r="V1233">
        <f>IF(OR($O1233="",NOT(ISNUMBER($Q1233))),"",$Q1233*1000000+1233)</f>
        <v/>
      </c>
      <c r="W1233" s="29">
        <f>IF($B1233="","",IFERROR(INDEX($U$4:$U$3183,MATCH(SMALL($V$4:$V$3183,1230),$V$4:$V$3183,0)),""))</f>
        <v/>
      </c>
    </row>
    <row r="1234">
      <c r="A1234">
        <f>IFERROR(INDEX($N$4:$N$3183,MATCH(SMALL($V$4:$V$3183,1231),$V$4:$V$3183,0)),"")</f>
        <v/>
      </c>
      <c r="B1234">
        <f>IFERROR(INDEX($O$4:$O$3183,MATCH(SMALL($V$4:$V$3183,1231),$V$4:$V$3183,0)),"")</f>
        <v/>
      </c>
      <c r="C1234">
        <f>IFERROR(INDEX($P$4:$P$3183,MATCH(SMALL($V$4:$V$3183,1231),$V$4:$V$3183,0)),"")</f>
        <v/>
      </c>
      <c r="D1234" s="29">
        <f>IFERROR(INDEX($Q$4:$Q$3183,MATCH(SMALL($V$4:$V$3183,1231),$V$4:$V$3183,0)),"")</f>
        <v/>
      </c>
      <c r="E1234" s="29">
        <f>IFERROR(INDEX($R$4:$R$3183,MATCH(SMALL($V$4:$V$3183,1231),$V$4:$V$3183,0)),"")</f>
        <v/>
      </c>
      <c r="F1234">
        <f>IFERROR(INDEX($S$4:$S$3183,MATCH(SMALL($V$4:$V$3183,1231),$V$4:$V$3183,0)),"")</f>
        <v/>
      </c>
      <c r="I1234" s="29">
        <f>IF($B1234="","",IFERROR(INDEX($U$4:$U$3183,MATCH(SMALL($V$4:$V$3183,1231),$V$4:$V$3183,0)),""))</f>
        <v/>
      </c>
      <c r="J1234">
        <f>IF($B1234="","",IF($D1234&gt;$F$2,"À venir",IF($E1234&lt;$D$2,"Passé","Dans la période")))</f>
        <v/>
      </c>
      <c r="K1234">
        <f>IF(OR($B1234="",NOT(ISNUMBER($D1234))),"",IF(AND($E1234&lt;$D$2,$G1234&lt;&gt;"X",$F1234&lt;&gt;"Réalisé",$F1234&lt;&gt;"Clôturé"),"RETARD",""))</f>
        <v/>
      </c>
      <c r="L1234">
        <f>IF(OR($B1234="",NOT(ISNUMBER($D1234))),"",IF(AND($D1234&gt;=$D$2,$D1234&lt;=$H$2,$G1234&lt;&gt;"X",$F1234&lt;&gt;"Réalisé",$F1234&lt;&gt;"Clôturé"),"≤ 7 j",""))</f>
        <v/>
      </c>
      <c r="M1234" s="29">
        <f>IF($B1234="","",IFERROR(INDEX($T$4:$T$3183,MATCH(SMALL($V$4:$V$3183,1231),$V$4:$V$3183,0)),""))</f>
        <v/>
      </c>
      <c r="O1234">
        <f>IF(INDEX(Suivi!$B:$B,1258)="","",INDEX(Suivi!$B:$B,1258))</f>
        <v/>
      </c>
      <c r="P1234">
        <f>IF($O1234="","",IF(INDEX(Suivi!$D:$D,1258)="",INDEX(Suivi!$C:$C,1258),INDEX(Suivi!$D:$D,1258)))</f>
        <v/>
      </c>
      <c r="Q1234">
        <f>IF($O1234="","",INDEX(Suivi!$E:$E,1258))</f>
        <v/>
      </c>
      <c r="R1234">
        <f>IF($O1234="","",INDEX(Suivi!$F:$F,1258))</f>
        <v/>
      </c>
      <c r="S1234">
        <f>IF($O1234="","",INDEX(Suivi!$G:$G,1258))</f>
        <v/>
      </c>
      <c r="T1234">
        <f>IF($O1234="","",IF(INDEX(Dossiers!$F$4:$F$63,24)="","",INDEX(Dossiers!$F$4:$F$63,24)))</f>
        <v/>
      </c>
      <c r="U1234">
        <f>IF($O1234="","",IF(INDEX(Dossiers!$G$4:$G$63,24)="","",INDEX(Dossiers!$G$4:$G$63,24)))</f>
        <v/>
      </c>
      <c r="V1234">
        <f>IF(OR($O1234="",NOT(ISNUMBER($Q1234))),"",$Q1234*1000000+1234)</f>
        <v/>
      </c>
      <c r="W1234" s="29">
        <f>IF($B1234="","",IFERROR(INDEX($U$4:$U$3183,MATCH(SMALL($V$4:$V$3183,1231),$V$4:$V$3183,0)),""))</f>
        <v/>
      </c>
    </row>
    <row r="1235">
      <c r="A1235">
        <f>IFERROR(INDEX($N$4:$N$3183,MATCH(SMALL($V$4:$V$3183,1232),$V$4:$V$3183,0)),"")</f>
        <v/>
      </c>
      <c r="B1235">
        <f>IFERROR(INDEX($O$4:$O$3183,MATCH(SMALL($V$4:$V$3183,1232),$V$4:$V$3183,0)),"")</f>
        <v/>
      </c>
      <c r="C1235">
        <f>IFERROR(INDEX($P$4:$P$3183,MATCH(SMALL($V$4:$V$3183,1232),$V$4:$V$3183,0)),"")</f>
        <v/>
      </c>
      <c r="D1235" s="29">
        <f>IFERROR(INDEX($Q$4:$Q$3183,MATCH(SMALL($V$4:$V$3183,1232),$V$4:$V$3183,0)),"")</f>
        <v/>
      </c>
      <c r="E1235" s="29">
        <f>IFERROR(INDEX($R$4:$R$3183,MATCH(SMALL($V$4:$V$3183,1232),$V$4:$V$3183,0)),"")</f>
        <v/>
      </c>
      <c r="F1235">
        <f>IFERROR(INDEX($S$4:$S$3183,MATCH(SMALL($V$4:$V$3183,1232),$V$4:$V$3183,0)),"")</f>
        <v/>
      </c>
      <c r="I1235" s="29">
        <f>IF($B1235="","",IFERROR(INDEX($U$4:$U$3183,MATCH(SMALL($V$4:$V$3183,1232),$V$4:$V$3183,0)),""))</f>
        <v/>
      </c>
      <c r="J1235">
        <f>IF($B1235="","",IF($D1235&gt;$F$2,"À venir",IF($E1235&lt;$D$2,"Passé","Dans la période")))</f>
        <v/>
      </c>
      <c r="K1235">
        <f>IF(OR($B1235="",NOT(ISNUMBER($D1235))),"",IF(AND($E1235&lt;$D$2,$G1235&lt;&gt;"X",$F1235&lt;&gt;"Réalisé",$F1235&lt;&gt;"Clôturé"),"RETARD",""))</f>
        <v/>
      </c>
      <c r="L1235">
        <f>IF(OR($B1235="",NOT(ISNUMBER($D1235))),"",IF(AND($D1235&gt;=$D$2,$D1235&lt;=$H$2,$G1235&lt;&gt;"X",$F1235&lt;&gt;"Réalisé",$F1235&lt;&gt;"Clôturé"),"≤ 7 j",""))</f>
        <v/>
      </c>
      <c r="M1235" s="29">
        <f>IF($B1235="","",IFERROR(INDEX($T$4:$T$3183,MATCH(SMALL($V$4:$V$3183,1232),$V$4:$V$3183,0)),""))</f>
        <v/>
      </c>
      <c r="O1235">
        <f>IF(INDEX(Suivi!$B:$B,1259)="","",INDEX(Suivi!$B:$B,1259))</f>
        <v/>
      </c>
      <c r="P1235">
        <f>IF($O1235="","",IF(INDEX(Suivi!$D:$D,1259)="",INDEX(Suivi!$C:$C,1259),INDEX(Suivi!$D:$D,1259)))</f>
        <v/>
      </c>
      <c r="Q1235">
        <f>IF($O1235="","",INDEX(Suivi!$E:$E,1259))</f>
        <v/>
      </c>
      <c r="R1235">
        <f>IF($O1235="","",INDEX(Suivi!$F:$F,1259))</f>
        <v/>
      </c>
      <c r="S1235">
        <f>IF($O1235="","",INDEX(Suivi!$G:$G,1259))</f>
        <v/>
      </c>
      <c r="T1235">
        <f>IF($O1235="","",IF(INDEX(Dossiers!$F$4:$F$63,24)="","",INDEX(Dossiers!$F$4:$F$63,24)))</f>
        <v/>
      </c>
      <c r="U1235">
        <f>IF($O1235="","",IF(INDEX(Dossiers!$G$4:$G$63,24)="","",INDEX(Dossiers!$G$4:$G$63,24)))</f>
        <v/>
      </c>
      <c r="V1235">
        <f>IF(OR($O1235="",NOT(ISNUMBER($Q1235))),"",$Q1235*1000000+1235)</f>
        <v/>
      </c>
      <c r="W1235" s="29">
        <f>IF($B1235="","",IFERROR(INDEX($U$4:$U$3183,MATCH(SMALL($V$4:$V$3183,1232),$V$4:$V$3183,0)),""))</f>
        <v/>
      </c>
    </row>
    <row r="1236">
      <c r="A1236">
        <f>IFERROR(INDEX($N$4:$N$3183,MATCH(SMALL($V$4:$V$3183,1233),$V$4:$V$3183,0)),"")</f>
        <v/>
      </c>
      <c r="B1236">
        <f>IFERROR(INDEX($O$4:$O$3183,MATCH(SMALL($V$4:$V$3183,1233),$V$4:$V$3183,0)),"")</f>
        <v/>
      </c>
      <c r="C1236">
        <f>IFERROR(INDEX($P$4:$P$3183,MATCH(SMALL($V$4:$V$3183,1233),$V$4:$V$3183,0)),"")</f>
        <v/>
      </c>
      <c r="D1236" s="29">
        <f>IFERROR(INDEX($Q$4:$Q$3183,MATCH(SMALL($V$4:$V$3183,1233),$V$4:$V$3183,0)),"")</f>
        <v/>
      </c>
      <c r="E1236" s="29">
        <f>IFERROR(INDEX($R$4:$R$3183,MATCH(SMALL($V$4:$V$3183,1233),$V$4:$V$3183,0)),"")</f>
        <v/>
      </c>
      <c r="F1236">
        <f>IFERROR(INDEX($S$4:$S$3183,MATCH(SMALL($V$4:$V$3183,1233),$V$4:$V$3183,0)),"")</f>
        <v/>
      </c>
      <c r="I1236" s="29">
        <f>IF($B1236="","",IFERROR(INDEX($U$4:$U$3183,MATCH(SMALL($V$4:$V$3183,1233),$V$4:$V$3183,0)),""))</f>
        <v/>
      </c>
      <c r="J1236">
        <f>IF($B1236="","",IF($D1236&gt;$F$2,"À venir",IF($E1236&lt;$D$2,"Passé","Dans la période")))</f>
        <v/>
      </c>
      <c r="K1236">
        <f>IF(OR($B1236="",NOT(ISNUMBER($D1236))),"",IF(AND($E1236&lt;$D$2,$G1236&lt;&gt;"X",$F1236&lt;&gt;"Réalisé",$F1236&lt;&gt;"Clôturé"),"RETARD",""))</f>
        <v/>
      </c>
      <c r="L1236">
        <f>IF(OR($B1236="",NOT(ISNUMBER($D1236))),"",IF(AND($D1236&gt;=$D$2,$D1236&lt;=$H$2,$G1236&lt;&gt;"X",$F1236&lt;&gt;"Réalisé",$F1236&lt;&gt;"Clôturé"),"≤ 7 j",""))</f>
        <v/>
      </c>
      <c r="M1236" s="29">
        <f>IF($B1236="","",IFERROR(INDEX($T$4:$T$3183,MATCH(SMALL($V$4:$V$3183,1233),$V$4:$V$3183,0)),""))</f>
        <v/>
      </c>
      <c r="O1236">
        <f>IF(INDEX(Suivi!$B:$B,1260)="","",INDEX(Suivi!$B:$B,1260))</f>
        <v/>
      </c>
      <c r="P1236">
        <f>IF($O1236="","",IF(INDEX(Suivi!$D:$D,1260)="",INDEX(Suivi!$C:$C,1260),INDEX(Suivi!$D:$D,1260)))</f>
        <v/>
      </c>
      <c r="Q1236">
        <f>IF($O1236="","",INDEX(Suivi!$E:$E,1260))</f>
        <v/>
      </c>
      <c r="R1236">
        <f>IF($O1236="","",INDEX(Suivi!$F:$F,1260))</f>
        <v/>
      </c>
      <c r="S1236">
        <f>IF($O1236="","",INDEX(Suivi!$G:$G,1260))</f>
        <v/>
      </c>
      <c r="T1236">
        <f>IF($O1236="","",IF(INDEX(Dossiers!$F$4:$F$63,24)="","",INDEX(Dossiers!$F$4:$F$63,24)))</f>
        <v/>
      </c>
      <c r="U1236">
        <f>IF($O1236="","",IF(INDEX(Dossiers!$G$4:$G$63,24)="","",INDEX(Dossiers!$G$4:$G$63,24)))</f>
        <v/>
      </c>
      <c r="V1236">
        <f>IF(OR($O1236="",NOT(ISNUMBER($Q1236))),"",$Q1236*1000000+1236)</f>
        <v/>
      </c>
      <c r="W1236" s="29">
        <f>IF($B1236="","",IFERROR(INDEX($U$4:$U$3183,MATCH(SMALL($V$4:$V$3183,1233),$V$4:$V$3183,0)),""))</f>
        <v/>
      </c>
    </row>
    <row r="1237">
      <c r="A1237">
        <f>IFERROR(INDEX($N$4:$N$3183,MATCH(SMALL($V$4:$V$3183,1234),$V$4:$V$3183,0)),"")</f>
        <v/>
      </c>
      <c r="B1237">
        <f>IFERROR(INDEX($O$4:$O$3183,MATCH(SMALL($V$4:$V$3183,1234),$V$4:$V$3183,0)),"")</f>
        <v/>
      </c>
      <c r="C1237">
        <f>IFERROR(INDEX($P$4:$P$3183,MATCH(SMALL($V$4:$V$3183,1234),$V$4:$V$3183,0)),"")</f>
        <v/>
      </c>
      <c r="D1237" s="29">
        <f>IFERROR(INDEX($Q$4:$Q$3183,MATCH(SMALL($V$4:$V$3183,1234),$V$4:$V$3183,0)),"")</f>
        <v/>
      </c>
      <c r="E1237" s="29">
        <f>IFERROR(INDEX($R$4:$R$3183,MATCH(SMALL($V$4:$V$3183,1234),$V$4:$V$3183,0)),"")</f>
        <v/>
      </c>
      <c r="F1237">
        <f>IFERROR(INDEX($S$4:$S$3183,MATCH(SMALL($V$4:$V$3183,1234),$V$4:$V$3183,0)),"")</f>
        <v/>
      </c>
      <c r="I1237" s="29">
        <f>IF($B1237="","",IFERROR(INDEX($U$4:$U$3183,MATCH(SMALL($V$4:$V$3183,1234),$V$4:$V$3183,0)),""))</f>
        <v/>
      </c>
      <c r="J1237">
        <f>IF($B1237="","",IF($D1237&gt;$F$2,"À venir",IF($E1237&lt;$D$2,"Passé","Dans la période")))</f>
        <v/>
      </c>
      <c r="K1237">
        <f>IF(OR($B1237="",NOT(ISNUMBER($D1237))),"",IF(AND($E1237&lt;$D$2,$G1237&lt;&gt;"X",$F1237&lt;&gt;"Réalisé",$F1237&lt;&gt;"Clôturé"),"RETARD",""))</f>
        <v/>
      </c>
      <c r="L1237">
        <f>IF(OR($B1237="",NOT(ISNUMBER($D1237))),"",IF(AND($D1237&gt;=$D$2,$D1237&lt;=$H$2,$G1237&lt;&gt;"X",$F1237&lt;&gt;"Réalisé",$F1237&lt;&gt;"Clôturé"),"≤ 7 j",""))</f>
        <v/>
      </c>
      <c r="M1237" s="29">
        <f>IF($B1237="","",IFERROR(INDEX($T$4:$T$3183,MATCH(SMALL($V$4:$V$3183,1234),$V$4:$V$3183,0)),""))</f>
        <v/>
      </c>
      <c r="O1237">
        <f>IF(INDEX(Suivi!$B:$B,1261)="","",INDEX(Suivi!$B:$B,1261))</f>
        <v/>
      </c>
      <c r="P1237">
        <f>IF($O1237="","",IF(INDEX(Suivi!$D:$D,1261)="",INDEX(Suivi!$C:$C,1261),INDEX(Suivi!$D:$D,1261)))</f>
        <v/>
      </c>
      <c r="Q1237">
        <f>IF($O1237="","",INDEX(Suivi!$E:$E,1261))</f>
        <v/>
      </c>
      <c r="R1237">
        <f>IF($O1237="","",INDEX(Suivi!$F:$F,1261))</f>
        <v/>
      </c>
      <c r="S1237">
        <f>IF($O1237="","",INDEX(Suivi!$G:$G,1261))</f>
        <v/>
      </c>
      <c r="T1237">
        <f>IF($O1237="","",IF(INDEX(Dossiers!$F$4:$F$63,24)="","",INDEX(Dossiers!$F$4:$F$63,24)))</f>
        <v/>
      </c>
      <c r="U1237">
        <f>IF($O1237="","",IF(INDEX(Dossiers!$G$4:$G$63,24)="","",INDEX(Dossiers!$G$4:$G$63,24)))</f>
        <v/>
      </c>
      <c r="V1237">
        <f>IF(OR($O1237="",NOT(ISNUMBER($Q1237))),"",$Q1237*1000000+1237)</f>
        <v/>
      </c>
      <c r="W1237" s="29">
        <f>IF($B1237="","",IFERROR(INDEX($U$4:$U$3183,MATCH(SMALL($V$4:$V$3183,1234),$V$4:$V$3183,0)),""))</f>
        <v/>
      </c>
    </row>
    <row r="1238">
      <c r="A1238">
        <f>IFERROR(INDEX($N$4:$N$3183,MATCH(SMALL($V$4:$V$3183,1235),$V$4:$V$3183,0)),"")</f>
        <v/>
      </c>
      <c r="B1238">
        <f>IFERROR(INDEX($O$4:$O$3183,MATCH(SMALL($V$4:$V$3183,1235),$V$4:$V$3183,0)),"")</f>
        <v/>
      </c>
      <c r="C1238">
        <f>IFERROR(INDEX($P$4:$P$3183,MATCH(SMALL($V$4:$V$3183,1235),$V$4:$V$3183,0)),"")</f>
        <v/>
      </c>
      <c r="D1238" s="29">
        <f>IFERROR(INDEX($Q$4:$Q$3183,MATCH(SMALL($V$4:$V$3183,1235),$V$4:$V$3183,0)),"")</f>
        <v/>
      </c>
      <c r="E1238" s="29">
        <f>IFERROR(INDEX($R$4:$R$3183,MATCH(SMALL($V$4:$V$3183,1235),$V$4:$V$3183,0)),"")</f>
        <v/>
      </c>
      <c r="F1238">
        <f>IFERROR(INDEX($S$4:$S$3183,MATCH(SMALL($V$4:$V$3183,1235),$V$4:$V$3183,0)),"")</f>
        <v/>
      </c>
      <c r="I1238" s="29">
        <f>IF($B1238="","",IFERROR(INDEX($U$4:$U$3183,MATCH(SMALL($V$4:$V$3183,1235),$V$4:$V$3183,0)),""))</f>
        <v/>
      </c>
      <c r="J1238">
        <f>IF($B1238="","",IF($D1238&gt;$F$2,"À venir",IF($E1238&lt;$D$2,"Passé","Dans la période")))</f>
        <v/>
      </c>
      <c r="K1238">
        <f>IF(OR($B1238="",NOT(ISNUMBER($D1238))),"",IF(AND($E1238&lt;$D$2,$G1238&lt;&gt;"X",$F1238&lt;&gt;"Réalisé",$F1238&lt;&gt;"Clôturé"),"RETARD",""))</f>
        <v/>
      </c>
      <c r="L1238">
        <f>IF(OR($B1238="",NOT(ISNUMBER($D1238))),"",IF(AND($D1238&gt;=$D$2,$D1238&lt;=$H$2,$G1238&lt;&gt;"X",$F1238&lt;&gt;"Réalisé",$F1238&lt;&gt;"Clôturé"),"≤ 7 j",""))</f>
        <v/>
      </c>
      <c r="M1238" s="29">
        <f>IF($B1238="","",IFERROR(INDEX($T$4:$T$3183,MATCH(SMALL($V$4:$V$3183,1235),$V$4:$V$3183,0)),""))</f>
        <v/>
      </c>
      <c r="O1238">
        <f>IF(INDEX(Suivi!$B:$B,1262)="","",INDEX(Suivi!$B:$B,1262))</f>
        <v/>
      </c>
      <c r="P1238">
        <f>IF($O1238="","",IF(INDEX(Suivi!$D:$D,1262)="",INDEX(Suivi!$C:$C,1262),INDEX(Suivi!$D:$D,1262)))</f>
        <v/>
      </c>
      <c r="Q1238">
        <f>IF($O1238="","",INDEX(Suivi!$E:$E,1262))</f>
        <v/>
      </c>
      <c r="R1238">
        <f>IF($O1238="","",INDEX(Suivi!$F:$F,1262))</f>
        <v/>
      </c>
      <c r="S1238">
        <f>IF($O1238="","",INDEX(Suivi!$G:$G,1262))</f>
        <v/>
      </c>
      <c r="T1238">
        <f>IF($O1238="","",IF(INDEX(Dossiers!$F$4:$F$63,24)="","",INDEX(Dossiers!$F$4:$F$63,24)))</f>
        <v/>
      </c>
      <c r="U1238">
        <f>IF($O1238="","",IF(INDEX(Dossiers!$G$4:$G$63,24)="","",INDEX(Dossiers!$G$4:$G$63,24)))</f>
        <v/>
      </c>
      <c r="V1238">
        <f>IF(OR($O1238="",NOT(ISNUMBER($Q1238))),"",$Q1238*1000000+1238)</f>
        <v/>
      </c>
      <c r="W1238" s="29">
        <f>IF($B1238="","",IFERROR(INDEX($U$4:$U$3183,MATCH(SMALL($V$4:$V$3183,1235),$V$4:$V$3183,0)),""))</f>
        <v/>
      </c>
    </row>
    <row r="1239">
      <c r="A1239">
        <f>IFERROR(INDEX($N$4:$N$3183,MATCH(SMALL($V$4:$V$3183,1236),$V$4:$V$3183,0)),"")</f>
        <v/>
      </c>
      <c r="B1239">
        <f>IFERROR(INDEX($O$4:$O$3183,MATCH(SMALL($V$4:$V$3183,1236),$V$4:$V$3183,0)),"")</f>
        <v/>
      </c>
      <c r="C1239">
        <f>IFERROR(INDEX($P$4:$P$3183,MATCH(SMALL($V$4:$V$3183,1236),$V$4:$V$3183,0)),"")</f>
        <v/>
      </c>
      <c r="D1239" s="29">
        <f>IFERROR(INDEX($Q$4:$Q$3183,MATCH(SMALL($V$4:$V$3183,1236),$V$4:$V$3183,0)),"")</f>
        <v/>
      </c>
      <c r="E1239" s="29">
        <f>IFERROR(INDEX($R$4:$R$3183,MATCH(SMALL($V$4:$V$3183,1236),$V$4:$V$3183,0)),"")</f>
        <v/>
      </c>
      <c r="F1239">
        <f>IFERROR(INDEX($S$4:$S$3183,MATCH(SMALL($V$4:$V$3183,1236),$V$4:$V$3183,0)),"")</f>
        <v/>
      </c>
      <c r="I1239" s="29">
        <f>IF($B1239="","",IFERROR(INDEX($U$4:$U$3183,MATCH(SMALL($V$4:$V$3183,1236),$V$4:$V$3183,0)),""))</f>
        <v/>
      </c>
      <c r="J1239">
        <f>IF($B1239="","",IF($D1239&gt;$F$2,"À venir",IF($E1239&lt;$D$2,"Passé","Dans la période")))</f>
        <v/>
      </c>
      <c r="K1239">
        <f>IF(OR($B1239="",NOT(ISNUMBER($D1239))),"",IF(AND($E1239&lt;$D$2,$G1239&lt;&gt;"X",$F1239&lt;&gt;"Réalisé",$F1239&lt;&gt;"Clôturé"),"RETARD",""))</f>
        <v/>
      </c>
      <c r="L1239">
        <f>IF(OR($B1239="",NOT(ISNUMBER($D1239))),"",IF(AND($D1239&gt;=$D$2,$D1239&lt;=$H$2,$G1239&lt;&gt;"X",$F1239&lt;&gt;"Réalisé",$F1239&lt;&gt;"Clôturé"),"≤ 7 j",""))</f>
        <v/>
      </c>
      <c r="M1239" s="29">
        <f>IF($B1239="","",IFERROR(INDEX($T$4:$T$3183,MATCH(SMALL($V$4:$V$3183,1236),$V$4:$V$3183,0)),""))</f>
        <v/>
      </c>
      <c r="O1239">
        <f>IF(INDEX(Suivi!$B:$B,1263)="","",INDEX(Suivi!$B:$B,1263))</f>
        <v/>
      </c>
      <c r="P1239">
        <f>IF($O1239="","",IF(INDEX(Suivi!$D:$D,1263)="",INDEX(Suivi!$C:$C,1263),INDEX(Suivi!$D:$D,1263)))</f>
        <v/>
      </c>
      <c r="Q1239">
        <f>IF($O1239="","",INDEX(Suivi!$E:$E,1263))</f>
        <v/>
      </c>
      <c r="R1239">
        <f>IF($O1239="","",INDEX(Suivi!$F:$F,1263))</f>
        <v/>
      </c>
      <c r="S1239">
        <f>IF($O1239="","",INDEX(Suivi!$G:$G,1263))</f>
        <v/>
      </c>
      <c r="T1239">
        <f>IF($O1239="","",IF(INDEX(Dossiers!$F$4:$F$63,24)="","",INDEX(Dossiers!$F$4:$F$63,24)))</f>
        <v/>
      </c>
      <c r="U1239">
        <f>IF($O1239="","",IF(INDEX(Dossiers!$G$4:$G$63,24)="","",INDEX(Dossiers!$G$4:$G$63,24)))</f>
        <v/>
      </c>
      <c r="V1239">
        <f>IF(OR($O1239="",NOT(ISNUMBER($Q1239))),"",$Q1239*1000000+1239)</f>
        <v/>
      </c>
      <c r="W1239" s="29">
        <f>IF($B1239="","",IFERROR(INDEX($U$4:$U$3183,MATCH(SMALL($V$4:$V$3183,1236),$V$4:$V$3183,0)),""))</f>
        <v/>
      </c>
    </row>
    <row r="1240">
      <c r="A1240">
        <f>IFERROR(INDEX($N$4:$N$3183,MATCH(SMALL($V$4:$V$3183,1237),$V$4:$V$3183,0)),"")</f>
        <v/>
      </c>
      <c r="B1240">
        <f>IFERROR(INDEX($O$4:$O$3183,MATCH(SMALL($V$4:$V$3183,1237),$V$4:$V$3183,0)),"")</f>
        <v/>
      </c>
      <c r="C1240">
        <f>IFERROR(INDEX($P$4:$P$3183,MATCH(SMALL($V$4:$V$3183,1237),$V$4:$V$3183,0)),"")</f>
        <v/>
      </c>
      <c r="D1240" s="29">
        <f>IFERROR(INDEX($Q$4:$Q$3183,MATCH(SMALL($V$4:$V$3183,1237),$V$4:$V$3183,0)),"")</f>
        <v/>
      </c>
      <c r="E1240" s="29">
        <f>IFERROR(INDEX($R$4:$R$3183,MATCH(SMALL($V$4:$V$3183,1237),$V$4:$V$3183,0)),"")</f>
        <v/>
      </c>
      <c r="F1240">
        <f>IFERROR(INDEX($S$4:$S$3183,MATCH(SMALL($V$4:$V$3183,1237),$V$4:$V$3183,0)),"")</f>
        <v/>
      </c>
      <c r="I1240" s="29">
        <f>IF($B1240="","",IFERROR(INDEX($U$4:$U$3183,MATCH(SMALL($V$4:$V$3183,1237),$V$4:$V$3183,0)),""))</f>
        <v/>
      </c>
      <c r="J1240">
        <f>IF($B1240="","",IF($D1240&gt;$F$2,"À venir",IF($E1240&lt;$D$2,"Passé","Dans la période")))</f>
        <v/>
      </c>
      <c r="K1240">
        <f>IF(OR($B1240="",NOT(ISNUMBER($D1240))),"",IF(AND($E1240&lt;$D$2,$G1240&lt;&gt;"X",$F1240&lt;&gt;"Réalisé",$F1240&lt;&gt;"Clôturé"),"RETARD",""))</f>
        <v/>
      </c>
      <c r="L1240">
        <f>IF(OR($B1240="",NOT(ISNUMBER($D1240))),"",IF(AND($D1240&gt;=$D$2,$D1240&lt;=$H$2,$G1240&lt;&gt;"X",$F1240&lt;&gt;"Réalisé",$F1240&lt;&gt;"Clôturé"),"≤ 7 j",""))</f>
        <v/>
      </c>
      <c r="M1240" s="29">
        <f>IF($B1240="","",IFERROR(INDEX($T$4:$T$3183,MATCH(SMALL($V$4:$V$3183,1237),$V$4:$V$3183,0)),""))</f>
        <v/>
      </c>
      <c r="O1240">
        <f>IF(INDEX(Suivi!$B:$B,1264)="","",INDEX(Suivi!$B:$B,1264))</f>
        <v/>
      </c>
      <c r="P1240">
        <f>IF($O1240="","",IF(INDEX(Suivi!$D:$D,1264)="",INDEX(Suivi!$C:$C,1264),INDEX(Suivi!$D:$D,1264)))</f>
        <v/>
      </c>
      <c r="Q1240">
        <f>IF($O1240="","",INDEX(Suivi!$E:$E,1264))</f>
        <v/>
      </c>
      <c r="R1240">
        <f>IF($O1240="","",INDEX(Suivi!$F:$F,1264))</f>
        <v/>
      </c>
      <c r="S1240">
        <f>IF($O1240="","",INDEX(Suivi!$G:$G,1264))</f>
        <v/>
      </c>
      <c r="T1240">
        <f>IF($O1240="","",IF(INDEX(Dossiers!$F$4:$F$63,24)="","",INDEX(Dossiers!$F$4:$F$63,24)))</f>
        <v/>
      </c>
      <c r="U1240">
        <f>IF($O1240="","",IF(INDEX(Dossiers!$G$4:$G$63,24)="","",INDEX(Dossiers!$G$4:$G$63,24)))</f>
        <v/>
      </c>
      <c r="V1240">
        <f>IF(OR($O1240="",NOT(ISNUMBER($Q1240))),"",$Q1240*1000000+1240)</f>
        <v/>
      </c>
      <c r="W1240" s="29">
        <f>IF($B1240="","",IFERROR(INDEX($U$4:$U$3183,MATCH(SMALL($V$4:$V$3183,1237),$V$4:$V$3183,0)),""))</f>
        <v/>
      </c>
    </row>
    <row r="1241">
      <c r="A1241">
        <f>IFERROR(INDEX($N$4:$N$3183,MATCH(SMALL($V$4:$V$3183,1238),$V$4:$V$3183,0)),"")</f>
        <v/>
      </c>
      <c r="B1241">
        <f>IFERROR(INDEX($O$4:$O$3183,MATCH(SMALL($V$4:$V$3183,1238),$V$4:$V$3183,0)),"")</f>
        <v/>
      </c>
      <c r="C1241">
        <f>IFERROR(INDEX($P$4:$P$3183,MATCH(SMALL($V$4:$V$3183,1238),$V$4:$V$3183,0)),"")</f>
        <v/>
      </c>
      <c r="D1241" s="29">
        <f>IFERROR(INDEX($Q$4:$Q$3183,MATCH(SMALL($V$4:$V$3183,1238),$V$4:$V$3183,0)),"")</f>
        <v/>
      </c>
      <c r="E1241" s="29">
        <f>IFERROR(INDEX($R$4:$R$3183,MATCH(SMALL($V$4:$V$3183,1238),$V$4:$V$3183,0)),"")</f>
        <v/>
      </c>
      <c r="F1241">
        <f>IFERROR(INDEX($S$4:$S$3183,MATCH(SMALL($V$4:$V$3183,1238),$V$4:$V$3183,0)),"")</f>
        <v/>
      </c>
      <c r="I1241" s="29">
        <f>IF($B1241="","",IFERROR(INDEX($U$4:$U$3183,MATCH(SMALL($V$4:$V$3183,1238),$V$4:$V$3183,0)),""))</f>
        <v/>
      </c>
      <c r="J1241">
        <f>IF($B1241="","",IF($D1241&gt;$F$2,"À venir",IF($E1241&lt;$D$2,"Passé","Dans la période")))</f>
        <v/>
      </c>
      <c r="K1241">
        <f>IF(OR($B1241="",NOT(ISNUMBER($D1241))),"",IF(AND($E1241&lt;$D$2,$G1241&lt;&gt;"X",$F1241&lt;&gt;"Réalisé",$F1241&lt;&gt;"Clôturé"),"RETARD",""))</f>
        <v/>
      </c>
      <c r="L1241">
        <f>IF(OR($B1241="",NOT(ISNUMBER($D1241))),"",IF(AND($D1241&gt;=$D$2,$D1241&lt;=$H$2,$G1241&lt;&gt;"X",$F1241&lt;&gt;"Réalisé",$F1241&lt;&gt;"Clôturé"),"≤ 7 j",""))</f>
        <v/>
      </c>
      <c r="M1241" s="29">
        <f>IF($B1241="","",IFERROR(INDEX($T$4:$T$3183,MATCH(SMALL($V$4:$V$3183,1238),$V$4:$V$3183,0)),""))</f>
        <v/>
      </c>
      <c r="O1241">
        <f>IF(INDEX(Suivi!$B:$B,1265)="","",INDEX(Suivi!$B:$B,1265))</f>
        <v/>
      </c>
      <c r="P1241">
        <f>IF($O1241="","",IF(INDEX(Suivi!$D:$D,1265)="",INDEX(Suivi!$C:$C,1265),INDEX(Suivi!$D:$D,1265)))</f>
        <v/>
      </c>
      <c r="Q1241">
        <f>IF($O1241="","",INDEX(Suivi!$E:$E,1265))</f>
        <v/>
      </c>
      <c r="R1241">
        <f>IF($O1241="","",INDEX(Suivi!$F:$F,1265))</f>
        <v/>
      </c>
      <c r="S1241">
        <f>IF($O1241="","",INDEX(Suivi!$G:$G,1265))</f>
        <v/>
      </c>
      <c r="T1241">
        <f>IF($O1241="","",IF(INDEX(Dossiers!$F$4:$F$63,24)="","",INDEX(Dossiers!$F$4:$F$63,24)))</f>
        <v/>
      </c>
      <c r="U1241">
        <f>IF($O1241="","",IF(INDEX(Dossiers!$G$4:$G$63,24)="","",INDEX(Dossiers!$G$4:$G$63,24)))</f>
        <v/>
      </c>
      <c r="V1241">
        <f>IF(OR($O1241="",NOT(ISNUMBER($Q1241))),"",$Q1241*1000000+1241)</f>
        <v/>
      </c>
      <c r="W1241" s="29">
        <f>IF($B1241="","",IFERROR(INDEX($U$4:$U$3183,MATCH(SMALL($V$4:$V$3183,1238),$V$4:$V$3183,0)),""))</f>
        <v/>
      </c>
    </row>
    <row r="1242">
      <c r="A1242">
        <f>IFERROR(INDEX($N$4:$N$3183,MATCH(SMALL($V$4:$V$3183,1239),$V$4:$V$3183,0)),"")</f>
        <v/>
      </c>
      <c r="B1242">
        <f>IFERROR(INDEX($O$4:$O$3183,MATCH(SMALL($V$4:$V$3183,1239),$V$4:$V$3183,0)),"")</f>
        <v/>
      </c>
      <c r="C1242">
        <f>IFERROR(INDEX($P$4:$P$3183,MATCH(SMALL($V$4:$V$3183,1239),$V$4:$V$3183,0)),"")</f>
        <v/>
      </c>
      <c r="D1242" s="29">
        <f>IFERROR(INDEX($Q$4:$Q$3183,MATCH(SMALL($V$4:$V$3183,1239),$V$4:$V$3183,0)),"")</f>
        <v/>
      </c>
      <c r="E1242" s="29">
        <f>IFERROR(INDEX($R$4:$R$3183,MATCH(SMALL($V$4:$V$3183,1239),$V$4:$V$3183,0)),"")</f>
        <v/>
      </c>
      <c r="F1242">
        <f>IFERROR(INDEX($S$4:$S$3183,MATCH(SMALL($V$4:$V$3183,1239),$V$4:$V$3183,0)),"")</f>
        <v/>
      </c>
      <c r="I1242" s="29">
        <f>IF($B1242="","",IFERROR(INDEX($U$4:$U$3183,MATCH(SMALL($V$4:$V$3183,1239),$V$4:$V$3183,0)),""))</f>
        <v/>
      </c>
      <c r="J1242">
        <f>IF($B1242="","",IF($D1242&gt;$F$2,"À venir",IF($E1242&lt;$D$2,"Passé","Dans la période")))</f>
        <v/>
      </c>
      <c r="K1242">
        <f>IF(OR($B1242="",NOT(ISNUMBER($D1242))),"",IF(AND($E1242&lt;$D$2,$G1242&lt;&gt;"X",$F1242&lt;&gt;"Réalisé",$F1242&lt;&gt;"Clôturé"),"RETARD",""))</f>
        <v/>
      </c>
      <c r="L1242">
        <f>IF(OR($B1242="",NOT(ISNUMBER($D1242))),"",IF(AND($D1242&gt;=$D$2,$D1242&lt;=$H$2,$G1242&lt;&gt;"X",$F1242&lt;&gt;"Réalisé",$F1242&lt;&gt;"Clôturé"),"≤ 7 j",""))</f>
        <v/>
      </c>
      <c r="M1242" s="29">
        <f>IF($B1242="","",IFERROR(INDEX($T$4:$T$3183,MATCH(SMALL($V$4:$V$3183,1239),$V$4:$V$3183,0)),""))</f>
        <v/>
      </c>
      <c r="O1242">
        <f>IF(INDEX(Suivi!$B:$B,1266)="","",INDEX(Suivi!$B:$B,1266))</f>
        <v/>
      </c>
      <c r="P1242">
        <f>IF($O1242="","",IF(INDEX(Suivi!$D:$D,1266)="",INDEX(Suivi!$C:$C,1266),INDEX(Suivi!$D:$D,1266)))</f>
        <v/>
      </c>
      <c r="Q1242">
        <f>IF($O1242="","",INDEX(Suivi!$E:$E,1266))</f>
        <v/>
      </c>
      <c r="R1242">
        <f>IF($O1242="","",INDEX(Suivi!$F:$F,1266))</f>
        <v/>
      </c>
      <c r="S1242">
        <f>IF($O1242="","",INDEX(Suivi!$G:$G,1266))</f>
        <v/>
      </c>
      <c r="T1242">
        <f>IF($O1242="","",IF(INDEX(Dossiers!$F$4:$F$63,24)="","",INDEX(Dossiers!$F$4:$F$63,24)))</f>
        <v/>
      </c>
      <c r="U1242">
        <f>IF($O1242="","",IF(INDEX(Dossiers!$G$4:$G$63,24)="","",INDEX(Dossiers!$G$4:$G$63,24)))</f>
        <v/>
      </c>
      <c r="V1242">
        <f>IF(OR($O1242="",NOT(ISNUMBER($Q1242))),"",$Q1242*1000000+1242)</f>
        <v/>
      </c>
      <c r="W1242" s="29">
        <f>IF($B1242="","",IFERROR(INDEX($U$4:$U$3183,MATCH(SMALL($V$4:$V$3183,1239),$V$4:$V$3183,0)),""))</f>
        <v/>
      </c>
    </row>
    <row r="1243">
      <c r="A1243">
        <f>IFERROR(INDEX($N$4:$N$3183,MATCH(SMALL($V$4:$V$3183,1240),$V$4:$V$3183,0)),"")</f>
        <v/>
      </c>
      <c r="B1243">
        <f>IFERROR(INDEX($O$4:$O$3183,MATCH(SMALL($V$4:$V$3183,1240),$V$4:$V$3183,0)),"")</f>
        <v/>
      </c>
      <c r="C1243">
        <f>IFERROR(INDEX($P$4:$P$3183,MATCH(SMALL($V$4:$V$3183,1240),$V$4:$V$3183,0)),"")</f>
        <v/>
      </c>
      <c r="D1243" s="29">
        <f>IFERROR(INDEX($Q$4:$Q$3183,MATCH(SMALL($V$4:$V$3183,1240),$V$4:$V$3183,0)),"")</f>
        <v/>
      </c>
      <c r="E1243" s="29">
        <f>IFERROR(INDEX($R$4:$R$3183,MATCH(SMALL($V$4:$V$3183,1240),$V$4:$V$3183,0)),"")</f>
        <v/>
      </c>
      <c r="F1243">
        <f>IFERROR(INDEX($S$4:$S$3183,MATCH(SMALL($V$4:$V$3183,1240),$V$4:$V$3183,0)),"")</f>
        <v/>
      </c>
      <c r="I1243" s="29">
        <f>IF($B1243="","",IFERROR(INDEX($U$4:$U$3183,MATCH(SMALL($V$4:$V$3183,1240),$V$4:$V$3183,0)),""))</f>
        <v/>
      </c>
      <c r="J1243">
        <f>IF($B1243="","",IF($D1243&gt;$F$2,"À venir",IF($E1243&lt;$D$2,"Passé","Dans la période")))</f>
        <v/>
      </c>
      <c r="K1243">
        <f>IF(OR($B1243="",NOT(ISNUMBER($D1243))),"",IF(AND($E1243&lt;$D$2,$G1243&lt;&gt;"X",$F1243&lt;&gt;"Réalisé",$F1243&lt;&gt;"Clôturé"),"RETARD",""))</f>
        <v/>
      </c>
      <c r="L1243">
        <f>IF(OR($B1243="",NOT(ISNUMBER($D1243))),"",IF(AND($D1243&gt;=$D$2,$D1243&lt;=$H$2,$G1243&lt;&gt;"X",$F1243&lt;&gt;"Réalisé",$F1243&lt;&gt;"Clôturé"),"≤ 7 j",""))</f>
        <v/>
      </c>
      <c r="M1243" s="29">
        <f>IF($B1243="","",IFERROR(INDEX($T$4:$T$3183,MATCH(SMALL($V$4:$V$3183,1240),$V$4:$V$3183,0)),""))</f>
        <v/>
      </c>
      <c r="O1243">
        <f>IF(INDEX(Suivi!$B:$B,1267)="","",INDEX(Suivi!$B:$B,1267))</f>
        <v/>
      </c>
      <c r="P1243">
        <f>IF($O1243="","",IF(INDEX(Suivi!$D:$D,1267)="",INDEX(Suivi!$C:$C,1267),INDEX(Suivi!$D:$D,1267)))</f>
        <v/>
      </c>
      <c r="Q1243">
        <f>IF($O1243="","",INDEX(Suivi!$E:$E,1267))</f>
        <v/>
      </c>
      <c r="R1243">
        <f>IF($O1243="","",INDEX(Suivi!$F:$F,1267))</f>
        <v/>
      </c>
      <c r="S1243">
        <f>IF($O1243="","",INDEX(Suivi!$G:$G,1267))</f>
        <v/>
      </c>
      <c r="T1243">
        <f>IF($O1243="","",IF(INDEX(Dossiers!$F$4:$F$63,24)="","",INDEX(Dossiers!$F$4:$F$63,24)))</f>
        <v/>
      </c>
      <c r="U1243">
        <f>IF($O1243="","",IF(INDEX(Dossiers!$G$4:$G$63,24)="","",INDEX(Dossiers!$G$4:$G$63,24)))</f>
        <v/>
      </c>
      <c r="V1243">
        <f>IF(OR($O1243="",NOT(ISNUMBER($Q1243))),"",$Q1243*1000000+1243)</f>
        <v/>
      </c>
      <c r="W1243" s="29">
        <f>IF($B1243="","",IFERROR(INDEX($U$4:$U$3183,MATCH(SMALL($V$4:$V$3183,1240),$V$4:$V$3183,0)),""))</f>
        <v/>
      </c>
    </row>
    <row r="1244">
      <c r="A1244">
        <f>IFERROR(INDEX($N$4:$N$3183,MATCH(SMALL($V$4:$V$3183,1241),$V$4:$V$3183,0)),"")</f>
        <v/>
      </c>
      <c r="B1244">
        <f>IFERROR(INDEX($O$4:$O$3183,MATCH(SMALL($V$4:$V$3183,1241),$V$4:$V$3183,0)),"")</f>
        <v/>
      </c>
      <c r="C1244">
        <f>IFERROR(INDEX($P$4:$P$3183,MATCH(SMALL($V$4:$V$3183,1241),$V$4:$V$3183,0)),"")</f>
        <v/>
      </c>
      <c r="D1244" s="29">
        <f>IFERROR(INDEX($Q$4:$Q$3183,MATCH(SMALL($V$4:$V$3183,1241),$V$4:$V$3183,0)),"")</f>
        <v/>
      </c>
      <c r="E1244" s="29">
        <f>IFERROR(INDEX($R$4:$R$3183,MATCH(SMALL($V$4:$V$3183,1241),$V$4:$V$3183,0)),"")</f>
        <v/>
      </c>
      <c r="F1244">
        <f>IFERROR(INDEX($S$4:$S$3183,MATCH(SMALL($V$4:$V$3183,1241),$V$4:$V$3183,0)),"")</f>
        <v/>
      </c>
      <c r="I1244" s="29">
        <f>IF($B1244="","",IFERROR(INDEX($U$4:$U$3183,MATCH(SMALL($V$4:$V$3183,1241),$V$4:$V$3183,0)),""))</f>
        <v/>
      </c>
      <c r="J1244">
        <f>IF($B1244="","",IF($D1244&gt;$F$2,"À venir",IF($E1244&lt;$D$2,"Passé","Dans la période")))</f>
        <v/>
      </c>
      <c r="K1244">
        <f>IF(OR($B1244="",NOT(ISNUMBER($D1244))),"",IF(AND($E1244&lt;$D$2,$G1244&lt;&gt;"X",$F1244&lt;&gt;"Réalisé",$F1244&lt;&gt;"Clôturé"),"RETARD",""))</f>
        <v/>
      </c>
      <c r="L1244">
        <f>IF(OR($B1244="",NOT(ISNUMBER($D1244))),"",IF(AND($D1244&gt;=$D$2,$D1244&lt;=$H$2,$G1244&lt;&gt;"X",$F1244&lt;&gt;"Réalisé",$F1244&lt;&gt;"Clôturé"),"≤ 7 j",""))</f>
        <v/>
      </c>
      <c r="M1244" s="29">
        <f>IF($B1244="","",IFERROR(INDEX($T$4:$T$3183,MATCH(SMALL($V$4:$V$3183,1241),$V$4:$V$3183,0)),""))</f>
        <v/>
      </c>
      <c r="O1244">
        <f>IF(INDEX(Suivi!$B:$B,1268)="","",INDEX(Suivi!$B:$B,1268))</f>
        <v/>
      </c>
      <c r="P1244">
        <f>IF($O1244="","",IF(INDEX(Suivi!$D:$D,1268)="",INDEX(Suivi!$C:$C,1268),INDEX(Suivi!$D:$D,1268)))</f>
        <v/>
      </c>
      <c r="Q1244">
        <f>IF($O1244="","",INDEX(Suivi!$E:$E,1268))</f>
        <v/>
      </c>
      <c r="R1244">
        <f>IF($O1244="","",INDEX(Suivi!$F:$F,1268))</f>
        <v/>
      </c>
      <c r="S1244">
        <f>IF($O1244="","",INDEX(Suivi!$G:$G,1268))</f>
        <v/>
      </c>
      <c r="T1244">
        <f>IF($O1244="","",IF(INDEX(Dossiers!$F$4:$F$63,24)="","",INDEX(Dossiers!$F$4:$F$63,24)))</f>
        <v/>
      </c>
      <c r="U1244">
        <f>IF($O1244="","",IF(INDEX(Dossiers!$G$4:$G$63,24)="","",INDEX(Dossiers!$G$4:$G$63,24)))</f>
        <v/>
      </c>
      <c r="V1244">
        <f>IF(OR($O1244="",NOT(ISNUMBER($Q1244))),"",$Q1244*1000000+1244)</f>
        <v/>
      </c>
      <c r="W1244" s="29">
        <f>IF($B1244="","",IFERROR(INDEX($U$4:$U$3183,MATCH(SMALL($V$4:$V$3183,1241),$V$4:$V$3183,0)),""))</f>
        <v/>
      </c>
    </row>
    <row r="1245">
      <c r="A1245">
        <f>IFERROR(INDEX($N$4:$N$3183,MATCH(SMALL($V$4:$V$3183,1242),$V$4:$V$3183,0)),"")</f>
        <v/>
      </c>
      <c r="B1245">
        <f>IFERROR(INDEX($O$4:$O$3183,MATCH(SMALL($V$4:$V$3183,1242),$V$4:$V$3183,0)),"")</f>
        <v/>
      </c>
      <c r="C1245">
        <f>IFERROR(INDEX($P$4:$P$3183,MATCH(SMALL($V$4:$V$3183,1242),$V$4:$V$3183,0)),"")</f>
        <v/>
      </c>
      <c r="D1245" s="29">
        <f>IFERROR(INDEX($Q$4:$Q$3183,MATCH(SMALL($V$4:$V$3183,1242),$V$4:$V$3183,0)),"")</f>
        <v/>
      </c>
      <c r="E1245" s="29">
        <f>IFERROR(INDEX($R$4:$R$3183,MATCH(SMALL($V$4:$V$3183,1242),$V$4:$V$3183,0)),"")</f>
        <v/>
      </c>
      <c r="F1245">
        <f>IFERROR(INDEX($S$4:$S$3183,MATCH(SMALL($V$4:$V$3183,1242),$V$4:$V$3183,0)),"")</f>
        <v/>
      </c>
      <c r="I1245" s="29">
        <f>IF($B1245="","",IFERROR(INDEX($U$4:$U$3183,MATCH(SMALL($V$4:$V$3183,1242),$V$4:$V$3183,0)),""))</f>
        <v/>
      </c>
      <c r="J1245">
        <f>IF($B1245="","",IF($D1245&gt;$F$2,"À venir",IF($E1245&lt;$D$2,"Passé","Dans la période")))</f>
        <v/>
      </c>
      <c r="K1245">
        <f>IF(OR($B1245="",NOT(ISNUMBER($D1245))),"",IF(AND($E1245&lt;$D$2,$G1245&lt;&gt;"X",$F1245&lt;&gt;"Réalisé",$F1245&lt;&gt;"Clôturé"),"RETARD",""))</f>
        <v/>
      </c>
      <c r="L1245">
        <f>IF(OR($B1245="",NOT(ISNUMBER($D1245))),"",IF(AND($D1245&gt;=$D$2,$D1245&lt;=$H$2,$G1245&lt;&gt;"X",$F1245&lt;&gt;"Réalisé",$F1245&lt;&gt;"Clôturé"),"≤ 7 j",""))</f>
        <v/>
      </c>
      <c r="M1245" s="29">
        <f>IF($B1245="","",IFERROR(INDEX($T$4:$T$3183,MATCH(SMALL($V$4:$V$3183,1242),$V$4:$V$3183,0)),""))</f>
        <v/>
      </c>
      <c r="O1245">
        <f>IF(INDEX(Suivi!$B:$B,1269)="","",INDEX(Suivi!$B:$B,1269))</f>
        <v/>
      </c>
      <c r="P1245">
        <f>IF($O1245="","",IF(INDEX(Suivi!$D:$D,1269)="",INDEX(Suivi!$C:$C,1269),INDEX(Suivi!$D:$D,1269)))</f>
        <v/>
      </c>
      <c r="Q1245">
        <f>IF($O1245="","",INDEX(Suivi!$E:$E,1269))</f>
        <v/>
      </c>
      <c r="R1245">
        <f>IF($O1245="","",INDEX(Suivi!$F:$F,1269))</f>
        <v/>
      </c>
      <c r="S1245">
        <f>IF($O1245="","",INDEX(Suivi!$G:$G,1269))</f>
        <v/>
      </c>
      <c r="T1245">
        <f>IF($O1245="","",IF(INDEX(Dossiers!$F$4:$F$63,24)="","",INDEX(Dossiers!$F$4:$F$63,24)))</f>
        <v/>
      </c>
      <c r="U1245">
        <f>IF($O1245="","",IF(INDEX(Dossiers!$G$4:$G$63,24)="","",INDEX(Dossiers!$G$4:$G$63,24)))</f>
        <v/>
      </c>
      <c r="V1245">
        <f>IF(OR($O1245="",NOT(ISNUMBER($Q1245))),"",$Q1245*1000000+1245)</f>
        <v/>
      </c>
      <c r="W1245" s="29">
        <f>IF($B1245="","",IFERROR(INDEX($U$4:$U$3183,MATCH(SMALL($V$4:$V$3183,1242),$V$4:$V$3183,0)),""))</f>
        <v/>
      </c>
    </row>
    <row r="1246">
      <c r="A1246">
        <f>IFERROR(INDEX($N$4:$N$3183,MATCH(SMALL($V$4:$V$3183,1243),$V$4:$V$3183,0)),"")</f>
        <v/>
      </c>
      <c r="B1246">
        <f>IFERROR(INDEX($O$4:$O$3183,MATCH(SMALL($V$4:$V$3183,1243),$V$4:$V$3183,0)),"")</f>
        <v/>
      </c>
      <c r="C1246">
        <f>IFERROR(INDEX($P$4:$P$3183,MATCH(SMALL($V$4:$V$3183,1243),$V$4:$V$3183,0)),"")</f>
        <v/>
      </c>
      <c r="D1246" s="29">
        <f>IFERROR(INDEX($Q$4:$Q$3183,MATCH(SMALL($V$4:$V$3183,1243),$V$4:$V$3183,0)),"")</f>
        <v/>
      </c>
      <c r="E1246" s="29">
        <f>IFERROR(INDEX($R$4:$R$3183,MATCH(SMALL($V$4:$V$3183,1243),$V$4:$V$3183,0)),"")</f>
        <v/>
      </c>
      <c r="F1246">
        <f>IFERROR(INDEX($S$4:$S$3183,MATCH(SMALL($V$4:$V$3183,1243),$V$4:$V$3183,0)),"")</f>
        <v/>
      </c>
      <c r="I1246" s="29">
        <f>IF($B1246="","",IFERROR(INDEX($U$4:$U$3183,MATCH(SMALL($V$4:$V$3183,1243),$V$4:$V$3183,0)),""))</f>
        <v/>
      </c>
      <c r="J1246">
        <f>IF($B1246="","",IF($D1246&gt;$F$2,"À venir",IF($E1246&lt;$D$2,"Passé","Dans la période")))</f>
        <v/>
      </c>
      <c r="K1246">
        <f>IF(OR($B1246="",NOT(ISNUMBER($D1246))),"",IF(AND($E1246&lt;$D$2,$G1246&lt;&gt;"X",$F1246&lt;&gt;"Réalisé",$F1246&lt;&gt;"Clôturé"),"RETARD",""))</f>
        <v/>
      </c>
      <c r="L1246">
        <f>IF(OR($B1246="",NOT(ISNUMBER($D1246))),"",IF(AND($D1246&gt;=$D$2,$D1246&lt;=$H$2,$G1246&lt;&gt;"X",$F1246&lt;&gt;"Réalisé",$F1246&lt;&gt;"Clôturé"),"≤ 7 j",""))</f>
        <v/>
      </c>
      <c r="M1246" s="29">
        <f>IF($B1246="","",IFERROR(INDEX($T$4:$T$3183,MATCH(SMALL($V$4:$V$3183,1243),$V$4:$V$3183,0)),""))</f>
        <v/>
      </c>
      <c r="O1246">
        <f>IF(INDEX(Suivi!$B:$B,1270)="","",INDEX(Suivi!$B:$B,1270))</f>
        <v/>
      </c>
      <c r="P1246">
        <f>IF($O1246="","",IF(INDEX(Suivi!$D:$D,1270)="",INDEX(Suivi!$C:$C,1270),INDEX(Suivi!$D:$D,1270)))</f>
        <v/>
      </c>
      <c r="Q1246">
        <f>IF($O1246="","",INDEX(Suivi!$E:$E,1270))</f>
        <v/>
      </c>
      <c r="R1246">
        <f>IF($O1246="","",INDEX(Suivi!$F:$F,1270))</f>
        <v/>
      </c>
      <c r="S1246">
        <f>IF($O1246="","",INDEX(Suivi!$G:$G,1270))</f>
        <v/>
      </c>
      <c r="T1246">
        <f>IF($O1246="","",IF(INDEX(Dossiers!$F$4:$F$63,24)="","",INDEX(Dossiers!$F$4:$F$63,24)))</f>
        <v/>
      </c>
      <c r="U1246">
        <f>IF($O1246="","",IF(INDEX(Dossiers!$G$4:$G$63,24)="","",INDEX(Dossiers!$G$4:$G$63,24)))</f>
        <v/>
      </c>
      <c r="V1246">
        <f>IF(OR($O1246="",NOT(ISNUMBER($Q1246))),"",$Q1246*1000000+1246)</f>
        <v/>
      </c>
      <c r="W1246" s="29">
        <f>IF($B1246="","",IFERROR(INDEX($U$4:$U$3183,MATCH(SMALL($V$4:$V$3183,1243),$V$4:$V$3183,0)),""))</f>
        <v/>
      </c>
    </row>
    <row r="1247">
      <c r="A1247">
        <f>IFERROR(INDEX($N$4:$N$3183,MATCH(SMALL($V$4:$V$3183,1244),$V$4:$V$3183,0)),"")</f>
        <v/>
      </c>
      <c r="B1247">
        <f>IFERROR(INDEX($O$4:$O$3183,MATCH(SMALL($V$4:$V$3183,1244),$V$4:$V$3183,0)),"")</f>
        <v/>
      </c>
      <c r="C1247">
        <f>IFERROR(INDEX($P$4:$P$3183,MATCH(SMALL($V$4:$V$3183,1244),$V$4:$V$3183,0)),"")</f>
        <v/>
      </c>
      <c r="D1247" s="29">
        <f>IFERROR(INDEX($Q$4:$Q$3183,MATCH(SMALL($V$4:$V$3183,1244),$V$4:$V$3183,0)),"")</f>
        <v/>
      </c>
      <c r="E1247" s="29">
        <f>IFERROR(INDEX($R$4:$R$3183,MATCH(SMALL($V$4:$V$3183,1244),$V$4:$V$3183,0)),"")</f>
        <v/>
      </c>
      <c r="F1247">
        <f>IFERROR(INDEX($S$4:$S$3183,MATCH(SMALL($V$4:$V$3183,1244),$V$4:$V$3183,0)),"")</f>
        <v/>
      </c>
      <c r="I1247" s="29">
        <f>IF($B1247="","",IFERROR(INDEX($U$4:$U$3183,MATCH(SMALL($V$4:$V$3183,1244),$V$4:$V$3183,0)),""))</f>
        <v/>
      </c>
      <c r="J1247">
        <f>IF($B1247="","",IF($D1247&gt;$F$2,"À venir",IF($E1247&lt;$D$2,"Passé","Dans la période")))</f>
        <v/>
      </c>
      <c r="K1247">
        <f>IF(OR($B1247="",NOT(ISNUMBER($D1247))),"",IF(AND($E1247&lt;$D$2,$G1247&lt;&gt;"X",$F1247&lt;&gt;"Réalisé",$F1247&lt;&gt;"Clôturé"),"RETARD",""))</f>
        <v/>
      </c>
      <c r="L1247">
        <f>IF(OR($B1247="",NOT(ISNUMBER($D1247))),"",IF(AND($D1247&gt;=$D$2,$D1247&lt;=$H$2,$G1247&lt;&gt;"X",$F1247&lt;&gt;"Réalisé",$F1247&lt;&gt;"Clôturé"),"≤ 7 j",""))</f>
        <v/>
      </c>
      <c r="M1247" s="29">
        <f>IF($B1247="","",IFERROR(INDEX($T$4:$T$3183,MATCH(SMALL($V$4:$V$3183,1244),$V$4:$V$3183,0)),""))</f>
        <v/>
      </c>
      <c r="O1247">
        <f>IF(INDEX(Suivi!$B:$B,1271)="","",INDEX(Suivi!$B:$B,1271))</f>
        <v/>
      </c>
      <c r="P1247">
        <f>IF($O1247="","",IF(INDEX(Suivi!$D:$D,1271)="",INDEX(Suivi!$C:$C,1271),INDEX(Suivi!$D:$D,1271)))</f>
        <v/>
      </c>
      <c r="Q1247">
        <f>IF($O1247="","",INDEX(Suivi!$E:$E,1271))</f>
        <v/>
      </c>
      <c r="R1247">
        <f>IF($O1247="","",INDEX(Suivi!$F:$F,1271))</f>
        <v/>
      </c>
      <c r="S1247">
        <f>IF($O1247="","",INDEX(Suivi!$G:$G,1271))</f>
        <v/>
      </c>
      <c r="T1247">
        <f>IF($O1247="","",IF(INDEX(Dossiers!$F$4:$F$63,24)="","",INDEX(Dossiers!$F$4:$F$63,24)))</f>
        <v/>
      </c>
      <c r="U1247">
        <f>IF($O1247="","",IF(INDEX(Dossiers!$G$4:$G$63,24)="","",INDEX(Dossiers!$G$4:$G$63,24)))</f>
        <v/>
      </c>
      <c r="V1247">
        <f>IF(OR($O1247="",NOT(ISNUMBER($Q1247))),"",$Q1247*1000000+1247)</f>
        <v/>
      </c>
      <c r="W1247" s="29">
        <f>IF($B1247="","",IFERROR(INDEX($U$4:$U$3183,MATCH(SMALL($V$4:$V$3183,1244),$V$4:$V$3183,0)),""))</f>
        <v/>
      </c>
    </row>
    <row r="1248">
      <c r="A1248">
        <f>IFERROR(INDEX($N$4:$N$3183,MATCH(SMALL($V$4:$V$3183,1245),$V$4:$V$3183,0)),"")</f>
        <v/>
      </c>
      <c r="B1248">
        <f>IFERROR(INDEX($O$4:$O$3183,MATCH(SMALL($V$4:$V$3183,1245),$V$4:$V$3183,0)),"")</f>
        <v/>
      </c>
      <c r="C1248">
        <f>IFERROR(INDEX($P$4:$P$3183,MATCH(SMALL($V$4:$V$3183,1245),$V$4:$V$3183,0)),"")</f>
        <v/>
      </c>
      <c r="D1248" s="29">
        <f>IFERROR(INDEX($Q$4:$Q$3183,MATCH(SMALL($V$4:$V$3183,1245),$V$4:$V$3183,0)),"")</f>
        <v/>
      </c>
      <c r="E1248" s="29">
        <f>IFERROR(INDEX($R$4:$R$3183,MATCH(SMALL($V$4:$V$3183,1245),$V$4:$V$3183,0)),"")</f>
        <v/>
      </c>
      <c r="F1248">
        <f>IFERROR(INDEX($S$4:$S$3183,MATCH(SMALL($V$4:$V$3183,1245),$V$4:$V$3183,0)),"")</f>
        <v/>
      </c>
      <c r="I1248" s="29">
        <f>IF($B1248="","",IFERROR(INDEX($U$4:$U$3183,MATCH(SMALL($V$4:$V$3183,1245),$V$4:$V$3183,0)),""))</f>
        <v/>
      </c>
      <c r="J1248">
        <f>IF($B1248="","",IF($D1248&gt;$F$2,"À venir",IF($E1248&lt;$D$2,"Passé","Dans la période")))</f>
        <v/>
      </c>
      <c r="K1248">
        <f>IF(OR($B1248="",NOT(ISNUMBER($D1248))),"",IF(AND($E1248&lt;$D$2,$G1248&lt;&gt;"X",$F1248&lt;&gt;"Réalisé",$F1248&lt;&gt;"Clôturé"),"RETARD",""))</f>
        <v/>
      </c>
      <c r="L1248">
        <f>IF(OR($B1248="",NOT(ISNUMBER($D1248))),"",IF(AND($D1248&gt;=$D$2,$D1248&lt;=$H$2,$G1248&lt;&gt;"X",$F1248&lt;&gt;"Réalisé",$F1248&lt;&gt;"Clôturé"),"≤ 7 j",""))</f>
        <v/>
      </c>
      <c r="M1248" s="29">
        <f>IF($B1248="","",IFERROR(INDEX($T$4:$T$3183,MATCH(SMALL($V$4:$V$3183,1245),$V$4:$V$3183,0)),""))</f>
        <v/>
      </c>
      <c r="O1248">
        <f>IF(INDEX(Suivi!$B:$B,1272)="","",INDEX(Suivi!$B:$B,1272))</f>
        <v/>
      </c>
      <c r="P1248">
        <f>IF($O1248="","",IF(INDEX(Suivi!$D:$D,1272)="",INDEX(Suivi!$C:$C,1272),INDEX(Suivi!$D:$D,1272)))</f>
        <v/>
      </c>
      <c r="Q1248">
        <f>IF($O1248="","",INDEX(Suivi!$E:$E,1272))</f>
        <v/>
      </c>
      <c r="R1248">
        <f>IF($O1248="","",INDEX(Suivi!$F:$F,1272))</f>
        <v/>
      </c>
      <c r="S1248">
        <f>IF($O1248="","",INDEX(Suivi!$G:$G,1272))</f>
        <v/>
      </c>
      <c r="T1248">
        <f>IF($O1248="","",IF(INDEX(Dossiers!$F$4:$F$63,24)="","",INDEX(Dossiers!$F$4:$F$63,24)))</f>
        <v/>
      </c>
      <c r="U1248">
        <f>IF($O1248="","",IF(INDEX(Dossiers!$G$4:$G$63,24)="","",INDEX(Dossiers!$G$4:$G$63,24)))</f>
        <v/>
      </c>
      <c r="V1248">
        <f>IF(OR($O1248="",NOT(ISNUMBER($Q1248))),"",$Q1248*1000000+1248)</f>
        <v/>
      </c>
      <c r="W1248" s="29">
        <f>IF($B1248="","",IFERROR(INDEX($U$4:$U$3183,MATCH(SMALL($V$4:$V$3183,1245),$V$4:$V$3183,0)),""))</f>
        <v/>
      </c>
    </row>
    <row r="1249">
      <c r="A1249">
        <f>IFERROR(INDEX($N$4:$N$3183,MATCH(SMALL($V$4:$V$3183,1246),$V$4:$V$3183,0)),"")</f>
        <v/>
      </c>
      <c r="B1249">
        <f>IFERROR(INDEX($O$4:$O$3183,MATCH(SMALL($V$4:$V$3183,1246),$V$4:$V$3183,0)),"")</f>
        <v/>
      </c>
      <c r="C1249">
        <f>IFERROR(INDEX($P$4:$P$3183,MATCH(SMALL($V$4:$V$3183,1246),$V$4:$V$3183,0)),"")</f>
        <v/>
      </c>
      <c r="D1249" s="29">
        <f>IFERROR(INDEX($Q$4:$Q$3183,MATCH(SMALL($V$4:$V$3183,1246),$V$4:$V$3183,0)),"")</f>
        <v/>
      </c>
      <c r="E1249" s="29">
        <f>IFERROR(INDEX($R$4:$R$3183,MATCH(SMALL($V$4:$V$3183,1246),$V$4:$V$3183,0)),"")</f>
        <v/>
      </c>
      <c r="F1249">
        <f>IFERROR(INDEX($S$4:$S$3183,MATCH(SMALL($V$4:$V$3183,1246),$V$4:$V$3183,0)),"")</f>
        <v/>
      </c>
      <c r="I1249" s="29">
        <f>IF($B1249="","",IFERROR(INDEX($U$4:$U$3183,MATCH(SMALL($V$4:$V$3183,1246),$V$4:$V$3183,0)),""))</f>
        <v/>
      </c>
      <c r="J1249">
        <f>IF($B1249="","",IF($D1249&gt;$F$2,"À venir",IF($E1249&lt;$D$2,"Passé","Dans la période")))</f>
        <v/>
      </c>
      <c r="K1249">
        <f>IF(OR($B1249="",NOT(ISNUMBER($D1249))),"",IF(AND($E1249&lt;$D$2,$G1249&lt;&gt;"X",$F1249&lt;&gt;"Réalisé",$F1249&lt;&gt;"Clôturé"),"RETARD",""))</f>
        <v/>
      </c>
      <c r="L1249">
        <f>IF(OR($B1249="",NOT(ISNUMBER($D1249))),"",IF(AND($D1249&gt;=$D$2,$D1249&lt;=$H$2,$G1249&lt;&gt;"X",$F1249&lt;&gt;"Réalisé",$F1249&lt;&gt;"Clôturé"),"≤ 7 j",""))</f>
        <v/>
      </c>
      <c r="M1249" s="29">
        <f>IF($B1249="","",IFERROR(INDEX($T$4:$T$3183,MATCH(SMALL($V$4:$V$3183,1246),$V$4:$V$3183,0)),""))</f>
        <v/>
      </c>
      <c r="O1249">
        <f>IF(INDEX(Suivi!$B:$B,1273)="","",INDEX(Suivi!$B:$B,1273))</f>
        <v/>
      </c>
      <c r="P1249">
        <f>IF($O1249="","",IF(INDEX(Suivi!$D:$D,1273)="",INDEX(Suivi!$C:$C,1273),INDEX(Suivi!$D:$D,1273)))</f>
        <v/>
      </c>
      <c r="Q1249">
        <f>IF($O1249="","",INDEX(Suivi!$E:$E,1273))</f>
        <v/>
      </c>
      <c r="R1249">
        <f>IF($O1249="","",INDEX(Suivi!$F:$F,1273))</f>
        <v/>
      </c>
      <c r="S1249">
        <f>IF($O1249="","",INDEX(Suivi!$G:$G,1273))</f>
        <v/>
      </c>
      <c r="T1249">
        <f>IF($O1249="","",IF(INDEX(Dossiers!$F$4:$F$63,24)="","",INDEX(Dossiers!$F$4:$F$63,24)))</f>
        <v/>
      </c>
      <c r="U1249">
        <f>IF($O1249="","",IF(INDEX(Dossiers!$G$4:$G$63,24)="","",INDEX(Dossiers!$G$4:$G$63,24)))</f>
        <v/>
      </c>
      <c r="V1249">
        <f>IF(OR($O1249="",NOT(ISNUMBER($Q1249))),"",$Q1249*1000000+1249)</f>
        <v/>
      </c>
      <c r="W1249" s="29">
        <f>IF($B1249="","",IFERROR(INDEX($U$4:$U$3183,MATCH(SMALL($V$4:$V$3183,1246),$V$4:$V$3183,0)),""))</f>
        <v/>
      </c>
    </row>
    <row r="1250">
      <c r="A1250">
        <f>IFERROR(INDEX($N$4:$N$3183,MATCH(SMALL($V$4:$V$3183,1247),$V$4:$V$3183,0)),"")</f>
        <v/>
      </c>
      <c r="B1250">
        <f>IFERROR(INDEX($O$4:$O$3183,MATCH(SMALL($V$4:$V$3183,1247),$V$4:$V$3183,0)),"")</f>
        <v/>
      </c>
      <c r="C1250">
        <f>IFERROR(INDEX($P$4:$P$3183,MATCH(SMALL($V$4:$V$3183,1247),$V$4:$V$3183,0)),"")</f>
        <v/>
      </c>
      <c r="D1250" s="29">
        <f>IFERROR(INDEX($Q$4:$Q$3183,MATCH(SMALL($V$4:$V$3183,1247),$V$4:$V$3183,0)),"")</f>
        <v/>
      </c>
      <c r="E1250" s="29">
        <f>IFERROR(INDEX($R$4:$R$3183,MATCH(SMALL($V$4:$V$3183,1247),$V$4:$V$3183,0)),"")</f>
        <v/>
      </c>
      <c r="F1250">
        <f>IFERROR(INDEX($S$4:$S$3183,MATCH(SMALL($V$4:$V$3183,1247),$V$4:$V$3183,0)),"")</f>
        <v/>
      </c>
      <c r="I1250" s="29">
        <f>IF($B1250="","",IFERROR(INDEX($U$4:$U$3183,MATCH(SMALL($V$4:$V$3183,1247),$V$4:$V$3183,0)),""))</f>
        <v/>
      </c>
      <c r="J1250">
        <f>IF($B1250="","",IF($D1250&gt;$F$2,"À venir",IF($E1250&lt;$D$2,"Passé","Dans la période")))</f>
        <v/>
      </c>
      <c r="K1250">
        <f>IF(OR($B1250="",NOT(ISNUMBER($D1250))),"",IF(AND($E1250&lt;$D$2,$G1250&lt;&gt;"X",$F1250&lt;&gt;"Réalisé",$F1250&lt;&gt;"Clôturé"),"RETARD",""))</f>
        <v/>
      </c>
      <c r="L1250">
        <f>IF(OR($B1250="",NOT(ISNUMBER($D1250))),"",IF(AND($D1250&gt;=$D$2,$D1250&lt;=$H$2,$G1250&lt;&gt;"X",$F1250&lt;&gt;"Réalisé",$F1250&lt;&gt;"Clôturé"),"≤ 7 j",""))</f>
        <v/>
      </c>
      <c r="M1250" s="29">
        <f>IF($B1250="","",IFERROR(INDEX($T$4:$T$3183,MATCH(SMALL($V$4:$V$3183,1247),$V$4:$V$3183,0)),""))</f>
        <v/>
      </c>
      <c r="O1250">
        <f>IF(INDEX(Suivi!$B:$B,1274)="","",INDEX(Suivi!$B:$B,1274))</f>
        <v/>
      </c>
      <c r="P1250">
        <f>IF($O1250="","",IF(INDEX(Suivi!$D:$D,1274)="",INDEX(Suivi!$C:$C,1274),INDEX(Suivi!$D:$D,1274)))</f>
        <v/>
      </c>
      <c r="Q1250">
        <f>IF($O1250="","",INDEX(Suivi!$E:$E,1274))</f>
        <v/>
      </c>
      <c r="R1250">
        <f>IF($O1250="","",INDEX(Suivi!$F:$F,1274))</f>
        <v/>
      </c>
      <c r="S1250">
        <f>IF($O1250="","",INDEX(Suivi!$G:$G,1274))</f>
        <v/>
      </c>
      <c r="T1250">
        <f>IF($O1250="","",IF(INDEX(Dossiers!$F$4:$F$63,24)="","",INDEX(Dossiers!$F$4:$F$63,24)))</f>
        <v/>
      </c>
      <c r="U1250">
        <f>IF($O1250="","",IF(INDEX(Dossiers!$G$4:$G$63,24)="","",INDEX(Dossiers!$G$4:$G$63,24)))</f>
        <v/>
      </c>
      <c r="V1250">
        <f>IF(OR($O1250="",NOT(ISNUMBER($Q1250))),"",$Q1250*1000000+1250)</f>
        <v/>
      </c>
      <c r="W1250" s="29">
        <f>IF($B1250="","",IFERROR(INDEX($U$4:$U$3183,MATCH(SMALL($V$4:$V$3183,1247),$V$4:$V$3183,0)),""))</f>
        <v/>
      </c>
    </row>
    <row r="1251">
      <c r="A1251">
        <f>IFERROR(INDEX($N$4:$N$3183,MATCH(SMALL($V$4:$V$3183,1248),$V$4:$V$3183,0)),"")</f>
        <v/>
      </c>
      <c r="B1251">
        <f>IFERROR(INDEX($O$4:$O$3183,MATCH(SMALL($V$4:$V$3183,1248),$V$4:$V$3183,0)),"")</f>
        <v/>
      </c>
      <c r="C1251">
        <f>IFERROR(INDEX($P$4:$P$3183,MATCH(SMALL($V$4:$V$3183,1248),$V$4:$V$3183,0)),"")</f>
        <v/>
      </c>
      <c r="D1251" s="29">
        <f>IFERROR(INDEX($Q$4:$Q$3183,MATCH(SMALL($V$4:$V$3183,1248),$V$4:$V$3183,0)),"")</f>
        <v/>
      </c>
      <c r="E1251" s="29">
        <f>IFERROR(INDEX($R$4:$R$3183,MATCH(SMALL($V$4:$V$3183,1248),$V$4:$V$3183,0)),"")</f>
        <v/>
      </c>
      <c r="F1251">
        <f>IFERROR(INDEX($S$4:$S$3183,MATCH(SMALL($V$4:$V$3183,1248),$V$4:$V$3183,0)),"")</f>
        <v/>
      </c>
      <c r="I1251" s="29">
        <f>IF($B1251="","",IFERROR(INDEX($U$4:$U$3183,MATCH(SMALL($V$4:$V$3183,1248),$V$4:$V$3183,0)),""))</f>
        <v/>
      </c>
      <c r="J1251">
        <f>IF($B1251="","",IF($D1251&gt;$F$2,"À venir",IF($E1251&lt;$D$2,"Passé","Dans la période")))</f>
        <v/>
      </c>
      <c r="K1251">
        <f>IF(OR($B1251="",NOT(ISNUMBER($D1251))),"",IF(AND($E1251&lt;$D$2,$G1251&lt;&gt;"X",$F1251&lt;&gt;"Réalisé",$F1251&lt;&gt;"Clôturé"),"RETARD",""))</f>
        <v/>
      </c>
      <c r="L1251">
        <f>IF(OR($B1251="",NOT(ISNUMBER($D1251))),"",IF(AND($D1251&gt;=$D$2,$D1251&lt;=$H$2,$G1251&lt;&gt;"X",$F1251&lt;&gt;"Réalisé",$F1251&lt;&gt;"Clôturé"),"≤ 7 j",""))</f>
        <v/>
      </c>
      <c r="M1251" s="29">
        <f>IF($B1251="","",IFERROR(INDEX($T$4:$T$3183,MATCH(SMALL($V$4:$V$3183,1248),$V$4:$V$3183,0)),""))</f>
        <v/>
      </c>
      <c r="O1251">
        <f>IF(INDEX(Suivi!$B:$B,1275)="","",INDEX(Suivi!$B:$B,1275))</f>
        <v/>
      </c>
      <c r="P1251">
        <f>IF($O1251="","",IF(INDEX(Suivi!$D:$D,1275)="",INDEX(Suivi!$C:$C,1275),INDEX(Suivi!$D:$D,1275)))</f>
        <v/>
      </c>
      <c r="Q1251">
        <f>IF($O1251="","",INDEX(Suivi!$E:$E,1275))</f>
        <v/>
      </c>
      <c r="R1251">
        <f>IF($O1251="","",INDEX(Suivi!$F:$F,1275))</f>
        <v/>
      </c>
      <c r="S1251">
        <f>IF($O1251="","",INDEX(Suivi!$G:$G,1275))</f>
        <v/>
      </c>
      <c r="T1251">
        <f>IF($O1251="","",IF(INDEX(Dossiers!$F$4:$F$63,24)="","",INDEX(Dossiers!$F$4:$F$63,24)))</f>
        <v/>
      </c>
      <c r="U1251">
        <f>IF($O1251="","",IF(INDEX(Dossiers!$G$4:$G$63,24)="","",INDEX(Dossiers!$G$4:$G$63,24)))</f>
        <v/>
      </c>
      <c r="V1251">
        <f>IF(OR($O1251="",NOT(ISNUMBER($Q1251))),"",$Q1251*1000000+1251)</f>
        <v/>
      </c>
      <c r="W1251" s="29">
        <f>IF($B1251="","",IFERROR(INDEX($U$4:$U$3183,MATCH(SMALL($V$4:$V$3183,1248),$V$4:$V$3183,0)),""))</f>
        <v/>
      </c>
    </row>
    <row r="1252">
      <c r="A1252">
        <f>IFERROR(INDEX($N$4:$N$3183,MATCH(SMALL($V$4:$V$3183,1249),$V$4:$V$3183,0)),"")</f>
        <v/>
      </c>
      <c r="B1252">
        <f>IFERROR(INDEX($O$4:$O$3183,MATCH(SMALL($V$4:$V$3183,1249),$V$4:$V$3183,0)),"")</f>
        <v/>
      </c>
      <c r="C1252">
        <f>IFERROR(INDEX($P$4:$P$3183,MATCH(SMALL($V$4:$V$3183,1249),$V$4:$V$3183,0)),"")</f>
        <v/>
      </c>
      <c r="D1252" s="29">
        <f>IFERROR(INDEX($Q$4:$Q$3183,MATCH(SMALL($V$4:$V$3183,1249),$V$4:$V$3183,0)),"")</f>
        <v/>
      </c>
      <c r="E1252" s="29">
        <f>IFERROR(INDEX($R$4:$R$3183,MATCH(SMALL($V$4:$V$3183,1249),$V$4:$V$3183,0)),"")</f>
        <v/>
      </c>
      <c r="F1252">
        <f>IFERROR(INDEX($S$4:$S$3183,MATCH(SMALL($V$4:$V$3183,1249),$V$4:$V$3183,0)),"")</f>
        <v/>
      </c>
      <c r="I1252" s="29">
        <f>IF($B1252="","",IFERROR(INDEX($U$4:$U$3183,MATCH(SMALL($V$4:$V$3183,1249),$V$4:$V$3183,0)),""))</f>
        <v/>
      </c>
      <c r="J1252">
        <f>IF($B1252="","",IF($D1252&gt;$F$2,"À venir",IF($E1252&lt;$D$2,"Passé","Dans la période")))</f>
        <v/>
      </c>
      <c r="K1252">
        <f>IF(OR($B1252="",NOT(ISNUMBER($D1252))),"",IF(AND($E1252&lt;$D$2,$G1252&lt;&gt;"X",$F1252&lt;&gt;"Réalisé",$F1252&lt;&gt;"Clôturé"),"RETARD",""))</f>
        <v/>
      </c>
      <c r="L1252">
        <f>IF(OR($B1252="",NOT(ISNUMBER($D1252))),"",IF(AND($D1252&gt;=$D$2,$D1252&lt;=$H$2,$G1252&lt;&gt;"X",$F1252&lt;&gt;"Réalisé",$F1252&lt;&gt;"Clôturé"),"≤ 7 j",""))</f>
        <v/>
      </c>
      <c r="M1252" s="29">
        <f>IF($B1252="","",IFERROR(INDEX($T$4:$T$3183,MATCH(SMALL($V$4:$V$3183,1249),$V$4:$V$3183,0)),""))</f>
        <v/>
      </c>
      <c r="O1252">
        <f>IF(INDEX(Suivi!$B:$B,1276)="","",INDEX(Suivi!$B:$B,1276))</f>
        <v/>
      </c>
      <c r="P1252">
        <f>IF($O1252="","",IF(INDEX(Suivi!$D:$D,1276)="",INDEX(Suivi!$C:$C,1276),INDEX(Suivi!$D:$D,1276)))</f>
        <v/>
      </c>
      <c r="Q1252">
        <f>IF($O1252="","",INDEX(Suivi!$E:$E,1276))</f>
        <v/>
      </c>
      <c r="R1252">
        <f>IF($O1252="","",INDEX(Suivi!$F:$F,1276))</f>
        <v/>
      </c>
      <c r="S1252">
        <f>IF($O1252="","",INDEX(Suivi!$G:$G,1276))</f>
        <v/>
      </c>
      <c r="T1252">
        <f>IF($O1252="","",IF(INDEX(Dossiers!$F$4:$F$63,24)="","",INDEX(Dossiers!$F$4:$F$63,24)))</f>
        <v/>
      </c>
      <c r="U1252">
        <f>IF($O1252="","",IF(INDEX(Dossiers!$G$4:$G$63,24)="","",INDEX(Dossiers!$G$4:$G$63,24)))</f>
        <v/>
      </c>
      <c r="V1252">
        <f>IF(OR($O1252="",NOT(ISNUMBER($Q1252))),"",$Q1252*1000000+1252)</f>
        <v/>
      </c>
      <c r="W1252" s="29">
        <f>IF($B1252="","",IFERROR(INDEX($U$4:$U$3183,MATCH(SMALL($V$4:$V$3183,1249),$V$4:$V$3183,0)),""))</f>
        <v/>
      </c>
    </row>
    <row r="1253">
      <c r="A1253">
        <f>IFERROR(INDEX($N$4:$N$3183,MATCH(SMALL($V$4:$V$3183,1250),$V$4:$V$3183,0)),"")</f>
        <v/>
      </c>
      <c r="B1253">
        <f>IFERROR(INDEX($O$4:$O$3183,MATCH(SMALL($V$4:$V$3183,1250),$V$4:$V$3183,0)),"")</f>
        <v/>
      </c>
      <c r="C1253">
        <f>IFERROR(INDEX($P$4:$P$3183,MATCH(SMALL($V$4:$V$3183,1250),$V$4:$V$3183,0)),"")</f>
        <v/>
      </c>
      <c r="D1253" s="29">
        <f>IFERROR(INDEX($Q$4:$Q$3183,MATCH(SMALL($V$4:$V$3183,1250),$V$4:$V$3183,0)),"")</f>
        <v/>
      </c>
      <c r="E1253" s="29">
        <f>IFERROR(INDEX($R$4:$R$3183,MATCH(SMALL($V$4:$V$3183,1250),$V$4:$V$3183,0)),"")</f>
        <v/>
      </c>
      <c r="F1253">
        <f>IFERROR(INDEX($S$4:$S$3183,MATCH(SMALL($V$4:$V$3183,1250),$V$4:$V$3183,0)),"")</f>
        <v/>
      </c>
      <c r="I1253" s="29">
        <f>IF($B1253="","",IFERROR(INDEX($U$4:$U$3183,MATCH(SMALL($V$4:$V$3183,1250),$V$4:$V$3183,0)),""))</f>
        <v/>
      </c>
      <c r="J1253">
        <f>IF($B1253="","",IF($D1253&gt;$F$2,"À venir",IF($E1253&lt;$D$2,"Passé","Dans la période")))</f>
        <v/>
      </c>
      <c r="K1253">
        <f>IF(OR($B1253="",NOT(ISNUMBER($D1253))),"",IF(AND($E1253&lt;$D$2,$G1253&lt;&gt;"X",$F1253&lt;&gt;"Réalisé",$F1253&lt;&gt;"Clôturé"),"RETARD",""))</f>
        <v/>
      </c>
      <c r="L1253">
        <f>IF(OR($B1253="",NOT(ISNUMBER($D1253))),"",IF(AND($D1253&gt;=$D$2,$D1253&lt;=$H$2,$G1253&lt;&gt;"X",$F1253&lt;&gt;"Réalisé",$F1253&lt;&gt;"Clôturé"),"≤ 7 j",""))</f>
        <v/>
      </c>
      <c r="M1253" s="29">
        <f>IF($B1253="","",IFERROR(INDEX($T$4:$T$3183,MATCH(SMALL($V$4:$V$3183,1250),$V$4:$V$3183,0)),""))</f>
        <v/>
      </c>
      <c r="O1253">
        <f>IF(INDEX(Suivi!$B:$B,1277)="","",INDEX(Suivi!$B:$B,1277))</f>
        <v/>
      </c>
      <c r="P1253">
        <f>IF($O1253="","",IF(INDEX(Suivi!$D:$D,1277)="",INDEX(Suivi!$C:$C,1277),INDEX(Suivi!$D:$D,1277)))</f>
        <v/>
      </c>
      <c r="Q1253">
        <f>IF($O1253="","",INDEX(Suivi!$E:$E,1277))</f>
        <v/>
      </c>
      <c r="R1253">
        <f>IF($O1253="","",INDEX(Suivi!$F:$F,1277))</f>
        <v/>
      </c>
      <c r="S1253">
        <f>IF($O1253="","",INDEX(Suivi!$G:$G,1277))</f>
        <v/>
      </c>
      <c r="T1253">
        <f>IF($O1253="","",IF(INDEX(Dossiers!$F$4:$F$63,24)="","",INDEX(Dossiers!$F$4:$F$63,24)))</f>
        <v/>
      </c>
      <c r="U1253">
        <f>IF($O1253="","",IF(INDEX(Dossiers!$G$4:$G$63,24)="","",INDEX(Dossiers!$G$4:$G$63,24)))</f>
        <v/>
      </c>
      <c r="V1253">
        <f>IF(OR($O1253="",NOT(ISNUMBER($Q1253))),"",$Q1253*1000000+1253)</f>
        <v/>
      </c>
      <c r="W1253" s="29">
        <f>IF($B1253="","",IFERROR(INDEX($U$4:$U$3183,MATCH(SMALL($V$4:$V$3183,1250),$V$4:$V$3183,0)),""))</f>
        <v/>
      </c>
    </row>
    <row r="1254">
      <c r="A1254">
        <f>IFERROR(INDEX($N$4:$N$3183,MATCH(SMALL($V$4:$V$3183,1251),$V$4:$V$3183,0)),"")</f>
        <v/>
      </c>
      <c r="B1254">
        <f>IFERROR(INDEX($O$4:$O$3183,MATCH(SMALL($V$4:$V$3183,1251),$V$4:$V$3183,0)),"")</f>
        <v/>
      </c>
      <c r="C1254">
        <f>IFERROR(INDEX($P$4:$P$3183,MATCH(SMALL($V$4:$V$3183,1251),$V$4:$V$3183,0)),"")</f>
        <v/>
      </c>
      <c r="D1254" s="29">
        <f>IFERROR(INDEX($Q$4:$Q$3183,MATCH(SMALL($V$4:$V$3183,1251),$V$4:$V$3183,0)),"")</f>
        <v/>
      </c>
      <c r="E1254" s="29">
        <f>IFERROR(INDEX($R$4:$R$3183,MATCH(SMALL($V$4:$V$3183,1251),$V$4:$V$3183,0)),"")</f>
        <v/>
      </c>
      <c r="F1254">
        <f>IFERROR(INDEX($S$4:$S$3183,MATCH(SMALL($V$4:$V$3183,1251),$V$4:$V$3183,0)),"")</f>
        <v/>
      </c>
      <c r="I1254" s="29">
        <f>IF($B1254="","",IFERROR(INDEX($U$4:$U$3183,MATCH(SMALL($V$4:$V$3183,1251),$V$4:$V$3183,0)),""))</f>
        <v/>
      </c>
      <c r="J1254">
        <f>IF($B1254="","",IF($D1254&gt;$F$2,"À venir",IF($E1254&lt;$D$2,"Passé","Dans la période")))</f>
        <v/>
      </c>
      <c r="K1254">
        <f>IF(OR($B1254="",NOT(ISNUMBER($D1254))),"",IF(AND($E1254&lt;$D$2,$G1254&lt;&gt;"X",$F1254&lt;&gt;"Réalisé",$F1254&lt;&gt;"Clôturé"),"RETARD",""))</f>
        <v/>
      </c>
      <c r="L1254">
        <f>IF(OR($B1254="",NOT(ISNUMBER($D1254))),"",IF(AND($D1254&gt;=$D$2,$D1254&lt;=$H$2,$G1254&lt;&gt;"X",$F1254&lt;&gt;"Réalisé",$F1254&lt;&gt;"Clôturé"),"≤ 7 j",""))</f>
        <v/>
      </c>
      <c r="M1254" s="29">
        <f>IF($B1254="","",IFERROR(INDEX($T$4:$T$3183,MATCH(SMALL($V$4:$V$3183,1251),$V$4:$V$3183,0)),""))</f>
        <v/>
      </c>
      <c r="O1254">
        <f>IF(INDEX(Suivi!$B:$B,1278)="","",INDEX(Suivi!$B:$B,1278))</f>
        <v/>
      </c>
      <c r="P1254">
        <f>IF($O1254="","",IF(INDEX(Suivi!$D:$D,1278)="",INDEX(Suivi!$C:$C,1278),INDEX(Suivi!$D:$D,1278)))</f>
        <v/>
      </c>
      <c r="Q1254">
        <f>IF($O1254="","",INDEX(Suivi!$E:$E,1278))</f>
        <v/>
      </c>
      <c r="R1254">
        <f>IF($O1254="","",INDEX(Suivi!$F:$F,1278))</f>
        <v/>
      </c>
      <c r="S1254">
        <f>IF($O1254="","",INDEX(Suivi!$G:$G,1278))</f>
        <v/>
      </c>
      <c r="T1254">
        <f>IF($O1254="","",IF(INDEX(Dossiers!$F$4:$F$63,24)="","",INDEX(Dossiers!$F$4:$F$63,24)))</f>
        <v/>
      </c>
      <c r="U1254">
        <f>IF($O1254="","",IF(INDEX(Dossiers!$G$4:$G$63,24)="","",INDEX(Dossiers!$G$4:$G$63,24)))</f>
        <v/>
      </c>
      <c r="V1254">
        <f>IF(OR($O1254="",NOT(ISNUMBER($Q1254))),"",$Q1254*1000000+1254)</f>
        <v/>
      </c>
      <c r="W1254" s="29">
        <f>IF($B1254="","",IFERROR(INDEX($U$4:$U$3183,MATCH(SMALL($V$4:$V$3183,1251),$V$4:$V$3183,0)),""))</f>
        <v/>
      </c>
    </row>
    <row r="1255">
      <c r="A1255">
        <f>IFERROR(INDEX($N$4:$N$3183,MATCH(SMALL($V$4:$V$3183,1252),$V$4:$V$3183,0)),"")</f>
        <v/>
      </c>
      <c r="B1255">
        <f>IFERROR(INDEX($O$4:$O$3183,MATCH(SMALL($V$4:$V$3183,1252),$V$4:$V$3183,0)),"")</f>
        <v/>
      </c>
      <c r="C1255">
        <f>IFERROR(INDEX($P$4:$P$3183,MATCH(SMALL($V$4:$V$3183,1252),$V$4:$V$3183,0)),"")</f>
        <v/>
      </c>
      <c r="D1255" s="29">
        <f>IFERROR(INDEX($Q$4:$Q$3183,MATCH(SMALL($V$4:$V$3183,1252),$V$4:$V$3183,0)),"")</f>
        <v/>
      </c>
      <c r="E1255" s="29">
        <f>IFERROR(INDEX($R$4:$R$3183,MATCH(SMALL($V$4:$V$3183,1252),$V$4:$V$3183,0)),"")</f>
        <v/>
      </c>
      <c r="F1255">
        <f>IFERROR(INDEX($S$4:$S$3183,MATCH(SMALL($V$4:$V$3183,1252),$V$4:$V$3183,0)),"")</f>
        <v/>
      </c>
      <c r="I1255" s="29">
        <f>IF($B1255="","",IFERROR(INDEX($U$4:$U$3183,MATCH(SMALL($V$4:$V$3183,1252),$V$4:$V$3183,0)),""))</f>
        <v/>
      </c>
      <c r="J1255">
        <f>IF($B1255="","",IF($D1255&gt;$F$2,"À venir",IF($E1255&lt;$D$2,"Passé","Dans la période")))</f>
        <v/>
      </c>
      <c r="K1255">
        <f>IF(OR($B1255="",NOT(ISNUMBER($D1255))),"",IF(AND($E1255&lt;$D$2,$G1255&lt;&gt;"X",$F1255&lt;&gt;"Réalisé",$F1255&lt;&gt;"Clôturé"),"RETARD",""))</f>
        <v/>
      </c>
      <c r="L1255">
        <f>IF(OR($B1255="",NOT(ISNUMBER($D1255))),"",IF(AND($D1255&gt;=$D$2,$D1255&lt;=$H$2,$G1255&lt;&gt;"X",$F1255&lt;&gt;"Réalisé",$F1255&lt;&gt;"Clôturé"),"≤ 7 j",""))</f>
        <v/>
      </c>
      <c r="M1255" s="29">
        <f>IF($B1255="","",IFERROR(INDEX($T$4:$T$3183,MATCH(SMALL($V$4:$V$3183,1252),$V$4:$V$3183,0)),""))</f>
        <v/>
      </c>
      <c r="O1255">
        <f>IF(INDEX(Suivi!$B:$B,1279)="","",INDEX(Suivi!$B:$B,1279))</f>
        <v/>
      </c>
      <c r="P1255">
        <f>IF($O1255="","",IF(INDEX(Suivi!$D:$D,1279)="",INDEX(Suivi!$C:$C,1279),INDEX(Suivi!$D:$D,1279)))</f>
        <v/>
      </c>
      <c r="Q1255">
        <f>IF($O1255="","",INDEX(Suivi!$E:$E,1279))</f>
        <v/>
      </c>
      <c r="R1255">
        <f>IF($O1255="","",INDEX(Suivi!$F:$F,1279))</f>
        <v/>
      </c>
      <c r="S1255">
        <f>IF($O1255="","",INDEX(Suivi!$G:$G,1279))</f>
        <v/>
      </c>
      <c r="T1255">
        <f>IF($O1255="","",IF(INDEX(Dossiers!$F$4:$F$63,24)="","",INDEX(Dossiers!$F$4:$F$63,24)))</f>
        <v/>
      </c>
      <c r="U1255">
        <f>IF($O1255="","",IF(INDEX(Dossiers!$G$4:$G$63,24)="","",INDEX(Dossiers!$G$4:$G$63,24)))</f>
        <v/>
      </c>
      <c r="V1255">
        <f>IF(OR($O1255="",NOT(ISNUMBER($Q1255))),"",$Q1255*1000000+1255)</f>
        <v/>
      </c>
      <c r="W1255" s="29">
        <f>IF($B1255="","",IFERROR(INDEX($U$4:$U$3183,MATCH(SMALL($V$4:$V$3183,1252),$V$4:$V$3183,0)),""))</f>
        <v/>
      </c>
    </row>
    <row r="1256">
      <c r="A1256">
        <f>IFERROR(INDEX($N$4:$N$3183,MATCH(SMALL($V$4:$V$3183,1253),$V$4:$V$3183,0)),"")</f>
        <v/>
      </c>
      <c r="B1256">
        <f>IFERROR(INDEX($O$4:$O$3183,MATCH(SMALL($V$4:$V$3183,1253),$V$4:$V$3183,0)),"")</f>
        <v/>
      </c>
      <c r="C1256">
        <f>IFERROR(INDEX($P$4:$P$3183,MATCH(SMALL($V$4:$V$3183,1253),$V$4:$V$3183,0)),"")</f>
        <v/>
      </c>
      <c r="D1256" s="29">
        <f>IFERROR(INDEX($Q$4:$Q$3183,MATCH(SMALL($V$4:$V$3183,1253),$V$4:$V$3183,0)),"")</f>
        <v/>
      </c>
      <c r="E1256" s="29">
        <f>IFERROR(INDEX($R$4:$R$3183,MATCH(SMALL($V$4:$V$3183,1253),$V$4:$V$3183,0)),"")</f>
        <v/>
      </c>
      <c r="F1256">
        <f>IFERROR(INDEX($S$4:$S$3183,MATCH(SMALL($V$4:$V$3183,1253),$V$4:$V$3183,0)),"")</f>
        <v/>
      </c>
      <c r="I1256" s="29">
        <f>IF($B1256="","",IFERROR(INDEX($U$4:$U$3183,MATCH(SMALL($V$4:$V$3183,1253),$V$4:$V$3183,0)),""))</f>
        <v/>
      </c>
      <c r="J1256">
        <f>IF($B1256="","",IF($D1256&gt;$F$2,"À venir",IF($E1256&lt;$D$2,"Passé","Dans la période")))</f>
        <v/>
      </c>
      <c r="K1256">
        <f>IF(OR($B1256="",NOT(ISNUMBER($D1256))),"",IF(AND($E1256&lt;$D$2,$G1256&lt;&gt;"X",$F1256&lt;&gt;"Réalisé",$F1256&lt;&gt;"Clôturé"),"RETARD",""))</f>
        <v/>
      </c>
      <c r="L1256">
        <f>IF(OR($B1256="",NOT(ISNUMBER($D1256))),"",IF(AND($D1256&gt;=$D$2,$D1256&lt;=$H$2,$G1256&lt;&gt;"X",$F1256&lt;&gt;"Réalisé",$F1256&lt;&gt;"Clôturé"),"≤ 7 j",""))</f>
        <v/>
      </c>
      <c r="M1256" s="29">
        <f>IF($B1256="","",IFERROR(INDEX($T$4:$T$3183,MATCH(SMALL($V$4:$V$3183,1253),$V$4:$V$3183,0)),""))</f>
        <v/>
      </c>
      <c r="O1256">
        <f>IF(INDEX(Suivi!$B:$B,1280)="","",INDEX(Suivi!$B:$B,1280))</f>
        <v/>
      </c>
      <c r="P1256">
        <f>IF($O1256="","",IF(INDEX(Suivi!$D:$D,1280)="",INDEX(Suivi!$C:$C,1280),INDEX(Suivi!$D:$D,1280)))</f>
        <v/>
      </c>
      <c r="Q1256">
        <f>IF($O1256="","",INDEX(Suivi!$E:$E,1280))</f>
        <v/>
      </c>
      <c r="R1256">
        <f>IF($O1256="","",INDEX(Suivi!$F:$F,1280))</f>
        <v/>
      </c>
      <c r="S1256">
        <f>IF($O1256="","",INDEX(Suivi!$G:$G,1280))</f>
        <v/>
      </c>
      <c r="T1256">
        <f>IF($O1256="","",IF(INDEX(Dossiers!$F$4:$F$63,24)="","",INDEX(Dossiers!$F$4:$F$63,24)))</f>
        <v/>
      </c>
      <c r="U1256">
        <f>IF($O1256="","",IF(INDEX(Dossiers!$G$4:$G$63,24)="","",INDEX(Dossiers!$G$4:$G$63,24)))</f>
        <v/>
      </c>
      <c r="V1256">
        <f>IF(OR($O1256="",NOT(ISNUMBER($Q1256))),"",$Q1256*1000000+1256)</f>
        <v/>
      </c>
      <c r="W1256" s="29">
        <f>IF($B1256="","",IFERROR(INDEX($U$4:$U$3183,MATCH(SMALL($V$4:$V$3183,1253),$V$4:$V$3183,0)),""))</f>
        <v/>
      </c>
    </row>
    <row r="1257">
      <c r="A1257">
        <f>IFERROR(INDEX($N$4:$N$3183,MATCH(SMALL($V$4:$V$3183,1254),$V$4:$V$3183,0)),"")</f>
        <v/>
      </c>
      <c r="B1257">
        <f>IFERROR(INDEX($O$4:$O$3183,MATCH(SMALL($V$4:$V$3183,1254),$V$4:$V$3183,0)),"")</f>
        <v/>
      </c>
      <c r="C1257">
        <f>IFERROR(INDEX($P$4:$P$3183,MATCH(SMALL($V$4:$V$3183,1254),$V$4:$V$3183,0)),"")</f>
        <v/>
      </c>
      <c r="D1257" s="29">
        <f>IFERROR(INDEX($Q$4:$Q$3183,MATCH(SMALL($V$4:$V$3183,1254),$V$4:$V$3183,0)),"")</f>
        <v/>
      </c>
      <c r="E1257" s="29">
        <f>IFERROR(INDEX($R$4:$R$3183,MATCH(SMALL($V$4:$V$3183,1254),$V$4:$V$3183,0)),"")</f>
        <v/>
      </c>
      <c r="F1257">
        <f>IFERROR(INDEX($S$4:$S$3183,MATCH(SMALL($V$4:$V$3183,1254),$V$4:$V$3183,0)),"")</f>
        <v/>
      </c>
      <c r="I1257" s="29">
        <f>IF($B1257="","",IFERROR(INDEX($U$4:$U$3183,MATCH(SMALL($V$4:$V$3183,1254),$V$4:$V$3183,0)),""))</f>
        <v/>
      </c>
      <c r="J1257">
        <f>IF($B1257="","",IF($D1257&gt;$F$2,"À venir",IF($E1257&lt;$D$2,"Passé","Dans la période")))</f>
        <v/>
      </c>
      <c r="K1257">
        <f>IF(OR($B1257="",NOT(ISNUMBER($D1257))),"",IF(AND($E1257&lt;$D$2,$G1257&lt;&gt;"X",$F1257&lt;&gt;"Réalisé",$F1257&lt;&gt;"Clôturé"),"RETARD",""))</f>
        <v/>
      </c>
      <c r="L1257">
        <f>IF(OR($B1257="",NOT(ISNUMBER($D1257))),"",IF(AND($D1257&gt;=$D$2,$D1257&lt;=$H$2,$G1257&lt;&gt;"X",$F1257&lt;&gt;"Réalisé",$F1257&lt;&gt;"Clôturé"),"≤ 7 j",""))</f>
        <v/>
      </c>
      <c r="M1257" s="29">
        <f>IF($B1257="","",IFERROR(INDEX($T$4:$T$3183,MATCH(SMALL($V$4:$V$3183,1254),$V$4:$V$3183,0)),""))</f>
        <v/>
      </c>
      <c r="O1257">
        <f>IF(INDEX(Suivi!$B:$B,1281)="","",INDEX(Suivi!$B:$B,1281))</f>
        <v/>
      </c>
      <c r="P1257">
        <f>IF($O1257="","",IF(INDEX(Suivi!$D:$D,1281)="",INDEX(Suivi!$C:$C,1281),INDEX(Suivi!$D:$D,1281)))</f>
        <v/>
      </c>
      <c r="Q1257">
        <f>IF($O1257="","",INDEX(Suivi!$E:$E,1281))</f>
        <v/>
      </c>
      <c r="R1257">
        <f>IF($O1257="","",INDEX(Suivi!$F:$F,1281))</f>
        <v/>
      </c>
      <c r="S1257">
        <f>IF($O1257="","",INDEX(Suivi!$G:$G,1281))</f>
        <v/>
      </c>
      <c r="T1257">
        <f>IF($O1257="","",IF(INDEX(Dossiers!$F$4:$F$63,24)="","",INDEX(Dossiers!$F$4:$F$63,24)))</f>
        <v/>
      </c>
      <c r="U1257">
        <f>IF($O1257="","",IF(INDEX(Dossiers!$G$4:$G$63,24)="","",INDEX(Dossiers!$G$4:$G$63,24)))</f>
        <v/>
      </c>
      <c r="V1257">
        <f>IF(OR($O1257="",NOT(ISNUMBER($Q1257))),"",$Q1257*1000000+1257)</f>
        <v/>
      </c>
      <c r="W1257" s="29">
        <f>IF($B1257="","",IFERROR(INDEX($U$4:$U$3183,MATCH(SMALL($V$4:$V$3183,1254),$V$4:$V$3183,0)),""))</f>
        <v/>
      </c>
    </row>
    <row r="1258">
      <c r="A1258">
        <f>IFERROR(INDEX($N$4:$N$3183,MATCH(SMALL($V$4:$V$3183,1255),$V$4:$V$3183,0)),"")</f>
        <v/>
      </c>
      <c r="B1258">
        <f>IFERROR(INDEX($O$4:$O$3183,MATCH(SMALL($V$4:$V$3183,1255),$V$4:$V$3183,0)),"")</f>
        <v/>
      </c>
      <c r="C1258">
        <f>IFERROR(INDEX($P$4:$P$3183,MATCH(SMALL($V$4:$V$3183,1255),$V$4:$V$3183,0)),"")</f>
        <v/>
      </c>
      <c r="D1258" s="29">
        <f>IFERROR(INDEX($Q$4:$Q$3183,MATCH(SMALL($V$4:$V$3183,1255),$V$4:$V$3183,0)),"")</f>
        <v/>
      </c>
      <c r="E1258" s="29">
        <f>IFERROR(INDEX($R$4:$R$3183,MATCH(SMALL($V$4:$V$3183,1255),$V$4:$V$3183,0)),"")</f>
        <v/>
      </c>
      <c r="F1258">
        <f>IFERROR(INDEX($S$4:$S$3183,MATCH(SMALL($V$4:$V$3183,1255),$V$4:$V$3183,0)),"")</f>
        <v/>
      </c>
      <c r="I1258" s="29">
        <f>IF($B1258="","",IFERROR(INDEX($U$4:$U$3183,MATCH(SMALL($V$4:$V$3183,1255),$V$4:$V$3183,0)),""))</f>
        <v/>
      </c>
      <c r="J1258">
        <f>IF($B1258="","",IF($D1258&gt;$F$2,"À venir",IF($E1258&lt;$D$2,"Passé","Dans la période")))</f>
        <v/>
      </c>
      <c r="K1258">
        <f>IF(OR($B1258="",NOT(ISNUMBER($D1258))),"",IF(AND($E1258&lt;$D$2,$G1258&lt;&gt;"X",$F1258&lt;&gt;"Réalisé",$F1258&lt;&gt;"Clôturé"),"RETARD",""))</f>
        <v/>
      </c>
      <c r="L1258">
        <f>IF(OR($B1258="",NOT(ISNUMBER($D1258))),"",IF(AND($D1258&gt;=$D$2,$D1258&lt;=$H$2,$G1258&lt;&gt;"X",$F1258&lt;&gt;"Réalisé",$F1258&lt;&gt;"Clôturé"),"≤ 7 j",""))</f>
        <v/>
      </c>
      <c r="M1258" s="29">
        <f>IF($B1258="","",IFERROR(INDEX($T$4:$T$3183,MATCH(SMALL($V$4:$V$3183,1255),$V$4:$V$3183,0)),""))</f>
        <v/>
      </c>
      <c r="O1258">
        <f>IF(INDEX(Suivi!$B:$B,1282)="","",INDEX(Suivi!$B:$B,1282))</f>
        <v/>
      </c>
      <c r="P1258">
        <f>IF($O1258="","",IF(INDEX(Suivi!$D:$D,1282)="",INDEX(Suivi!$C:$C,1282),INDEX(Suivi!$D:$D,1282)))</f>
        <v/>
      </c>
      <c r="Q1258">
        <f>IF($O1258="","",INDEX(Suivi!$E:$E,1282))</f>
        <v/>
      </c>
      <c r="R1258">
        <f>IF($O1258="","",INDEX(Suivi!$F:$F,1282))</f>
        <v/>
      </c>
      <c r="S1258">
        <f>IF($O1258="","",INDEX(Suivi!$G:$G,1282))</f>
        <v/>
      </c>
      <c r="T1258">
        <f>IF($O1258="","",IF(INDEX(Dossiers!$F$4:$F$63,24)="","",INDEX(Dossiers!$F$4:$F$63,24)))</f>
        <v/>
      </c>
      <c r="U1258">
        <f>IF($O1258="","",IF(INDEX(Dossiers!$G$4:$G$63,24)="","",INDEX(Dossiers!$G$4:$G$63,24)))</f>
        <v/>
      </c>
      <c r="V1258">
        <f>IF(OR($O1258="",NOT(ISNUMBER($Q1258))),"",$Q1258*1000000+1258)</f>
        <v/>
      </c>
      <c r="W1258" s="29">
        <f>IF($B1258="","",IFERROR(INDEX($U$4:$U$3183,MATCH(SMALL($V$4:$V$3183,1255),$V$4:$V$3183,0)),""))</f>
        <v/>
      </c>
    </row>
    <row r="1259">
      <c r="A1259">
        <f>IFERROR(INDEX($N$4:$N$3183,MATCH(SMALL($V$4:$V$3183,1256),$V$4:$V$3183,0)),"")</f>
        <v/>
      </c>
      <c r="B1259">
        <f>IFERROR(INDEX($O$4:$O$3183,MATCH(SMALL($V$4:$V$3183,1256),$V$4:$V$3183,0)),"")</f>
        <v/>
      </c>
      <c r="C1259">
        <f>IFERROR(INDEX($P$4:$P$3183,MATCH(SMALL($V$4:$V$3183,1256),$V$4:$V$3183,0)),"")</f>
        <v/>
      </c>
      <c r="D1259" s="29">
        <f>IFERROR(INDEX($Q$4:$Q$3183,MATCH(SMALL($V$4:$V$3183,1256),$V$4:$V$3183,0)),"")</f>
        <v/>
      </c>
      <c r="E1259" s="29">
        <f>IFERROR(INDEX($R$4:$R$3183,MATCH(SMALL($V$4:$V$3183,1256),$V$4:$V$3183,0)),"")</f>
        <v/>
      </c>
      <c r="F1259">
        <f>IFERROR(INDEX($S$4:$S$3183,MATCH(SMALL($V$4:$V$3183,1256),$V$4:$V$3183,0)),"")</f>
        <v/>
      </c>
      <c r="I1259" s="29">
        <f>IF($B1259="","",IFERROR(INDEX($U$4:$U$3183,MATCH(SMALL($V$4:$V$3183,1256),$V$4:$V$3183,0)),""))</f>
        <v/>
      </c>
      <c r="J1259">
        <f>IF($B1259="","",IF($D1259&gt;$F$2,"À venir",IF($E1259&lt;$D$2,"Passé","Dans la période")))</f>
        <v/>
      </c>
      <c r="K1259">
        <f>IF(OR($B1259="",NOT(ISNUMBER($D1259))),"",IF(AND($E1259&lt;$D$2,$G1259&lt;&gt;"X",$F1259&lt;&gt;"Réalisé",$F1259&lt;&gt;"Clôturé"),"RETARD",""))</f>
        <v/>
      </c>
      <c r="L1259">
        <f>IF(OR($B1259="",NOT(ISNUMBER($D1259))),"",IF(AND($D1259&gt;=$D$2,$D1259&lt;=$H$2,$G1259&lt;&gt;"X",$F1259&lt;&gt;"Réalisé",$F1259&lt;&gt;"Clôturé"),"≤ 7 j",""))</f>
        <v/>
      </c>
      <c r="M1259" s="29">
        <f>IF($B1259="","",IFERROR(INDEX($T$4:$T$3183,MATCH(SMALL($V$4:$V$3183,1256),$V$4:$V$3183,0)),""))</f>
        <v/>
      </c>
      <c r="O1259">
        <f>IF(INDEX(Suivi!$B:$B,1283)="","",INDEX(Suivi!$B:$B,1283))</f>
        <v/>
      </c>
      <c r="P1259">
        <f>IF($O1259="","",IF(INDEX(Suivi!$D:$D,1283)="",INDEX(Suivi!$C:$C,1283),INDEX(Suivi!$D:$D,1283)))</f>
        <v/>
      </c>
      <c r="Q1259">
        <f>IF($O1259="","",INDEX(Suivi!$E:$E,1283))</f>
        <v/>
      </c>
      <c r="R1259">
        <f>IF($O1259="","",INDEX(Suivi!$F:$F,1283))</f>
        <v/>
      </c>
      <c r="S1259">
        <f>IF($O1259="","",INDEX(Suivi!$G:$G,1283))</f>
        <v/>
      </c>
      <c r="T1259">
        <f>IF($O1259="","",IF(INDEX(Dossiers!$F$4:$F$63,24)="","",INDEX(Dossiers!$F$4:$F$63,24)))</f>
        <v/>
      </c>
      <c r="U1259">
        <f>IF($O1259="","",IF(INDEX(Dossiers!$G$4:$G$63,24)="","",INDEX(Dossiers!$G$4:$G$63,24)))</f>
        <v/>
      </c>
      <c r="V1259">
        <f>IF(OR($O1259="",NOT(ISNUMBER($Q1259))),"",$Q1259*1000000+1259)</f>
        <v/>
      </c>
      <c r="W1259" s="29">
        <f>IF($B1259="","",IFERROR(INDEX($U$4:$U$3183,MATCH(SMALL($V$4:$V$3183,1256),$V$4:$V$3183,0)),""))</f>
        <v/>
      </c>
    </row>
    <row r="1260">
      <c r="A1260">
        <f>IFERROR(INDEX($N$4:$N$3183,MATCH(SMALL($V$4:$V$3183,1257),$V$4:$V$3183,0)),"")</f>
        <v/>
      </c>
      <c r="B1260">
        <f>IFERROR(INDEX($O$4:$O$3183,MATCH(SMALL($V$4:$V$3183,1257),$V$4:$V$3183,0)),"")</f>
        <v/>
      </c>
      <c r="C1260">
        <f>IFERROR(INDEX($P$4:$P$3183,MATCH(SMALL($V$4:$V$3183,1257),$V$4:$V$3183,0)),"")</f>
        <v/>
      </c>
      <c r="D1260" s="29">
        <f>IFERROR(INDEX($Q$4:$Q$3183,MATCH(SMALL($V$4:$V$3183,1257),$V$4:$V$3183,0)),"")</f>
        <v/>
      </c>
      <c r="E1260" s="29">
        <f>IFERROR(INDEX($R$4:$R$3183,MATCH(SMALL($V$4:$V$3183,1257),$V$4:$V$3183,0)),"")</f>
        <v/>
      </c>
      <c r="F1260">
        <f>IFERROR(INDEX($S$4:$S$3183,MATCH(SMALL($V$4:$V$3183,1257),$V$4:$V$3183,0)),"")</f>
        <v/>
      </c>
      <c r="I1260" s="29">
        <f>IF($B1260="","",IFERROR(INDEX($U$4:$U$3183,MATCH(SMALL($V$4:$V$3183,1257),$V$4:$V$3183,0)),""))</f>
        <v/>
      </c>
      <c r="J1260">
        <f>IF($B1260="","",IF($D1260&gt;$F$2,"À venir",IF($E1260&lt;$D$2,"Passé","Dans la période")))</f>
        <v/>
      </c>
      <c r="K1260">
        <f>IF(OR($B1260="",NOT(ISNUMBER($D1260))),"",IF(AND($E1260&lt;$D$2,$G1260&lt;&gt;"X",$F1260&lt;&gt;"Réalisé",$F1260&lt;&gt;"Clôturé"),"RETARD",""))</f>
        <v/>
      </c>
      <c r="L1260">
        <f>IF(OR($B1260="",NOT(ISNUMBER($D1260))),"",IF(AND($D1260&gt;=$D$2,$D1260&lt;=$H$2,$G1260&lt;&gt;"X",$F1260&lt;&gt;"Réalisé",$F1260&lt;&gt;"Clôturé"),"≤ 7 j",""))</f>
        <v/>
      </c>
      <c r="M1260" s="29">
        <f>IF($B1260="","",IFERROR(INDEX($T$4:$T$3183,MATCH(SMALL($V$4:$V$3183,1257),$V$4:$V$3183,0)),""))</f>
        <v/>
      </c>
      <c r="O1260">
        <f>IF(INDEX(Suivi!$B:$B,1284)="","",INDEX(Suivi!$B:$B,1284))</f>
        <v/>
      </c>
      <c r="P1260">
        <f>IF($O1260="","",IF(INDEX(Suivi!$D:$D,1284)="",INDEX(Suivi!$C:$C,1284),INDEX(Suivi!$D:$D,1284)))</f>
        <v/>
      </c>
      <c r="Q1260">
        <f>IF($O1260="","",INDEX(Suivi!$E:$E,1284))</f>
        <v/>
      </c>
      <c r="R1260">
        <f>IF($O1260="","",INDEX(Suivi!$F:$F,1284))</f>
        <v/>
      </c>
      <c r="S1260">
        <f>IF($O1260="","",INDEX(Suivi!$G:$G,1284))</f>
        <v/>
      </c>
      <c r="T1260">
        <f>IF($O1260="","",IF(INDEX(Dossiers!$F$4:$F$63,24)="","",INDEX(Dossiers!$F$4:$F$63,24)))</f>
        <v/>
      </c>
      <c r="U1260">
        <f>IF($O1260="","",IF(INDEX(Dossiers!$G$4:$G$63,24)="","",INDEX(Dossiers!$G$4:$G$63,24)))</f>
        <v/>
      </c>
      <c r="V1260">
        <f>IF(OR($O1260="",NOT(ISNUMBER($Q1260))),"",$Q1260*1000000+1260)</f>
        <v/>
      </c>
      <c r="W1260" s="29">
        <f>IF($B1260="","",IFERROR(INDEX($U$4:$U$3183,MATCH(SMALL($V$4:$V$3183,1257),$V$4:$V$3183,0)),""))</f>
        <v/>
      </c>
    </row>
    <row r="1261">
      <c r="A1261">
        <f>IFERROR(INDEX($N$4:$N$3183,MATCH(SMALL($V$4:$V$3183,1258),$V$4:$V$3183,0)),"")</f>
        <v/>
      </c>
      <c r="B1261">
        <f>IFERROR(INDEX($O$4:$O$3183,MATCH(SMALL($V$4:$V$3183,1258),$V$4:$V$3183,0)),"")</f>
        <v/>
      </c>
      <c r="C1261">
        <f>IFERROR(INDEX($P$4:$P$3183,MATCH(SMALL($V$4:$V$3183,1258),$V$4:$V$3183,0)),"")</f>
        <v/>
      </c>
      <c r="D1261" s="29">
        <f>IFERROR(INDEX($Q$4:$Q$3183,MATCH(SMALL($V$4:$V$3183,1258),$V$4:$V$3183,0)),"")</f>
        <v/>
      </c>
      <c r="E1261" s="29">
        <f>IFERROR(INDEX($R$4:$R$3183,MATCH(SMALL($V$4:$V$3183,1258),$V$4:$V$3183,0)),"")</f>
        <v/>
      </c>
      <c r="F1261">
        <f>IFERROR(INDEX($S$4:$S$3183,MATCH(SMALL($V$4:$V$3183,1258),$V$4:$V$3183,0)),"")</f>
        <v/>
      </c>
      <c r="I1261" s="29">
        <f>IF($B1261="","",IFERROR(INDEX($U$4:$U$3183,MATCH(SMALL($V$4:$V$3183,1258),$V$4:$V$3183,0)),""))</f>
        <v/>
      </c>
      <c r="J1261">
        <f>IF($B1261="","",IF($D1261&gt;$F$2,"À venir",IF($E1261&lt;$D$2,"Passé","Dans la période")))</f>
        <v/>
      </c>
      <c r="K1261">
        <f>IF(OR($B1261="",NOT(ISNUMBER($D1261))),"",IF(AND($E1261&lt;$D$2,$G1261&lt;&gt;"X",$F1261&lt;&gt;"Réalisé",$F1261&lt;&gt;"Clôturé"),"RETARD",""))</f>
        <v/>
      </c>
      <c r="L1261">
        <f>IF(OR($B1261="",NOT(ISNUMBER($D1261))),"",IF(AND($D1261&gt;=$D$2,$D1261&lt;=$H$2,$G1261&lt;&gt;"X",$F1261&lt;&gt;"Réalisé",$F1261&lt;&gt;"Clôturé"),"≤ 7 j",""))</f>
        <v/>
      </c>
      <c r="M1261" s="29">
        <f>IF($B1261="","",IFERROR(INDEX($T$4:$T$3183,MATCH(SMALL($V$4:$V$3183,1258),$V$4:$V$3183,0)),""))</f>
        <v/>
      </c>
      <c r="O1261">
        <f>IF(INDEX(Suivi!$B:$B,1285)="","",INDEX(Suivi!$B:$B,1285))</f>
        <v/>
      </c>
      <c r="P1261">
        <f>IF($O1261="","",IF(INDEX(Suivi!$D:$D,1285)="",INDEX(Suivi!$C:$C,1285),INDEX(Suivi!$D:$D,1285)))</f>
        <v/>
      </c>
      <c r="Q1261">
        <f>IF($O1261="","",INDEX(Suivi!$E:$E,1285))</f>
        <v/>
      </c>
      <c r="R1261">
        <f>IF($O1261="","",INDEX(Suivi!$F:$F,1285))</f>
        <v/>
      </c>
      <c r="S1261">
        <f>IF($O1261="","",INDEX(Suivi!$G:$G,1285))</f>
        <v/>
      </c>
      <c r="T1261">
        <f>IF($O1261="","",IF(INDEX(Dossiers!$F$4:$F$63,24)="","",INDEX(Dossiers!$F$4:$F$63,24)))</f>
        <v/>
      </c>
      <c r="U1261">
        <f>IF($O1261="","",IF(INDEX(Dossiers!$G$4:$G$63,24)="","",INDEX(Dossiers!$G$4:$G$63,24)))</f>
        <v/>
      </c>
      <c r="V1261">
        <f>IF(OR($O1261="",NOT(ISNUMBER($Q1261))),"",$Q1261*1000000+1261)</f>
        <v/>
      </c>
      <c r="W1261" s="29">
        <f>IF($B1261="","",IFERROR(INDEX($U$4:$U$3183,MATCH(SMALL($V$4:$V$3183,1258),$V$4:$V$3183,0)),""))</f>
        <v/>
      </c>
    </row>
    <row r="1262">
      <c r="A1262">
        <f>IFERROR(INDEX($N$4:$N$3183,MATCH(SMALL($V$4:$V$3183,1259),$V$4:$V$3183,0)),"")</f>
        <v/>
      </c>
      <c r="B1262">
        <f>IFERROR(INDEX($O$4:$O$3183,MATCH(SMALL($V$4:$V$3183,1259),$V$4:$V$3183,0)),"")</f>
        <v/>
      </c>
      <c r="C1262">
        <f>IFERROR(INDEX($P$4:$P$3183,MATCH(SMALL($V$4:$V$3183,1259),$V$4:$V$3183,0)),"")</f>
        <v/>
      </c>
      <c r="D1262" s="29">
        <f>IFERROR(INDEX($Q$4:$Q$3183,MATCH(SMALL($V$4:$V$3183,1259),$V$4:$V$3183,0)),"")</f>
        <v/>
      </c>
      <c r="E1262" s="29">
        <f>IFERROR(INDEX($R$4:$R$3183,MATCH(SMALL($V$4:$V$3183,1259),$V$4:$V$3183,0)),"")</f>
        <v/>
      </c>
      <c r="F1262">
        <f>IFERROR(INDEX($S$4:$S$3183,MATCH(SMALL($V$4:$V$3183,1259),$V$4:$V$3183,0)),"")</f>
        <v/>
      </c>
      <c r="I1262" s="29">
        <f>IF($B1262="","",IFERROR(INDEX($U$4:$U$3183,MATCH(SMALL($V$4:$V$3183,1259),$V$4:$V$3183,0)),""))</f>
        <v/>
      </c>
      <c r="J1262">
        <f>IF($B1262="","",IF($D1262&gt;$F$2,"À venir",IF($E1262&lt;$D$2,"Passé","Dans la période")))</f>
        <v/>
      </c>
      <c r="K1262">
        <f>IF(OR($B1262="",NOT(ISNUMBER($D1262))),"",IF(AND($E1262&lt;$D$2,$G1262&lt;&gt;"X",$F1262&lt;&gt;"Réalisé",$F1262&lt;&gt;"Clôturé"),"RETARD",""))</f>
        <v/>
      </c>
      <c r="L1262">
        <f>IF(OR($B1262="",NOT(ISNUMBER($D1262))),"",IF(AND($D1262&gt;=$D$2,$D1262&lt;=$H$2,$G1262&lt;&gt;"X",$F1262&lt;&gt;"Réalisé",$F1262&lt;&gt;"Clôturé"),"≤ 7 j",""))</f>
        <v/>
      </c>
      <c r="M1262" s="29">
        <f>IF($B1262="","",IFERROR(INDEX($T$4:$T$3183,MATCH(SMALL($V$4:$V$3183,1259),$V$4:$V$3183,0)),""))</f>
        <v/>
      </c>
      <c r="O1262">
        <f>IF(INDEX(Suivi!$B:$B,1286)="","",INDEX(Suivi!$B:$B,1286))</f>
        <v/>
      </c>
      <c r="P1262">
        <f>IF($O1262="","",IF(INDEX(Suivi!$D:$D,1286)="",INDEX(Suivi!$C:$C,1286),INDEX(Suivi!$D:$D,1286)))</f>
        <v/>
      </c>
      <c r="Q1262">
        <f>IF($O1262="","",INDEX(Suivi!$E:$E,1286))</f>
        <v/>
      </c>
      <c r="R1262">
        <f>IF($O1262="","",INDEX(Suivi!$F:$F,1286))</f>
        <v/>
      </c>
      <c r="S1262">
        <f>IF($O1262="","",INDEX(Suivi!$G:$G,1286))</f>
        <v/>
      </c>
      <c r="T1262">
        <f>IF($O1262="","",IF(INDEX(Dossiers!$F$4:$F$63,24)="","",INDEX(Dossiers!$F$4:$F$63,24)))</f>
        <v/>
      </c>
      <c r="U1262">
        <f>IF($O1262="","",IF(INDEX(Dossiers!$G$4:$G$63,24)="","",INDEX(Dossiers!$G$4:$G$63,24)))</f>
        <v/>
      </c>
      <c r="V1262">
        <f>IF(OR($O1262="",NOT(ISNUMBER($Q1262))),"",$Q1262*1000000+1262)</f>
        <v/>
      </c>
      <c r="W1262" s="29">
        <f>IF($B1262="","",IFERROR(INDEX($U$4:$U$3183,MATCH(SMALL($V$4:$V$3183,1259),$V$4:$V$3183,0)),""))</f>
        <v/>
      </c>
    </row>
    <row r="1263">
      <c r="A1263">
        <f>IFERROR(INDEX($N$4:$N$3183,MATCH(SMALL($V$4:$V$3183,1260),$V$4:$V$3183,0)),"")</f>
        <v/>
      </c>
      <c r="B1263">
        <f>IFERROR(INDEX($O$4:$O$3183,MATCH(SMALL($V$4:$V$3183,1260),$V$4:$V$3183,0)),"")</f>
        <v/>
      </c>
      <c r="C1263">
        <f>IFERROR(INDEX($P$4:$P$3183,MATCH(SMALL($V$4:$V$3183,1260),$V$4:$V$3183,0)),"")</f>
        <v/>
      </c>
      <c r="D1263" s="29">
        <f>IFERROR(INDEX($Q$4:$Q$3183,MATCH(SMALL($V$4:$V$3183,1260),$V$4:$V$3183,0)),"")</f>
        <v/>
      </c>
      <c r="E1263" s="29">
        <f>IFERROR(INDEX($R$4:$R$3183,MATCH(SMALL($V$4:$V$3183,1260),$V$4:$V$3183,0)),"")</f>
        <v/>
      </c>
      <c r="F1263">
        <f>IFERROR(INDEX($S$4:$S$3183,MATCH(SMALL($V$4:$V$3183,1260),$V$4:$V$3183,0)),"")</f>
        <v/>
      </c>
      <c r="I1263" s="29">
        <f>IF($B1263="","",IFERROR(INDEX($U$4:$U$3183,MATCH(SMALL($V$4:$V$3183,1260),$V$4:$V$3183,0)),""))</f>
        <v/>
      </c>
      <c r="J1263">
        <f>IF($B1263="","",IF($D1263&gt;$F$2,"À venir",IF($E1263&lt;$D$2,"Passé","Dans la période")))</f>
        <v/>
      </c>
      <c r="K1263">
        <f>IF(OR($B1263="",NOT(ISNUMBER($D1263))),"",IF(AND($E1263&lt;$D$2,$G1263&lt;&gt;"X",$F1263&lt;&gt;"Réalisé",$F1263&lt;&gt;"Clôturé"),"RETARD",""))</f>
        <v/>
      </c>
      <c r="L1263">
        <f>IF(OR($B1263="",NOT(ISNUMBER($D1263))),"",IF(AND($D1263&gt;=$D$2,$D1263&lt;=$H$2,$G1263&lt;&gt;"X",$F1263&lt;&gt;"Réalisé",$F1263&lt;&gt;"Clôturé"),"≤ 7 j",""))</f>
        <v/>
      </c>
      <c r="M1263" s="29">
        <f>IF($B1263="","",IFERROR(INDEX($T$4:$T$3183,MATCH(SMALL($V$4:$V$3183,1260),$V$4:$V$3183,0)),""))</f>
        <v/>
      </c>
      <c r="O1263">
        <f>IF(INDEX(Suivi!$B:$B,1287)="","",INDEX(Suivi!$B:$B,1287))</f>
        <v/>
      </c>
      <c r="P1263">
        <f>IF($O1263="","",IF(INDEX(Suivi!$D:$D,1287)="",INDEX(Suivi!$C:$C,1287),INDEX(Suivi!$D:$D,1287)))</f>
        <v/>
      </c>
      <c r="Q1263">
        <f>IF($O1263="","",INDEX(Suivi!$E:$E,1287))</f>
        <v/>
      </c>
      <c r="R1263">
        <f>IF($O1263="","",INDEX(Suivi!$F:$F,1287))</f>
        <v/>
      </c>
      <c r="S1263">
        <f>IF($O1263="","",INDEX(Suivi!$G:$G,1287))</f>
        <v/>
      </c>
      <c r="T1263">
        <f>IF($O1263="","",IF(INDEX(Dossiers!$F$4:$F$63,24)="","",INDEX(Dossiers!$F$4:$F$63,24)))</f>
        <v/>
      </c>
      <c r="U1263">
        <f>IF($O1263="","",IF(INDEX(Dossiers!$G$4:$G$63,24)="","",INDEX(Dossiers!$G$4:$G$63,24)))</f>
        <v/>
      </c>
      <c r="V1263">
        <f>IF(OR($O1263="",NOT(ISNUMBER($Q1263))),"",$Q1263*1000000+1263)</f>
        <v/>
      </c>
      <c r="W1263" s="29">
        <f>IF($B1263="","",IFERROR(INDEX($U$4:$U$3183,MATCH(SMALL($V$4:$V$3183,1260),$V$4:$V$3183,0)),""))</f>
        <v/>
      </c>
    </row>
    <row r="1264">
      <c r="A1264">
        <f>IFERROR(INDEX($N$4:$N$3183,MATCH(SMALL($V$4:$V$3183,1261),$V$4:$V$3183,0)),"")</f>
        <v/>
      </c>
      <c r="B1264">
        <f>IFERROR(INDEX($O$4:$O$3183,MATCH(SMALL($V$4:$V$3183,1261),$V$4:$V$3183,0)),"")</f>
        <v/>
      </c>
      <c r="C1264">
        <f>IFERROR(INDEX($P$4:$P$3183,MATCH(SMALL($V$4:$V$3183,1261),$V$4:$V$3183,0)),"")</f>
        <v/>
      </c>
      <c r="D1264" s="29">
        <f>IFERROR(INDEX($Q$4:$Q$3183,MATCH(SMALL($V$4:$V$3183,1261),$V$4:$V$3183,0)),"")</f>
        <v/>
      </c>
      <c r="E1264" s="29">
        <f>IFERROR(INDEX($R$4:$R$3183,MATCH(SMALL($V$4:$V$3183,1261),$V$4:$V$3183,0)),"")</f>
        <v/>
      </c>
      <c r="F1264">
        <f>IFERROR(INDEX($S$4:$S$3183,MATCH(SMALL($V$4:$V$3183,1261),$V$4:$V$3183,0)),"")</f>
        <v/>
      </c>
      <c r="I1264" s="29">
        <f>IF($B1264="","",IFERROR(INDEX($U$4:$U$3183,MATCH(SMALL($V$4:$V$3183,1261),$V$4:$V$3183,0)),""))</f>
        <v/>
      </c>
      <c r="J1264">
        <f>IF($B1264="","",IF($D1264&gt;$F$2,"À venir",IF($E1264&lt;$D$2,"Passé","Dans la période")))</f>
        <v/>
      </c>
      <c r="K1264">
        <f>IF(OR($B1264="",NOT(ISNUMBER($D1264))),"",IF(AND($E1264&lt;$D$2,$G1264&lt;&gt;"X",$F1264&lt;&gt;"Réalisé",$F1264&lt;&gt;"Clôturé"),"RETARD",""))</f>
        <v/>
      </c>
      <c r="L1264">
        <f>IF(OR($B1264="",NOT(ISNUMBER($D1264))),"",IF(AND($D1264&gt;=$D$2,$D1264&lt;=$H$2,$G1264&lt;&gt;"X",$F1264&lt;&gt;"Réalisé",$F1264&lt;&gt;"Clôturé"),"≤ 7 j",""))</f>
        <v/>
      </c>
      <c r="M1264" s="29">
        <f>IF($B1264="","",IFERROR(INDEX($T$4:$T$3183,MATCH(SMALL($V$4:$V$3183,1261),$V$4:$V$3183,0)),""))</f>
        <v/>
      </c>
      <c r="O1264">
        <f>IF(INDEX(Suivi!$B:$B,1288)="","",INDEX(Suivi!$B:$B,1288))</f>
        <v/>
      </c>
      <c r="P1264">
        <f>IF($O1264="","",IF(INDEX(Suivi!$D:$D,1288)="",INDEX(Suivi!$C:$C,1288),INDEX(Suivi!$D:$D,1288)))</f>
        <v/>
      </c>
      <c r="Q1264">
        <f>IF($O1264="","",INDEX(Suivi!$E:$E,1288))</f>
        <v/>
      </c>
      <c r="R1264">
        <f>IF($O1264="","",INDEX(Suivi!$F:$F,1288))</f>
        <v/>
      </c>
      <c r="S1264">
        <f>IF($O1264="","",INDEX(Suivi!$G:$G,1288))</f>
        <v/>
      </c>
      <c r="T1264">
        <f>IF($O1264="","",IF(INDEX(Dossiers!$F$4:$F$63,24)="","",INDEX(Dossiers!$F$4:$F$63,24)))</f>
        <v/>
      </c>
      <c r="U1264">
        <f>IF($O1264="","",IF(INDEX(Dossiers!$G$4:$G$63,24)="","",INDEX(Dossiers!$G$4:$G$63,24)))</f>
        <v/>
      </c>
      <c r="V1264">
        <f>IF(OR($O1264="",NOT(ISNUMBER($Q1264))),"",$Q1264*1000000+1264)</f>
        <v/>
      </c>
      <c r="W1264" s="29">
        <f>IF($B1264="","",IFERROR(INDEX($U$4:$U$3183,MATCH(SMALL($V$4:$V$3183,1261),$V$4:$V$3183,0)),""))</f>
        <v/>
      </c>
    </row>
    <row r="1265">
      <c r="A1265">
        <f>IFERROR(INDEX($N$4:$N$3183,MATCH(SMALL($V$4:$V$3183,1262),$V$4:$V$3183,0)),"")</f>
        <v/>
      </c>
      <c r="B1265">
        <f>IFERROR(INDEX($O$4:$O$3183,MATCH(SMALL($V$4:$V$3183,1262),$V$4:$V$3183,0)),"")</f>
        <v/>
      </c>
      <c r="C1265">
        <f>IFERROR(INDEX($P$4:$P$3183,MATCH(SMALL($V$4:$V$3183,1262),$V$4:$V$3183,0)),"")</f>
        <v/>
      </c>
      <c r="D1265" s="29">
        <f>IFERROR(INDEX($Q$4:$Q$3183,MATCH(SMALL($V$4:$V$3183,1262),$V$4:$V$3183,0)),"")</f>
        <v/>
      </c>
      <c r="E1265" s="29">
        <f>IFERROR(INDEX($R$4:$R$3183,MATCH(SMALL($V$4:$V$3183,1262),$V$4:$V$3183,0)),"")</f>
        <v/>
      </c>
      <c r="F1265">
        <f>IFERROR(INDEX($S$4:$S$3183,MATCH(SMALL($V$4:$V$3183,1262),$V$4:$V$3183,0)),"")</f>
        <v/>
      </c>
      <c r="I1265" s="29">
        <f>IF($B1265="","",IFERROR(INDEX($U$4:$U$3183,MATCH(SMALL($V$4:$V$3183,1262),$V$4:$V$3183,0)),""))</f>
        <v/>
      </c>
      <c r="J1265">
        <f>IF($B1265="","",IF($D1265&gt;$F$2,"À venir",IF($E1265&lt;$D$2,"Passé","Dans la période")))</f>
        <v/>
      </c>
      <c r="K1265">
        <f>IF(OR($B1265="",NOT(ISNUMBER($D1265))),"",IF(AND($E1265&lt;$D$2,$G1265&lt;&gt;"X",$F1265&lt;&gt;"Réalisé",$F1265&lt;&gt;"Clôturé"),"RETARD",""))</f>
        <v/>
      </c>
      <c r="L1265">
        <f>IF(OR($B1265="",NOT(ISNUMBER($D1265))),"",IF(AND($D1265&gt;=$D$2,$D1265&lt;=$H$2,$G1265&lt;&gt;"X",$F1265&lt;&gt;"Réalisé",$F1265&lt;&gt;"Clôturé"),"≤ 7 j",""))</f>
        <v/>
      </c>
      <c r="M1265" s="29">
        <f>IF($B1265="","",IFERROR(INDEX($T$4:$T$3183,MATCH(SMALL($V$4:$V$3183,1262),$V$4:$V$3183,0)),""))</f>
        <v/>
      </c>
      <c r="O1265">
        <f>IF(INDEX(Suivi!$B:$B,1289)="","",INDEX(Suivi!$B:$B,1289))</f>
        <v/>
      </c>
      <c r="P1265">
        <f>IF($O1265="","",IF(INDEX(Suivi!$D:$D,1289)="",INDEX(Suivi!$C:$C,1289),INDEX(Suivi!$D:$D,1289)))</f>
        <v/>
      </c>
      <c r="Q1265">
        <f>IF($O1265="","",INDEX(Suivi!$E:$E,1289))</f>
        <v/>
      </c>
      <c r="R1265">
        <f>IF($O1265="","",INDEX(Suivi!$F:$F,1289))</f>
        <v/>
      </c>
      <c r="S1265">
        <f>IF($O1265="","",INDEX(Suivi!$G:$G,1289))</f>
        <v/>
      </c>
      <c r="T1265">
        <f>IF($O1265="","",IF(INDEX(Dossiers!$F$4:$F$63,24)="","",INDEX(Dossiers!$F$4:$F$63,24)))</f>
        <v/>
      </c>
      <c r="U1265">
        <f>IF($O1265="","",IF(INDEX(Dossiers!$G$4:$G$63,24)="","",INDEX(Dossiers!$G$4:$G$63,24)))</f>
        <v/>
      </c>
      <c r="V1265">
        <f>IF(OR($O1265="",NOT(ISNUMBER($Q1265))),"",$Q1265*1000000+1265)</f>
        <v/>
      </c>
      <c r="W1265" s="29">
        <f>IF($B1265="","",IFERROR(INDEX($U$4:$U$3183,MATCH(SMALL($V$4:$V$3183,1262),$V$4:$V$3183,0)),""))</f>
        <v/>
      </c>
    </row>
    <row r="1266">
      <c r="A1266">
        <f>IFERROR(INDEX($N$4:$N$3183,MATCH(SMALL($V$4:$V$3183,1263),$V$4:$V$3183,0)),"")</f>
        <v/>
      </c>
      <c r="B1266">
        <f>IFERROR(INDEX($O$4:$O$3183,MATCH(SMALL($V$4:$V$3183,1263),$V$4:$V$3183,0)),"")</f>
        <v/>
      </c>
      <c r="C1266">
        <f>IFERROR(INDEX($P$4:$P$3183,MATCH(SMALL($V$4:$V$3183,1263),$V$4:$V$3183,0)),"")</f>
        <v/>
      </c>
      <c r="D1266" s="29">
        <f>IFERROR(INDEX($Q$4:$Q$3183,MATCH(SMALL($V$4:$V$3183,1263),$V$4:$V$3183,0)),"")</f>
        <v/>
      </c>
      <c r="E1266" s="29">
        <f>IFERROR(INDEX($R$4:$R$3183,MATCH(SMALL($V$4:$V$3183,1263),$V$4:$V$3183,0)),"")</f>
        <v/>
      </c>
      <c r="F1266">
        <f>IFERROR(INDEX($S$4:$S$3183,MATCH(SMALL($V$4:$V$3183,1263),$V$4:$V$3183,0)),"")</f>
        <v/>
      </c>
      <c r="I1266" s="29">
        <f>IF($B1266="","",IFERROR(INDEX($U$4:$U$3183,MATCH(SMALL($V$4:$V$3183,1263),$V$4:$V$3183,0)),""))</f>
        <v/>
      </c>
      <c r="J1266">
        <f>IF($B1266="","",IF($D1266&gt;$F$2,"À venir",IF($E1266&lt;$D$2,"Passé","Dans la période")))</f>
        <v/>
      </c>
      <c r="K1266">
        <f>IF(OR($B1266="",NOT(ISNUMBER($D1266))),"",IF(AND($E1266&lt;$D$2,$G1266&lt;&gt;"X",$F1266&lt;&gt;"Réalisé",$F1266&lt;&gt;"Clôturé"),"RETARD",""))</f>
        <v/>
      </c>
      <c r="L1266">
        <f>IF(OR($B1266="",NOT(ISNUMBER($D1266))),"",IF(AND($D1266&gt;=$D$2,$D1266&lt;=$H$2,$G1266&lt;&gt;"X",$F1266&lt;&gt;"Réalisé",$F1266&lt;&gt;"Clôturé"),"≤ 7 j",""))</f>
        <v/>
      </c>
      <c r="M1266" s="29">
        <f>IF($B1266="","",IFERROR(INDEX($T$4:$T$3183,MATCH(SMALL($V$4:$V$3183,1263),$V$4:$V$3183,0)),""))</f>
        <v/>
      </c>
      <c r="O1266">
        <f>IF(INDEX(Suivi!$B:$B,1290)="","",INDEX(Suivi!$B:$B,1290))</f>
        <v/>
      </c>
      <c r="P1266">
        <f>IF($O1266="","",IF(INDEX(Suivi!$D:$D,1290)="",INDEX(Suivi!$C:$C,1290),INDEX(Suivi!$D:$D,1290)))</f>
        <v/>
      </c>
      <c r="Q1266">
        <f>IF($O1266="","",INDEX(Suivi!$E:$E,1290))</f>
        <v/>
      </c>
      <c r="R1266">
        <f>IF($O1266="","",INDEX(Suivi!$F:$F,1290))</f>
        <v/>
      </c>
      <c r="S1266">
        <f>IF($O1266="","",INDEX(Suivi!$G:$G,1290))</f>
        <v/>
      </c>
      <c r="T1266">
        <f>IF($O1266="","",IF(INDEX(Dossiers!$F$4:$F$63,24)="","",INDEX(Dossiers!$F$4:$F$63,24)))</f>
        <v/>
      </c>
      <c r="U1266">
        <f>IF($O1266="","",IF(INDEX(Dossiers!$G$4:$G$63,24)="","",INDEX(Dossiers!$G$4:$G$63,24)))</f>
        <v/>
      </c>
      <c r="V1266">
        <f>IF(OR($O1266="",NOT(ISNUMBER($Q1266))),"",$Q1266*1000000+1266)</f>
        <v/>
      </c>
      <c r="W1266" s="29">
        <f>IF($B1266="","",IFERROR(INDEX($U$4:$U$3183,MATCH(SMALL($V$4:$V$3183,1263),$V$4:$V$3183,0)),""))</f>
        <v/>
      </c>
    </row>
    <row r="1267">
      <c r="A1267">
        <f>IFERROR(INDEX($N$4:$N$3183,MATCH(SMALL($V$4:$V$3183,1264),$V$4:$V$3183,0)),"")</f>
        <v/>
      </c>
      <c r="B1267">
        <f>IFERROR(INDEX($O$4:$O$3183,MATCH(SMALL($V$4:$V$3183,1264),$V$4:$V$3183,0)),"")</f>
        <v/>
      </c>
      <c r="C1267">
        <f>IFERROR(INDEX($P$4:$P$3183,MATCH(SMALL($V$4:$V$3183,1264),$V$4:$V$3183,0)),"")</f>
        <v/>
      </c>
      <c r="D1267" s="29">
        <f>IFERROR(INDEX($Q$4:$Q$3183,MATCH(SMALL($V$4:$V$3183,1264),$V$4:$V$3183,0)),"")</f>
        <v/>
      </c>
      <c r="E1267" s="29">
        <f>IFERROR(INDEX($R$4:$R$3183,MATCH(SMALL($V$4:$V$3183,1264),$V$4:$V$3183,0)),"")</f>
        <v/>
      </c>
      <c r="F1267">
        <f>IFERROR(INDEX($S$4:$S$3183,MATCH(SMALL($V$4:$V$3183,1264),$V$4:$V$3183,0)),"")</f>
        <v/>
      </c>
      <c r="I1267" s="29">
        <f>IF($B1267="","",IFERROR(INDEX($U$4:$U$3183,MATCH(SMALL($V$4:$V$3183,1264),$V$4:$V$3183,0)),""))</f>
        <v/>
      </c>
      <c r="J1267">
        <f>IF($B1267="","",IF($D1267&gt;$F$2,"À venir",IF($E1267&lt;$D$2,"Passé","Dans la période")))</f>
        <v/>
      </c>
      <c r="K1267">
        <f>IF(OR($B1267="",NOT(ISNUMBER($D1267))),"",IF(AND($E1267&lt;$D$2,$G1267&lt;&gt;"X",$F1267&lt;&gt;"Réalisé",$F1267&lt;&gt;"Clôturé"),"RETARD",""))</f>
        <v/>
      </c>
      <c r="L1267">
        <f>IF(OR($B1267="",NOT(ISNUMBER($D1267))),"",IF(AND($D1267&gt;=$D$2,$D1267&lt;=$H$2,$G1267&lt;&gt;"X",$F1267&lt;&gt;"Réalisé",$F1267&lt;&gt;"Clôturé"),"≤ 7 j",""))</f>
        <v/>
      </c>
      <c r="M1267" s="29">
        <f>IF($B1267="","",IFERROR(INDEX($T$4:$T$3183,MATCH(SMALL($V$4:$V$3183,1264),$V$4:$V$3183,0)),""))</f>
        <v/>
      </c>
      <c r="O1267">
        <f>IF(INDEX(Suivi!$B:$B,1291)="","",INDEX(Suivi!$B:$B,1291))</f>
        <v/>
      </c>
      <c r="P1267">
        <f>IF($O1267="","",IF(INDEX(Suivi!$D:$D,1291)="",INDEX(Suivi!$C:$C,1291),INDEX(Suivi!$D:$D,1291)))</f>
        <v/>
      </c>
      <c r="Q1267">
        <f>IF($O1267="","",INDEX(Suivi!$E:$E,1291))</f>
        <v/>
      </c>
      <c r="R1267">
        <f>IF($O1267="","",INDEX(Suivi!$F:$F,1291))</f>
        <v/>
      </c>
      <c r="S1267">
        <f>IF($O1267="","",INDEX(Suivi!$G:$G,1291))</f>
        <v/>
      </c>
      <c r="T1267">
        <f>IF($O1267="","",IF(INDEX(Dossiers!$F$4:$F$63,24)="","",INDEX(Dossiers!$F$4:$F$63,24)))</f>
        <v/>
      </c>
      <c r="U1267">
        <f>IF($O1267="","",IF(INDEX(Dossiers!$G$4:$G$63,24)="","",INDEX(Dossiers!$G$4:$G$63,24)))</f>
        <v/>
      </c>
      <c r="V1267">
        <f>IF(OR($O1267="",NOT(ISNUMBER($Q1267))),"",$Q1267*1000000+1267)</f>
        <v/>
      </c>
      <c r="W1267" s="29">
        <f>IF($B1267="","",IFERROR(INDEX($U$4:$U$3183,MATCH(SMALL($V$4:$V$3183,1264),$V$4:$V$3183,0)),""))</f>
        <v/>
      </c>
    </row>
    <row r="1268">
      <c r="A1268">
        <f>IFERROR(INDEX($N$4:$N$3183,MATCH(SMALL($V$4:$V$3183,1265),$V$4:$V$3183,0)),"")</f>
        <v/>
      </c>
      <c r="B1268">
        <f>IFERROR(INDEX($O$4:$O$3183,MATCH(SMALL($V$4:$V$3183,1265),$V$4:$V$3183,0)),"")</f>
        <v/>
      </c>
      <c r="C1268">
        <f>IFERROR(INDEX($P$4:$P$3183,MATCH(SMALL($V$4:$V$3183,1265),$V$4:$V$3183,0)),"")</f>
        <v/>
      </c>
      <c r="D1268" s="29">
        <f>IFERROR(INDEX($Q$4:$Q$3183,MATCH(SMALL($V$4:$V$3183,1265),$V$4:$V$3183,0)),"")</f>
        <v/>
      </c>
      <c r="E1268" s="29">
        <f>IFERROR(INDEX($R$4:$R$3183,MATCH(SMALL($V$4:$V$3183,1265),$V$4:$V$3183,0)),"")</f>
        <v/>
      </c>
      <c r="F1268">
        <f>IFERROR(INDEX($S$4:$S$3183,MATCH(SMALL($V$4:$V$3183,1265),$V$4:$V$3183,0)),"")</f>
        <v/>
      </c>
      <c r="I1268" s="29">
        <f>IF($B1268="","",IFERROR(INDEX($U$4:$U$3183,MATCH(SMALL($V$4:$V$3183,1265),$V$4:$V$3183,0)),""))</f>
        <v/>
      </c>
      <c r="J1268">
        <f>IF($B1268="","",IF($D1268&gt;$F$2,"À venir",IF($E1268&lt;$D$2,"Passé","Dans la période")))</f>
        <v/>
      </c>
      <c r="K1268">
        <f>IF(OR($B1268="",NOT(ISNUMBER($D1268))),"",IF(AND($E1268&lt;$D$2,$G1268&lt;&gt;"X",$F1268&lt;&gt;"Réalisé",$F1268&lt;&gt;"Clôturé"),"RETARD",""))</f>
        <v/>
      </c>
      <c r="L1268">
        <f>IF(OR($B1268="",NOT(ISNUMBER($D1268))),"",IF(AND($D1268&gt;=$D$2,$D1268&lt;=$H$2,$G1268&lt;&gt;"X",$F1268&lt;&gt;"Réalisé",$F1268&lt;&gt;"Clôturé"),"≤ 7 j",""))</f>
        <v/>
      </c>
      <c r="M1268" s="29">
        <f>IF($B1268="","",IFERROR(INDEX($T$4:$T$3183,MATCH(SMALL($V$4:$V$3183,1265),$V$4:$V$3183,0)),""))</f>
        <v/>
      </c>
      <c r="O1268">
        <f>IF(INDEX(Suivi!$B:$B,1292)="","",INDEX(Suivi!$B:$B,1292))</f>
        <v/>
      </c>
      <c r="P1268">
        <f>IF($O1268="","",IF(INDEX(Suivi!$D:$D,1292)="",INDEX(Suivi!$C:$C,1292),INDEX(Suivi!$D:$D,1292)))</f>
        <v/>
      </c>
      <c r="Q1268">
        <f>IF($O1268="","",INDEX(Suivi!$E:$E,1292))</f>
        <v/>
      </c>
      <c r="R1268">
        <f>IF($O1268="","",INDEX(Suivi!$F:$F,1292))</f>
        <v/>
      </c>
      <c r="S1268">
        <f>IF($O1268="","",INDEX(Suivi!$G:$G,1292))</f>
        <v/>
      </c>
      <c r="T1268">
        <f>IF($O1268="","",IF(INDEX(Dossiers!$F$4:$F$63,24)="","",INDEX(Dossiers!$F$4:$F$63,24)))</f>
        <v/>
      </c>
      <c r="U1268">
        <f>IF($O1268="","",IF(INDEX(Dossiers!$G$4:$G$63,24)="","",INDEX(Dossiers!$G$4:$G$63,24)))</f>
        <v/>
      </c>
      <c r="V1268">
        <f>IF(OR($O1268="",NOT(ISNUMBER($Q1268))),"",$Q1268*1000000+1268)</f>
        <v/>
      </c>
      <c r="W1268" s="29">
        <f>IF($B1268="","",IFERROR(INDEX($U$4:$U$3183,MATCH(SMALL($V$4:$V$3183,1265),$V$4:$V$3183,0)),""))</f>
        <v/>
      </c>
    </row>
    <row r="1269">
      <c r="A1269">
        <f>IFERROR(INDEX($N$4:$N$3183,MATCH(SMALL($V$4:$V$3183,1266),$V$4:$V$3183,0)),"")</f>
        <v/>
      </c>
      <c r="B1269">
        <f>IFERROR(INDEX($O$4:$O$3183,MATCH(SMALL($V$4:$V$3183,1266),$V$4:$V$3183,0)),"")</f>
        <v/>
      </c>
      <c r="C1269">
        <f>IFERROR(INDEX($P$4:$P$3183,MATCH(SMALL($V$4:$V$3183,1266),$V$4:$V$3183,0)),"")</f>
        <v/>
      </c>
      <c r="D1269" s="29">
        <f>IFERROR(INDEX($Q$4:$Q$3183,MATCH(SMALL($V$4:$V$3183,1266),$V$4:$V$3183,0)),"")</f>
        <v/>
      </c>
      <c r="E1269" s="29">
        <f>IFERROR(INDEX($R$4:$R$3183,MATCH(SMALL($V$4:$V$3183,1266),$V$4:$V$3183,0)),"")</f>
        <v/>
      </c>
      <c r="F1269">
        <f>IFERROR(INDEX($S$4:$S$3183,MATCH(SMALL($V$4:$V$3183,1266),$V$4:$V$3183,0)),"")</f>
        <v/>
      </c>
      <c r="I1269" s="29">
        <f>IF($B1269="","",IFERROR(INDEX($U$4:$U$3183,MATCH(SMALL($V$4:$V$3183,1266),$V$4:$V$3183,0)),""))</f>
        <v/>
      </c>
      <c r="J1269">
        <f>IF($B1269="","",IF($D1269&gt;$F$2,"À venir",IF($E1269&lt;$D$2,"Passé","Dans la période")))</f>
        <v/>
      </c>
      <c r="K1269">
        <f>IF(OR($B1269="",NOT(ISNUMBER($D1269))),"",IF(AND($E1269&lt;$D$2,$G1269&lt;&gt;"X",$F1269&lt;&gt;"Réalisé",$F1269&lt;&gt;"Clôturé"),"RETARD",""))</f>
        <v/>
      </c>
      <c r="L1269">
        <f>IF(OR($B1269="",NOT(ISNUMBER($D1269))),"",IF(AND($D1269&gt;=$D$2,$D1269&lt;=$H$2,$G1269&lt;&gt;"X",$F1269&lt;&gt;"Réalisé",$F1269&lt;&gt;"Clôturé"),"≤ 7 j",""))</f>
        <v/>
      </c>
      <c r="M1269" s="29">
        <f>IF($B1269="","",IFERROR(INDEX($T$4:$T$3183,MATCH(SMALL($V$4:$V$3183,1266),$V$4:$V$3183,0)),""))</f>
        <v/>
      </c>
      <c r="O1269">
        <f>IF(INDEX(Suivi!$B:$B,1293)="","",INDEX(Suivi!$B:$B,1293))</f>
        <v/>
      </c>
      <c r="P1269">
        <f>IF($O1269="","",IF(INDEX(Suivi!$D:$D,1293)="",INDEX(Suivi!$C:$C,1293),INDEX(Suivi!$D:$D,1293)))</f>
        <v/>
      </c>
      <c r="Q1269">
        <f>IF($O1269="","",INDEX(Suivi!$E:$E,1293))</f>
        <v/>
      </c>
      <c r="R1269">
        <f>IF($O1269="","",INDEX(Suivi!$F:$F,1293))</f>
        <v/>
      </c>
      <c r="S1269">
        <f>IF($O1269="","",INDEX(Suivi!$G:$G,1293))</f>
        <v/>
      </c>
      <c r="T1269">
        <f>IF($O1269="","",IF(INDEX(Dossiers!$F$4:$F$63,24)="","",INDEX(Dossiers!$F$4:$F$63,24)))</f>
        <v/>
      </c>
      <c r="U1269">
        <f>IF($O1269="","",IF(INDEX(Dossiers!$G$4:$G$63,24)="","",INDEX(Dossiers!$G$4:$G$63,24)))</f>
        <v/>
      </c>
      <c r="V1269">
        <f>IF(OR($O1269="",NOT(ISNUMBER($Q1269))),"",$Q1269*1000000+1269)</f>
        <v/>
      </c>
      <c r="W1269" s="29">
        <f>IF($B1269="","",IFERROR(INDEX($U$4:$U$3183,MATCH(SMALL($V$4:$V$3183,1266),$V$4:$V$3183,0)),""))</f>
        <v/>
      </c>
    </row>
    <row r="1270">
      <c r="A1270">
        <f>IFERROR(INDEX($N$4:$N$3183,MATCH(SMALL($V$4:$V$3183,1267),$V$4:$V$3183,0)),"")</f>
        <v/>
      </c>
      <c r="B1270">
        <f>IFERROR(INDEX($O$4:$O$3183,MATCH(SMALL($V$4:$V$3183,1267),$V$4:$V$3183,0)),"")</f>
        <v/>
      </c>
      <c r="C1270">
        <f>IFERROR(INDEX($P$4:$P$3183,MATCH(SMALL($V$4:$V$3183,1267),$V$4:$V$3183,0)),"")</f>
        <v/>
      </c>
      <c r="D1270" s="29">
        <f>IFERROR(INDEX($Q$4:$Q$3183,MATCH(SMALL($V$4:$V$3183,1267),$V$4:$V$3183,0)),"")</f>
        <v/>
      </c>
      <c r="E1270" s="29">
        <f>IFERROR(INDEX($R$4:$R$3183,MATCH(SMALL($V$4:$V$3183,1267),$V$4:$V$3183,0)),"")</f>
        <v/>
      </c>
      <c r="F1270">
        <f>IFERROR(INDEX($S$4:$S$3183,MATCH(SMALL($V$4:$V$3183,1267),$V$4:$V$3183,0)),"")</f>
        <v/>
      </c>
      <c r="I1270" s="29">
        <f>IF($B1270="","",IFERROR(INDEX($U$4:$U$3183,MATCH(SMALL($V$4:$V$3183,1267),$V$4:$V$3183,0)),""))</f>
        <v/>
      </c>
      <c r="J1270">
        <f>IF($B1270="","",IF($D1270&gt;$F$2,"À venir",IF($E1270&lt;$D$2,"Passé","Dans la période")))</f>
        <v/>
      </c>
      <c r="K1270">
        <f>IF(OR($B1270="",NOT(ISNUMBER($D1270))),"",IF(AND($E1270&lt;$D$2,$G1270&lt;&gt;"X",$F1270&lt;&gt;"Réalisé",$F1270&lt;&gt;"Clôturé"),"RETARD",""))</f>
        <v/>
      </c>
      <c r="L1270">
        <f>IF(OR($B1270="",NOT(ISNUMBER($D1270))),"",IF(AND($D1270&gt;=$D$2,$D1270&lt;=$H$2,$G1270&lt;&gt;"X",$F1270&lt;&gt;"Réalisé",$F1270&lt;&gt;"Clôturé"),"≤ 7 j",""))</f>
        <v/>
      </c>
      <c r="M1270" s="29">
        <f>IF($B1270="","",IFERROR(INDEX($T$4:$T$3183,MATCH(SMALL($V$4:$V$3183,1267),$V$4:$V$3183,0)),""))</f>
        <v/>
      </c>
      <c r="O1270">
        <f>IF(INDEX(Suivi!$B:$B,1294)="","",INDEX(Suivi!$B:$B,1294))</f>
        <v/>
      </c>
      <c r="P1270">
        <f>IF($O1270="","",IF(INDEX(Suivi!$D:$D,1294)="",INDEX(Suivi!$C:$C,1294),INDEX(Suivi!$D:$D,1294)))</f>
        <v/>
      </c>
      <c r="Q1270">
        <f>IF($O1270="","",INDEX(Suivi!$E:$E,1294))</f>
        <v/>
      </c>
      <c r="R1270">
        <f>IF($O1270="","",INDEX(Suivi!$F:$F,1294))</f>
        <v/>
      </c>
      <c r="S1270">
        <f>IF($O1270="","",INDEX(Suivi!$G:$G,1294))</f>
        <v/>
      </c>
      <c r="T1270">
        <f>IF($O1270="","",IF(INDEX(Dossiers!$F$4:$F$63,24)="","",INDEX(Dossiers!$F$4:$F$63,24)))</f>
        <v/>
      </c>
      <c r="U1270">
        <f>IF($O1270="","",IF(INDEX(Dossiers!$G$4:$G$63,24)="","",INDEX(Dossiers!$G$4:$G$63,24)))</f>
        <v/>
      </c>
      <c r="V1270">
        <f>IF(OR($O1270="",NOT(ISNUMBER($Q1270))),"",$Q1270*1000000+1270)</f>
        <v/>
      </c>
      <c r="W1270" s="29">
        <f>IF($B1270="","",IFERROR(INDEX($U$4:$U$3183,MATCH(SMALL($V$4:$V$3183,1267),$V$4:$V$3183,0)),""))</f>
        <v/>
      </c>
    </row>
    <row r="1271">
      <c r="A1271">
        <f>IFERROR(INDEX($N$4:$N$3183,MATCH(SMALL($V$4:$V$3183,1268),$V$4:$V$3183,0)),"")</f>
        <v/>
      </c>
      <c r="B1271">
        <f>IFERROR(INDEX($O$4:$O$3183,MATCH(SMALL($V$4:$V$3183,1268),$V$4:$V$3183,0)),"")</f>
        <v/>
      </c>
      <c r="C1271">
        <f>IFERROR(INDEX($P$4:$P$3183,MATCH(SMALL($V$4:$V$3183,1268),$V$4:$V$3183,0)),"")</f>
        <v/>
      </c>
      <c r="D1271" s="29">
        <f>IFERROR(INDEX($Q$4:$Q$3183,MATCH(SMALL($V$4:$V$3183,1268),$V$4:$V$3183,0)),"")</f>
        <v/>
      </c>
      <c r="E1271" s="29">
        <f>IFERROR(INDEX($R$4:$R$3183,MATCH(SMALL($V$4:$V$3183,1268),$V$4:$V$3183,0)),"")</f>
        <v/>
      </c>
      <c r="F1271">
        <f>IFERROR(INDEX($S$4:$S$3183,MATCH(SMALL($V$4:$V$3183,1268),$V$4:$V$3183,0)),"")</f>
        <v/>
      </c>
      <c r="I1271" s="29">
        <f>IF($B1271="","",IFERROR(INDEX($U$4:$U$3183,MATCH(SMALL($V$4:$V$3183,1268),$V$4:$V$3183,0)),""))</f>
        <v/>
      </c>
      <c r="J1271">
        <f>IF($B1271="","",IF($D1271&gt;$F$2,"À venir",IF($E1271&lt;$D$2,"Passé","Dans la période")))</f>
        <v/>
      </c>
      <c r="K1271">
        <f>IF(OR($B1271="",NOT(ISNUMBER($D1271))),"",IF(AND($E1271&lt;$D$2,$G1271&lt;&gt;"X",$F1271&lt;&gt;"Réalisé",$F1271&lt;&gt;"Clôturé"),"RETARD",""))</f>
        <v/>
      </c>
      <c r="L1271">
        <f>IF(OR($B1271="",NOT(ISNUMBER($D1271))),"",IF(AND($D1271&gt;=$D$2,$D1271&lt;=$H$2,$G1271&lt;&gt;"X",$F1271&lt;&gt;"Réalisé",$F1271&lt;&gt;"Clôturé"),"≤ 7 j",""))</f>
        <v/>
      </c>
      <c r="M1271" s="29">
        <f>IF($B1271="","",IFERROR(INDEX($T$4:$T$3183,MATCH(SMALL($V$4:$V$3183,1268),$V$4:$V$3183,0)),""))</f>
        <v/>
      </c>
      <c r="O1271">
        <f>IF(INDEX(Suivi!$B:$B,1295)="","",INDEX(Suivi!$B:$B,1295))</f>
        <v/>
      </c>
      <c r="P1271">
        <f>IF($O1271="","",IF(INDEX(Suivi!$D:$D,1295)="",INDEX(Suivi!$C:$C,1295),INDEX(Suivi!$D:$D,1295)))</f>
        <v/>
      </c>
      <c r="Q1271">
        <f>IF($O1271="","",INDEX(Suivi!$E:$E,1295))</f>
        <v/>
      </c>
      <c r="R1271">
        <f>IF($O1271="","",INDEX(Suivi!$F:$F,1295))</f>
        <v/>
      </c>
      <c r="S1271">
        <f>IF($O1271="","",INDEX(Suivi!$G:$G,1295))</f>
        <v/>
      </c>
      <c r="T1271">
        <f>IF($O1271="","",IF(INDEX(Dossiers!$F$4:$F$63,24)="","",INDEX(Dossiers!$F$4:$F$63,24)))</f>
        <v/>
      </c>
      <c r="U1271">
        <f>IF($O1271="","",IF(INDEX(Dossiers!$G$4:$G$63,24)="","",INDEX(Dossiers!$G$4:$G$63,24)))</f>
        <v/>
      </c>
      <c r="V1271">
        <f>IF(OR($O1271="",NOT(ISNUMBER($Q1271))),"",$Q1271*1000000+1271)</f>
        <v/>
      </c>
      <c r="W1271" s="29">
        <f>IF($B1271="","",IFERROR(INDEX($U$4:$U$3183,MATCH(SMALL($V$4:$V$3183,1268),$V$4:$V$3183,0)),""))</f>
        <v/>
      </c>
    </row>
    <row r="1272">
      <c r="A1272">
        <f>IFERROR(INDEX($N$4:$N$3183,MATCH(SMALL($V$4:$V$3183,1269),$V$4:$V$3183,0)),"")</f>
        <v/>
      </c>
      <c r="B1272">
        <f>IFERROR(INDEX($O$4:$O$3183,MATCH(SMALL($V$4:$V$3183,1269),$V$4:$V$3183,0)),"")</f>
        <v/>
      </c>
      <c r="C1272">
        <f>IFERROR(INDEX($P$4:$P$3183,MATCH(SMALL($V$4:$V$3183,1269),$V$4:$V$3183,0)),"")</f>
        <v/>
      </c>
      <c r="D1272" s="29">
        <f>IFERROR(INDEX($Q$4:$Q$3183,MATCH(SMALL($V$4:$V$3183,1269),$V$4:$V$3183,0)),"")</f>
        <v/>
      </c>
      <c r="E1272" s="29">
        <f>IFERROR(INDEX($R$4:$R$3183,MATCH(SMALL($V$4:$V$3183,1269),$V$4:$V$3183,0)),"")</f>
        <v/>
      </c>
      <c r="F1272">
        <f>IFERROR(INDEX($S$4:$S$3183,MATCH(SMALL($V$4:$V$3183,1269),$V$4:$V$3183,0)),"")</f>
        <v/>
      </c>
      <c r="I1272" s="29">
        <f>IF($B1272="","",IFERROR(INDEX($U$4:$U$3183,MATCH(SMALL($V$4:$V$3183,1269),$V$4:$V$3183,0)),""))</f>
        <v/>
      </c>
      <c r="J1272">
        <f>IF($B1272="","",IF($D1272&gt;$F$2,"À venir",IF($E1272&lt;$D$2,"Passé","Dans la période")))</f>
        <v/>
      </c>
      <c r="K1272">
        <f>IF(OR($B1272="",NOT(ISNUMBER($D1272))),"",IF(AND($E1272&lt;$D$2,$G1272&lt;&gt;"X",$F1272&lt;&gt;"Réalisé",$F1272&lt;&gt;"Clôturé"),"RETARD",""))</f>
        <v/>
      </c>
      <c r="L1272">
        <f>IF(OR($B1272="",NOT(ISNUMBER($D1272))),"",IF(AND($D1272&gt;=$D$2,$D1272&lt;=$H$2,$G1272&lt;&gt;"X",$F1272&lt;&gt;"Réalisé",$F1272&lt;&gt;"Clôturé"),"≤ 7 j",""))</f>
        <v/>
      </c>
      <c r="M1272" s="29">
        <f>IF($B1272="","",IFERROR(INDEX($T$4:$T$3183,MATCH(SMALL($V$4:$V$3183,1269),$V$4:$V$3183,0)),""))</f>
        <v/>
      </c>
      <c r="O1272">
        <f>IF(INDEX(Suivi!$B:$B,1296)="","",INDEX(Suivi!$B:$B,1296))</f>
        <v/>
      </c>
      <c r="P1272">
        <f>IF($O1272="","",IF(INDEX(Suivi!$D:$D,1296)="",INDEX(Suivi!$C:$C,1296),INDEX(Suivi!$D:$D,1296)))</f>
        <v/>
      </c>
      <c r="Q1272">
        <f>IF($O1272="","",INDEX(Suivi!$E:$E,1296))</f>
        <v/>
      </c>
      <c r="R1272">
        <f>IF($O1272="","",INDEX(Suivi!$F:$F,1296))</f>
        <v/>
      </c>
      <c r="S1272">
        <f>IF($O1272="","",INDEX(Suivi!$G:$G,1296))</f>
        <v/>
      </c>
      <c r="T1272">
        <f>IF($O1272="","",IF(INDEX(Dossiers!$F$4:$F$63,24)="","",INDEX(Dossiers!$F$4:$F$63,24)))</f>
        <v/>
      </c>
      <c r="U1272">
        <f>IF($O1272="","",IF(INDEX(Dossiers!$G$4:$G$63,24)="","",INDEX(Dossiers!$G$4:$G$63,24)))</f>
        <v/>
      </c>
      <c r="V1272">
        <f>IF(OR($O1272="",NOT(ISNUMBER($Q1272))),"",$Q1272*1000000+1272)</f>
        <v/>
      </c>
      <c r="W1272" s="29">
        <f>IF($B1272="","",IFERROR(INDEX($U$4:$U$3183,MATCH(SMALL($V$4:$V$3183,1269),$V$4:$V$3183,0)),""))</f>
        <v/>
      </c>
    </row>
    <row r="1273">
      <c r="A1273">
        <f>IFERROR(INDEX($N$4:$N$3183,MATCH(SMALL($V$4:$V$3183,1270),$V$4:$V$3183,0)),"")</f>
        <v/>
      </c>
      <c r="B1273">
        <f>IFERROR(INDEX($O$4:$O$3183,MATCH(SMALL($V$4:$V$3183,1270),$V$4:$V$3183,0)),"")</f>
        <v/>
      </c>
      <c r="C1273">
        <f>IFERROR(INDEX($P$4:$P$3183,MATCH(SMALL($V$4:$V$3183,1270),$V$4:$V$3183,0)),"")</f>
        <v/>
      </c>
      <c r="D1273" s="29">
        <f>IFERROR(INDEX($Q$4:$Q$3183,MATCH(SMALL($V$4:$V$3183,1270),$V$4:$V$3183,0)),"")</f>
        <v/>
      </c>
      <c r="E1273" s="29">
        <f>IFERROR(INDEX($R$4:$R$3183,MATCH(SMALL($V$4:$V$3183,1270),$V$4:$V$3183,0)),"")</f>
        <v/>
      </c>
      <c r="F1273">
        <f>IFERROR(INDEX($S$4:$S$3183,MATCH(SMALL($V$4:$V$3183,1270),$V$4:$V$3183,0)),"")</f>
        <v/>
      </c>
      <c r="I1273" s="29">
        <f>IF($B1273="","",IFERROR(INDEX($U$4:$U$3183,MATCH(SMALL($V$4:$V$3183,1270),$V$4:$V$3183,0)),""))</f>
        <v/>
      </c>
      <c r="J1273">
        <f>IF($B1273="","",IF($D1273&gt;$F$2,"À venir",IF($E1273&lt;$D$2,"Passé","Dans la période")))</f>
        <v/>
      </c>
      <c r="K1273">
        <f>IF(OR($B1273="",NOT(ISNUMBER($D1273))),"",IF(AND($E1273&lt;$D$2,$G1273&lt;&gt;"X",$F1273&lt;&gt;"Réalisé",$F1273&lt;&gt;"Clôturé"),"RETARD",""))</f>
        <v/>
      </c>
      <c r="L1273">
        <f>IF(OR($B1273="",NOT(ISNUMBER($D1273))),"",IF(AND($D1273&gt;=$D$2,$D1273&lt;=$H$2,$G1273&lt;&gt;"X",$F1273&lt;&gt;"Réalisé",$F1273&lt;&gt;"Clôturé"),"≤ 7 j",""))</f>
        <v/>
      </c>
      <c r="M1273" s="29">
        <f>IF($B1273="","",IFERROR(INDEX($T$4:$T$3183,MATCH(SMALL($V$4:$V$3183,1270),$V$4:$V$3183,0)),""))</f>
        <v/>
      </c>
      <c r="O1273">
        <f>IF(INDEX(Suivi!$B:$B,1297)="","",INDEX(Suivi!$B:$B,1297))</f>
        <v/>
      </c>
      <c r="P1273">
        <f>IF($O1273="","",IF(INDEX(Suivi!$D:$D,1297)="",INDEX(Suivi!$C:$C,1297),INDEX(Suivi!$D:$D,1297)))</f>
        <v/>
      </c>
      <c r="Q1273">
        <f>IF($O1273="","",INDEX(Suivi!$E:$E,1297))</f>
        <v/>
      </c>
      <c r="R1273">
        <f>IF($O1273="","",INDEX(Suivi!$F:$F,1297))</f>
        <v/>
      </c>
      <c r="S1273">
        <f>IF($O1273="","",INDEX(Suivi!$G:$G,1297))</f>
        <v/>
      </c>
      <c r="T1273">
        <f>IF($O1273="","",IF(INDEX(Dossiers!$F$4:$F$63,24)="","",INDEX(Dossiers!$F$4:$F$63,24)))</f>
        <v/>
      </c>
      <c r="U1273">
        <f>IF($O1273="","",IF(INDEX(Dossiers!$G$4:$G$63,24)="","",INDEX(Dossiers!$G$4:$G$63,24)))</f>
        <v/>
      </c>
      <c r="V1273">
        <f>IF(OR($O1273="",NOT(ISNUMBER($Q1273))),"",$Q1273*1000000+1273)</f>
        <v/>
      </c>
      <c r="W1273" s="29">
        <f>IF($B1273="","",IFERROR(INDEX($U$4:$U$3183,MATCH(SMALL($V$4:$V$3183,1270),$V$4:$V$3183,0)),""))</f>
        <v/>
      </c>
    </row>
    <row r="1274">
      <c r="A1274">
        <f>IFERROR(INDEX($N$4:$N$3183,MATCH(SMALL($V$4:$V$3183,1271),$V$4:$V$3183,0)),"")</f>
        <v/>
      </c>
      <c r="B1274">
        <f>IFERROR(INDEX($O$4:$O$3183,MATCH(SMALL($V$4:$V$3183,1271),$V$4:$V$3183,0)),"")</f>
        <v/>
      </c>
      <c r="C1274">
        <f>IFERROR(INDEX($P$4:$P$3183,MATCH(SMALL($V$4:$V$3183,1271),$V$4:$V$3183,0)),"")</f>
        <v/>
      </c>
      <c r="D1274" s="29">
        <f>IFERROR(INDEX($Q$4:$Q$3183,MATCH(SMALL($V$4:$V$3183,1271),$V$4:$V$3183,0)),"")</f>
        <v/>
      </c>
      <c r="E1274" s="29">
        <f>IFERROR(INDEX($R$4:$R$3183,MATCH(SMALL($V$4:$V$3183,1271),$V$4:$V$3183,0)),"")</f>
        <v/>
      </c>
      <c r="F1274">
        <f>IFERROR(INDEX($S$4:$S$3183,MATCH(SMALL($V$4:$V$3183,1271),$V$4:$V$3183,0)),"")</f>
        <v/>
      </c>
      <c r="I1274" s="29">
        <f>IF($B1274="","",IFERROR(INDEX($U$4:$U$3183,MATCH(SMALL($V$4:$V$3183,1271),$V$4:$V$3183,0)),""))</f>
        <v/>
      </c>
      <c r="J1274">
        <f>IF($B1274="","",IF($D1274&gt;$F$2,"À venir",IF($E1274&lt;$D$2,"Passé","Dans la période")))</f>
        <v/>
      </c>
      <c r="K1274">
        <f>IF(OR($B1274="",NOT(ISNUMBER($D1274))),"",IF(AND($E1274&lt;$D$2,$G1274&lt;&gt;"X",$F1274&lt;&gt;"Réalisé",$F1274&lt;&gt;"Clôturé"),"RETARD",""))</f>
        <v/>
      </c>
      <c r="L1274">
        <f>IF(OR($B1274="",NOT(ISNUMBER($D1274))),"",IF(AND($D1274&gt;=$D$2,$D1274&lt;=$H$2,$G1274&lt;&gt;"X",$F1274&lt;&gt;"Réalisé",$F1274&lt;&gt;"Clôturé"),"≤ 7 j",""))</f>
        <v/>
      </c>
      <c r="M1274" s="29">
        <f>IF($B1274="","",IFERROR(INDEX($T$4:$T$3183,MATCH(SMALL($V$4:$V$3183,1271),$V$4:$V$3183,0)),""))</f>
        <v/>
      </c>
      <c r="O1274">
        <f>IF(INDEX(Suivi!$B:$B,1298)="","",INDEX(Suivi!$B:$B,1298))</f>
        <v/>
      </c>
      <c r="P1274">
        <f>IF($O1274="","",IF(INDEX(Suivi!$D:$D,1298)="",INDEX(Suivi!$C:$C,1298),INDEX(Suivi!$D:$D,1298)))</f>
        <v/>
      </c>
      <c r="Q1274">
        <f>IF($O1274="","",INDEX(Suivi!$E:$E,1298))</f>
        <v/>
      </c>
      <c r="R1274">
        <f>IF($O1274="","",INDEX(Suivi!$F:$F,1298))</f>
        <v/>
      </c>
      <c r="S1274">
        <f>IF($O1274="","",INDEX(Suivi!$G:$G,1298))</f>
        <v/>
      </c>
      <c r="T1274">
        <f>IF($O1274="","",IF(INDEX(Dossiers!$F$4:$F$63,24)="","",INDEX(Dossiers!$F$4:$F$63,24)))</f>
        <v/>
      </c>
      <c r="U1274">
        <f>IF($O1274="","",IF(INDEX(Dossiers!$G$4:$G$63,24)="","",INDEX(Dossiers!$G$4:$G$63,24)))</f>
        <v/>
      </c>
      <c r="V1274">
        <f>IF(OR($O1274="",NOT(ISNUMBER($Q1274))),"",$Q1274*1000000+1274)</f>
        <v/>
      </c>
      <c r="W1274" s="29">
        <f>IF($B1274="","",IFERROR(INDEX($U$4:$U$3183,MATCH(SMALL($V$4:$V$3183,1271),$V$4:$V$3183,0)),""))</f>
        <v/>
      </c>
    </row>
    <row r="1275">
      <c r="A1275">
        <f>IFERROR(INDEX($N$4:$N$3183,MATCH(SMALL($V$4:$V$3183,1272),$V$4:$V$3183,0)),"")</f>
        <v/>
      </c>
      <c r="B1275">
        <f>IFERROR(INDEX($O$4:$O$3183,MATCH(SMALL($V$4:$V$3183,1272),$V$4:$V$3183,0)),"")</f>
        <v/>
      </c>
      <c r="C1275">
        <f>IFERROR(INDEX($P$4:$P$3183,MATCH(SMALL($V$4:$V$3183,1272),$V$4:$V$3183,0)),"")</f>
        <v/>
      </c>
      <c r="D1275" s="29">
        <f>IFERROR(INDEX($Q$4:$Q$3183,MATCH(SMALL($V$4:$V$3183,1272),$V$4:$V$3183,0)),"")</f>
        <v/>
      </c>
      <c r="E1275" s="29">
        <f>IFERROR(INDEX($R$4:$R$3183,MATCH(SMALL($V$4:$V$3183,1272),$V$4:$V$3183,0)),"")</f>
        <v/>
      </c>
      <c r="F1275">
        <f>IFERROR(INDEX($S$4:$S$3183,MATCH(SMALL($V$4:$V$3183,1272),$V$4:$V$3183,0)),"")</f>
        <v/>
      </c>
      <c r="I1275" s="29">
        <f>IF($B1275="","",IFERROR(INDEX($U$4:$U$3183,MATCH(SMALL($V$4:$V$3183,1272),$V$4:$V$3183,0)),""))</f>
        <v/>
      </c>
      <c r="J1275">
        <f>IF($B1275="","",IF($D1275&gt;$F$2,"À venir",IF($E1275&lt;$D$2,"Passé","Dans la période")))</f>
        <v/>
      </c>
      <c r="K1275">
        <f>IF(OR($B1275="",NOT(ISNUMBER($D1275))),"",IF(AND($E1275&lt;$D$2,$G1275&lt;&gt;"X",$F1275&lt;&gt;"Réalisé",$F1275&lt;&gt;"Clôturé"),"RETARD",""))</f>
        <v/>
      </c>
      <c r="L1275">
        <f>IF(OR($B1275="",NOT(ISNUMBER($D1275))),"",IF(AND($D1275&gt;=$D$2,$D1275&lt;=$H$2,$G1275&lt;&gt;"X",$F1275&lt;&gt;"Réalisé",$F1275&lt;&gt;"Clôturé"),"≤ 7 j",""))</f>
        <v/>
      </c>
      <c r="M1275" s="29">
        <f>IF($B1275="","",IFERROR(INDEX($T$4:$T$3183,MATCH(SMALL($V$4:$V$3183,1272),$V$4:$V$3183,0)),""))</f>
        <v/>
      </c>
      <c r="O1275">
        <f>IF(INDEX(Suivi!$B:$B,1299)="","",INDEX(Suivi!$B:$B,1299))</f>
        <v/>
      </c>
      <c r="P1275">
        <f>IF($O1275="","",IF(INDEX(Suivi!$D:$D,1299)="",INDEX(Suivi!$C:$C,1299),INDEX(Suivi!$D:$D,1299)))</f>
        <v/>
      </c>
      <c r="Q1275">
        <f>IF($O1275="","",INDEX(Suivi!$E:$E,1299))</f>
        <v/>
      </c>
      <c r="R1275">
        <f>IF($O1275="","",INDEX(Suivi!$F:$F,1299))</f>
        <v/>
      </c>
      <c r="S1275">
        <f>IF($O1275="","",INDEX(Suivi!$G:$G,1299))</f>
        <v/>
      </c>
      <c r="T1275">
        <f>IF($O1275="","",IF(INDEX(Dossiers!$F$4:$F$63,24)="","",INDEX(Dossiers!$F$4:$F$63,24)))</f>
        <v/>
      </c>
      <c r="U1275">
        <f>IF($O1275="","",IF(INDEX(Dossiers!$G$4:$G$63,24)="","",INDEX(Dossiers!$G$4:$G$63,24)))</f>
        <v/>
      </c>
      <c r="V1275">
        <f>IF(OR($O1275="",NOT(ISNUMBER($Q1275))),"",$Q1275*1000000+1275)</f>
        <v/>
      </c>
      <c r="W1275" s="29">
        <f>IF($B1275="","",IFERROR(INDEX($U$4:$U$3183,MATCH(SMALL($V$4:$V$3183,1272),$V$4:$V$3183,0)),""))</f>
        <v/>
      </c>
    </row>
    <row r="1276">
      <c r="A1276">
        <f>IFERROR(INDEX($N$4:$N$3183,MATCH(SMALL($V$4:$V$3183,1273),$V$4:$V$3183,0)),"")</f>
        <v/>
      </c>
      <c r="B1276">
        <f>IFERROR(INDEX($O$4:$O$3183,MATCH(SMALL($V$4:$V$3183,1273),$V$4:$V$3183,0)),"")</f>
        <v/>
      </c>
      <c r="C1276">
        <f>IFERROR(INDEX($P$4:$P$3183,MATCH(SMALL($V$4:$V$3183,1273),$V$4:$V$3183,0)),"")</f>
        <v/>
      </c>
      <c r="D1276" s="29">
        <f>IFERROR(INDEX($Q$4:$Q$3183,MATCH(SMALL($V$4:$V$3183,1273),$V$4:$V$3183,0)),"")</f>
        <v/>
      </c>
      <c r="E1276" s="29">
        <f>IFERROR(INDEX($R$4:$R$3183,MATCH(SMALL($V$4:$V$3183,1273),$V$4:$V$3183,0)),"")</f>
        <v/>
      </c>
      <c r="F1276">
        <f>IFERROR(INDEX($S$4:$S$3183,MATCH(SMALL($V$4:$V$3183,1273),$V$4:$V$3183,0)),"")</f>
        <v/>
      </c>
      <c r="I1276" s="29">
        <f>IF($B1276="","",IFERROR(INDEX($U$4:$U$3183,MATCH(SMALL($V$4:$V$3183,1273),$V$4:$V$3183,0)),""))</f>
        <v/>
      </c>
      <c r="J1276">
        <f>IF($B1276="","",IF($D1276&gt;$F$2,"À venir",IF($E1276&lt;$D$2,"Passé","Dans la période")))</f>
        <v/>
      </c>
      <c r="K1276">
        <f>IF(OR($B1276="",NOT(ISNUMBER($D1276))),"",IF(AND($E1276&lt;$D$2,$G1276&lt;&gt;"X",$F1276&lt;&gt;"Réalisé",$F1276&lt;&gt;"Clôturé"),"RETARD",""))</f>
        <v/>
      </c>
      <c r="L1276">
        <f>IF(OR($B1276="",NOT(ISNUMBER($D1276))),"",IF(AND($D1276&gt;=$D$2,$D1276&lt;=$H$2,$G1276&lt;&gt;"X",$F1276&lt;&gt;"Réalisé",$F1276&lt;&gt;"Clôturé"),"≤ 7 j",""))</f>
        <v/>
      </c>
      <c r="M1276" s="29">
        <f>IF($B1276="","",IFERROR(INDEX($T$4:$T$3183,MATCH(SMALL($V$4:$V$3183,1273),$V$4:$V$3183,0)),""))</f>
        <v/>
      </c>
      <c r="O1276">
        <f>IF(INDEX(Suivi!$B:$B,1301)="","",INDEX(Suivi!$B:$B,1301))</f>
        <v/>
      </c>
      <c r="P1276">
        <f>IF($O1276="","",IF(INDEX(Suivi!$D:$D,1301)="",INDEX(Suivi!$C:$C,1301),INDEX(Suivi!$D:$D,1301)))</f>
        <v/>
      </c>
      <c r="Q1276">
        <f>IF($O1276="","",INDEX(Suivi!$E:$E,1301))</f>
        <v/>
      </c>
      <c r="R1276">
        <f>IF($O1276="","",INDEX(Suivi!$F:$F,1301))</f>
        <v/>
      </c>
      <c r="S1276">
        <f>IF($O1276="","",INDEX(Suivi!$G:$G,1301))</f>
        <v/>
      </c>
      <c r="T1276">
        <f>IF($O1276="","",IF(INDEX(Dossiers!$F$4:$F$63,25)="","",INDEX(Dossiers!$F$4:$F$63,25)))</f>
        <v/>
      </c>
      <c r="U1276">
        <f>IF($O1276="","",IF(INDEX(Dossiers!$G$4:$G$63,25)="","",INDEX(Dossiers!$G$4:$G$63,25)))</f>
        <v/>
      </c>
      <c r="V1276">
        <f>IF(OR($O1276="",NOT(ISNUMBER($Q1276))),"",$Q1276*1000000+1276)</f>
        <v/>
      </c>
      <c r="W1276" s="29">
        <f>IF($B1276="","",IFERROR(INDEX($U$4:$U$3183,MATCH(SMALL($V$4:$V$3183,1273),$V$4:$V$3183,0)),""))</f>
        <v/>
      </c>
    </row>
    <row r="1277">
      <c r="A1277">
        <f>IFERROR(INDEX($N$4:$N$3183,MATCH(SMALL($V$4:$V$3183,1274),$V$4:$V$3183,0)),"")</f>
        <v/>
      </c>
      <c r="B1277">
        <f>IFERROR(INDEX($O$4:$O$3183,MATCH(SMALL($V$4:$V$3183,1274),$V$4:$V$3183,0)),"")</f>
        <v/>
      </c>
      <c r="C1277">
        <f>IFERROR(INDEX($P$4:$P$3183,MATCH(SMALL($V$4:$V$3183,1274),$V$4:$V$3183,0)),"")</f>
        <v/>
      </c>
      <c r="D1277" s="29">
        <f>IFERROR(INDEX($Q$4:$Q$3183,MATCH(SMALL($V$4:$V$3183,1274),$V$4:$V$3183,0)),"")</f>
        <v/>
      </c>
      <c r="E1277" s="29">
        <f>IFERROR(INDEX($R$4:$R$3183,MATCH(SMALL($V$4:$V$3183,1274),$V$4:$V$3183,0)),"")</f>
        <v/>
      </c>
      <c r="F1277">
        <f>IFERROR(INDEX($S$4:$S$3183,MATCH(SMALL($V$4:$V$3183,1274),$V$4:$V$3183,0)),"")</f>
        <v/>
      </c>
      <c r="I1277" s="29">
        <f>IF($B1277="","",IFERROR(INDEX($U$4:$U$3183,MATCH(SMALL($V$4:$V$3183,1274),$V$4:$V$3183,0)),""))</f>
        <v/>
      </c>
      <c r="J1277">
        <f>IF($B1277="","",IF($D1277&gt;$F$2,"À venir",IF($E1277&lt;$D$2,"Passé","Dans la période")))</f>
        <v/>
      </c>
      <c r="K1277">
        <f>IF(OR($B1277="",NOT(ISNUMBER($D1277))),"",IF(AND($E1277&lt;$D$2,$G1277&lt;&gt;"X",$F1277&lt;&gt;"Réalisé",$F1277&lt;&gt;"Clôturé"),"RETARD",""))</f>
        <v/>
      </c>
      <c r="L1277">
        <f>IF(OR($B1277="",NOT(ISNUMBER($D1277))),"",IF(AND($D1277&gt;=$D$2,$D1277&lt;=$H$2,$G1277&lt;&gt;"X",$F1277&lt;&gt;"Réalisé",$F1277&lt;&gt;"Clôturé"),"≤ 7 j",""))</f>
        <v/>
      </c>
      <c r="M1277" s="29">
        <f>IF($B1277="","",IFERROR(INDEX($T$4:$T$3183,MATCH(SMALL($V$4:$V$3183,1274),$V$4:$V$3183,0)),""))</f>
        <v/>
      </c>
      <c r="O1277">
        <f>IF(INDEX(Suivi!$B:$B,1302)="","",INDEX(Suivi!$B:$B,1302))</f>
        <v/>
      </c>
      <c r="P1277">
        <f>IF($O1277="","",IF(INDEX(Suivi!$D:$D,1302)="",INDEX(Suivi!$C:$C,1302),INDEX(Suivi!$D:$D,1302)))</f>
        <v/>
      </c>
      <c r="Q1277">
        <f>IF($O1277="","",INDEX(Suivi!$E:$E,1302))</f>
        <v/>
      </c>
      <c r="R1277">
        <f>IF($O1277="","",INDEX(Suivi!$F:$F,1302))</f>
        <v/>
      </c>
      <c r="S1277">
        <f>IF($O1277="","",INDEX(Suivi!$G:$G,1302))</f>
        <v/>
      </c>
      <c r="T1277">
        <f>IF($O1277="","",IF(INDEX(Dossiers!$F$4:$F$63,25)="","",INDEX(Dossiers!$F$4:$F$63,25)))</f>
        <v/>
      </c>
      <c r="U1277">
        <f>IF($O1277="","",IF(INDEX(Dossiers!$G$4:$G$63,25)="","",INDEX(Dossiers!$G$4:$G$63,25)))</f>
        <v/>
      </c>
      <c r="V1277">
        <f>IF(OR($O1277="",NOT(ISNUMBER($Q1277))),"",$Q1277*1000000+1277)</f>
        <v/>
      </c>
      <c r="W1277" s="29">
        <f>IF($B1277="","",IFERROR(INDEX($U$4:$U$3183,MATCH(SMALL($V$4:$V$3183,1274),$V$4:$V$3183,0)),""))</f>
        <v/>
      </c>
    </row>
    <row r="1278">
      <c r="A1278">
        <f>IFERROR(INDEX($N$4:$N$3183,MATCH(SMALL($V$4:$V$3183,1275),$V$4:$V$3183,0)),"")</f>
        <v/>
      </c>
      <c r="B1278">
        <f>IFERROR(INDEX($O$4:$O$3183,MATCH(SMALL($V$4:$V$3183,1275),$V$4:$V$3183,0)),"")</f>
        <v/>
      </c>
      <c r="C1278">
        <f>IFERROR(INDEX($P$4:$P$3183,MATCH(SMALL($V$4:$V$3183,1275),$V$4:$V$3183,0)),"")</f>
        <v/>
      </c>
      <c r="D1278" s="29">
        <f>IFERROR(INDEX($Q$4:$Q$3183,MATCH(SMALL($V$4:$V$3183,1275),$V$4:$V$3183,0)),"")</f>
        <v/>
      </c>
      <c r="E1278" s="29">
        <f>IFERROR(INDEX($R$4:$R$3183,MATCH(SMALL($V$4:$V$3183,1275),$V$4:$V$3183,0)),"")</f>
        <v/>
      </c>
      <c r="F1278">
        <f>IFERROR(INDEX($S$4:$S$3183,MATCH(SMALL($V$4:$V$3183,1275),$V$4:$V$3183,0)),"")</f>
        <v/>
      </c>
      <c r="I1278" s="29">
        <f>IF($B1278="","",IFERROR(INDEX($U$4:$U$3183,MATCH(SMALL($V$4:$V$3183,1275),$V$4:$V$3183,0)),""))</f>
        <v/>
      </c>
      <c r="J1278">
        <f>IF($B1278="","",IF($D1278&gt;$F$2,"À venir",IF($E1278&lt;$D$2,"Passé","Dans la période")))</f>
        <v/>
      </c>
      <c r="K1278">
        <f>IF(OR($B1278="",NOT(ISNUMBER($D1278))),"",IF(AND($E1278&lt;$D$2,$G1278&lt;&gt;"X",$F1278&lt;&gt;"Réalisé",$F1278&lt;&gt;"Clôturé"),"RETARD",""))</f>
        <v/>
      </c>
      <c r="L1278">
        <f>IF(OR($B1278="",NOT(ISNUMBER($D1278))),"",IF(AND($D1278&gt;=$D$2,$D1278&lt;=$H$2,$G1278&lt;&gt;"X",$F1278&lt;&gt;"Réalisé",$F1278&lt;&gt;"Clôturé"),"≤ 7 j",""))</f>
        <v/>
      </c>
      <c r="M1278" s="29">
        <f>IF($B1278="","",IFERROR(INDEX($T$4:$T$3183,MATCH(SMALL($V$4:$V$3183,1275),$V$4:$V$3183,0)),""))</f>
        <v/>
      </c>
      <c r="O1278">
        <f>IF(INDEX(Suivi!$B:$B,1303)="","",INDEX(Suivi!$B:$B,1303))</f>
        <v/>
      </c>
      <c r="P1278">
        <f>IF($O1278="","",IF(INDEX(Suivi!$D:$D,1303)="",INDEX(Suivi!$C:$C,1303),INDEX(Suivi!$D:$D,1303)))</f>
        <v/>
      </c>
      <c r="Q1278">
        <f>IF($O1278="","",INDEX(Suivi!$E:$E,1303))</f>
        <v/>
      </c>
      <c r="R1278">
        <f>IF($O1278="","",INDEX(Suivi!$F:$F,1303))</f>
        <v/>
      </c>
      <c r="S1278">
        <f>IF($O1278="","",INDEX(Suivi!$G:$G,1303))</f>
        <v/>
      </c>
      <c r="T1278">
        <f>IF($O1278="","",IF(INDEX(Dossiers!$F$4:$F$63,25)="","",INDEX(Dossiers!$F$4:$F$63,25)))</f>
        <v/>
      </c>
      <c r="U1278">
        <f>IF($O1278="","",IF(INDEX(Dossiers!$G$4:$G$63,25)="","",INDEX(Dossiers!$G$4:$G$63,25)))</f>
        <v/>
      </c>
      <c r="V1278">
        <f>IF(OR($O1278="",NOT(ISNUMBER($Q1278))),"",$Q1278*1000000+1278)</f>
        <v/>
      </c>
      <c r="W1278" s="29">
        <f>IF($B1278="","",IFERROR(INDEX($U$4:$U$3183,MATCH(SMALL($V$4:$V$3183,1275),$V$4:$V$3183,0)),""))</f>
        <v/>
      </c>
    </row>
    <row r="1279">
      <c r="A1279">
        <f>IFERROR(INDEX($N$4:$N$3183,MATCH(SMALL($V$4:$V$3183,1276),$V$4:$V$3183,0)),"")</f>
        <v/>
      </c>
      <c r="B1279">
        <f>IFERROR(INDEX($O$4:$O$3183,MATCH(SMALL($V$4:$V$3183,1276),$V$4:$V$3183,0)),"")</f>
        <v/>
      </c>
      <c r="C1279">
        <f>IFERROR(INDEX($P$4:$P$3183,MATCH(SMALL($V$4:$V$3183,1276),$V$4:$V$3183,0)),"")</f>
        <v/>
      </c>
      <c r="D1279" s="29">
        <f>IFERROR(INDEX($Q$4:$Q$3183,MATCH(SMALL($V$4:$V$3183,1276),$V$4:$V$3183,0)),"")</f>
        <v/>
      </c>
      <c r="E1279" s="29">
        <f>IFERROR(INDEX($R$4:$R$3183,MATCH(SMALL($V$4:$V$3183,1276),$V$4:$V$3183,0)),"")</f>
        <v/>
      </c>
      <c r="F1279">
        <f>IFERROR(INDEX($S$4:$S$3183,MATCH(SMALL($V$4:$V$3183,1276),$V$4:$V$3183,0)),"")</f>
        <v/>
      </c>
      <c r="I1279" s="29">
        <f>IF($B1279="","",IFERROR(INDEX($U$4:$U$3183,MATCH(SMALL($V$4:$V$3183,1276),$V$4:$V$3183,0)),""))</f>
        <v/>
      </c>
      <c r="J1279">
        <f>IF($B1279="","",IF($D1279&gt;$F$2,"À venir",IF($E1279&lt;$D$2,"Passé","Dans la période")))</f>
        <v/>
      </c>
      <c r="K1279">
        <f>IF(OR($B1279="",NOT(ISNUMBER($D1279))),"",IF(AND($E1279&lt;$D$2,$G1279&lt;&gt;"X",$F1279&lt;&gt;"Réalisé",$F1279&lt;&gt;"Clôturé"),"RETARD",""))</f>
        <v/>
      </c>
      <c r="L1279">
        <f>IF(OR($B1279="",NOT(ISNUMBER($D1279))),"",IF(AND($D1279&gt;=$D$2,$D1279&lt;=$H$2,$G1279&lt;&gt;"X",$F1279&lt;&gt;"Réalisé",$F1279&lt;&gt;"Clôturé"),"≤ 7 j",""))</f>
        <v/>
      </c>
      <c r="M1279" s="29">
        <f>IF($B1279="","",IFERROR(INDEX($T$4:$T$3183,MATCH(SMALL($V$4:$V$3183,1276),$V$4:$V$3183,0)),""))</f>
        <v/>
      </c>
      <c r="O1279">
        <f>IF(INDEX(Suivi!$B:$B,1304)="","",INDEX(Suivi!$B:$B,1304))</f>
        <v/>
      </c>
      <c r="P1279">
        <f>IF($O1279="","",IF(INDEX(Suivi!$D:$D,1304)="",INDEX(Suivi!$C:$C,1304),INDEX(Suivi!$D:$D,1304)))</f>
        <v/>
      </c>
      <c r="Q1279">
        <f>IF($O1279="","",INDEX(Suivi!$E:$E,1304))</f>
        <v/>
      </c>
      <c r="R1279">
        <f>IF($O1279="","",INDEX(Suivi!$F:$F,1304))</f>
        <v/>
      </c>
      <c r="S1279">
        <f>IF($O1279="","",INDEX(Suivi!$G:$G,1304))</f>
        <v/>
      </c>
      <c r="T1279">
        <f>IF($O1279="","",IF(INDEX(Dossiers!$F$4:$F$63,25)="","",INDEX(Dossiers!$F$4:$F$63,25)))</f>
        <v/>
      </c>
      <c r="U1279">
        <f>IF($O1279="","",IF(INDEX(Dossiers!$G$4:$G$63,25)="","",INDEX(Dossiers!$G$4:$G$63,25)))</f>
        <v/>
      </c>
      <c r="V1279">
        <f>IF(OR($O1279="",NOT(ISNUMBER($Q1279))),"",$Q1279*1000000+1279)</f>
        <v/>
      </c>
      <c r="W1279" s="29">
        <f>IF($B1279="","",IFERROR(INDEX($U$4:$U$3183,MATCH(SMALL($V$4:$V$3183,1276),$V$4:$V$3183,0)),""))</f>
        <v/>
      </c>
    </row>
    <row r="1280">
      <c r="A1280">
        <f>IFERROR(INDEX($N$4:$N$3183,MATCH(SMALL($V$4:$V$3183,1277),$V$4:$V$3183,0)),"")</f>
        <v/>
      </c>
      <c r="B1280">
        <f>IFERROR(INDEX($O$4:$O$3183,MATCH(SMALL($V$4:$V$3183,1277),$V$4:$V$3183,0)),"")</f>
        <v/>
      </c>
      <c r="C1280">
        <f>IFERROR(INDEX($P$4:$P$3183,MATCH(SMALL($V$4:$V$3183,1277),$V$4:$V$3183,0)),"")</f>
        <v/>
      </c>
      <c r="D1280" s="29">
        <f>IFERROR(INDEX($Q$4:$Q$3183,MATCH(SMALL($V$4:$V$3183,1277),$V$4:$V$3183,0)),"")</f>
        <v/>
      </c>
      <c r="E1280" s="29">
        <f>IFERROR(INDEX($R$4:$R$3183,MATCH(SMALL($V$4:$V$3183,1277),$V$4:$V$3183,0)),"")</f>
        <v/>
      </c>
      <c r="F1280">
        <f>IFERROR(INDEX($S$4:$S$3183,MATCH(SMALL($V$4:$V$3183,1277),$V$4:$V$3183,0)),"")</f>
        <v/>
      </c>
      <c r="I1280" s="29">
        <f>IF($B1280="","",IFERROR(INDEX($U$4:$U$3183,MATCH(SMALL($V$4:$V$3183,1277),$V$4:$V$3183,0)),""))</f>
        <v/>
      </c>
      <c r="J1280">
        <f>IF($B1280="","",IF($D1280&gt;$F$2,"À venir",IF($E1280&lt;$D$2,"Passé","Dans la période")))</f>
        <v/>
      </c>
      <c r="K1280">
        <f>IF(OR($B1280="",NOT(ISNUMBER($D1280))),"",IF(AND($E1280&lt;$D$2,$G1280&lt;&gt;"X",$F1280&lt;&gt;"Réalisé",$F1280&lt;&gt;"Clôturé"),"RETARD",""))</f>
        <v/>
      </c>
      <c r="L1280">
        <f>IF(OR($B1280="",NOT(ISNUMBER($D1280))),"",IF(AND($D1280&gt;=$D$2,$D1280&lt;=$H$2,$G1280&lt;&gt;"X",$F1280&lt;&gt;"Réalisé",$F1280&lt;&gt;"Clôturé"),"≤ 7 j",""))</f>
        <v/>
      </c>
      <c r="M1280" s="29">
        <f>IF($B1280="","",IFERROR(INDEX($T$4:$T$3183,MATCH(SMALL($V$4:$V$3183,1277),$V$4:$V$3183,0)),""))</f>
        <v/>
      </c>
      <c r="O1280">
        <f>IF(INDEX(Suivi!$B:$B,1305)="","",INDEX(Suivi!$B:$B,1305))</f>
        <v/>
      </c>
      <c r="P1280">
        <f>IF($O1280="","",IF(INDEX(Suivi!$D:$D,1305)="",INDEX(Suivi!$C:$C,1305),INDEX(Suivi!$D:$D,1305)))</f>
        <v/>
      </c>
      <c r="Q1280">
        <f>IF($O1280="","",INDEX(Suivi!$E:$E,1305))</f>
        <v/>
      </c>
      <c r="R1280">
        <f>IF($O1280="","",INDEX(Suivi!$F:$F,1305))</f>
        <v/>
      </c>
      <c r="S1280">
        <f>IF($O1280="","",INDEX(Suivi!$G:$G,1305))</f>
        <v/>
      </c>
      <c r="T1280">
        <f>IF($O1280="","",IF(INDEX(Dossiers!$F$4:$F$63,25)="","",INDEX(Dossiers!$F$4:$F$63,25)))</f>
        <v/>
      </c>
      <c r="U1280">
        <f>IF($O1280="","",IF(INDEX(Dossiers!$G$4:$G$63,25)="","",INDEX(Dossiers!$G$4:$G$63,25)))</f>
        <v/>
      </c>
      <c r="V1280">
        <f>IF(OR($O1280="",NOT(ISNUMBER($Q1280))),"",$Q1280*1000000+1280)</f>
        <v/>
      </c>
      <c r="W1280" s="29">
        <f>IF($B1280="","",IFERROR(INDEX($U$4:$U$3183,MATCH(SMALL($V$4:$V$3183,1277),$V$4:$V$3183,0)),""))</f>
        <v/>
      </c>
    </row>
    <row r="1281">
      <c r="A1281">
        <f>IFERROR(INDEX($N$4:$N$3183,MATCH(SMALL($V$4:$V$3183,1278),$V$4:$V$3183,0)),"")</f>
        <v/>
      </c>
      <c r="B1281">
        <f>IFERROR(INDEX($O$4:$O$3183,MATCH(SMALL($V$4:$V$3183,1278),$V$4:$V$3183,0)),"")</f>
        <v/>
      </c>
      <c r="C1281">
        <f>IFERROR(INDEX($P$4:$P$3183,MATCH(SMALL($V$4:$V$3183,1278),$V$4:$V$3183,0)),"")</f>
        <v/>
      </c>
      <c r="D1281" s="29">
        <f>IFERROR(INDEX($Q$4:$Q$3183,MATCH(SMALL($V$4:$V$3183,1278),$V$4:$V$3183,0)),"")</f>
        <v/>
      </c>
      <c r="E1281" s="29">
        <f>IFERROR(INDEX($R$4:$R$3183,MATCH(SMALL($V$4:$V$3183,1278),$V$4:$V$3183,0)),"")</f>
        <v/>
      </c>
      <c r="F1281">
        <f>IFERROR(INDEX($S$4:$S$3183,MATCH(SMALL($V$4:$V$3183,1278),$V$4:$V$3183,0)),"")</f>
        <v/>
      </c>
      <c r="I1281" s="29">
        <f>IF($B1281="","",IFERROR(INDEX($U$4:$U$3183,MATCH(SMALL($V$4:$V$3183,1278),$V$4:$V$3183,0)),""))</f>
        <v/>
      </c>
      <c r="J1281">
        <f>IF($B1281="","",IF($D1281&gt;$F$2,"À venir",IF($E1281&lt;$D$2,"Passé","Dans la période")))</f>
        <v/>
      </c>
      <c r="K1281">
        <f>IF(OR($B1281="",NOT(ISNUMBER($D1281))),"",IF(AND($E1281&lt;$D$2,$G1281&lt;&gt;"X",$F1281&lt;&gt;"Réalisé",$F1281&lt;&gt;"Clôturé"),"RETARD",""))</f>
        <v/>
      </c>
      <c r="L1281">
        <f>IF(OR($B1281="",NOT(ISNUMBER($D1281))),"",IF(AND($D1281&gt;=$D$2,$D1281&lt;=$H$2,$G1281&lt;&gt;"X",$F1281&lt;&gt;"Réalisé",$F1281&lt;&gt;"Clôturé"),"≤ 7 j",""))</f>
        <v/>
      </c>
      <c r="M1281" s="29">
        <f>IF($B1281="","",IFERROR(INDEX($T$4:$T$3183,MATCH(SMALL($V$4:$V$3183,1278),$V$4:$V$3183,0)),""))</f>
        <v/>
      </c>
      <c r="O1281">
        <f>IF(INDEX(Suivi!$B:$B,1306)="","",INDEX(Suivi!$B:$B,1306))</f>
        <v/>
      </c>
      <c r="P1281">
        <f>IF($O1281="","",IF(INDEX(Suivi!$D:$D,1306)="",INDEX(Suivi!$C:$C,1306),INDEX(Suivi!$D:$D,1306)))</f>
        <v/>
      </c>
      <c r="Q1281">
        <f>IF($O1281="","",INDEX(Suivi!$E:$E,1306))</f>
        <v/>
      </c>
      <c r="R1281">
        <f>IF($O1281="","",INDEX(Suivi!$F:$F,1306))</f>
        <v/>
      </c>
      <c r="S1281">
        <f>IF($O1281="","",INDEX(Suivi!$G:$G,1306))</f>
        <v/>
      </c>
      <c r="T1281">
        <f>IF($O1281="","",IF(INDEX(Dossiers!$F$4:$F$63,25)="","",INDEX(Dossiers!$F$4:$F$63,25)))</f>
        <v/>
      </c>
      <c r="U1281">
        <f>IF($O1281="","",IF(INDEX(Dossiers!$G$4:$G$63,25)="","",INDEX(Dossiers!$G$4:$G$63,25)))</f>
        <v/>
      </c>
      <c r="V1281">
        <f>IF(OR($O1281="",NOT(ISNUMBER($Q1281))),"",$Q1281*1000000+1281)</f>
        <v/>
      </c>
      <c r="W1281" s="29">
        <f>IF($B1281="","",IFERROR(INDEX($U$4:$U$3183,MATCH(SMALL($V$4:$V$3183,1278),$V$4:$V$3183,0)),""))</f>
        <v/>
      </c>
    </row>
    <row r="1282">
      <c r="A1282">
        <f>IFERROR(INDEX($N$4:$N$3183,MATCH(SMALL($V$4:$V$3183,1279),$V$4:$V$3183,0)),"")</f>
        <v/>
      </c>
      <c r="B1282">
        <f>IFERROR(INDEX($O$4:$O$3183,MATCH(SMALL($V$4:$V$3183,1279),$V$4:$V$3183,0)),"")</f>
        <v/>
      </c>
      <c r="C1282">
        <f>IFERROR(INDEX($P$4:$P$3183,MATCH(SMALL($V$4:$V$3183,1279),$V$4:$V$3183,0)),"")</f>
        <v/>
      </c>
      <c r="D1282" s="29">
        <f>IFERROR(INDEX($Q$4:$Q$3183,MATCH(SMALL($V$4:$V$3183,1279),$V$4:$V$3183,0)),"")</f>
        <v/>
      </c>
      <c r="E1282" s="29">
        <f>IFERROR(INDEX($R$4:$R$3183,MATCH(SMALL($V$4:$V$3183,1279),$V$4:$V$3183,0)),"")</f>
        <v/>
      </c>
      <c r="F1282">
        <f>IFERROR(INDEX($S$4:$S$3183,MATCH(SMALL($V$4:$V$3183,1279),$V$4:$V$3183,0)),"")</f>
        <v/>
      </c>
      <c r="I1282" s="29">
        <f>IF($B1282="","",IFERROR(INDEX($U$4:$U$3183,MATCH(SMALL($V$4:$V$3183,1279),$V$4:$V$3183,0)),""))</f>
        <v/>
      </c>
      <c r="J1282">
        <f>IF($B1282="","",IF($D1282&gt;$F$2,"À venir",IF($E1282&lt;$D$2,"Passé","Dans la période")))</f>
        <v/>
      </c>
      <c r="K1282">
        <f>IF(OR($B1282="",NOT(ISNUMBER($D1282))),"",IF(AND($E1282&lt;$D$2,$G1282&lt;&gt;"X",$F1282&lt;&gt;"Réalisé",$F1282&lt;&gt;"Clôturé"),"RETARD",""))</f>
        <v/>
      </c>
      <c r="L1282">
        <f>IF(OR($B1282="",NOT(ISNUMBER($D1282))),"",IF(AND($D1282&gt;=$D$2,$D1282&lt;=$H$2,$G1282&lt;&gt;"X",$F1282&lt;&gt;"Réalisé",$F1282&lt;&gt;"Clôturé"),"≤ 7 j",""))</f>
        <v/>
      </c>
      <c r="M1282" s="29">
        <f>IF($B1282="","",IFERROR(INDEX($T$4:$T$3183,MATCH(SMALL($V$4:$V$3183,1279),$V$4:$V$3183,0)),""))</f>
        <v/>
      </c>
      <c r="O1282">
        <f>IF(INDEX(Suivi!$B:$B,1307)="","",INDEX(Suivi!$B:$B,1307))</f>
        <v/>
      </c>
      <c r="P1282">
        <f>IF($O1282="","",IF(INDEX(Suivi!$D:$D,1307)="",INDEX(Suivi!$C:$C,1307),INDEX(Suivi!$D:$D,1307)))</f>
        <v/>
      </c>
      <c r="Q1282">
        <f>IF($O1282="","",INDEX(Suivi!$E:$E,1307))</f>
        <v/>
      </c>
      <c r="R1282">
        <f>IF($O1282="","",INDEX(Suivi!$F:$F,1307))</f>
        <v/>
      </c>
      <c r="S1282">
        <f>IF($O1282="","",INDEX(Suivi!$G:$G,1307))</f>
        <v/>
      </c>
      <c r="T1282">
        <f>IF($O1282="","",IF(INDEX(Dossiers!$F$4:$F$63,25)="","",INDEX(Dossiers!$F$4:$F$63,25)))</f>
        <v/>
      </c>
      <c r="U1282">
        <f>IF($O1282="","",IF(INDEX(Dossiers!$G$4:$G$63,25)="","",INDEX(Dossiers!$G$4:$G$63,25)))</f>
        <v/>
      </c>
      <c r="V1282">
        <f>IF(OR($O1282="",NOT(ISNUMBER($Q1282))),"",$Q1282*1000000+1282)</f>
        <v/>
      </c>
      <c r="W1282" s="29">
        <f>IF($B1282="","",IFERROR(INDEX($U$4:$U$3183,MATCH(SMALL($V$4:$V$3183,1279),$V$4:$V$3183,0)),""))</f>
        <v/>
      </c>
    </row>
    <row r="1283">
      <c r="A1283">
        <f>IFERROR(INDEX($N$4:$N$3183,MATCH(SMALL($V$4:$V$3183,1280),$V$4:$V$3183,0)),"")</f>
        <v/>
      </c>
      <c r="B1283">
        <f>IFERROR(INDEX($O$4:$O$3183,MATCH(SMALL($V$4:$V$3183,1280),$V$4:$V$3183,0)),"")</f>
        <v/>
      </c>
      <c r="C1283">
        <f>IFERROR(INDEX($P$4:$P$3183,MATCH(SMALL($V$4:$V$3183,1280),$V$4:$V$3183,0)),"")</f>
        <v/>
      </c>
      <c r="D1283" s="29">
        <f>IFERROR(INDEX($Q$4:$Q$3183,MATCH(SMALL($V$4:$V$3183,1280),$V$4:$V$3183,0)),"")</f>
        <v/>
      </c>
      <c r="E1283" s="29">
        <f>IFERROR(INDEX($R$4:$R$3183,MATCH(SMALL($V$4:$V$3183,1280),$V$4:$V$3183,0)),"")</f>
        <v/>
      </c>
      <c r="F1283">
        <f>IFERROR(INDEX($S$4:$S$3183,MATCH(SMALL($V$4:$V$3183,1280),$V$4:$V$3183,0)),"")</f>
        <v/>
      </c>
      <c r="I1283" s="29">
        <f>IF($B1283="","",IFERROR(INDEX($U$4:$U$3183,MATCH(SMALL($V$4:$V$3183,1280),$V$4:$V$3183,0)),""))</f>
        <v/>
      </c>
      <c r="J1283">
        <f>IF($B1283="","",IF($D1283&gt;$F$2,"À venir",IF($E1283&lt;$D$2,"Passé","Dans la période")))</f>
        <v/>
      </c>
      <c r="K1283">
        <f>IF(OR($B1283="",NOT(ISNUMBER($D1283))),"",IF(AND($E1283&lt;$D$2,$G1283&lt;&gt;"X",$F1283&lt;&gt;"Réalisé",$F1283&lt;&gt;"Clôturé"),"RETARD",""))</f>
        <v/>
      </c>
      <c r="L1283">
        <f>IF(OR($B1283="",NOT(ISNUMBER($D1283))),"",IF(AND($D1283&gt;=$D$2,$D1283&lt;=$H$2,$G1283&lt;&gt;"X",$F1283&lt;&gt;"Réalisé",$F1283&lt;&gt;"Clôturé"),"≤ 7 j",""))</f>
        <v/>
      </c>
      <c r="M1283" s="29">
        <f>IF($B1283="","",IFERROR(INDEX($T$4:$T$3183,MATCH(SMALL($V$4:$V$3183,1280),$V$4:$V$3183,0)),""))</f>
        <v/>
      </c>
      <c r="O1283">
        <f>IF(INDEX(Suivi!$B:$B,1308)="","",INDEX(Suivi!$B:$B,1308))</f>
        <v/>
      </c>
      <c r="P1283">
        <f>IF($O1283="","",IF(INDEX(Suivi!$D:$D,1308)="",INDEX(Suivi!$C:$C,1308),INDEX(Suivi!$D:$D,1308)))</f>
        <v/>
      </c>
      <c r="Q1283">
        <f>IF($O1283="","",INDEX(Suivi!$E:$E,1308))</f>
        <v/>
      </c>
      <c r="R1283">
        <f>IF($O1283="","",INDEX(Suivi!$F:$F,1308))</f>
        <v/>
      </c>
      <c r="S1283">
        <f>IF($O1283="","",INDEX(Suivi!$G:$G,1308))</f>
        <v/>
      </c>
      <c r="T1283">
        <f>IF($O1283="","",IF(INDEX(Dossiers!$F$4:$F$63,25)="","",INDEX(Dossiers!$F$4:$F$63,25)))</f>
        <v/>
      </c>
      <c r="U1283">
        <f>IF($O1283="","",IF(INDEX(Dossiers!$G$4:$G$63,25)="","",INDEX(Dossiers!$G$4:$G$63,25)))</f>
        <v/>
      </c>
      <c r="V1283">
        <f>IF(OR($O1283="",NOT(ISNUMBER($Q1283))),"",$Q1283*1000000+1283)</f>
        <v/>
      </c>
      <c r="W1283" s="29">
        <f>IF($B1283="","",IFERROR(INDEX($U$4:$U$3183,MATCH(SMALL($V$4:$V$3183,1280),$V$4:$V$3183,0)),""))</f>
        <v/>
      </c>
    </row>
    <row r="1284">
      <c r="A1284">
        <f>IFERROR(INDEX($N$4:$N$3183,MATCH(SMALL($V$4:$V$3183,1281),$V$4:$V$3183,0)),"")</f>
        <v/>
      </c>
      <c r="B1284">
        <f>IFERROR(INDEX($O$4:$O$3183,MATCH(SMALL($V$4:$V$3183,1281),$V$4:$V$3183,0)),"")</f>
        <v/>
      </c>
      <c r="C1284">
        <f>IFERROR(INDEX($P$4:$P$3183,MATCH(SMALL($V$4:$V$3183,1281),$V$4:$V$3183,0)),"")</f>
        <v/>
      </c>
      <c r="D1284" s="29">
        <f>IFERROR(INDEX($Q$4:$Q$3183,MATCH(SMALL($V$4:$V$3183,1281),$V$4:$V$3183,0)),"")</f>
        <v/>
      </c>
      <c r="E1284" s="29">
        <f>IFERROR(INDEX($R$4:$R$3183,MATCH(SMALL($V$4:$V$3183,1281),$V$4:$V$3183,0)),"")</f>
        <v/>
      </c>
      <c r="F1284">
        <f>IFERROR(INDEX($S$4:$S$3183,MATCH(SMALL($V$4:$V$3183,1281),$V$4:$V$3183,0)),"")</f>
        <v/>
      </c>
      <c r="I1284" s="29">
        <f>IF($B1284="","",IFERROR(INDEX($U$4:$U$3183,MATCH(SMALL($V$4:$V$3183,1281),$V$4:$V$3183,0)),""))</f>
        <v/>
      </c>
      <c r="J1284">
        <f>IF($B1284="","",IF($D1284&gt;$F$2,"À venir",IF($E1284&lt;$D$2,"Passé","Dans la période")))</f>
        <v/>
      </c>
      <c r="K1284">
        <f>IF(OR($B1284="",NOT(ISNUMBER($D1284))),"",IF(AND($E1284&lt;$D$2,$G1284&lt;&gt;"X",$F1284&lt;&gt;"Réalisé",$F1284&lt;&gt;"Clôturé"),"RETARD",""))</f>
        <v/>
      </c>
      <c r="L1284">
        <f>IF(OR($B1284="",NOT(ISNUMBER($D1284))),"",IF(AND($D1284&gt;=$D$2,$D1284&lt;=$H$2,$G1284&lt;&gt;"X",$F1284&lt;&gt;"Réalisé",$F1284&lt;&gt;"Clôturé"),"≤ 7 j",""))</f>
        <v/>
      </c>
      <c r="M1284" s="29">
        <f>IF($B1284="","",IFERROR(INDEX($T$4:$T$3183,MATCH(SMALL($V$4:$V$3183,1281),$V$4:$V$3183,0)),""))</f>
        <v/>
      </c>
      <c r="O1284">
        <f>IF(INDEX(Suivi!$B:$B,1309)="","",INDEX(Suivi!$B:$B,1309))</f>
        <v/>
      </c>
      <c r="P1284">
        <f>IF($O1284="","",IF(INDEX(Suivi!$D:$D,1309)="",INDEX(Suivi!$C:$C,1309),INDEX(Suivi!$D:$D,1309)))</f>
        <v/>
      </c>
      <c r="Q1284">
        <f>IF($O1284="","",INDEX(Suivi!$E:$E,1309))</f>
        <v/>
      </c>
      <c r="R1284">
        <f>IF($O1284="","",INDEX(Suivi!$F:$F,1309))</f>
        <v/>
      </c>
      <c r="S1284">
        <f>IF($O1284="","",INDEX(Suivi!$G:$G,1309))</f>
        <v/>
      </c>
      <c r="T1284">
        <f>IF($O1284="","",IF(INDEX(Dossiers!$F$4:$F$63,25)="","",INDEX(Dossiers!$F$4:$F$63,25)))</f>
        <v/>
      </c>
      <c r="U1284">
        <f>IF($O1284="","",IF(INDEX(Dossiers!$G$4:$G$63,25)="","",INDEX(Dossiers!$G$4:$G$63,25)))</f>
        <v/>
      </c>
      <c r="V1284">
        <f>IF(OR($O1284="",NOT(ISNUMBER($Q1284))),"",$Q1284*1000000+1284)</f>
        <v/>
      </c>
      <c r="W1284" s="29">
        <f>IF($B1284="","",IFERROR(INDEX($U$4:$U$3183,MATCH(SMALL($V$4:$V$3183,1281),$V$4:$V$3183,0)),""))</f>
        <v/>
      </c>
    </row>
    <row r="1285">
      <c r="A1285">
        <f>IFERROR(INDEX($N$4:$N$3183,MATCH(SMALL($V$4:$V$3183,1282),$V$4:$V$3183,0)),"")</f>
        <v/>
      </c>
      <c r="B1285">
        <f>IFERROR(INDEX($O$4:$O$3183,MATCH(SMALL($V$4:$V$3183,1282),$V$4:$V$3183,0)),"")</f>
        <v/>
      </c>
      <c r="C1285">
        <f>IFERROR(INDEX($P$4:$P$3183,MATCH(SMALL($V$4:$V$3183,1282),$V$4:$V$3183,0)),"")</f>
        <v/>
      </c>
      <c r="D1285" s="29">
        <f>IFERROR(INDEX($Q$4:$Q$3183,MATCH(SMALL($V$4:$V$3183,1282),$V$4:$V$3183,0)),"")</f>
        <v/>
      </c>
      <c r="E1285" s="29">
        <f>IFERROR(INDEX($R$4:$R$3183,MATCH(SMALL($V$4:$V$3183,1282),$V$4:$V$3183,0)),"")</f>
        <v/>
      </c>
      <c r="F1285">
        <f>IFERROR(INDEX($S$4:$S$3183,MATCH(SMALL($V$4:$V$3183,1282),$V$4:$V$3183,0)),"")</f>
        <v/>
      </c>
      <c r="I1285" s="29">
        <f>IF($B1285="","",IFERROR(INDEX($U$4:$U$3183,MATCH(SMALL($V$4:$V$3183,1282),$V$4:$V$3183,0)),""))</f>
        <v/>
      </c>
      <c r="J1285">
        <f>IF($B1285="","",IF($D1285&gt;$F$2,"À venir",IF($E1285&lt;$D$2,"Passé","Dans la période")))</f>
        <v/>
      </c>
      <c r="K1285">
        <f>IF(OR($B1285="",NOT(ISNUMBER($D1285))),"",IF(AND($E1285&lt;$D$2,$G1285&lt;&gt;"X",$F1285&lt;&gt;"Réalisé",$F1285&lt;&gt;"Clôturé"),"RETARD",""))</f>
        <v/>
      </c>
      <c r="L1285">
        <f>IF(OR($B1285="",NOT(ISNUMBER($D1285))),"",IF(AND($D1285&gt;=$D$2,$D1285&lt;=$H$2,$G1285&lt;&gt;"X",$F1285&lt;&gt;"Réalisé",$F1285&lt;&gt;"Clôturé"),"≤ 7 j",""))</f>
        <v/>
      </c>
      <c r="M1285" s="29">
        <f>IF($B1285="","",IFERROR(INDEX($T$4:$T$3183,MATCH(SMALL($V$4:$V$3183,1282),$V$4:$V$3183,0)),""))</f>
        <v/>
      </c>
      <c r="O1285">
        <f>IF(INDEX(Suivi!$B:$B,1310)="","",INDEX(Suivi!$B:$B,1310))</f>
        <v/>
      </c>
      <c r="P1285">
        <f>IF($O1285="","",IF(INDEX(Suivi!$D:$D,1310)="",INDEX(Suivi!$C:$C,1310),INDEX(Suivi!$D:$D,1310)))</f>
        <v/>
      </c>
      <c r="Q1285">
        <f>IF($O1285="","",INDEX(Suivi!$E:$E,1310))</f>
        <v/>
      </c>
      <c r="R1285">
        <f>IF($O1285="","",INDEX(Suivi!$F:$F,1310))</f>
        <v/>
      </c>
      <c r="S1285">
        <f>IF($O1285="","",INDEX(Suivi!$G:$G,1310))</f>
        <v/>
      </c>
      <c r="T1285">
        <f>IF($O1285="","",IF(INDEX(Dossiers!$F$4:$F$63,25)="","",INDEX(Dossiers!$F$4:$F$63,25)))</f>
        <v/>
      </c>
      <c r="U1285">
        <f>IF($O1285="","",IF(INDEX(Dossiers!$G$4:$G$63,25)="","",INDEX(Dossiers!$G$4:$G$63,25)))</f>
        <v/>
      </c>
      <c r="V1285">
        <f>IF(OR($O1285="",NOT(ISNUMBER($Q1285))),"",$Q1285*1000000+1285)</f>
        <v/>
      </c>
      <c r="W1285" s="29">
        <f>IF($B1285="","",IFERROR(INDEX($U$4:$U$3183,MATCH(SMALL($V$4:$V$3183,1282),$V$4:$V$3183,0)),""))</f>
        <v/>
      </c>
    </row>
    <row r="1286">
      <c r="A1286">
        <f>IFERROR(INDEX($N$4:$N$3183,MATCH(SMALL($V$4:$V$3183,1283),$V$4:$V$3183,0)),"")</f>
        <v/>
      </c>
      <c r="B1286">
        <f>IFERROR(INDEX($O$4:$O$3183,MATCH(SMALL($V$4:$V$3183,1283),$V$4:$V$3183,0)),"")</f>
        <v/>
      </c>
      <c r="C1286">
        <f>IFERROR(INDEX($P$4:$P$3183,MATCH(SMALL($V$4:$V$3183,1283),$V$4:$V$3183,0)),"")</f>
        <v/>
      </c>
      <c r="D1286" s="29">
        <f>IFERROR(INDEX($Q$4:$Q$3183,MATCH(SMALL($V$4:$V$3183,1283),$V$4:$V$3183,0)),"")</f>
        <v/>
      </c>
      <c r="E1286" s="29">
        <f>IFERROR(INDEX($R$4:$R$3183,MATCH(SMALL($V$4:$V$3183,1283),$V$4:$V$3183,0)),"")</f>
        <v/>
      </c>
      <c r="F1286">
        <f>IFERROR(INDEX($S$4:$S$3183,MATCH(SMALL($V$4:$V$3183,1283),$V$4:$V$3183,0)),"")</f>
        <v/>
      </c>
      <c r="I1286" s="29">
        <f>IF($B1286="","",IFERROR(INDEX($U$4:$U$3183,MATCH(SMALL($V$4:$V$3183,1283),$V$4:$V$3183,0)),""))</f>
        <v/>
      </c>
      <c r="J1286">
        <f>IF($B1286="","",IF($D1286&gt;$F$2,"À venir",IF($E1286&lt;$D$2,"Passé","Dans la période")))</f>
        <v/>
      </c>
      <c r="K1286">
        <f>IF(OR($B1286="",NOT(ISNUMBER($D1286))),"",IF(AND($E1286&lt;$D$2,$G1286&lt;&gt;"X",$F1286&lt;&gt;"Réalisé",$F1286&lt;&gt;"Clôturé"),"RETARD",""))</f>
        <v/>
      </c>
      <c r="L1286">
        <f>IF(OR($B1286="",NOT(ISNUMBER($D1286))),"",IF(AND($D1286&gt;=$D$2,$D1286&lt;=$H$2,$G1286&lt;&gt;"X",$F1286&lt;&gt;"Réalisé",$F1286&lt;&gt;"Clôturé"),"≤ 7 j",""))</f>
        <v/>
      </c>
      <c r="M1286" s="29">
        <f>IF($B1286="","",IFERROR(INDEX($T$4:$T$3183,MATCH(SMALL($V$4:$V$3183,1283),$V$4:$V$3183,0)),""))</f>
        <v/>
      </c>
      <c r="O1286">
        <f>IF(INDEX(Suivi!$B:$B,1311)="","",INDEX(Suivi!$B:$B,1311))</f>
        <v/>
      </c>
      <c r="P1286">
        <f>IF($O1286="","",IF(INDEX(Suivi!$D:$D,1311)="",INDEX(Suivi!$C:$C,1311),INDEX(Suivi!$D:$D,1311)))</f>
        <v/>
      </c>
      <c r="Q1286">
        <f>IF($O1286="","",INDEX(Suivi!$E:$E,1311))</f>
        <v/>
      </c>
      <c r="R1286">
        <f>IF($O1286="","",INDEX(Suivi!$F:$F,1311))</f>
        <v/>
      </c>
      <c r="S1286">
        <f>IF($O1286="","",INDEX(Suivi!$G:$G,1311))</f>
        <v/>
      </c>
      <c r="T1286">
        <f>IF($O1286="","",IF(INDEX(Dossiers!$F$4:$F$63,25)="","",INDEX(Dossiers!$F$4:$F$63,25)))</f>
        <v/>
      </c>
      <c r="U1286">
        <f>IF($O1286="","",IF(INDEX(Dossiers!$G$4:$G$63,25)="","",INDEX(Dossiers!$G$4:$G$63,25)))</f>
        <v/>
      </c>
      <c r="V1286">
        <f>IF(OR($O1286="",NOT(ISNUMBER($Q1286))),"",$Q1286*1000000+1286)</f>
        <v/>
      </c>
      <c r="W1286" s="29">
        <f>IF($B1286="","",IFERROR(INDEX($U$4:$U$3183,MATCH(SMALL($V$4:$V$3183,1283),$V$4:$V$3183,0)),""))</f>
        <v/>
      </c>
    </row>
    <row r="1287">
      <c r="A1287">
        <f>IFERROR(INDEX($N$4:$N$3183,MATCH(SMALL($V$4:$V$3183,1284),$V$4:$V$3183,0)),"")</f>
        <v/>
      </c>
      <c r="B1287">
        <f>IFERROR(INDEX($O$4:$O$3183,MATCH(SMALL($V$4:$V$3183,1284),$V$4:$V$3183,0)),"")</f>
        <v/>
      </c>
      <c r="C1287">
        <f>IFERROR(INDEX($P$4:$P$3183,MATCH(SMALL($V$4:$V$3183,1284),$V$4:$V$3183,0)),"")</f>
        <v/>
      </c>
      <c r="D1287" s="29">
        <f>IFERROR(INDEX($Q$4:$Q$3183,MATCH(SMALL($V$4:$V$3183,1284),$V$4:$V$3183,0)),"")</f>
        <v/>
      </c>
      <c r="E1287" s="29">
        <f>IFERROR(INDEX($R$4:$R$3183,MATCH(SMALL($V$4:$V$3183,1284),$V$4:$V$3183,0)),"")</f>
        <v/>
      </c>
      <c r="F1287">
        <f>IFERROR(INDEX($S$4:$S$3183,MATCH(SMALL($V$4:$V$3183,1284),$V$4:$V$3183,0)),"")</f>
        <v/>
      </c>
      <c r="I1287" s="29">
        <f>IF($B1287="","",IFERROR(INDEX($U$4:$U$3183,MATCH(SMALL($V$4:$V$3183,1284),$V$4:$V$3183,0)),""))</f>
        <v/>
      </c>
      <c r="J1287">
        <f>IF($B1287="","",IF($D1287&gt;$F$2,"À venir",IF($E1287&lt;$D$2,"Passé","Dans la période")))</f>
        <v/>
      </c>
      <c r="K1287">
        <f>IF(OR($B1287="",NOT(ISNUMBER($D1287))),"",IF(AND($E1287&lt;$D$2,$G1287&lt;&gt;"X",$F1287&lt;&gt;"Réalisé",$F1287&lt;&gt;"Clôturé"),"RETARD",""))</f>
        <v/>
      </c>
      <c r="L1287">
        <f>IF(OR($B1287="",NOT(ISNUMBER($D1287))),"",IF(AND($D1287&gt;=$D$2,$D1287&lt;=$H$2,$G1287&lt;&gt;"X",$F1287&lt;&gt;"Réalisé",$F1287&lt;&gt;"Clôturé"),"≤ 7 j",""))</f>
        <v/>
      </c>
      <c r="M1287" s="29">
        <f>IF($B1287="","",IFERROR(INDEX($T$4:$T$3183,MATCH(SMALL($V$4:$V$3183,1284),$V$4:$V$3183,0)),""))</f>
        <v/>
      </c>
      <c r="O1287">
        <f>IF(INDEX(Suivi!$B:$B,1312)="","",INDEX(Suivi!$B:$B,1312))</f>
        <v/>
      </c>
      <c r="P1287">
        <f>IF($O1287="","",IF(INDEX(Suivi!$D:$D,1312)="",INDEX(Suivi!$C:$C,1312),INDEX(Suivi!$D:$D,1312)))</f>
        <v/>
      </c>
      <c r="Q1287">
        <f>IF($O1287="","",INDEX(Suivi!$E:$E,1312))</f>
        <v/>
      </c>
      <c r="R1287">
        <f>IF($O1287="","",INDEX(Suivi!$F:$F,1312))</f>
        <v/>
      </c>
      <c r="S1287">
        <f>IF($O1287="","",INDEX(Suivi!$G:$G,1312))</f>
        <v/>
      </c>
      <c r="T1287">
        <f>IF($O1287="","",IF(INDEX(Dossiers!$F$4:$F$63,25)="","",INDEX(Dossiers!$F$4:$F$63,25)))</f>
        <v/>
      </c>
      <c r="U1287">
        <f>IF($O1287="","",IF(INDEX(Dossiers!$G$4:$G$63,25)="","",INDEX(Dossiers!$G$4:$G$63,25)))</f>
        <v/>
      </c>
      <c r="V1287">
        <f>IF(OR($O1287="",NOT(ISNUMBER($Q1287))),"",$Q1287*1000000+1287)</f>
        <v/>
      </c>
      <c r="W1287" s="29">
        <f>IF($B1287="","",IFERROR(INDEX($U$4:$U$3183,MATCH(SMALL($V$4:$V$3183,1284),$V$4:$V$3183,0)),""))</f>
        <v/>
      </c>
    </row>
    <row r="1288">
      <c r="A1288">
        <f>IFERROR(INDEX($N$4:$N$3183,MATCH(SMALL($V$4:$V$3183,1285),$V$4:$V$3183,0)),"")</f>
        <v/>
      </c>
      <c r="B1288">
        <f>IFERROR(INDEX($O$4:$O$3183,MATCH(SMALL($V$4:$V$3183,1285),$V$4:$V$3183,0)),"")</f>
        <v/>
      </c>
      <c r="C1288">
        <f>IFERROR(INDEX($P$4:$P$3183,MATCH(SMALL($V$4:$V$3183,1285),$V$4:$V$3183,0)),"")</f>
        <v/>
      </c>
      <c r="D1288" s="29">
        <f>IFERROR(INDEX($Q$4:$Q$3183,MATCH(SMALL($V$4:$V$3183,1285),$V$4:$V$3183,0)),"")</f>
        <v/>
      </c>
      <c r="E1288" s="29">
        <f>IFERROR(INDEX($R$4:$R$3183,MATCH(SMALL($V$4:$V$3183,1285),$V$4:$V$3183,0)),"")</f>
        <v/>
      </c>
      <c r="F1288">
        <f>IFERROR(INDEX($S$4:$S$3183,MATCH(SMALL($V$4:$V$3183,1285),$V$4:$V$3183,0)),"")</f>
        <v/>
      </c>
      <c r="I1288" s="29">
        <f>IF($B1288="","",IFERROR(INDEX($U$4:$U$3183,MATCH(SMALL($V$4:$V$3183,1285),$V$4:$V$3183,0)),""))</f>
        <v/>
      </c>
      <c r="J1288">
        <f>IF($B1288="","",IF($D1288&gt;$F$2,"À venir",IF($E1288&lt;$D$2,"Passé","Dans la période")))</f>
        <v/>
      </c>
      <c r="K1288">
        <f>IF(OR($B1288="",NOT(ISNUMBER($D1288))),"",IF(AND($E1288&lt;$D$2,$G1288&lt;&gt;"X",$F1288&lt;&gt;"Réalisé",$F1288&lt;&gt;"Clôturé"),"RETARD",""))</f>
        <v/>
      </c>
      <c r="L1288">
        <f>IF(OR($B1288="",NOT(ISNUMBER($D1288))),"",IF(AND($D1288&gt;=$D$2,$D1288&lt;=$H$2,$G1288&lt;&gt;"X",$F1288&lt;&gt;"Réalisé",$F1288&lt;&gt;"Clôturé"),"≤ 7 j",""))</f>
        <v/>
      </c>
      <c r="M1288" s="29">
        <f>IF($B1288="","",IFERROR(INDEX($T$4:$T$3183,MATCH(SMALL($V$4:$V$3183,1285),$V$4:$V$3183,0)),""))</f>
        <v/>
      </c>
      <c r="O1288">
        <f>IF(INDEX(Suivi!$B:$B,1313)="","",INDEX(Suivi!$B:$B,1313))</f>
        <v/>
      </c>
      <c r="P1288">
        <f>IF($O1288="","",IF(INDEX(Suivi!$D:$D,1313)="",INDEX(Suivi!$C:$C,1313),INDEX(Suivi!$D:$D,1313)))</f>
        <v/>
      </c>
      <c r="Q1288">
        <f>IF($O1288="","",INDEX(Suivi!$E:$E,1313))</f>
        <v/>
      </c>
      <c r="R1288">
        <f>IF($O1288="","",INDEX(Suivi!$F:$F,1313))</f>
        <v/>
      </c>
      <c r="S1288">
        <f>IF($O1288="","",INDEX(Suivi!$G:$G,1313))</f>
        <v/>
      </c>
      <c r="T1288">
        <f>IF($O1288="","",IF(INDEX(Dossiers!$F$4:$F$63,25)="","",INDEX(Dossiers!$F$4:$F$63,25)))</f>
        <v/>
      </c>
      <c r="U1288">
        <f>IF($O1288="","",IF(INDEX(Dossiers!$G$4:$G$63,25)="","",INDEX(Dossiers!$G$4:$G$63,25)))</f>
        <v/>
      </c>
      <c r="V1288">
        <f>IF(OR($O1288="",NOT(ISNUMBER($Q1288))),"",$Q1288*1000000+1288)</f>
        <v/>
      </c>
      <c r="W1288" s="29">
        <f>IF($B1288="","",IFERROR(INDEX($U$4:$U$3183,MATCH(SMALL($V$4:$V$3183,1285),$V$4:$V$3183,0)),""))</f>
        <v/>
      </c>
    </row>
    <row r="1289">
      <c r="A1289">
        <f>IFERROR(INDEX($N$4:$N$3183,MATCH(SMALL($V$4:$V$3183,1286),$V$4:$V$3183,0)),"")</f>
        <v/>
      </c>
      <c r="B1289">
        <f>IFERROR(INDEX($O$4:$O$3183,MATCH(SMALL($V$4:$V$3183,1286),$V$4:$V$3183,0)),"")</f>
        <v/>
      </c>
      <c r="C1289">
        <f>IFERROR(INDEX($P$4:$P$3183,MATCH(SMALL($V$4:$V$3183,1286),$V$4:$V$3183,0)),"")</f>
        <v/>
      </c>
      <c r="D1289" s="29">
        <f>IFERROR(INDEX($Q$4:$Q$3183,MATCH(SMALL($V$4:$V$3183,1286),$V$4:$V$3183,0)),"")</f>
        <v/>
      </c>
      <c r="E1289" s="29">
        <f>IFERROR(INDEX($R$4:$R$3183,MATCH(SMALL($V$4:$V$3183,1286),$V$4:$V$3183,0)),"")</f>
        <v/>
      </c>
      <c r="F1289">
        <f>IFERROR(INDEX($S$4:$S$3183,MATCH(SMALL($V$4:$V$3183,1286),$V$4:$V$3183,0)),"")</f>
        <v/>
      </c>
      <c r="I1289" s="29">
        <f>IF($B1289="","",IFERROR(INDEX($U$4:$U$3183,MATCH(SMALL($V$4:$V$3183,1286),$V$4:$V$3183,0)),""))</f>
        <v/>
      </c>
      <c r="J1289">
        <f>IF($B1289="","",IF($D1289&gt;$F$2,"À venir",IF($E1289&lt;$D$2,"Passé","Dans la période")))</f>
        <v/>
      </c>
      <c r="K1289">
        <f>IF(OR($B1289="",NOT(ISNUMBER($D1289))),"",IF(AND($E1289&lt;$D$2,$G1289&lt;&gt;"X",$F1289&lt;&gt;"Réalisé",$F1289&lt;&gt;"Clôturé"),"RETARD",""))</f>
        <v/>
      </c>
      <c r="L1289">
        <f>IF(OR($B1289="",NOT(ISNUMBER($D1289))),"",IF(AND($D1289&gt;=$D$2,$D1289&lt;=$H$2,$G1289&lt;&gt;"X",$F1289&lt;&gt;"Réalisé",$F1289&lt;&gt;"Clôturé"),"≤ 7 j",""))</f>
        <v/>
      </c>
      <c r="M1289" s="29">
        <f>IF($B1289="","",IFERROR(INDEX($T$4:$T$3183,MATCH(SMALL($V$4:$V$3183,1286),$V$4:$V$3183,0)),""))</f>
        <v/>
      </c>
      <c r="O1289">
        <f>IF(INDEX(Suivi!$B:$B,1314)="","",INDEX(Suivi!$B:$B,1314))</f>
        <v/>
      </c>
      <c r="P1289">
        <f>IF($O1289="","",IF(INDEX(Suivi!$D:$D,1314)="",INDEX(Suivi!$C:$C,1314),INDEX(Suivi!$D:$D,1314)))</f>
        <v/>
      </c>
      <c r="Q1289">
        <f>IF($O1289="","",INDEX(Suivi!$E:$E,1314))</f>
        <v/>
      </c>
      <c r="R1289">
        <f>IF($O1289="","",INDEX(Suivi!$F:$F,1314))</f>
        <v/>
      </c>
      <c r="S1289">
        <f>IF($O1289="","",INDEX(Suivi!$G:$G,1314))</f>
        <v/>
      </c>
      <c r="T1289">
        <f>IF($O1289="","",IF(INDEX(Dossiers!$F$4:$F$63,25)="","",INDEX(Dossiers!$F$4:$F$63,25)))</f>
        <v/>
      </c>
      <c r="U1289">
        <f>IF($O1289="","",IF(INDEX(Dossiers!$G$4:$G$63,25)="","",INDEX(Dossiers!$G$4:$G$63,25)))</f>
        <v/>
      </c>
      <c r="V1289">
        <f>IF(OR($O1289="",NOT(ISNUMBER($Q1289))),"",$Q1289*1000000+1289)</f>
        <v/>
      </c>
      <c r="W1289" s="29">
        <f>IF($B1289="","",IFERROR(INDEX($U$4:$U$3183,MATCH(SMALL($V$4:$V$3183,1286),$V$4:$V$3183,0)),""))</f>
        <v/>
      </c>
    </row>
    <row r="1290">
      <c r="A1290">
        <f>IFERROR(INDEX($N$4:$N$3183,MATCH(SMALL($V$4:$V$3183,1287),$V$4:$V$3183,0)),"")</f>
        <v/>
      </c>
      <c r="B1290">
        <f>IFERROR(INDEX($O$4:$O$3183,MATCH(SMALL($V$4:$V$3183,1287),$V$4:$V$3183,0)),"")</f>
        <v/>
      </c>
      <c r="C1290">
        <f>IFERROR(INDEX($P$4:$P$3183,MATCH(SMALL($V$4:$V$3183,1287),$V$4:$V$3183,0)),"")</f>
        <v/>
      </c>
      <c r="D1290" s="29">
        <f>IFERROR(INDEX($Q$4:$Q$3183,MATCH(SMALL($V$4:$V$3183,1287),$V$4:$V$3183,0)),"")</f>
        <v/>
      </c>
      <c r="E1290" s="29">
        <f>IFERROR(INDEX($R$4:$R$3183,MATCH(SMALL($V$4:$V$3183,1287),$V$4:$V$3183,0)),"")</f>
        <v/>
      </c>
      <c r="F1290">
        <f>IFERROR(INDEX($S$4:$S$3183,MATCH(SMALL($V$4:$V$3183,1287),$V$4:$V$3183,0)),"")</f>
        <v/>
      </c>
      <c r="I1290" s="29">
        <f>IF($B1290="","",IFERROR(INDEX($U$4:$U$3183,MATCH(SMALL($V$4:$V$3183,1287),$V$4:$V$3183,0)),""))</f>
        <v/>
      </c>
      <c r="J1290">
        <f>IF($B1290="","",IF($D1290&gt;$F$2,"À venir",IF($E1290&lt;$D$2,"Passé","Dans la période")))</f>
        <v/>
      </c>
      <c r="K1290">
        <f>IF(OR($B1290="",NOT(ISNUMBER($D1290))),"",IF(AND($E1290&lt;$D$2,$G1290&lt;&gt;"X",$F1290&lt;&gt;"Réalisé",$F1290&lt;&gt;"Clôturé"),"RETARD",""))</f>
        <v/>
      </c>
      <c r="L1290">
        <f>IF(OR($B1290="",NOT(ISNUMBER($D1290))),"",IF(AND($D1290&gt;=$D$2,$D1290&lt;=$H$2,$G1290&lt;&gt;"X",$F1290&lt;&gt;"Réalisé",$F1290&lt;&gt;"Clôturé"),"≤ 7 j",""))</f>
        <v/>
      </c>
      <c r="M1290" s="29">
        <f>IF($B1290="","",IFERROR(INDEX($T$4:$T$3183,MATCH(SMALL($V$4:$V$3183,1287),$V$4:$V$3183,0)),""))</f>
        <v/>
      </c>
      <c r="O1290">
        <f>IF(INDEX(Suivi!$B:$B,1315)="","",INDEX(Suivi!$B:$B,1315))</f>
        <v/>
      </c>
      <c r="P1290">
        <f>IF($O1290="","",IF(INDEX(Suivi!$D:$D,1315)="",INDEX(Suivi!$C:$C,1315),INDEX(Suivi!$D:$D,1315)))</f>
        <v/>
      </c>
      <c r="Q1290">
        <f>IF($O1290="","",INDEX(Suivi!$E:$E,1315))</f>
        <v/>
      </c>
      <c r="R1290">
        <f>IF($O1290="","",INDEX(Suivi!$F:$F,1315))</f>
        <v/>
      </c>
      <c r="S1290">
        <f>IF($O1290="","",INDEX(Suivi!$G:$G,1315))</f>
        <v/>
      </c>
      <c r="T1290">
        <f>IF($O1290="","",IF(INDEX(Dossiers!$F$4:$F$63,25)="","",INDEX(Dossiers!$F$4:$F$63,25)))</f>
        <v/>
      </c>
      <c r="U1290">
        <f>IF($O1290="","",IF(INDEX(Dossiers!$G$4:$G$63,25)="","",INDEX(Dossiers!$G$4:$G$63,25)))</f>
        <v/>
      </c>
      <c r="V1290">
        <f>IF(OR($O1290="",NOT(ISNUMBER($Q1290))),"",$Q1290*1000000+1290)</f>
        <v/>
      </c>
      <c r="W1290" s="29">
        <f>IF($B1290="","",IFERROR(INDEX($U$4:$U$3183,MATCH(SMALL($V$4:$V$3183,1287),$V$4:$V$3183,0)),""))</f>
        <v/>
      </c>
    </row>
    <row r="1291">
      <c r="A1291">
        <f>IFERROR(INDEX($N$4:$N$3183,MATCH(SMALL($V$4:$V$3183,1288),$V$4:$V$3183,0)),"")</f>
        <v/>
      </c>
      <c r="B1291">
        <f>IFERROR(INDEX($O$4:$O$3183,MATCH(SMALL($V$4:$V$3183,1288),$V$4:$V$3183,0)),"")</f>
        <v/>
      </c>
      <c r="C1291">
        <f>IFERROR(INDEX($P$4:$P$3183,MATCH(SMALL($V$4:$V$3183,1288),$V$4:$V$3183,0)),"")</f>
        <v/>
      </c>
      <c r="D1291" s="29">
        <f>IFERROR(INDEX($Q$4:$Q$3183,MATCH(SMALL($V$4:$V$3183,1288),$V$4:$V$3183,0)),"")</f>
        <v/>
      </c>
      <c r="E1291" s="29">
        <f>IFERROR(INDEX($R$4:$R$3183,MATCH(SMALL($V$4:$V$3183,1288),$V$4:$V$3183,0)),"")</f>
        <v/>
      </c>
      <c r="F1291">
        <f>IFERROR(INDEX($S$4:$S$3183,MATCH(SMALL($V$4:$V$3183,1288),$V$4:$V$3183,0)),"")</f>
        <v/>
      </c>
      <c r="I1291" s="29">
        <f>IF($B1291="","",IFERROR(INDEX($U$4:$U$3183,MATCH(SMALL($V$4:$V$3183,1288),$V$4:$V$3183,0)),""))</f>
        <v/>
      </c>
      <c r="J1291">
        <f>IF($B1291="","",IF($D1291&gt;$F$2,"À venir",IF($E1291&lt;$D$2,"Passé","Dans la période")))</f>
        <v/>
      </c>
      <c r="K1291">
        <f>IF(OR($B1291="",NOT(ISNUMBER($D1291))),"",IF(AND($E1291&lt;$D$2,$G1291&lt;&gt;"X",$F1291&lt;&gt;"Réalisé",$F1291&lt;&gt;"Clôturé"),"RETARD",""))</f>
        <v/>
      </c>
      <c r="L1291">
        <f>IF(OR($B1291="",NOT(ISNUMBER($D1291))),"",IF(AND($D1291&gt;=$D$2,$D1291&lt;=$H$2,$G1291&lt;&gt;"X",$F1291&lt;&gt;"Réalisé",$F1291&lt;&gt;"Clôturé"),"≤ 7 j",""))</f>
        <v/>
      </c>
      <c r="M1291" s="29">
        <f>IF($B1291="","",IFERROR(INDEX($T$4:$T$3183,MATCH(SMALL($V$4:$V$3183,1288),$V$4:$V$3183,0)),""))</f>
        <v/>
      </c>
      <c r="O1291">
        <f>IF(INDEX(Suivi!$B:$B,1316)="","",INDEX(Suivi!$B:$B,1316))</f>
        <v/>
      </c>
      <c r="P1291">
        <f>IF($O1291="","",IF(INDEX(Suivi!$D:$D,1316)="",INDEX(Suivi!$C:$C,1316),INDEX(Suivi!$D:$D,1316)))</f>
        <v/>
      </c>
      <c r="Q1291">
        <f>IF($O1291="","",INDEX(Suivi!$E:$E,1316))</f>
        <v/>
      </c>
      <c r="R1291">
        <f>IF($O1291="","",INDEX(Suivi!$F:$F,1316))</f>
        <v/>
      </c>
      <c r="S1291">
        <f>IF($O1291="","",INDEX(Suivi!$G:$G,1316))</f>
        <v/>
      </c>
      <c r="T1291">
        <f>IF($O1291="","",IF(INDEX(Dossiers!$F$4:$F$63,25)="","",INDEX(Dossiers!$F$4:$F$63,25)))</f>
        <v/>
      </c>
      <c r="U1291">
        <f>IF($O1291="","",IF(INDEX(Dossiers!$G$4:$G$63,25)="","",INDEX(Dossiers!$G$4:$G$63,25)))</f>
        <v/>
      </c>
      <c r="V1291">
        <f>IF(OR($O1291="",NOT(ISNUMBER($Q1291))),"",$Q1291*1000000+1291)</f>
        <v/>
      </c>
      <c r="W1291" s="29">
        <f>IF($B1291="","",IFERROR(INDEX($U$4:$U$3183,MATCH(SMALL($V$4:$V$3183,1288),$V$4:$V$3183,0)),""))</f>
        <v/>
      </c>
    </row>
    <row r="1292">
      <c r="A1292">
        <f>IFERROR(INDEX($N$4:$N$3183,MATCH(SMALL($V$4:$V$3183,1289),$V$4:$V$3183,0)),"")</f>
        <v/>
      </c>
      <c r="B1292">
        <f>IFERROR(INDEX($O$4:$O$3183,MATCH(SMALL($V$4:$V$3183,1289),$V$4:$V$3183,0)),"")</f>
        <v/>
      </c>
      <c r="C1292">
        <f>IFERROR(INDEX($P$4:$P$3183,MATCH(SMALL($V$4:$V$3183,1289),$V$4:$V$3183,0)),"")</f>
        <v/>
      </c>
      <c r="D1292" s="29">
        <f>IFERROR(INDEX($Q$4:$Q$3183,MATCH(SMALL($V$4:$V$3183,1289),$V$4:$V$3183,0)),"")</f>
        <v/>
      </c>
      <c r="E1292" s="29">
        <f>IFERROR(INDEX($R$4:$R$3183,MATCH(SMALL($V$4:$V$3183,1289),$V$4:$V$3183,0)),"")</f>
        <v/>
      </c>
      <c r="F1292">
        <f>IFERROR(INDEX($S$4:$S$3183,MATCH(SMALL($V$4:$V$3183,1289),$V$4:$V$3183,0)),"")</f>
        <v/>
      </c>
      <c r="I1292" s="29">
        <f>IF($B1292="","",IFERROR(INDEX($U$4:$U$3183,MATCH(SMALL($V$4:$V$3183,1289),$V$4:$V$3183,0)),""))</f>
        <v/>
      </c>
      <c r="J1292">
        <f>IF($B1292="","",IF($D1292&gt;$F$2,"À venir",IF($E1292&lt;$D$2,"Passé","Dans la période")))</f>
        <v/>
      </c>
      <c r="K1292">
        <f>IF(OR($B1292="",NOT(ISNUMBER($D1292))),"",IF(AND($E1292&lt;$D$2,$G1292&lt;&gt;"X",$F1292&lt;&gt;"Réalisé",$F1292&lt;&gt;"Clôturé"),"RETARD",""))</f>
        <v/>
      </c>
      <c r="L1292">
        <f>IF(OR($B1292="",NOT(ISNUMBER($D1292))),"",IF(AND($D1292&gt;=$D$2,$D1292&lt;=$H$2,$G1292&lt;&gt;"X",$F1292&lt;&gt;"Réalisé",$F1292&lt;&gt;"Clôturé"),"≤ 7 j",""))</f>
        <v/>
      </c>
      <c r="M1292" s="29">
        <f>IF($B1292="","",IFERROR(INDEX($T$4:$T$3183,MATCH(SMALL($V$4:$V$3183,1289),$V$4:$V$3183,0)),""))</f>
        <v/>
      </c>
      <c r="O1292">
        <f>IF(INDEX(Suivi!$B:$B,1317)="","",INDEX(Suivi!$B:$B,1317))</f>
        <v/>
      </c>
      <c r="P1292">
        <f>IF($O1292="","",IF(INDEX(Suivi!$D:$D,1317)="",INDEX(Suivi!$C:$C,1317),INDEX(Suivi!$D:$D,1317)))</f>
        <v/>
      </c>
      <c r="Q1292">
        <f>IF($O1292="","",INDEX(Suivi!$E:$E,1317))</f>
        <v/>
      </c>
      <c r="R1292">
        <f>IF($O1292="","",INDEX(Suivi!$F:$F,1317))</f>
        <v/>
      </c>
      <c r="S1292">
        <f>IF($O1292="","",INDEX(Suivi!$G:$G,1317))</f>
        <v/>
      </c>
      <c r="T1292">
        <f>IF($O1292="","",IF(INDEX(Dossiers!$F$4:$F$63,25)="","",INDEX(Dossiers!$F$4:$F$63,25)))</f>
        <v/>
      </c>
      <c r="U1292">
        <f>IF($O1292="","",IF(INDEX(Dossiers!$G$4:$G$63,25)="","",INDEX(Dossiers!$G$4:$G$63,25)))</f>
        <v/>
      </c>
      <c r="V1292">
        <f>IF(OR($O1292="",NOT(ISNUMBER($Q1292))),"",$Q1292*1000000+1292)</f>
        <v/>
      </c>
      <c r="W1292" s="29">
        <f>IF($B1292="","",IFERROR(INDEX($U$4:$U$3183,MATCH(SMALL($V$4:$V$3183,1289),$V$4:$V$3183,0)),""))</f>
        <v/>
      </c>
    </row>
    <row r="1293">
      <c r="A1293">
        <f>IFERROR(INDEX($N$4:$N$3183,MATCH(SMALL($V$4:$V$3183,1290),$V$4:$V$3183,0)),"")</f>
        <v/>
      </c>
      <c r="B1293">
        <f>IFERROR(INDEX($O$4:$O$3183,MATCH(SMALL($V$4:$V$3183,1290),$V$4:$V$3183,0)),"")</f>
        <v/>
      </c>
      <c r="C1293">
        <f>IFERROR(INDEX($P$4:$P$3183,MATCH(SMALL($V$4:$V$3183,1290),$V$4:$V$3183,0)),"")</f>
        <v/>
      </c>
      <c r="D1293" s="29">
        <f>IFERROR(INDEX($Q$4:$Q$3183,MATCH(SMALL($V$4:$V$3183,1290),$V$4:$V$3183,0)),"")</f>
        <v/>
      </c>
      <c r="E1293" s="29">
        <f>IFERROR(INDEX($R$4:$R$3183,MATCH(SMALL($V$4:$V$3183,1290),$V$4:$V$3183,0)),"")</f>
        <v/>
      </c>
      <c r="F1293">
        <f>IFERROR(INDEX($S$4:$S$3183,MATCH(SMALL($V$4:$V$3183,1290),$V$4:$V$3183,0)),"")</f>
        <v/>
      </c>
      <c r="I1293" s="29">
        <f>IF($B1293="","",IFERROR(INDEX($U$4:$U$3183,MATCH(SMALL($V$4:$V$3183,1290),$V$4:$V$3183,0)),""))</f>
        <v/>
      </c>
      <c r="J1293">
        <f>IF($B1293="","",IF($D1293&gt;$F$2,"À venir",IF($E1293&lt;$D$2,"Passé","Dans la période")))</f>
        <v/>
      </c>
      <c r="K1293">
        <f>IF(OR($B1293="",NOT(ISNUMBER($D1293))),"",IF(AND($E1293&lt;$D$2,$G1293&lt;&gt;"X",$F1293&lt;&gt;"Réalisé",$F1293&lt;&gt;"Clôturé"),"RETARD",""))</f>
        <v/>
      </c>
      <c r="L1293">
        <f>IF(OR($B1293="",NOT(ISNUMBER($D1293))),"",IF(AND($D1293&gt;=$D$2,$D1293&lt;=$H$2,$G1293&lt;&gt;"X",$F1293&lt;&gt;"Réalisé",$F1293&lt;&gt;"Clôturé"),"≤ 7 j",""))</f>
        <v/>
      </c>
      <c r="M1293" s="29">
        <f>IF($B1293="","",IFERROR(INDEX($T$4:$T$3183,MATCH(SMALL($V$4:$V$3183,1290),$V$4:$V$3183,0)),""))</f>
        <v/>
      </c>
      <c r="O1293">
        <f>IF(INDEX(Suivi!$B:$B,1318)="","",INDEX(Suivi!$B:$B,1318))</f>
        <v/>
      </c>
      <c r="P1293">
        <f>IF($O1293="","",IF(INDEX(Suivi!$D:$D,1318)="",INDEX(Suivi!$C:$C,1318),INDEX(Suivi!$D:$D,1318)))</f>
        <v/>
      </c>
      <c r="Q1293">
        <f>IF($O1293="","",INDEX(Suivi!$E:$E,1318))</f>
        <v/>
      </c>
      <c r="R1293">
        <f>IF($O1293="","",INDEX(Suivi!$F:$F,1318))</f>
        <v/>
      </c>
      <c r="S1293">
        <f>IF($O1293="","",INDEX(Suivi!$G:$G,1318))</f>
        <v/>
      </c>
      <c r="T1293">
        <f>IF($O1293="","",IF(INDEX(Dossiers!$F$4:$F$63,25)="","",INDEX(Dossiers!$F$4:$F$63,25)))</f>
        <v/>
      </c>
      <c r="U1293">
        <f>IF($O1293="","",IF(INDEX(Dossiers!$G$4:$G$63,25)="","",INDEX(Dossiers!$G$4:$G$63,25)))</f>
        <v/>
      </c>
      <c r="V1293">
        <f>IF(OR($O1293="",NOT(ISNUMBER($Q1293))),"",$Q1293*1000000+1293)</f>
        <v/>
      </c>
      <c r="W1293" s="29">
        <f>IF($B1293="","",IFERROR(INDEX($U$4:$U$3183,MATCH(SMALL($V$4:$V$3183,1290),$V$4:$V$3183,0)),""))</f>
        <v/>
      </c>
    </row>
    <row r="1294">
      <c r="A1294">
        <f>IFERROR(INDEX($N$4:$N$3183,MATCH(SMALL($V$4:$V$3183,1291),$V$4:$V$3183,0)),"")</f>
        <v/>
      </c>
      <c r="B1294">
        <f>IFERROR(INDEX($O$4:$O$3183,MATCH(SMALL($V$4:$V$3183,1291),$V$4:$V$3183,0)),"")</f>
        <v/>
      </c>
      <c r="C1294">
        <f>IFERROR(INDEX($P$4:$P$3183,MATCH(SMALL($V$4:$V$3183,1291),$V$4:$V$3183,0)),"")</f>
        <v/>
      </c>
      <c r="D1294" s="29">
        <f>IFERROR(INDEX($Q$4:$Q$3183,MATCH(SMALL($V$4:$V$3183,1291),$V$4:$V$3183,0)),"")</f>
        <v/>
      </c>
      <c r="E1294" s="29">
        <f>IFERROR(INDEX($R$4:$R$3183,MATCH(SMALL($V$4:$V$3183,1291),$V$4:$V$3183,0)),"")</f>
        <v/>
      </c>
      <c r="F1294">
        <f>IFERROR(INDEX($S$4:$S$3183,MATCH(SMALL($V$4:$V$3183,1291),$V$4:$V$3183,0)),"")</f>
        <v/>
      </c>
      <c r="I1294" s="29">
        <f>IF($B1294="","",IFERROR(INDEX($U$4:$U$3183,MATCH(SMALL($V$4:$V$3183,1291),$V$4:$V$3183,0)),""))</f>
        <v/>
      </c>
      <c r="J1294">
        <f>IF($B1294="","",IF($D1294&gt;$F$2,"À venir",IF($E1294&lt;$D$2,"Passé","Dans la période")))</f>
        <v/>
      </c>
      <c r="K1294">
        <f>IF(OR($B1294="",NOT(ISNUMBER($D1294))),"",IF(AND($E1294&lt;$D$2,$G1294&lt;&gt;"X",$F1294&lt;&gt;"Réalisé",$F1294&lt;&gt;"Clôturé"),"RETARD",""))</f>
        <v/>
      </c>
      <c r="L1294">
        <f>IF(OR($B1294="",NOT(ISNUMBER($D1294))),"",IF(AND($D1294&gt;=$D$2,$D1294&lt;=$H$2,$G1294&lt;&gt;"X",$F1294&lt;&gt;"Réalisé",$F1294&lt;&gt;"Clôturé"),"≤ 7 j",""))</f>
        <v/>
      </c>
      <c r="M1294" s="29">
        <f>IF($B1294="","",IFERROR(INDEX($T$4:$T$3183,MATCH(SMALL($V$4:$V$3183,1291),$V$4:$V$3183,0)),""))</f>
        <v/>
      </c>
      <c r="O1294">
        <f>IF(INDEX(Suivi!$B:$B,1319)="","",INDEX(Suivi!$B:$B,1319))</f>
        <v/>
      </c>
      <c r="P1294">
        <f>IF($O1294="","",IF(INDEX(Suivi!$D:$D,1319)="",INDEX(Suivi!$C:$C,1319),INDEX(Suivi!$D:$D,1319)))</f>
        <v/>
      </c>
      <c r="Q1294">
        <f>IF($O1294="","",INDEX(Suivi!$E:$E,1319))</f>
        <v/>
      </c>
      <c r="R1294">
        <f>IF($O1294="","",INDEX(Suivi!$F:$F,1319))</f>
        <v/>
      </c>
      <c r="S1294">
        <f>IF($O1294="","",INDEX(Suivi!$G:$G,1319))</f>
        <v/>
      </c>
      <c r="T1294">
        <f>IF($O1294="","",IF(INDEX(Dossiers!$F$4:$F$63,25)="","",INDEX(Dossiers!$F$4:$F$63,25)))</f>
        <v/>
      </c>
      <c r="U1294">
        <f>IF($O1294="","",IF(INDEX(Dossiers!$G$4:$G$63,25)="","",INDEX(Dossiers!$G$4:$G$63,25)))</f>
        <v/>
      </c>
      <c r="V1294">
        <f>IF(OR($O1294="",NOT(ISNUMBER($Q1294))),"",$Q1294*1000000+1294)</f>
        <v/>
      </c>
      <c r="W1294" s="29">
        <f>IF($B1294="","",IFERROR(INDEX($U$4:$U$3183,MATCH(SMALL($V$4:$V$3183,1291),$V$4:$V$3183,0)),""))</f>
        <v/>
      </c>
    </row>
    <row r="1295">
      <c r="A1295">
        <f>IFERROR(INDEX($N$4:$N$3183,MATCH(SMALL($V$4:$V$3183,1292),$V$4:$V$3183,0)),"")</f>
        <v/>
      </c>
      <c r="B1295">
        <f>IFERROR(INDEX($O$4:$O$3183,MATCH(SMALL($V$4:$V$3183,1292),$V$4:$V$3183,0)),"")</f>
        <v/>
      </c>
      <c r="C1295">
        <f>IFERROR(INDEX($P$4:$P$3183,MATCH(SMALL($V$4:$V$3183,1292),$V$4:$V$3183,0)),"")</f>
        <v/>
      </c>
      <c r="D1295" s="29">
        <f>IFERROR(INDEX($Q$4:$Q$3183,MATCH(SMALL($V$4:$V$3183,1292),$V$4:$V$3183,0)),"")</f>
        <v/>
      </c>
      <c r="E1295" s="29">
        <f>IFERROR(INDEX($R$4:$R$3183,MATCH(SMALL($V$4:$V$3183,1292),$V$4:$V$3183,0)),"")</f>
        <v/>
      </c>
      <c r="F1295">
        <f>IFERROR(INDEX($S$4:$S$3183,MATCH(SMALL($V$4:$V$3183,1292),$V$4:$V$3183,0)),"")</f>
        <v/>
      </c>
      <c r="I1295" s="29">
        <f>IF($B1295="","",IFERROR(INDEX($U$4:$U$3183,MATCH(SMALL($V$4:$V$3183,1292),$V$4:$V$3183,0)),""))</f>
        <v/>
      </c>
      <c r="J1295">
        <f>IF($B1295="","",IF($D1295&gt;$F$2,"À venir",IF($E1295&lt;$D$2,"Passé","Dans la période")))</f>
        <v/>
      </c>
      <c r="K1295">
        <f>IF(OR($B1295="",NOT(ISNUMBER($D1295))),"",IF(AND($E1295&lt;$D$2,$G1295&lt;&gt;"X",$F1295&lt;&gt;"Réalisé",$F1295&lt;&gt;"Clôturé"),"RETARD",""))</f>
        <v/>
      </c>
      <c r="L1295">
        <f>IF(OR($B1295="",NOT(ISNUMBER($D1295))),"",IF(AND($D1295&gt;=$D$2,$D1295&lt;=$H$2,$G1295&lt;&gt;"X",$F1295&lt;&gt;"Réalisé",$F1295&lt;&gt;"Clôturé"),"≤ 7 j",""))</f>
        <v/>
      </c>
      <c r="M1295" s="29">
        <f>IF($B1295="","",IFERROR(INDEX($T$4:$T$3183,MATCH(SMALL($V$4:$V$3183,1292),$V$4:$V$3183,0)),""))</f>
        <v/>
      </c>
      <c r="O1295">
        <f>IF(INDEX(Suivi!$B:$B,1320)="","",INDEX(Suivi!$B:$B,1320))</f>
        <v/>
      </c>
      <c r="P1295">
        <f>IF($O1295="","",IF(INDEX(Suivi!$D:$D,1320)="",INDEX(Suivi!$C:$C,1320),INDEX(Suivi!$D:$D,1320)))</f>
        <v/>
      </c>
      <c r="Q1295">
        <f>IF($O1295="","",INDEX(Suivi!$E:$E,1320))</f>
        <v/>
      </c>
      <c r="R1295">
        <f>IF($O1295="","",INDEX(Suivi!$F:$F,1320))</f>
        <v/>
      </c>
      <c r="S1295">
        <f>IF($O1295="","",INDEX(Suivi!$G:$G,1320))</f>
        <v/>
      </c>
      <c r="T1295">
        <f>IF($O1295="","",IF(INDEX(Dossiers!$F$4:$F$63,25)="","",INDEX(Dossiers!$F$4:$F$63,25)))</f>
        <v/>
      </c>
      <c r="U1295">
        <f>IF($O1295="","",IF(INDEX(Dossiers!$G$4:$G$63,25)="","",INDEX(Dossiers!$G$4:$G$63,25)))</f>
        <v/>
      </c>
      <c r="V1295">
        <f>IF(OR($O1295="",NOT(ISNUMBER($Q1295))),"",$Q1295*1000000+1295)</f>
        <v/>
      </c>
      <c r="W1295" s="29">
        <f>IF($B1295="","",IFERROR(INDEX($U$4:$U$3183,MATCH(SMALL($V$4:$V$3183,1292),$V$4:$V$3183,0)),""))</f>
        <v/>
      </c>
    </row>
    <row r="1296">
      <c r="A1296">
        <f>IFERROR(INDEX($N$4:$N$3183,MATCH(SMALL($V$4:$V$3183,1293),$V$4:$V$3183,0)),"")</f>
        <v/>
      </c>
      <c r="B1296">
        <f>IFERROR(INDEX($O$4:$O$3183,MATCH(SMALL($V$4:$V$3183,1293),$V$4:$V$3183,0)),"")</f>
        <v/>
      </c>
      <c r="C1296">
        <f>IFERROR(INDEX($P$4:$P$3183,MATCH(SMALL($V$4:$V$3183,1293),$V$4:$V$3183,0)),"")</f>
        <v/>
      </c>
      <c r="D1296" s="29">
        <f>IFERROR(INDEX($Q$4:$Q$3183,MATCH(SMALL($V$4:$V$3183,1293),$V$4:$V$3183,0)),"")</f>
        <v/>
      </c>
      <c r="E1296" s="29">
        <f>IFERROR(INDEX($R$4:$R$3183,MATCH(SMALL($V$4:$V$3183,1293),$V$4:$V$3183,0)),"")</f>
        <v/>
      </c>
      <c r="F1296">
        <f>IFERROR(INDEX($S$4:$S$3183,MATCH(SMALL($V$4:$V$3183,1293),$V$4:$V$3183,0)),"")</f>
        <v/>
      </c>
      <c r="I1296" s="29">
        <f>IF($B1296="","",IFERROR(INDEX($U$4:$U$3183,MATCH(SMALL($V$4:$V$3183,1293),$V$4:$V$3183,0)),""))</f>
        <v/>
      </c>
      <c r="J1296">
        <f>IF($B1296="","",IF($D1296&gt;$F$2,"À venir",IF($E1296&lt;$D$2,"Passé","Dans la période")))</f>
        <v/>
      </c>
      <c r="K1296">
        <f>IF(OR($B1296="",NOT(ISNUMBER($D1296))),"",IF(AND($E1296&lt;$D$2,$G1296&lt;&gt;"X",$F1296&lt;&gt;"Réalisé",$F1296&lt;&gt;"Clôturé"),"RETARD",""))</f>
        <v/>
      </c>
      <c r="L1296">
        <f>IF(OR($B1296="",NOT(ISNUMBER($D1296))),"",IF(AND($D1296&gt;=$D$2,$D1296&lt;=$H$2,$G1296&lt;&gt;"X",$F1296&lt;&gt;"Réalisé",$F1296&lt;&gt;"Clôturé"),"≤ 7 j",""))</f>
        <v/>
      </c>
      <c r="M1296" s="29">
        <f>IF($B1296="","",IFERROR(INDEX($T$4:$T$3183,MATCH(SMALL($V$4:$V$3183,1293),$V$4:$V$3183,0)),""))</f>
        <v/>
      </c>
      <c r="O1296">
        <f>IF(INDEX(Suivi!$B:$B,1321)="","",INDEX(Suivi!$B:$B,1321))</f>
        <v/>
      </c>
      <c r="P1296">
        <f>IF($O1296="","",IF(INDEX(Suivi!$D:$D,1321)="",INDEX(Suivi!$C:$C,1321),INDEX(Suivi!$D:$D,1321)))</f>
        <v/>
      </c>
      <c r="Q1296">
        <f>IF($O1296="","",INDEX(Suivi!$E:$E,1321))</f>
        <v/>
      </c>
      <c r="R1296">
        <f>IF($O1296="","",INDEX(Suivi!$F:$F,1321))</f>
        <v/>
      </c>
      <c r="S1296">
        <f>IF($O1296="","",INDEX(Suivi!$G:$G,1321))</f>
        <v/>
      </c>
      <c r="T1296">
        <f>IF($O1296="","",IF(INDEX(Dossiers!$F$4:$F$63,25)="","",INDEX(Dossiers!$F$4:$F$63,25)))</f>
        <v/>
      </c>
      <c r="U1296">
        <f>IF($O1296="","",IF(INDEX(Dossiers!$G$4:$G$63,25)="","",INDEX(Dossiers!$G$4:$G$63,25)))</f>
        <v/>
      </c>
      <c r="V1296">
        <f>IF(OR($O1296="",NOT(ISNUMBER($Q1296))),"",$Q1296*1000000+1296)</f>
        <v/>
      </c>
      <c r="W1296" s="29">
        <f>IF($B1296="","",IFERROR(INDEX($U$4:$U$3183,MATCH(SMALL($V$4:$V$3183,1293),$V$4:$V$3183,0)),""))</f>
        <v/>
      </c>
    </row>
    <row r="1297">
      <c r="A1297">
        <f>IFERROR(INDEX($N$4:$N$3183,MATCH(SMALL($V$4:$V$3183,1294),$V$4:$V$3183,0)),"")</f>
        <v/>
      </c>
      <c r="B1297">
        <f>IFERROR(INDEX($O$4:$O$3183,MATCH(SMALL($V$4:$V$3183,1294),$V$4:$V$3183,0)),"")</f>
        <v/>
      </c>
      <c r="C1297">
        <f>IFERROR(INDEX($P$4:$P$3183,MATCH(SMALL($V$4:$V$3183,1294),$V$4:$V$3183,0)),"")</f>
        <v/>
      </c>
      <c r="D1297" s="29">
        <f>IFERROR(INDEX($Q$4:$Q$3183,MATCH(SMALL($V$4:$V$3183,1294),$V$4:$V$3183,0)),"")</f>
        <v/>
      </c>
      <c r="E1297" s="29">
        <f>IFERROR(INDEX($R$4:$R$3183,MATCH(SMALL($V$4:$V$3183,1294),$V$4:$V$3183,0)),"")</f>
        <v/>
      </c>
      <c r="F1297">
        <f>IFERROR(INDEX($S$4:$S$3183,MATCH(SMALL($V$4:$V$3183,1294),$V$4:$V$3183,0)),"")</f>
        <v/>
      </c>
      <c r="I1297" s="29">
        <f>IF($B1297="","",IFERROR(INDEX($U$4:$U$3183,MATCH(SMALL($V$4:$V$3183,1294),$V$4:$V$3183,0)),""))</f>
        <v/>
      </c>
      <c r="J1297">
        <f>IF($B1297="","",IF($D1297&gt;$F$2,"À venir",IF($E1297&lt;$D$2,"Passé","Dans la période")))</f>
        <v/>
      </c>
      <c r="K1297">
        <f>IF(OR($B1297="",NOT(ISNUMBER($D1297))),"",IF(AND($E1297&lt;$D$2,$G1297&lt;&gt;"X",$F1297&lt;&gt;"Réalisé",$F1297&lt;&gt;"Clôturé"),"RETARD",""))</f>
        <v/>
      </c>
      <c r="L1297">
        <f>IF(OR($B1297="",NOT(ISNUMBER($D1297))),"",IF(AND($D1297&gt;=$D$2,$D1297&lt;=$H$2,$G1297&lt;&gt;"X",$F1297&lt;&gt;"Réalisé",$F1297&lt;&gt;"Clôturé"),"≤ 7 j",""))</f>
        <v/>
      </c>
      <c r="M1297" s="29">
        <f>IF($B1297="","",IFERROR(INDEX($T$4:$T$3183,MATCH(SMALL($V$4:$V$3183,1294),$V$4:$V$3183,0)),""))</f>
        <v/>
      </c>
      <c r="O1297">
        <f>IF(INDEX(Suivi!$B:$B,1322)="","",INDEX(Suivi!$B:$B,1322))</f>
        <v/>
      </c>
      <c r="P1297">
        <f>IF($O1297="","",IF(INDEX(Suivi!$D:$D,1322)="",INDEX(Suivi!$C:$C,1322),INDEX(Suivi!$D:$D,1322)))</f>
        <v/>
      </c>
      <c r="Q1297">
        <f>IF($O1297="","",INDEX(Suivi!$E:$E,1322))</f>
        <v/>
      </c>
      <c r="R1297">
        <f>IF($O1297="","",INDEX(Suivi!$F:$F,1322))</f>
        <v/>
      </c>
      <c r="S1297">
        <f>IF($O1297="","",INDEX(Suivi!$G:$G,1322))</f>
        <v/>
      </c>
      <c r="T1297">
        <f>IF($O1297="","",IF(INDEX(Dossiers!$F$4:$F$63,25)="","",INDEX(Dossiers!$F$4:$F$63,25)))</f>
        <v/>
      </c>
      <c r="U1297">
        <f>IF($O1297="","",IF(INDEX(Dossiers!$G$4:$G$63,25)="","",INDEX(Dossiers!$G$4:$G$63,25)))</f>
        <v/>
      </c>
      <c r="V1297">
        <f>IF(OR($O1297="",NOT(ISNUMBER($Q1297))),"",$Q1297*1000000+1297)</f>
        <v/>
      </c>
      <c r="W1297" s="29">
        <f>IF($B1297="","",IFERROR(INDEX($U$4:$U$3183,MATCH(SMALL($V$4:$V$3183,1294),$V$4:$V$3183,0)),""))</f>
        <v/>
      </c>
    </row>
    <row r="1298">
      <c r="A1298">
        <f>IFERROR(INDEX($N$4:$N$3183,MATCH(SMALL($V$4:$V$3183,1295),$V$4:$V$3183,0)),"")</f>
        <v/>
      </c>
      <c r="B1298">
        <f>IFERROR(INDEX($O$4:$O$3183,MATCH(SMALL($V$4:$V$3183,1295),$V$4:$V$3183,0)),"")</f>
        <v/>
      </c>
      <c r="C1298">
        <f>IFERROR(INDEX($P$4:$P$3183,MATCH(SMALL($V$4:$V$3183,1295),$V$4:$V$3183,0)),"")</f>
        <v/>
      </c>
      <c r="D1298" s="29">
        <f>IFERROR(INDEX($Q$4:$Q$3183,MATCH(SMALL($V$4:$V$3183,1295),$V$4:$V$3183,0)),"")</f>
        <v/>
      </c>
      <c r="E1298" s="29">
        <f>IFERROR(INDEX($R$4:$R$3183,MATCH(SMALL($V$4:$V$3183,1295),$V$4:$V$3183,0)),"")</f>
        <v/>
      </c>
      <c r="F1298">
        <f>IFERROR(INDEX($S$4:$S$3183,MATCH(SMALL($V$4:$V$3183,1295),$V$4:$V$3183,0)),"")</f>
        <v/>
      </c>
      <c r="I1298" s="29">
        <f>IF($B1298="","",IFERROR(INDEX($U$4:$U$3183,MATCH(SMALL($V$4:$V$3183,1295),$V$4:$V$3183,0)),""))</f>
        <v/>
      </c>
      <c r="J1298">
        <f>IF($B1298="","",IF($D1298&gt;$F$2,"À venir",IF($E1298&lt;$D$2,"Passé","Dans la période")))</f>
        <v/>
      </c>
      <c r="K1298">
        <f>IF(OR($B1298="",NOT(ISNUMBER($D1298))),"",IF(AND($E1298&lt;$D$2,$G1298&lt;&gt;"X",$F1298&lt;&gt;"Réalisé",$F1298&lt;&gt;"Clôturé"),"RETARD",""))</f>
        <v/>
      </c>
      <c r="L1298">
        <f>IF(OR($B1298="",NOT(ISNUMBER($D1298))),"",IF(AND($D1298&gt;=$D$2,$D1298&lt;=$H$2,$G1298&lt;&gt;"X",$F1298&lt;&gt;"Réalisé",$F1298&lt;&gt;"Clôturé"),"≤ 7 j",""))</f>
        <v/>
      </c>
      <c r="M1298" s="29">
        <f>IF($B1298="","",IFERROR(INDEX($T$4:$T$3183,MATCH(SMALL($V$4:$V$3183,1295),$V$4:$V$3183,0)),""))</f>
        <v/>
      </c>
      <c r="O1298">
        <f>IF(INDEX(Suivi!$B:$B,1323)="","",INDEX(Suivi!$B:$B,1323))</f>
        <v/>
      </c>
      <c r="P1298">
        <f>IF($O1298="","",IF(INDEX(Suivi!$D:$D,1323)="",INDEX(Suivi!$C:$C,1323),INDEX(Suivi!$D:$D,1323)))</f>
        <v/>
      </c>
      <c r="Q1298">
        <f>IF($O1298="","",INDEX(Suivi!$E:$E,1323))</f>
        <v/>
      </c>
      <c r="R1298">
        <f>IF($O1298="","",INDEX(Suivi!$F:$F,1323))</f>
        <v/>
      </c>
      <c r="S1298">
        <f>IF($O1298="","",INDEX(Suivi!$G:$G,1323))</f>
        <v/>
      </c>
      <c r="T1298">
        <f>IF($O1298="","",IF(INDEX(Dossiers!$F$4:$F$63,25)="","",INDEX(Dossiers!$F$4:$F$63,25)))</f>
        <v/>
      </c>
      <c r="U1298">
        <f>IF($O1298="","",IF(INDEX(Dossiers!$G$4:$G$63,25)="","",INDEX(Dossiers!$G$4:$G$63,25)))</f>
        <v/>
      </c>
      <c r="V1298">
        <f>IF(OR($O1298="",NOT(ISNUMBER($Q1298))),"",$Q1298*1000000+1298)</f>
        <v/>
      </c>
      <c r="W1298" s="29">
        <f>IF($B1298="","",IFERROR(INDEX($U$4:$U$3183,MATCH(SMALL($V$4:$V$3183,1295),$V$4:$V$3183,0)),""))</f>
        <v/>
      </c>
    </row>
    <row r="1299">
      <c r="A1299">
        <f>IFERROR(INDEX($N$4:$N$3183,MATCH(SMALL($V$4:$V$3183,1296),$V$4:$V$3183,0)),"")</f>
        <v/>
      </c>
      <c r="B1299">
        <f>IFERROR(INDEX($O$4:$O$3183,MATCH(SMALL($V$4:$V$3183,1296),$V$4:$V$3183,0)),"")</f>
        <v/>
      </c>
      <c r="C1299">
        <f>IFERROR(INDEX($P$4:$P$3183,MATCH(SMALL($V$4:$V$3183,1296),$V$4:$V$3183,0)),"")</f>
        <v/>
      </c>
      <c r="D1299" s="29">
        <f>IFERROR(INDEX($Q$4:$Q$3183,MATCH(SMALL($V$4:$V$3183,1296),$V$4:$V$3183,0)),"")</f>
        <v/>
      </c>
      <c r="E1299" s="29">
        <f>IFERROR(INDEX($R$4:$R$3183,MATCH(SMALL($V$4:$V$3183,1296),$V$4:$V$3183,0)),"")</f>
        <v/>
      </c>
      <c r="F1299">
        <f>IFERROR(INDEX($S$4:$S$3183,MATCH(SMALL($V$4:$V$3183,1296),$V$4:$V$3183,0)),"")</f>
        <v/>
      </c>
      <c r="I1299" s="29">
        <f>IF($B1299="","",IFERROR(INDEX($U$4:$U$3183,MATCH(SMALL($V$4:$V$3183,1296),$V$4:$V$3183,0)),""))</f>
        <v/>
      </c>
      <c r="J1299">
        <f>IF($B1299="","",IF($D1299&gt;$F$2,"À venir",IF($E1299&lt;$D$2,"Passé","Dans la période")))</f>
        <v/>
      </c>
      <c r="K1299">
        <f>IF(OR($B1299="",NOT(ISNUMBER($D1299))),"",IF(AND($E1299&lt;$D$2,$G1299&lt;&gt;"X",$F1299&lt;&gt;"Réalisé",$F1299&lt;&gt;"Clôturé"),"RETARD",""))</f>
        <v/>
      </c>
      <c r="L1299">
        <f>IF(OR($B1299="",NOT(ISNUMBER($D1299))),"",IF(AND($D1299&gt;=$D$2,$D1299&lt;=$H$2,$G1299&lt;&gt;"X",$F1299&lt;&gt;"Réalisé",$F1299&lt;&gt;"Clôturé"),"≤ 7 j",""))</f>
        <v/>
      </c>
      <c r="M1299" s="29">
        <f>IF($B1299="","",IFERROR(INDEX($T$4:$T$3183,MATCH(SMALL($V$4:$V$3183,1296),$V$4:$V$3183,0)),""))</f>
        <v/>
      </c>
      <c r="O1299">
        <f>IF(INDEX(Suivi!$B:$B,1324)="","",INDEX(Suivi!$B:$B,1324))</f>
        <v/>
      </c>
      <c r="P1299">
        <f>IF($O1299="","",IF(INDEX(Suivi!$D:$D,1324)="",INDEX(Suivi!$C:$C,1324),INDEX(Suivi!$D:$D,1324)))</f>
        <v/>
      </c>
      <c r="Q1299">
        <f>IF($O1299="","",INDEX(Suivi!$E:$E,1324))</f>
        <v/>
      </c>
      <c r="R1299">
        <f>IF($O1299="","",INDEX(Suivi!$F:$F,1324))</f>
        <v/>
      </c>
      <c r="S1299">
        <f>IF($O1299="","",INDEX(Suivi!$G:$G,1324))</f>
        <v/>
      </c>
      <c r="T1299">
        <f>IF($O1299="","",IF(INDEX(Dossiers!$F$4:$F$63,25)="","",INDEX(Dossiers!$F$4:$F$63,25)))</f>
        <v/>
      </c>
      <c r="U1299">
        <f>IF($O1299="","",IF(INDEX(Dossiers!$G$4:$G$63,25)="","",INDEX(Dossiers!$G$4:$G$63,25)))</f>
        <v/>
      </c>
      <c r="V1299">
        <f>IF(OR($O1299="",NOT(ISNUMBER($Q1299))),"",$Q1299*1000000+1299)</f>
        <v/>
      </c>
      <c r="W1299" s="29">
        <f>IF($B1299="","",IFERROR(INDEX($U$4:$U$3183,MATCH(SMALL($V$4:$V$3183,1296),$V$4:$V$3183,0)),""))</f>
        <v/>
      </c>
    </row>
    <row r="1300">
      <c r="A1300">
        <f>IFERROR(INDEX($N$4:$N$3183,MATCH(SMALL($V$4:$V$3183,1297),$V$4:$V$3183,0)),"")</f>
        <v/>
      </c>
      <c r="B1300">
        <f>IFERROR(INDEX($O$4:$O$3183,MATCH(SMALL($V$4:$V$3183,1297),$V$4:$V$3183,0)),"")</f>
        <v/>
      </c>
      <c r="C1300">
        <f>IFERROR(INDEX($P$4:$P$3183,MATCH(SMALL($V$4:$V$3183,1297),$V$4:$V$3183,0)),"")</f>
        <v/>
      </c>
      <c r="D1300" s="29">
        <f>IFERROR(INDEX($Q$4:$Q$3183,MATCH(SMALL($V$4:$V$3183,1297),$V$4:$V$3183,0)),"")</f>
        <v/>
      </c>
      <c r="E1300" s="29">
        <f>IFERROR(INDEX($R$4:$R$3183,MATCH(SMALL($V$4:$V$3183,1297),$V$4:$V$3183,0)),"")</f>
        <v/>
      </c>
      <c r="F1300">
        <f>IFERROR(INDEX($S$4:$S$3183,MATCH(SMALL($V$4:$V$3183,1297),$V$4:$V$3183,0)),"")</f>
        <v/>
      </c>
      <c r="I1300" s="29">
        <f>IF($B1300="","",IFERROR(INDEX($U$4:$U$3183,MATCH(SMALL($V$4:$V$3183,1297),$V$4:$V$3183,0)),""))</f>
        <v/>
      </c>
      <c r="J1300">
        <f>IF($B1300="","",IF($D1300&gt;$F$2,"À venir",IF($E1300&lt;$D$2,"Passé","Dans la période")))</f>
        <v/>
      </c>
      <c r="K1300">
        <f>IF(OR($B1300="",NOT(ISNUMBER($D1300))),"",IF(AND($E1300&lt;$D$2,$G1300&lt;&gt;"X",$F1300&lt;&gt;"Réalisé",$F1300&lt;&gt;"Clôturé"),"RETARD",""))</f>
        <v/>
      </c>
      <c r="L1300">
        <f>IF(OR($B1300="",NOT(ISNUMBER($D1300))),"",IF(AND($D1300&gt;=$D$2,$D1300&lt;=$H$2,$G1300&lt;&gt;"X",$F1300&lt;&gt;"Réalisé",$F1300&lt;&gt;"Clôturé"),"≤ 7 j",""))</f>
        <v/>
      </c>
      <c r="M1300" s="29">
        <f>IF($B1300="","",IFERROR(INDEX($T$4:$T$3183,MATCH(SMALL($V$4:$V$3183,1297),$V$4:$V$3183,0)),""))</f>
        <v/>
      </c>
      <c r="O1300">
        <f>IF(INDEX(Suivi!$B:$B,1325)="","",INDEX(Suivi!$B:$B,1325))</f>
        <v/>
      </c>
      <c r="P1300">
        <f>IF($O1300="","",IF(INDEX(Suivi!$D:$D,1325)="",INDEX(Suivi!$C:$C,1325),INDEX(Suivi!$D:$D,1325)))</f>
        <v/>
      </c>
      <c r="Q1300">
        <f>IF($O1300="","",INDEX(Suivi!$E:$E,1325))</f>
        <v/>
      </c>
      <c r="R1300">
        <f>IF($O1300="","",INDEX(Suivi!$F:$F,1325))</f>
        <v/>
      </c>
      <c r="S1300">
        <f>IF($O1300="","",INDEX(Suivi!$G:$G,1325))</f>
        <v/>
      </c>
      <c r="T1300">
        <f>IF($O1300="","",IF(INDEX(Dossiers!$F$4:$F$63,25)="","",INDEX(Dossiers!$F$4:$F$63,25)))</f>
        <v/>
      </c>
      <c r="U1300">
        <f>IF($O1300="","",IF(INDEX(Dossiers!$G$4:$G$63,25)="","",INDEX(Dossiers!$G$4:$G$63,25)))</f>
        <v/>
      </c>
      <c r="V1300">
        <f>IF(OR($O1300="",NOT(ISNUMBER($Q1300))),"",$Q1300*1000000+1300)</f>
        <v/>
      </c>
      <c r="W1300" s="29">
        <f>IF($B1300="","",IFERROR(INDEX($U$4:$U$3183,MATCH(SMALL($V$4:$V$3183,1297),$V$4:$V$3183,0)),""))</f>
        <v/>
      </c>
    </row>
    <row r="1301">
      <c r="A1301">
        <f>IFERROR(INDEX($N$4:$N$3183,MATCH(SMALL($V$4:$V$3183,1298),$V$4:$V$3183,0)),"")</f>
        <v/>
      </c>
      <c r="B1301">
        <f>IFERROR(INDEX($O$4:$O$3183,MATCH(SMALL($V$4:$V$3183,1298),$V$4:$V$3183,0)),"")</f>
        <v/>
      </c>
      <c r="C1301">
        <f>IFERROR(INDEX($P$4:$P$3183,MATCH(SMALL($V$4:$V$3183,1298),$V$4:$V$3183,0)),"")</f>
        <v/>
      </c>
      <c r="D1301" s="29">
        <f>IFERROR(INDEX($Q$4:$Q$3183,MATCH(SMALL($V$4:$V$3183,1298),$V$4:$V$3183,0)),"")</f>
        <v/>
      </c>
      <c r="E1301" s="29">
        <f>IFERROR(INDEX($R$4:$R$3183,MATCH(SMALL($V$4:$V$3183,1298),$V$4:$V$3183,0)),"")</f>
        <v/>
      </c>
      <c r="F1301">
        <f>IFERROR(INDEX($S$4:$S$3183,MATCH(SMALL($V$4:$V$3183,1298),$V$4:$V$3183,0)),"")</f>
        <v/>
      </c>
      <c r="I1301" s="29">
        <f>IF($B1301="","",IFERROR(INDEX($U$4:$U$3183,MATCH(SMALL($V$4:$V$3183,1298),$V$4:$V$3183,0)),""))</f>
        <v/>
      </c>
      <c r="J1301">
        <f>IF($B1301="","",IF($D1301&gt;$F$2,"À venir",IF($E1301&lt;$D$2,"Passé","Dans la période")))</f>
        <v/>
      </c>
      <c r="K1301">
        <f>IF(OR($B1301="",NOT(ISNUMBER($D1301))),"",IF(AND($E1301&lt;$D$2,$G1301&lt;&gt;"X",$F1301&lt;&gt;"Réalisé",$F1301&lt;&gt;"Clôturé"),"RETARD",""))</f>
        <v/>
      </c>
      <c r="L1301">
        <f>IF(OR($B1301="",NOT(ISNUMBER($D1301))),"",IF(AND($D1301&gt;=$D$2,$D1301&lt;=$H$2,$G1301&lt;&gt;"X",$F1301&lt;&gt;"Réalisé",$F1301&lt;&gt;"Clôturé"),"≤ 7 j",""))</f>
        <v/>
      </c>
      <c r="M1301" s="29">
        <f>IF($B1301="","",IFERROR(INDEX($T$4:$T$3183,MATCH(SMALL($V$4:$V$3183,1298),$V$4:$V$3183,0)),""))</f>
        <v/>
      </c>
      <c r="O1301">
        <f>IF(INDEX(Suivi!$B:$B,1326)="","",INDEX(Suivi!$B:$B,1326))</f>
        <v/>
      </c>
      <c r="P1301">
        <f>IF($O1301="","",IF(INDEX(Suivi!$D:$D,1326)="",INDEX(Suivi!$C:$C,1326),INDEX(Suivi!$D:$D,1326)))</f>
        <v/>
      </c>
      <c r="Q1301">
        <f>IF($O1301="","",INDEX(Suivi!$E:$E,1326))</f>
        <v/>
      </c>
      <c r="R1301">
        <f>IF($O1301="","",INDEX(Suivi!$F:$F,1326))</f>
        <v/>
      </c>
      <c r="S1301">
        <f>IF($O1301="","",INDEX(Suivi!$G:$G,1326))</f>
        <v/>
      </c>
      <c r="T1301">
        <f>IF($O1301="","",IF(INDEX(Dossiers!$F$4:$F$63,25)="","",INDEX(Dossiers!$F$4:$F$63,25)))</f>
        <v/>
      </c>
      <c r="U1301">
        <f>IF($O1301="","",IF(INDEX(Dossiers!$G$4:$G$63,25)="","",INDEX(Dossiers!$G$4:$G$63,25)))</f>
        <v/>
      </c>
      <c r="V1301">
        <f>IF(OR($O1301="",NOT(ISNUMBER($Q1301))),"",$Q1301*1000000+1301)</f>
        <v/>
      </c>
      <c r="W1301" s="29">
        <f>IF($B1301="","",IFERROR(INDEX($U$4:$U$3183,MATCH(SMALL($V$4:$V$3183,1298),$V$4:$V$3183,0)),""))</f>
        <v/>
      </c>
    </row>
    <row r="1302">
      <c r="A1302">
        <f>IFERROR(INDEX($N$4:$N$3183,MATCH(SMALL($V$4:$V$3183,1299),$V$4:$V$3183,0)),"")</f>
        <v/>
      </c>
      <c r="B1302">
        <f>IFERROR(INDEX($O$4:$O$3183,MATCH(SMALL($V$4:$V$3183,1299),$V$4:$V$3183,0)),"")</f>
        <v/>
      </c>
      <c r="C1302">
        <f>IFERROR(INDEX($P$4:$P$3183,MATCH(SMALL($V$4:$V$3183,1299),$V$4:$V$3183,0)),"")</f>
        <v/>
      </c>
      <c r="D1302" s="29">
        <f>IFERROR(INDEX($Q$4:$Q$3183,MATCH(SMALL($V$4:$V$3183,1299),$V$4:$V$3183,0)),"")</f>
        <v/>
      </c>
      <c r="E1302" s="29">
        <f>IFERROR(INDEX($R$4:$R$3183,MATCH(SMALL($V$4:$V$3183,1299),$V$4:$V$3183,0)),"")</f>
        <v/>
      </c>
      <c r="F1302">
        <f>IFERROR(INDEX($S$4:$S$3183,MATCH(SMALL($V$4:$V$3183,1299),$V$4:$V$3183,0)),"")</f>
        <v/>
      </c>
      <c r="I1302" s="29">
        <f>IF($B1302="","",IFERROR(INDEX($U$4:$U$3183,MATCH(SMALL($V$4:$V$3183,1299),$V$4:$V$3183,0)),""))</f>
        <v/>
      </c>
      <c r="J1302">
        <f>IF($B1302="","",IF($D1302&gt;$F$2,"À venir",IF($E1302&lt;$D$2,"Passé","Dans la période")))</f>
        <v/>
      </c>
      <c r="K1302">
        <f>IF(OR($B1302="",NOT(ISNUMBER($D1302))),"",IF(AND($E1302&lt;$D$2,$G1302&lt;&gt;"X",$F1302&lt;&gt;"Réalisé",$F1302&lt;&gt;"Clôturé"),"RETARD",""))</f>
        <v/>
      </c>
      <c r="L1302">
        <f>IF(OR($B1302="",NOT(ISNUMBER($D1302))),"",IF(AND($D1302&gt;=$D$2,$D1302&lt;=$H$2,$G1302&lt;&gt;"X",$F1302&lt;&gt;"Réalisé",$F1302&lt;&gt;"Clôturé"),"≤ 7 j",""))</f>
        <v/>
      </c>
      <c r="M1302" s="29">
        <f>IF($B1302="","",IFERROR(INDEX($T$4:$T$3183,MATCH(SMALL($V$4:$V$3183,1299),$V$4:$V$3183,0)),""))</f>
        <v/>
      </c>
      <c r="O1302">
        <f>IF(INDEX(Suivi!$B:$B,1327)="","",INDEX(Suivi!$B:$B,1327))</f>
        <v/>
      </c>
      <c r="P1302">
        <f>IF($O1302="","",IF(INDEX(Suivi!$D:$D,1327)="",INDEX(Suivi!$C:$C,1327),INDEX(Suivi!$D:$D,1327)))</f>
        <v/>
      </c>
      <c r="Q1302">
        <f>IF($O1302="","",INDEX(Suivi!$E:$E,1327))</f>
        <v/>
      </c>
      <c r="R1302">
        <f>IF($O1302="","",INDEX(Suivi!$F:$F,1327))</f>
        <v/>
      </c>
      <c r="S1302">
        <f>IF($O1302="","",INDEX(Suivi!$G:$G,1327))</f>
        <v/>
      </c>
      <c r="T1302">
        <f>IF($O1302="","",IF(INDEX(Dossiers!$F$4:$F$63,25)="","",INDEX(Dossiers!$F$4:$F$63,25)))</f>
        <v/>
      </c>
      <c r="U1302">
        <f>IF($O1302="","",IF(INDEX(Dossiers!$G$4:$G$63,25)="","",INDEX(Dossiers!$G$4:$G$63,25)))</f>
        <v/>
      </c>
      <c r="V1302">
        <f>IF(OR($O1302="",NOT(ISNUMBER($Q1302))),"",$Q1302*1000000+1302)</f>
        <v/>
      </c>
      <c r="W1302" s="29">
        <f>IF($B1302="","",IFERROR(INDEX($U$4:$U$3183,MATCH(SMALL($V$4:$V$3183,1299),$V$4:$V$3183,0)),""))</f>
        <v/>
      </c>
    </row>
    <row r="1303">
      <c r="A1303">
        <f>IFERROR(INDEX($N$4:$N$3183,MATCH(SMALL($V$4:$V$3183,1300),$V$4:$V$3183,0)),"")</f>
        <v/>
      </c>
      <c r="B1303">
        <f>IFERROR(INDEX($O$4:$O$3183,MATCH(SMALL($V$4:$V$3183,1300),$V$4:$V$3183,0)),"")</f>
        <v/>
      </c>
      <c r="C1303">
        <f>IFERROR(INDEX($P$4:$P$3183,MATCH(SMALL($V$4:$V$3183,1300),$V$4:$V$3183,0)),"")</f>
        <v/>
      </c>
      <c r="D1303" s="29">
        <f>IFERROR(INDEX($Q$4:$Q$3183,MATCH(SMALL($V$4:$V$3183,1300),$V$4:$V$3183,0)),"")</f>
        <v/>
      </c>
      <c r="E1303" s="29">
        <f>IFERROR(INDEX($R$4:$R$3183,MATCH(SMALL($V$4:$V$3183,1300),$V$4:$V$3183,0)),"")</f>
        <v/>
      </c>
      <c r="F1303">
        <f>IFERROR(INDEX($S$4:$S$3183,MATCH(SMALL($V$4:$V$3183,1300),$V$4:$V$3183,0)),"")</f>
        <v/>
      </c>
      <c r="I1303" s="29">
        <f>IF($B1303="","",IFERROR(INDEX($U$4:$U$3183,MATCH(SMALL($V$4:$V$3183,1300),$V$4:$V$3183,0)),""))</f>
        <v/>
      </c>
      <c r="J1303">
        <f>IF($B1303="","",IF($D1303&gt;$F$2,"À venir",IF($E1303&lt;$D$2,"Passé","Dans la période")))</f>
        <v/>
      </c>
      <c r="K1303">
        <f>IF(OR($B1303="",NOT(ISNUMBER($D1303))),"",IF(AND($E1303&lt;$D$2,$G1303&lt;&gt;"X",$F1303&lt;&gt;"Réalisé",$F1303&lt;&gt;"Clôturé"),"RETARD",""))</f>
        <v/>
      </c>
      <c r="L1303">
        <f>IF(OR($B1303="",NOT(ISNUMBER($D1303))),"",IF(AND($D1303&gt;=$D$2,$D1303&lt;=$H$2,$G1303&lt;&gt;"X",$F1303&lt;&gt;"Réalisé",$F1303&lt;&gt;"Clôturé"),"≤ 7 j",""))</f>
        <v/>
      </c>
      <c r="M1303" s="29">
        <f>IF($B1303="","",IFERROR(INDEX($T$4:$T$3183,MATCH(SMALL($V$4:$V$3183,1300),$V$4:$V$3183,0)),""))</f>
        <v/>
      </c>
      <c r="O1303">
        <f>IF(INDEX(Suivi!$B:$B,1328)="","",INDEX(Suivi!$B:$B,1328))</f>
        <v/>
      </c>
      <c r="P1303">
        <f>IF($O1303="","",IF(INDEX(Suivi!$D:$D,1328)="",INDEX(Suivi!$C:$C,1328),INDEX(Suivi!$D:$D,1328)))</f>
        <v/>
      </c>
      <c r="Q1303">
        <f>IF($O1303="","",INDEX(Suivi!$E:$E,1328))</f>
        <v/>
      </c>
      <c r="R1303">
        <f>IF($O1303="","",INDEX(Suivi!$F:$F,1328))</f>
        <v/>
      </c>
      <c r="S1303">
        <f>IF($O1303="","",INDEX(Suivi!$G:$G,1328))</f>
        <v/>
      </c>
      <c r="T1303">
        <f>IF($O1303="","",IF(INDEX(Dossiers!$F$4:$F$63,25)="","",INDEX(Dossiers!$F$4:$F$63,25)))</f>
        <v/>
      </c>
      <c r="U1303">
        <f>IF($O1303="","",IF(INDEX(Dossiers!$G$4:$G$63,25)="","",INDEX(Dossiers!$G$4:$G$63,25)))</f>
        <v/>
      </c>
      <c r="V1303">
        <f>IF(OR($O1303="",NOT(ISNUMBER($Q1303))),"",$Q1303*1000000+1303)</f>
        <v/>
      </c>
      <c r="W1303" s="29">
        <f>IF($B1303="","",IFERROR(INDEX($U$4:$U$3183,MATCH(SMALL($V$4:$V$3183,1300),$V$4:$V$3183,0)),""))</f>
        <v/>
      </c>
    </row>
    <row r="1304">
      <c r="A1304">
        <f>IFERROR(INDEX($N$4:$N$3183,MATCH(SMALL($V$4:$V$3183,1301),$V$4:$V$3183,0)),"")</f>
        <v/>
      </c>
      <c r="B1304">
        <f>IFERROR(INDEX($O$4:$O$3183,MATCH(SMALL($V$4:$V$3183,1301),$V$4:$V$3183,0)),"")</f>
        <v/>
      </c>
      <c r="C1304">
        <f>IFERROR(INDEX($P$4:$P$3183,MATCH(SMALL($V$4:$V$3183,1301),$V$4:$V$3183,0)),"")</f>
        <v/>
      </c>
      <c r="D1304" s="29">
        <f>IFERROR(INDEX($Q$4:$Q$3183,MATCH(SMALL($V$4:$V$3183,1301),$V$4:$V$3183,0)),"")</f>
        <v/>
      </c>
      <c r="E1304" s="29">
        <f>IFERROR(INDEX($R$4:$R$3183,MATCH(SMALL($V$4:$V$3183,1301),$V$4:$V$3183,0)),"")</f>
        <v/>
      </c>
      <c r="F1304">
        <f>IFERROR(INDEX($S$4:$S$3183,MATCH(SMALL($V$4:$V$3183,1301),$V$4:$V$3183,0)),"")</f>
        <v/>
      </c>
      <c r="I1304" s="29">
        <f>IF($B1304="","",IFERROR(INDEX($U$4:$U$3183,MATCH(SMALL($V$4:$V$3183,1301),$V$4:$V$3183,0)),""))</f>
        <v/>
      </c>
      <c r="J1304">
        <f>IF($B1304="","",IF($D1304&gt;$F$2,"À venir",IF($E1304&lt;$D$2,"Passé","Dans la période")))</f>
        <v/>
      </c>
      <c r="K1304">
        <f>IF(OR($B1304="",NOT(ISNUMBER($D1304))),"",IF(AND($E1304&lt;$D$2,$G1304&lt;&gt;"X",$F1304&lt;&gt;"Réalisé",$F1304&lt;&gt;"Clôturé"),"RETARD",""))</f>
        <v/>
      </c>
      <c r="L1304">
        <f>IF(OR($B1304="",NOT(ISNUMBER($D1304))),"",IF(AND($D1304&gt;=$D$2,$D1304&lt;=$H$2,$G1304&lt;&gt;"X",$F1304&lt;&gt;"Réalisé",$F1304&lt;&gt;"Clôturé"),"≤ 7 j",""))</f>
        <v/>
      </c>
      <c r="M1304" s="29">
        <f>IF($B1304="","",IFERROR(INDEX($T$4:$T$3183,MATCH(SMALL($V$4:$V$3183,1301),$V$4:$V$3183,0)),""))</f>
        <v/>
      </c>
      <c r="O1304">
        <f>IF(INDEX(Suivi!$B:$B,1329)="","",INDEX(Suivi!$B:$B,1329))</f>
        <v/>
      </c>
      <c r="P1304">
        <f>IF($O1304="","",IF(INDEX(Suivi!$D:$D,1329)="",INDEX(Suivi!$C:$C,1329),INDEX(Suivi!$D:$D,1329)))</f>
        <v/>
      </c>
      <c r="Q1304">
        <f>IF($O1304="","",INDEX(Suivi!$E:$E,1329))</f>
        <v/>
      </c>
      <c r="R1304">
        <f>IF($O1304="","",INDEX(Suivi!$F:$F,1329))</f>
        <v/>
      </c>
      <c r="S1304">
        <f>IF($O1304="","",INDEX(Suivi!$G:$G,1329))</f>
        <v/>
      </c>
      <c r="T1304">
        <f>IF($O1304="","",IF(INDEX(Dossiers!$F$4:$F$63,25)="","",INDEX(Dossiers!$F$4:$F$63,25)))</f>
        <v/>
      </c>
      <c r="U1304">
        <f>IF($O1304="","",IF(INDEX(Dossiers!$G$4:$G$63,25)="","",INDEX(Dossiers!$G$4:$G$63,25)))</f>
        <v/>
      </c>
      <c r="V1304">
        <f>IF(OR($O1304="",NOT(ISNUMBER($Q1304))),"",$Q1304*1000000+1304)</f>
        <v/>
      </c>
      <c r="W1304" s="29">
        <f>IF($B1304="","",IFERROR(INDEX($U$4:$U$3183,MATCH(SMALL($V$4:$V$3183,1301),$V$4:$V$3183,0)),""))</f>
        <v/>
      </c>
    </row>
    <row r="1305">
      <c r="A1305">
        <f>IFERROR(INDEX($N$4:$N$3183,MATCH(SMALL($V$4:$V$3183,1302),$V$4:$V$3183,0)),"")</f>
        <v/>
      </c>
      <c r="B1305">
        <f>IFERROR(INDEX($O$4:$O$3183,MATCH(SMALL($V$4:$V$3183,1302),$V$4:$V$3183,0)),"")</f>
        <v/>
      </c>
      <c r="C1305">
        <f>IFERROR(INDEX($P$4:$P$3183,MATCH(SMALL($V$4:$V$3183,1302),$V$4:$V$3183,0)),"")</f>
        <v/>
      </c>
      <c r="D1305" s="29">
        <f>IFERROR(INDEX($Q$4:$Q$3183,MATCH(SMALL($V$4:$V$3183,1302),$V$4:$V$3183,0)),"")</f>
        <v/>
      </c>
      <c r="E1305" s="29">
        <f>IFERROR(INDEX($R$4:$R$3183,MATCH(SMALL($V$4:$V$3183,1302),$V$4:$V$3183,0)),"")</f>
        <v/>
      </c>
      <c r="F1305">
        <f>IFERROR(INDEX($S$4:$S$3183,MATCH(SMALL($V$4:$V$3183,1302),$V$4:$V$3183,0)),"")</f>
        <v/>
      </c>
      <c r="I1305" s="29">
        <f>IF($B1305="","",IFERROR(INDEX($U$4:$U$3183,MATCH(SMALL($V$4:$V$3183,1302),$V$4:$V$3183,0)),""))</f>
        <v/>
      </c>
      <c r="J1305">
        <f>IF($B1305="","",IF($D1305&gt;$F$2,"À venir",IF($E1305&lt;$D$2,"Passé","Dans la période")))</f>
        <v/>
      </c>
      <c r="K1305">
        <f>IF(OR($B1305="",NOT(ISNUMBER($D1305))),"",IF(AND($E1305&lt;$D$2,$G1305&lt;&gt;"X",$F1305&lt;&gt;"Réalisé",$F1305&lt;&gt;"Clôturé"),"RETARD",""))</f>
        <v/>
      </c>
      <c r="L1305">
        <f>IF(OR($B1305="",NOT(ISNUMBER($D1305))),"",IF(AND($D1305&gt;=$D$2,$D1305&lt;=$H$2,$G1305&lt;&gt;"X",$F1305&lt;&gt;"Réalisé",$F1305&lt;&gt;"Clôturé"),"≤ 7 j",""))</f>
        <v/>
      </c>
      <c r="M1305" s="29">
        <f>IF($B1305="","",IFERROR(INDEX($T$4:$T$3183,MATCH(SMALL($V$4:$V$3183,1302),$V$4:$V$3183,0)),""))</f>
        <v/>
      </c>
      <c r="O1305">
        <f>IF(INDEX(Suivi!$B:$B,1330)="","",INDEX(Suivi!$B:$B,1330))</f>
        <v/>
      </c>
      <c r="P1305">
        <f>IF($O1305="","",IF(INDEX(Suivi!$D:$D,1330)="",INDEX(Suivi!$C:$C,1330),INDEX(Suivi!$D:$D,1330)))</f>
        <v/>
      </c>
      <c r="Q1305">
        <f>IF($O1305="","",INDEX(Suivi!$E:$E,1330))</f>
        <v/>
      </c>
      <c r="R1305">
        <f>IF($O1305="","",INDEX(Suivi!$F:$F,1330))</f>
        <v/>
      </c>
      <c r="S1305">
        <f>IF($O1305="","",INDEX(Suivi!$G:$G,1330))</f>
        <v/>
      </c>
      <c r="T1305">
        <f>IF($O1305="","",IF(INDEX(Dossiers!$F$4:$F$63,25)="","",INDEX(Dossiers!$F$4:$F$63,25)))</f>
        <v/>
      </c>
      <c r="U1305">
        <f>IF($O1305="","",IF(INDEX(Dossiers!$G$4:$G$63,25)="","",INDEX(Dossiers!$G$4:$G$63,25)))</f>
        <v/>
      </c>
      <c r="V1305">
        <f>IF(OR($O1305="",NOT(ISNUMBER($Q1305))),"",$Q1305*1000000+1305)</f>
        <v/>
      </c>
      <c r="W1305" s="29">
        <f>IF($B1305="","",IFERROR(INDEX($U$4:$U$3183,MATCH(SMALL($V$4:$V$3183,1302),$V$4:$V$3183,0)),""))</f>
        <v/>
      </c>
    </row>
    <row r="1306">
      <c r="A1306">
        <f>IFERROR(INDEX($N$4:$N$3183,MATCH(SMALL($V$4:$V$3183,1303),$V$4:$V$3183,0)),"")</f>
        <v/>
      </c>
      <c r="B1306">
        <f>IFERROR(INDEX($O$4:$O$3183,MATCH(SMALL($V$4:$V$3183,1303),$V$4:$V$3183,0)),"")</f>
        <v/>
      </c>
      <c r="C1306">
        <f>IFERROR(INDEX($P$4:$P$3183,MATCH(SMALL($V$4:$V$3183,1303),$V$4:$V$3183,0)),"")</f>
        <v/>
      </c>
      <c r="D1306" s="29">
        <f>IFERROR(INDEX($Q$4:$Q$3183,MATCH(SMALL($V$4:$V$3183,1303),$V$4:$V$3183,0)),"")</f>
        <v/>
      </c>
      <c r="E1306" s="29">
        <f>IFERROR(INDEX($R$4:$R$3183,MATCH(SMALL($V$4:$V$3183,1303),$V$4:$V$3183,0)),"")</f>
        <v/>
      </c>
      <c r="F1306">
        <f>IFERROR(INDEX($S$4:$S$3183,MATCH(SMALL($V$4:$V$3183,1303),$V$4:$V$3183,0)),"")</f>
        <v/>
      </c>
      <c r="I1306" s="29">
        <f>IF($B1306="","",IFERROR(INDEX($U$4:$U$3183,MATCH(SMALL($V$4:$V$3183,1303),$V$4:$V$3183,0)),""))</f>
        <v/>
      </c>
      <c r="J1306">
        <f>IF($B1306="","",IF($D1306&gt;$F$2,"À venir",IF($E1306&lt;$D$2,"Passé","Dans la période")))</f>
        <v/>
      </c>
      <c r="K1306">
        <f>IF(OR($B1306="",NOT(ISNUMBER($D1306))),"",IF(AND($E1306&lt;$D$2,$G1306&lt;&gt;"X",$F1306&lt;&gt;"Réalisé",$F1306&lt;&gt;"Clôturé"),"RETARD",""))</f>
        <v/>
      </c>
      <c r="L1306">
        <f>IF(OR($B1306="",NOT(ISNUMBER($D1306))),"",IF(AND($D1306&gt;=$D$2,$D1306&lt;=$H$2,$G1306&lt;&gt;"X",$F1306&lt;&gt;"Réalisé",$F1306&lt;&gt;"Clôturé"),"≤ 7 j",""))</f>
        <v/>
      </c>
      <c r="M1306" s="29">
        <f>IF($B1306="","",IFERROR(INDEX($T$4:$T$3183,MATCH(SMALL($V$4:$V$3183,1303),$V$4:$V$3183,0)),""))</f>
        <v/>
      </c>
      <c r="O1306">
        <f>IF(INDEX(Suivi!$B:$B,1331)="","",INDEX(Suivi!$B:$B,1331))</f>
        <v/>
      </c>
      <c r="P1306">
        <f>IF($O1306="","",IF(INDEX(Suivi!$D:$D,1331)="",INDEX(Suivi!$C:$C,1331),INDEX(Suivi!$D:$D,1331)))</f>
        <v/>
      </c>
      <c r="Q1306">
        <f>IF($O1306="","",INDEX(Suivi!$E:$E,1331))</f>
        <v/>
      </c>
      <c r="R1306">
        <f>IF($O1306="","",INDEX(Suivi!$F:$F,1331))</f>
        <v/>
      </c>
      <c r="S1306">
        <f>IF($O1306="","",INDEX(Suivi!$G:$G,1331))</f>
        <v/>
      </c>
      <c r="T1306">
        <f>IF($O1306="","",IF(INDEX(Dossiers!$F$4:$F$63,25)="","",INDEX(Dossiers!$F$4:$F$63,25)))</f>
        <v/>
      </c>
      <c r="U1306">
        <f>IF($O1306="","",IF(INDEX(Dossiers!$G$4:$G$63,25)="","",INDEX(Dossiers!$G$4:$G$63,25)))</f>
        <v/>
      </c>
      <c r="V1306">
        <f>IF(OR($O1306="",NOT(ISNUMBER($Q1306))),"",$Q1306*1000000+1306)</f>
        <v/>
      </c>
      <c r="W1306" s="29">
        <f>IF($B1306="","",IFERROR(INDEX($U$4:$U$3183,MATCH(SMALL($V$4:$V$3183,1303),$V$4:$V$3183,0)),""))</f>
        <v/>
      </c>
    </row>
    <row r="1307">
      <c r="A1307">
        <f>IFERROR(INDEX($N$4:$N$3183,MATCH(SMALL($V$4:$V$3183,1304),$V$4:$V$3183,0)),"")</f>
        <v/>
      </c>
      <c r="B1307">
        <f>IFERROR(INDEX($O$4:$O$3183,MATCH(SMALL($V$4:$V$3183,1304),$V$4:$V$3183,0)),"")</f>
        <v/>
      </c>
      <c r="C1307">
        <f>IFERROR(INDEX($P$4:$P$3183,MATCH(SMALL($V$4:$V$3183,1304),$V$4:$V$3183,0)),"")</f>
        <v/>
      </c>
      <c r="D1307" s="29">
        <f>IFERROR(INDEX($Q$4:$Q$3183,MATCH(SMALL($V$4:$V$3183,1304),$V$4:$V$3183,0)),"")</f>
        <v/>
      </c>
      <c r="E1307" s="29">
        <f>IFERROR(INDEX($R$4:$R$3183,MATCH(SMALL($V$4:$V$3183,1304),$V$4:$V$3183,0)),"")</f>
        <v/>
      </c>
      <c r="F1307">
        <f>IFERROR(INDEX($S$4:$S$3183,MATCH(SMALL($V$4:$V$3183,1304),$V$4:$V$3183,0)),"")</f>
        <v/>
      </c>
      <c r="I1307" s="29">
        <f>IF($B1307="","",IFERROR(INDEX($U$4:$U$3183,MATCH(SMALL($V$4:$V$3183,1304),$V$4:$V$3183,0)),""))</f>
        <v/>
      </c>
      <c r="J1307">
        <f>IF($B1307="","",IF($D1307&gt;$F$2,"À venir",IF($E1307&lt;$D$2,"Passé","Dans la période")))</f>
        <v/>
      </c>
      <c r="K1307">
        <f>IF(OR($B1307="",NOT(ISNUMBER($D1307))),"",IF(AND($E1307&lt;$D$2,$G1307&lt;&gt;"X",$F1307&lt;&gt;"Réalisé",$F1307&lt;&gt;"Clôturé"),"RETARD",""))</f>
        <v/>
      </c>
      <c r="L1307">
        <f>IF(OR($B1307="",NOT(ISNUMBER($D1307))),"",IF(AND($D1307&gt;=$D$2,$D1307&lt;=$H$2,$G1307&lt;&gt;"X",$F1307&lt;&gt;"Réalisé",$F1307&lt;&gt;"Clôturé"),"≤ 7 j",""))</f>
        <v/>
      </c>
      <c r="M1307" s="29">
        <f>IF($B1307="","",IFERROR(INDEX($T$4:$T$3183,MATCH(SMALL($V$4:$V$3183,1304),$V$4:$V$3183,0)),""))</f>
        <v/>
      </c>
      <c r="O1307">
        <f>IF(INDEX(Suivi!$B:$B,1332)="","",INDEX(Suivi!$B:$B,1332))</f>
        <v/>
      </c>
      <c r="P1307">
        <f>IF($O1307="","",IF(INDEX(Suivi!$D:$D,1332)="",INDEX(Suivi!$C:$C,1332),INDEX(Suivi!$D:$D,1332)))</f>
        <v/>
      </c>
      <c r="Q1307">
        <f>IF($O1307="","",INDEX(Suivi!$E:$E,1332))</f>
        <v/>
      </c>
      <c r="R1307">
        <f>IF($O1307="","",INDEX(Suivi!$F:$F,1332))</f>
        <v/>
      </c>
      <c r="S1307">
        <f>IF($O1307="","",INDEX(Suivi!$G:$G,1332))</f>
        <v/>
      </c>
      <c r="T1307">
        <f>IF($O1307="","",IF(INDEX(Dossiers!$F$4:$F$63,25)="","",INDEX(Dossiers!$F$4:$F$63,25)))</f>
        <v/>
      </c>
      <c r="U1307">
        <f>IF($O1307="","",IF(INDEX(Dossiers!$G$4:$G$63,25)="","",INDEX(Dossiers!$G$4:$G$63,25)))</f>
        <v/>
      </c>
      <c r="V1307">
        <f>IF(OR($O1307="",NOT(ISNUMBER($Q1307))),"",$Q1307*1000000+1307)</f>
        <v/>
      </c>
      <c r="W1307" s="29">
        <f>IF($B1307="","",IFERROR(INDEX($U$4:$U$3183,MATCH(SMALL($V$4:$V$3183,1304),$V$4:$V$3183,0)),""))</f>
        <v/>
      </c>
    </row>
    <row r="1308">
      <c r="A1308">
        <f>IFERROR(INDEX($N$4:$N$3183,MATCH(SMALL($V$4:$V$3183,1305),$V$4:$V$3183,0)),"")</f>
        <v/>
      </c>
      <c r="B1308">
        <f>IFERROR(INDEX($O$4:$O$3183,MATCH(SMALL($V$4:$V$3183,1305),$V$4:$V$3183,0)),"")</f>
        <v/>
      </c>
      <c r="C1308">
        <f>IFERROR(INDEX($P$4:$P$3183,MATCH(SMALL($V$4:$V$3183,1305),$V$4:$V$3183,0)),"")</f>
        <v/>
      </c>
      <c r="D1308" s="29">
        <f>IFERROR(INDEX($Q$4:$Q$3183,MATCH(SMALL($V$4:$V$3183,1305),$V$4:$V$3183,0)),"")</f>
        <v/>
      </c>
      <c r="E1308" s="29">
        <f>IFERROR(INDEX($R$4:$R$3183,MATCH(SMALL($V$4:$V$3183,1305),$V$4:$V$3183,0)),"")</f>
        <v/>
      </c>
      <c r="F1308">
        <f>IFERROR(INDEX($S$4:$S$3183,MATCH(SMALL($V$4:$V$3183,1305),$V$4:$V$3183,0)),"")</f>
        <v/>
      </c>
      <c r="I1308" s="29">
        <f>IF($B1308="","",IFERROR(INDEX($U$4:$U$3183,MATCH(SMALL($V$4:$V$3183,1305),$V$4:$V$3183,0)),""))</f>
        <v/>
      </c>
      <c r="J1308">
        <f>IF($B1308="","",IF($D1308&gt;$F$2,"À venir",IF($E1308&lt;$D$2,"Passé","Dans la période")))</f>
        <v/>
      </c>
      <c r="K1308">
        <f>IF(OR($B1308="",NOT(ISNUMBER($D1308))),"",IF(AND($E1308&lt;$D$2,$G1308&lt;&gt;"X",$F1308&lt;&gt;"Réalisé",$F1308&lt;&gt;"Clôturé"),"RETARD",""))</f>
        <v/>
      </c>
      <c r="L1308">
        <f>IF(OR($B1308="",NOT(ISNUMBER($D1308))),"",IF(AND($D1308&gt;=$D$2,$D1308&lt;=$H$2,$G1308&lt;&gt;"X",$F1308&lt;&gt;"Réalisé",$F1308&lt;&gt;"Clôturé"),"≤ 7 j",""))</f>
        <v/>
      </c>
      <c r="M1308" s="29">
        <f>IF($B1308="","",IFERROR(INDEX($T$4:$T$3183,MATCH(SMALL($V$4:$V$3183,1305),$V$4:$V$3183,0)),""))</f>
        <v/>
      </c>
      <c r="O1308">
        <f>IF(INDEX(Suivi!$B:$B,1333)="","",INDEX(Suivi!$B:$B,1333))</f>
        <v/>
      </c>
      <c r="P1308">
        <f>IF($O1308="","",IF(INDEX(Suivi!$D:$D,1333)="",INDEX(Suivi!$C:$C,1333),INDEX(Suivi!$D:$D,1333)))</f>
        <v/>
      </c>
      <c r="Q1308">
        <f>IF($O1308="","",INDEX(Suivi!$E:$E,1333))</f>
        <v/>
      </c>
      <c r="R1308">
        <f>IF($O1308="","",INDEX(Suivi!$F:$F,1333))</f>
        <v/>
      </c>
      <c r="S1308">
        <f>IF($O1308="","",INDEX(Suivi!$G:$G,1333))</f>
        <v/>
      </c>
      <c r="T1308">
        <f>IF($O1308="","",IF(INDEX(Dossiers!$F$4:$F$63,25)="","",INDEX(Dossiers!$F$4:$F$63,25)))</f>
        <v/>
      </c>
      <c r="U1308">
        <f>IF($O1308="","",IF(INDEX(Dossiers!$G$4:$G$63,25)="","",INDEX(Dossiers!$G$4:$G$63,25)))</f>
        <v/>
      </c>
      <c r="V1308">
        <f>IF(OR($O1308="",NOT(ISNUMBER($Q1308))),"",$Q1308*1000000+1308)</f>
        <v/>
      </c>
      <c r="W1308" s="29">
        <f>IF($B1308="","",IFERROR(INDEX($U$4:$U$3183,MATCH(SMALL($V$4:$V$3183,1305),$V$4:$V$3183,0)),""))</f>
        <v/>
      </c>
    </row>
    <row r="1309">
      <c r="A1309">
        <f>IFERROR(INDEX($N$4:$N$3183,MATCH(SMALL($V$4:$V$3183,1306),$V$4:$V$3183,0)),"")</f>
        <v/>
      </c>
      <c r="B1309">
        <f>IFERROR(INDEX($O$4:$O$3183,MATCH(SMALL($V$4:$V$3183,1306),$V$4:$V$3183,0)),"")</f>
        <v/>
      </c>
      <c r="C1309">
        <f>IFERROR(INDEX($P$4:$P$3183,MATCH(SMALL($V$4:$V$3183,1306),$V$4:$V$3183,0)),"")</f>
        <v/>
      </c>
      <c r="D1309" s="29">
        <f>IFERROR(INDEX($Q$4:$Q$3183,MATCH(SMALL($V$4:$V$3183,1306),$V$4:$V$3183,0)),"")</f>
        <v/>
      </c>
      <c r="E1309" s="29">
        <f>IFERROR(INDEX($R$4:$R$3183,MATCH(SMALL($V$4:$V$3183,1306),$V$4:$V$3183,0)),"")</f>
        <v/>
      </c>
      <c r="F1309">
        <f>IFERROR(INDEX($S$4:$S$3183,MATCH(SMALL($V$4:$V$3183,1306),$V$4:$V$3183,0)),"")</f>
        <v/>
      </c>
      <c r="I1309" s="29">
        <f>IF($B1309="","",IFERROR(INDEX($U$4:$U$3183,MATCH(SMALL($V$4:$V$3183,1306),$V$4:$V$3183,0)),""))</f>
        <v/>
      </c>
      <c r="J1309">
        <f>IF($B1309="","",IF($D1309&gt;$F$2,"À venir",IF($E1309&lt;$D$2,"Passé","Dans la période")))</f>
        <v/>
      </c>
      <c r="K1309">
        <f>IF(OR($B1309="",NOT(ISNUMBER($D1309))),"",IF(AND($E1309&lt;$D$2,$G1309&lt;&gt;"X",$F1309&lt;&gt;"Réalisé",$F1309&lt;&gt;"Clôturé"),"RETARD",""))</f>
        <v/>
      </c>
      <c r="L1309">
        <f>IF(OR($B1309="",NOT(ISNUMBER($D1309))),"",IF(AND($D1309&gt;=$D$2,$D1309&lt;=$H$2,$G1309&lt;&gt;"X",$F1309&lt;&gt;"Réalisé",$F1309&lt;&gt;"Clôturé"),"≤ 7 j",""))</f>
        <v/>
      </c>
      <c r="M1309" s="29">
        <f>IF($B1309="","",IFERROR(INDEX($T$4:$T$3183,MATCH(SMALL($V$4:$V$3183,1306),$V$4:$V$3183,0)),""))</f>
        <v/>
      </c>
      <c r="O1309">
        <f>IF(INDEX(Suivi!$B:$B,1334)="","",INDEX(Suivi!$B:$B,1334))</f>
        <v/>
      </c>
      <c r="P1309">
        <f>IF($O1309="","",IF(INDEX(Suivi!$D:$D,1334)="",INDEX(Suivi!$C:$C,1334),INDEX(Suivi!$D:$D,1334)))</f>
        <v/>
      </c>
      <c r="Q1309">
        <f>IF($O1309="","",INDEX(Suivi!$E:$E,1334))</f>
        <v/>
      </c>
      <c r="R1309">
        <f>IF($O1309="","",INDEX(Suivi!$F:$F,1334))</f>
        <v/>
      </c>
      <c r="S1309">
        <f>IF($O1309="","",INDEX(Suivi!$G:$G,1334))</f>
        <v/>
      </c>
      <c r="T1309">
        <f>IF($O1309="","",IF(INDEX(Dossiers!$F$4:$F$63,25)="","",INDEX(Dossiers!$F$4:$F$63,25)))</f>
        <v/>
      </c>
      <c r="U1309">
        <f>IF($O1309="","",IF(INDEX(Dossiers!$G$4:$G$63,25)="","",INDEX(Dossiers!$G$4:$G$63,25)))</f>
        <v/>
      </c>
      <c r="V1309">
        <f>IF(OR($O1309="",NOT(ISNUMBER($Q1309))),"",$Q1309*1000000+1309)</f>
        <v/>
      </c>
      <c r="W1309" s="29">
        <f>IF($B1309="","",IFERROR(INDEX($U$4:$U$3183,MATCH(SMALL($V$4:$V$3183,1306),$V$4:$V$3183,0)),""))</f>
        <v/>
      </c>
    </row>
    <row r="1310">
      <c r="A1310">
        <f>IFERROR(INDEX($N$4:$N$3183,MATCH(SMALL($V$4:$V$3183,1307),$V$4:$V$3183,0)),"")</f>
        <v/>
      </c>
      <c r="B1310">
        <f>IFERROR(INDEX($O$4:$O$3183,MATCH(SMALL($V$4:$V$3183,1307),$V$4:$V$3183,0)),"")</f>
        <v/>
      </c>
      <c r="C1310">
        <f>IFERROR(INDEX($P$4:$P$3183,MATCH(SMALL($V$4:$V$3183,1307),$V$4:$V$3183,0)),"")</f>
        <v/>
      </c>
      <c r="D1310" s="29">
        <f>IFERROR(INDEX($Q$4:$Q$3183,MATCH(SMALL($V$4:$V$3183,1307),$V$4:$V$3183,0)),"")</f>
        <v/>
      </c>
      <c r="E1310" s="29">
        <f>IFERROR(INDEX($R$4:$R$3183,MATCH(SMALL($V$4:$V$3183,1307),$V$4:$V$3183,0)),"")</f>
        <v/>
      </c>
      <c r="F1310">
        <f>IFERROR(INDEX($S$4:$S$3183,MATCH(SMALL($V$4:$V$3183,1307),$V$4:$V$3183,0)),"")</f>
        <v/>
      </c>
      <c r="I1310" s="29">
        <f>IF($B1310="","",IFERROR(INDEX($U$4:$U$3183,MATCH(SMALL($V$4:$V$3183,1307),$V$4:$V$3183,0)),""))</f>
        <v/>
      </c>
      <c r="J1310">
        <f>IF($B1310="","",IF($D1310&gt;$F$2,"À venir",IF($E1310&lt;$D$2,"Passé","Dans la période")))</f>
        <v/>
      </c>
      <c r="K1310">
        <f>IF(OR($B1310="",NOT(ISNUMBER($D1310))),"",IF(AND($E1310&lt;$D$2,$G1310&lt;&gt;"X",$F1310&lt;&gt;"Réalisé",$F1310&lt;&gt;"Clôturé"),"RETARD",""))</f>
        <v/>
      </c>
      <c r="L1310">
        <f>IF(OR($B1310="",NOT(ISNUMBER($D1310))),"",IF(AND($D1310&gt;=$D$2,$D1310&lt;=$H$2,$G1310&lt;&gt;"X",$F1310&lt;&gt;"Réalisé",$F1310&lt;&gt;"Clôturé"),"≤ 7 j",""))</f>
        <v/>
      </c>
      <c r="M1310" s="29">
        <f>IF($B1310="","",IFERROR(INDEX($T$4:$T$3183,MATCH(SMALL($V$4:$V$3183,1307),$V$4:$V$3183,0)),""))</f>
        <v/>
      </c>
      <c r="O1310">
        <f>IF(INDEX(Suivi!$B:$B,1335)="","",INDEX(Suivi!$B:$B,1335))</f>
        <v/>
      </c>
      <c r="P1310">
        <f>IF($O1310="","",IF(INDEX(Suivi!$D:$D,1335)="",INDEX(Suivi!$C:$C,1335),INDEX(Suivi!$D:$D,1335)))</f>
        <v/>
      </c>
      <c r="Q1310">
        <f>IF($O1310="","",INDEX(Suivi!$E:$E,1335))</f>
        <v/>
      </c>
      <c r="R1310">
        <f>IF($O1310="","",INDEX(Suivi!$F:$F,1335))</f>
        <v/>
      </c>
      <c r="S1310">
        <f>IF($O1310="","",INDEX(Suivi!$G:$G,1335))</f>
        <v/>
      </c>
      <c r="T1310">
        <f>IF($O1310="","",IF(INDEX(Dossiers!$F$4:$F$63,25)="","",INDEX(Dossiers!$F$4:$F$63,25)))</f>
        <v/>
      </c>
      <c r="U1310">
        <f>IF($O1310="","",IF(INDEX(Dossiers!$G$4:$G$63,25)="","",INDEX(Dossiers!$G$4:$G$63,25)))</f>
        <v/>
      </c>
      <c r="V1310">
        <f>IF(OR($O1310="",NOT(ISNUMBER($Q1310))),"",$Q1310*1000000+1310)</f>
        <v/>
      </c>
      <c r="W1310" s="29">
        <f>IF($B1310="","",IFERROR(INDEX($U$4:$U$3183,MATCH(SMALL($V$4:$V$3183,1307),$V$4:$V$3183,0)),""))</f>
        <v/>
      </c>
    </row>
    <row r="1311">
      <c r="A1311">
        <f>IFERROR(INDEX($N$4:$N$3183,MATCH(SMALL($V$4:$V$3183,1308),$V$4:$V$3183,0)),"")</f>
        <v/>
      </c>
      <c r="B1311">
        <f>IFERROR(INDEX($O$4:$O$3183,MATCH(SMALL($V$4:$V$3183,1308),$V$4:$V$3183,0)),"")</f>
        <v/>
      </c>
      <c r="C1311">
        <f>IFERROR(INDEX($P$4:$P$3183,MATCH(SMALL($V$4:$V$3183,1308),$V$4:$V$3183,0)),"")</f>
        <v/>
      </c>
      <c r="D1311" s="29">
        <f>IFERROR(INDEX($Q$4:$Q$3183,MATCH(SMALL($V$4:$V$3183,1308),$V$4:$V$3183,0)),"")</f>
        <v/>
      </c>
      <c r="E1311" s="29">
        <f>IFERROR(INDEX($R$4:$R$3183,MATCH(SMALL($V$4:$V$3183,1308),$V$4:$V$3183,0)),"")</f>
        <v/>
      </c>
      <c r="F1311">
        <f>IFERROR(INDEX($S$4:$S$3183,MATCH(SMALL($V$4:$V$3183,1308),$V$4:$V$3183,0)),"")</f>
        <v/>
      </c>
      <c r="I1311" s="29">
        <f>IF($B1311="","",IFERROR(INDEX($U$4:$U$3183,MATCH(SMALL($V$4:$V$3183,1308),$V$4:$V$3183,0)),""))</f>
        <v/>
      </c>
      <c r="J1311">
        <f>IF($B1311="","",IF($D1311&gt;$F$2,"À venir",IF($E1311&lt;$D$2,"Passé","Dans la période")))</f>
        <v/>
      </c>
      <c r="K1311">
        <f>IF(OR($B1311="",NOT(ISNUMBER($D1311))),"",IF(AND($E1311&lt;$D$2,$G1311&lt;&gt;"X",$F1311&lt;&gt;"Réalisé",$F1311&lt;&gt;"Clôturé"),"RETARD",""))</f>
        <v/>
      </c>
      <c r="L1311">
        <f>IF(OR($B1311="",NOT(ISNUMBER($D1311))),"",IF(AND($D1311&gt;=$D$2,$D1311&lt;=$H$2,$G1311&lt;&gt;"X",$F1311&lt;&gt;"Réalisé",$F1311&lt;&gt;"Clôturé"),"≤ 7 j",""))</f>
        <v/>
      </c>
      <c r="M1311" s="29">
        <f>IF($B1311="","",IFERROR(INDEX($T$4:$T$3183,MATCH(SMALL($V$4:$V$3183,1308),$V$4:$V$3183,0)),""))</f>
        <v/>
      </c>
      <c r="O1311">
        <f>IF(INDEX(Suivi!$B:$B,1336)="","",INDEX(Suivi!$B:$B,1336))</f>
        <v/>
      </c>
      <c r="P1311">
        <f>IF($O1311="","",IF(INDEX(Suivi!$D:$D,1336)="",INDEX(Suivi!$C:$C,1336),INDEX(Suivi!$D:$D,1336)))</f>
        <v/>
      </c>
      <c r="Q1311">
        <f>IF($O1311="","",INDEX(Suivi!$E:$E,1336))</f>
        <v/>
      </c>
      <c r="R1311">
        <f>IF($O1311="","",INDEX(Suivi!$F:$F,1336))</f>
        <v/>
      </c>
      <c r="S1311">
        <f>IF($O1311="","",INDEX(Suivi!$G:$G,1336))</f>
        <v/>
      </c>
      <c r="T1311">
        <f>IF($O1311="","",IF(INDEX(Dossiers!$F$4:$F$63,25)="","",INDEX(Dossiers!$F$4:$F$63,25)))</f>
        <v/>
      </c>
      <c r="U1311">
        <f>IF($O1311="","",IF(INDEX(Dossiers!$G$4:$G$63,25)="","",INDEX(Dossiers!$G$4:$G$63,25)))</f>
        <v/>
      </c>
      <c r="V1311">
        <f>IF(OR($O1311="",NOT(ISNUMBER($Q1311))),"",$Q1311*1000000+1311)</f>
        <v/>
      </c>
      <c r="W1311" s="29">
        <f>IF($B1311="","",IFERROR(INDEX($U$4:$U$3183,MATCH(SMALL($V$4:$V$3183,1308),$V$4:$V$3183,0)),""))</f>
        <v/>
      </c>
    </row>
    <row r="1312">
      <c r="A1312">
        <f>IFERROR(INDEX($N$4:$N$3183,MATCH(SMALL($V$4:$V$3183,1309),$V$4:$V$3183,0)),"")</f>
        <v/>
      </c>
      <c r="B1312">
        <f>IFERROR(INDEX($O$4:$O$3183,MATCH(SMALL($V$4:$V$3183,1309),$V$4:$V$3183,0)),"")</f>
        <v/>
      </c>
      <c r="C1312">
        <f>IFERROR(INDEX($P$4:$P$3183,MATCH(SMALL($V$4:$V$3183,1309),$V$4:$V$3183,0)),"")</f>
        <v/>
      </c>
      <c r="D1312" s="29">
        <f>IFERROR(INDEX($Q$4:$Q$3183,MATCH(SMALL($V$4:$V$3183,1309),$V$4:$V$3183,0)),"")</f>
        <v/>
      </c>
      <c r="E1312" s="29">
        <f>IFERROR(INDEX($R$4:$R$3183,MATCH(SMALL($V$4:$V$3183,1309),$V$4:$V$3183,0)),"")</f>
        <v/>
      </c>
      <c r="F1312">
        <f>IFERROR(INDEX($S$4:$S$3183,MATCH(SMALL($V$4:$V$3183,1309),$V$4:$V$3183,0)),"")</f>
        <v/>
      </c>
      <c r="I1312" s="29">
        <f>IF($B1312="","",IFERROR(INDEX($U$4:$U$3183,MATCH(SMALL($V$4:$V$3183,1309),$V$4:$V$3183,0)),""))</f>
        <v/>
      </c>
      <c r="J1312">
        <f>IF($B1312="","",IF($D1312&gt;$F$2,"À venir",IF($E1312&lt;$D$2,"Passé","Dans la période")))</f>
        <v/>
      </c>
      <c r="K1312">
        <f>IF(OR($B1312="",NOT(ISNUMBER($D1312))),"",IF(AND($E1312&lt;$D$2,$G1312&lt;&gt;"X",$F1312&lt;&gt;"Réalisé",$F1312&lt;&gt;"Clôturé"),"RETARD",""))</f>
        <v/>
      </c>
      <c r="L1312">
        <f>IF(OR($B1312="",NOT(ISNUMBER($D1312))),"",IF(AND($D1312&gt;=$D$2,$D1312&lt;=$H$2,$G1312&lt;&gt;"X",$F1312&lt;&gt;"Réalisé",$F1312&lt;&gt;"Clôturé"),"≤ 7 j",""))</f>
        <v/>
      </c>
      <c r="M1312" s="29">
        <f>IF($B1312="","",IFERROR(INDEX($T$4:$T$3183,MATCH(SMALL($V$4:$V$3183,1309),$V$4:$V$3183,0)),""))</f>
        <v/>
      </c>
      <c r="O1312">
        <f>IF(INDEX(Suivi!$B:$B,1337)="","",INDEX(Suivi!$B:$B,1337))</f>
        <v/>
      </c>
      <c r="P1312">
        <f>IF($O1312="","",IF(INDEX(Suivi!$D:$D,1337)="",INDEX(Suivi!$C:$C,1337),INDEX(Suivi!$D:$D,1337)))</f>
        <v/>
      </c>
      <c r="Q1312">
        <f>IF($O1312="","",INDEX(Suivi!$E:$E,1337))</f>
        <v/>
      </c>
      <c r="R1312">
        <f>IF($O1312="","",INDEX(Suivi!$F:$F,1337))</f>
        <v/>
      </c>
      <c r="S1312">
        <f>IF($O1312="","",INDEX(Suivi!$G:$G,1337))</f>
        <v/>
      </c>
      <c r="T1312">
        <f>IF($O1312="","",IF(INDEX(Dossiers!$F$4:$F$63,25)="","",INDEX(Dossiers!$F$4:$F$63,25)))</f>
        <v/>
      </c>
      <c r="U1312">
        <f>IF($O1312="","",IF(INDEX(Dossiers!$G$4:$G$63,25)="","",INDEX(Dossiers!$G$4:$G$63,25)))</f>
        <v/>
      </c>
      <c r="V1312">
        <f>IF(OR($O1312="",NOT(ISNUMBER($Q1312))),"",$Q1312*1000000+1312)</f>
        <v/>
      </c>
      <c r="W1312" s="29">
        <f>IF($B1312="","",IFERROR(INDEX($U$4:$U$3183,MATCH(SMALL($V$4:$V$3183,1309),$V$4:$V$3183,0)),""))</f>
        <v/>
      </c>
    </row>
    <row r="1313">
      <c r="A1313">
        <f>IFERROR(INDEX($N$4:$N$3183,MATCH(SMALL($V$4:$V$3183,1310),$V$4:$V$3183,0)),"")</f>
        <v/>
      </c>
      <c r="B1313">
        <f>IFERROR(INDEX($O$4:$O$3183,MATCH(SMALL($V$4:$V$3183,1310),$V$4:$V$3183,0)),"")</f>
        <v/>
      </c>
      <c r="C1313">
        <f>IFERROR(INDEX($P$4:$P$3183,MATCH(SMALL($V$4:$V$3183,1310),$V$4:$V$3183,0)),"")</f>
        <v/>
      </c>
      <c r="D1313" s="29">
        <f>IFERROR(INDEX($Q$4:$Q$3183,MATCH(SMALL($V$4:$V$3183,1310),$V$4:$V$3183,0)),"")</f>
        <v/>
      </c>
      <c r="E1313" s="29">
        <f>IFERROR(INDEX($R$4:$R$3183,MATCH(SMALL($V$4:$V$3183,1310),$V$4:$V$3183,0)),"")</f>
        <v/>
      </c>
      <c r="F1313">
        <f>IFERROR(INDEX($S$4:$S$3183,MATCH(SMALL($V$4:$V$3183,1310),$V$4:$V$3183,0)),"")</f>
        <v/>
      </c>
      <c r="I1313" s="29">
        <f>IF($B1313="","",IFERROR(INDEX($U$4:$U$3183,MATCH(SMALL($V$4:$V$3183,1310),$V$4:$V$3183,0)),""))</f>
        <v/>
      </c>
      <c r="J1313">
        <f>IF($B1313="","",IF($D1313&gt;$F$2,"À venir",IF($E1313&lt;$D$2,"Passé","Dans la période")))</f>
        <v/>
      </c>
      <c r="K1313">
        <f>IF(OR($B1313="",NOT(ISNUMBER($D1313))),"",IF(AND($E1313&lt;$D$2,$G1313&lt;&gt;"X",$F1313&lt;&gt;"Réalisé",$F1313&lt;&gt;"Clôturé"),"RETARD",""))</f>
        <v/>
      </c>
      <c r="L1313">
        <f>IF(OR($B1313="",NOT(ISNUMBER($D1313))),"",IF(AND($D1313&gt;=$D$2,$D1313&lt;=$H$2,$G1313&lt;&gt;"X",$F1313&lt;&gt;"Réalisé",$F1313&lt;&gt;"Clôturé"),"≤ 7 j",""))</f>
        <v/>
      </c>
      <c r="M1313" s="29">
        <f>IF($B1313="","",IFERROR(INDEX($T$4:$T$3183,MATCH(SMALL($V$4:$V$3183,1310),$V$4:$V$3183,0)),""))</f>
        <v/>
      </c>
      <c r="O1313">
        <f>IF(INDEX(Suivi!$B:$B,1338)="","",INDEX(Suivi!$B:$B,1338))</f>
        <v/>
      </c>
      <c r="P1313">
        <f>IF($O1313="","",IF(INDEX(Suivi!$D:$D,1338)="",INDEX(Suivi!$C:$C,1338),INDEX(Suivi!$D:$D,1338)))</f>
        <v/>
      </c>
      <c r="Q1313">
        <f>IF($O1313="","",INDEX(Suivi!$E:$E,1338))</f>
        <v/>
      </c>
      <c r="R1313">
        <f>IF($O1313="","",INDEX(Suivi!$F:$F,1338))</f>
        <v/>
      </c>
      <c r="S1313">
        <f>IF($O1313="","",INDEX(Suivi!$G:$G,1338))</f>
        <v/>
      </c>
      <c r="T1313">
        <f>IF($O1313="","",IF(INDEX(Dossiers!$F$4:$F$63,25)="","",INDEX(Dossiers!$F$4:$F$63,25)))</f>
        <v/>
      </c>
      <c r="U1313">
        <f>IF($O1313="","",IF(INDEX(Dossiers!$G$4:$G$63,25)="","",INDEX(Dossiers!$G$4:$G$63,25)))</f>
        <v/>
      </c>
      <c r="V1313">
        <f>IF(OR($O1313="",NOT(ISNUMBER($Q1313))),"",$Q1313*1000000+1313)</f>
        <v/>
      </c>
      <c r="W1313" s="29">
        <f>IF($B1313="","",IFERROR(INDEX($U$4:$U$3183,MATCH(SMALL($V$4:$V$3183,1310),$V$4:$V$3183,0)),""))</f>
        <v/>
      </c>
    </row>
    <row r="1314">
      <c r="A1314">
        <f>IFERROR(INDEX($N$4:$N$3183,MATCH(SMALL($V$4:$V$3183,1311),$V$4:$V$3183,0)),"")</f>
        <v/>
      </c>
      <c r="B1314">
        <f>IFERROR(INDEX($O$4:$O$3183,MATCH(SMALL($V$4:$V$3183,1311),$V$4:$V$3183,0)),"")</f>
        <v/>
      </c>
      <c r="C1314">
        <f>IFERROR(INDEX($P$4:$P$3183,MATCH(SMALL($V$4:$V$3183,1311),$V$4:$V$3183,0)),"")</f>
        <v/>
      </c>
      <c r="D1314" s="29">
        <f>IFERROR(INDEX($Q$4:$Q$3183,MATCH(SMALL($V$4:$V$3183,1311),$V$4:$V$3183,0)),"")</f>
        <v/>
      </c>
      <c r="E1314" s="29">
        <f>IFERROR(INDEX($R$4:$R$3183,MATCH(SMALL($V$4:$V$3183,1311),$V$4:$V$3183,0)),"")</f>
        <v/>
      </c>
      <c r="F1314">
        <f>IFERROR(INDEX($S$4:$S$3183,MATCH(SMALL($V$4:$V$3183,1311),$V$4:$V$3183,0)),"")</f>
        <v/>
      </c>
      <c r="I1314" s="29">
        <f>IF($B1314="","",IFERROR(INDEX($U$4:$U$3183,MATCH(SMALL($V$4:$V$3183,1311),$V$4:$V$3183,0)),""))</f>
        <v/>
      </c>
      <c r="J1314">
        <f>IF($B1314="","",IF($D1314&gt;$F$2,"À venir",IF($E1314&lt;$D$2,"Passé","Dans la période")))</f>
        <v/>
      </c>
      <c r="K1314">
        <f>IF(OR($B1314="",NOT(ISNUMBER($D1314))),"",IF(AND($E1314&lt;$D$2,$G1314&lt;&gt;"X",$F1314&lt;&gt;"Réalisé",$F1314&lt;&gt;"Clôturé"),"RETARD",""))</f>
        <v/>
      </c>
      <c r="L1314">
        <f>IF(OR($B1314="",NOT(ISNUMBER($D1314))),"",IF(AND($D1314&gt;=$D$2,$D1314&lt;=$H$2,$G1314&lt;&gt;"X",$F1314&lt;&gt;"Réalisé",$F1314&lt;&gt;"Clôturé"),"≤ 7 j",""))</f>
        <v/>
      </c>
      <c r="M1314" s="29">
        <f>IF($B1314="","",IFERROR(INDEX($T$4:$T$3183,MATCH(SMALL($V$4:$V$3183,1311),$V$4:$V$3183,0)),""))</f>
        <v/>
      </c>
      <c r="O1314">
        <f>IF(INDEX(Suivi!$B:$B,1339)="","",INDEX(Suivi!$B:$B,1339))</f>
        <v/>
      </c>
      <c r="P1314">
        <f>IF($O1314="","",IF(INDEX(Suivi!$D:$D,1339)="",INDEX(Suivi!$C:$C,1339),INDEX(Suivi!$D:$D,1339)))</f>
        <v/>
      </c>
      <c r="Q1314">
        <f>IF($O1314="","",INDEX(Suivi!$E:$E,1339))</f>
        <v/>
      </c>
      <c r="R1314">
        <f>IF($O1314="","",INDEX(Suivi!$F:$F,1339))</f>
        <v/>
      </c>
      <c r="S1314">
        <f>IF($O1314="","",INDEX(Suivi!$G:$G,1339))</f>
        <v/>
      </c>
      <c r="T1314">
        <f>IF($O1314="","",IF(INDEX(Dossiers!$F$4:$F$63,25)="","",INDEX(Dossiers!$F$4:$F$63,25)))</f>
        <v/>
      </c>
      <c r="U1314">
        <f>IF($O1314="","",IF(INDEX(Dossiers!$G$4:$G$63,25)="","",INDEX(Dossiers!$G$4:$G$63,25)))</f>
        <v/>
      </c>
      <c r="V1314">
        <f>IF(OR($O1314="",NOT(ISNUMBER($Q1314))),"",$Q1314*1000000+1314)</f>
        <v/>
      </c>
      <c r="W1314" s="29">
        <f>IF($B1314="","",IFERROR(INDEX($U$4:$U$3183,MATCH(SMALL($V$4:$V$3183,1311),$V$4:$V$3183,0)),""))</f>
        <v/>
      </c>
    </row>
    <row r="1315">
      <c r="A1315">
        <f>IFERROR(INDEX($N$4:$N$3183,MATCH(SMALL($V$4:$V$3183,1312),$V$4:$V$3183,0)),"")</f>
        <v/>
      </c>
      <c r="B1315">
        <f>IFERROR(INDEX($O$4:$O$3183,MATCH(SMALL($V$4:$V$3183,1312),$V$4:$V$3183,0)),"")</f>
        <v/>
      </c>
      <c r="C1315">
        <f>IFERROR(INDEX($P$4:$P$3183,MATCH(SMALL($V$4:$V$3183,1312),$V$4:$V$3183,0)),"")</f>
        <v/>
      </c>
      <c r="D1315" s="29">
        <f>IFERROR(INDEX($Q$4:$Q$3183,MATCH(SMALL($V$4:$V$3183,1312),$V$4:$V$3183,0)),"")</f>
        <v/>
      </c>
      <c r="E1315" s="29">
        <f>IFERROR(INDEX($R$4:$R$3183,MATCH(SMALL($V$4:$V$3183,1312),$V$4:$V$3183,0)),"")</f>
        <v/>
      </c>
      <c r="F1315">
        <f>IFERROR(INDEX($S$4:$S$3183,MATCH(SMALL($V$4:$V$3183,1312),$V$4:$V$3183,0)),"")</f>
        <v/>
      </c>
      <c r="I1315" s="29">
        <f>IF($B1315="","",IFERROR(INDEX($U$4:$U$3183,MATCH(SMALL($V$4:$V$3183,1312),$V$4:$V$3183,0)),""))</f>
        <v/>
      </c>
      <c r="J1315">
        <f>IF($B1315="","",IF($D1315&gt;$F$2,"À venir",IF($E1315&lt;$D$2,"Passé","Dans la période")))</f>
        <v/>
      </c>
      <c r="K1315">
        <f>IF(OR($B1315="",NOT(ISNUMBER($D1315))),"",IF(AND($E1315&lt;$D$2,$G1315&lt;&gt;"X",$F1315&lt;&gt;"Réalisé",$F1315&lt;&gt;"Clôturé"),"RETARD",""))</f>
        <v/>
      </c>
      <c r="L1315">
        <f>IF(OR($B1315="",NOT(ISNUMBER($D1315))),"",IF(AND($D1315&gt;=$D$2,$D1315&lt;=$H$2,$G1315&lt;&gt;"X",$F1315&lt;&gt;"Réalisé",$F1315&lt;&gt;"Clôturé"),"≤ 7 j",""))</f>
        <v/>
      </c>
      <c r="M1315" s="29">
        <f>IF($B1315="","",IFERROR(INDEX($T$4:$T$3183,MATCH(SMALL($V$4:$V$3183,1312),$V$4:$V$3183,0)),""))</f>
        <v/>
      </c>
      <c r="O1315">
        <f>IF(INDEX(Suivi!$B:$B,1340)="","",INDEX(Suivi!$B:$B,1340))</f>
        <v/>
      </c>
      <c r="P1315">
        <f>IF($O1315="","",IF(INDEX(Suivi!$D:$D,1340)="",INDEX(Suivi!$C:$C,1340),INDEX(Suivi!$D:$D,1340)))</f>
        <v/>
      </c>
      <c r="Q1315">
        <f>IF($O1315="","",INDEX(Suivi!$E:$E,1340))</f>
        <v/>
      </c>
      <c r="R1315">
        <f>IF($O1315="","",INDEX(Suivi!$F:$F,1340))</f>
        <v/>
      </c>
      <c r="S1315">
        <f>IF($O1315="","",INDEX(Suivi!$G:$G,1340))</f>
        <v/>
      </c>
      <c r="T1315">
        <f>IF($O1315="","",IF(INDEX(Dossiers!$F$4:$F$63,25)="","",INDEX(Dossiers!$F$4:$F$63,25)))</f>
        <v/>
      </c>
      <c r="U1315">
        <f>IF($O1315="","",IF(INDEX(Dossiers!$G$4:$G$63,25)="","",INDEX(Dossiers!$G$4:$G$63,25)))</f>
        <v/>
      </c>
      <c r="V1315">
        <f>IF(OR($O1315="",NOT(ISNUMBER($Q1315))),"",$Q1315*1000000+1315)</f>
        <v/>
      </c>
      <c r="W1315" s="29">
        <f>IF($B1315="","",IFERROR(INDEX($U$4:$U$3183,MATCH(SMALL($V$4:$V$3183,1312),$V$4:$V$3183,0)),""))</f>
        <v/>
      </c>
    </row>
    <row r="1316">
      <c r="A1316">
        <f>IFERROR(INDEX($N$4:$N$3183,MATCH(SMALL($V$4:$V$3183,1313),$V$4:$V$3183,0)),"")</f>
        <v/>
      </c>
      <c r="B1316">
        <f>IFERROR(INDEX($O$4:$O$3183,MATCH(SMALL($V$4:$V$3183,1313),$V$4:$V$3183,0)),"")</f>
        <v/>
      </c>
      <c r="C1316">
        <f>IFERROR(INDEX($P$4:$P$3183,MATCH(SMALL($V$4:$V$3183,1313),$V$4:$V$3183,0)),"")</f>
        <v/>
      </c>
      <c r="D1316" s="29">
        <f>IFERROR(INDEX($Q$4:$Q$3183,MATCH(SMALL($V$4:$V$3183,1313),$V$4:$V$3183,0)),"")</f>
        <v/>
      </c>
      <c r="E1316" s="29">
        <f>IFERROR(INDEX($R$4:$R$3183,MATCH(SMALL($V$4:$V$3183,1313),$V$4:$V$3183,0)),"")</f>
        <v/>
      </c>
      <c r="F1316">
        <f>IFERROR(INDEX($S$4:$S$3183,MATCH(SMALL($V$4:$V$3183,1313),$V$4:$V$3183,0)),"")</f>
        <v/>
      </c>
      <c r="I1316" s="29">
        <f>IF($B1316="","",IFERROR(INDEX($U$4:$U$3183,MATCH(SMALL($V$4:$V$3183,1313),$V$4:$V$3183,0)),""))</f>
        <v/>
      </c>
      <c r="J1316">
        <f>IF($B1316="","",IF($D1316&gt;$F$2,"À venir",IF($E1316&lt;$D$2,"Passé","Dans la période")))</f>
        <v/>
      </c>
      <c r="K1316">
        <f>IF(OR($B1316="",NOT(ISNUMBER($D1316))),"",IF(AND($E1316&lt;$D$2,$G1316&lt;&gt;"X",$F1316&lt;&gt;"Réalisé",$F1316&lt;&gt;"Clôturé"),"RETARD",""))</f>
        <v/>
      </c>
      <c r="L1316">
        <f>IF(OR($B1316="",NOT(ISNUMBER($D1316))),"",IF(AND($D1316&gt;=$D$2,$D1316&lt;=$H$2,$G1316&lt;&gt;"X",$F1316&lt;&gt;"Réalisé",$F1316&lt;&gt;"Clôturé"),"≤ 7 j",""))</f>
        <v/>
      </c>
      <c r="M1316" s="29">
        <f>IF($B1316="","",IFERROR(INDEX($T$4:$T$3183,MATCH(SMALL($V$4:$V$3183,1313),$V$4:$V$3183,0)),""))</f>
        <v/>
      </c>
      <c r="O1316">
        <f>IF(INDEX(Suivi!$B:$B,1341)="","",INDEX(Suivi!$B:$B,1341))</f>
        <v/>
      </c>
      <c r="P1316">
        <f>IF($O1316="","",IF(INDEX(Suivi!$D:$D,1341)="",INDEX(Suivi!$C:$C,1341),INDEX(Suivi!$D:$D,1341)))</f>
        <v/>
      </c>
      <c r="Q1316">
        <f>IF($O1316="","",INDEX(Suivi!$E:$E,1341))</f>
        <v/>
      </c>
      <c r="R1316">
        <f>IF($O1316="","",INDEX(Suivi!$F:$F,1341))</f>
        <v/>
      </c>
      <c r="S1316">
        <f>IF($O1316="","",INDEX(Suivi!$G:$G,1341))</f>
        <v/>
      </c>
      <c r="T1316">
        <f>IF($O1316="","",IF(INDEX(Dossiers!$F$4:$F$63,25)="","",INDEX(Dossiers!$F$4:$F$63,25)))</f>
        <v/>
      </c>
      <c r="U1316">
        <f>IF($O1316="","",IF(INDEX(Dossiers!$G$4:$G$63,25)="","",INDEX(Dossiers!$G$4:$G$63,25)))</f>
        <v/>
      </c>
      <c r="V1316">
        <f>IF(OR($O1316="",NOT(ISNUMBER($Q1316))),"",$Q1316*1000000+1316)</f>
        <v/>
      </c>
      <c r="W1316" s="29">
        <f>IF($B1316="","",IFERROR(INDEX($U$4:$U$3183,MATCH(SMALL($V$4:$V$3183,1313),$V$4:$V$3183,0)),""))</f>
        <v/>
      </c>
    </row>
    <row r="1317">
      <c r="A1317">
        <f>IFERROR(INDEX($N$4:$N$3183,MATCH(SMALL($V$4:$V$3183,1314),$V$4:$V$3183,0)),"")</f>
        <v/>
      </c>
      <c r="B1317">
        <f>IFERROR(INDEX($O$4:$O$3183,MATCH(SMALL($V$4:$V$3183,1314),$V$4:$V$3183,0)),"")</f>
        <v/>
      </c>
      <c r="C1317">
        <f>IFERROR(INDEX($P$4:$P$3183,MATCH(SMALL($V$4:$V$3183,1314),$V$4:$V$3183,0)),"")</f>
        <v/>
      </c>
      <c r="D1317" s="29">
        <f>IFERROR(INDEX($Q$4:$Q$3183,MATCH(SMALL($V$4:$V$3183,1314),$V$4:$V$3183,0)),"")</f>
        <v/>
      </c>
      <c r="E1317" s="29">
        <f>IFERROR(INDEX($R$4:$R$3183,MATCH(SMALL($V$4:$V$3183,1314),$V$4:$V$3183,0)),"")</f>
        <v/>
      </c>
      <c r="F1317">
        <f>IFERROR(INDEX($S$4:$S$3183,MATCH(SMALL($V$4:$V$3183,1314),$V$4:$V$3183,0)),"")</f>
        <v/>
      </c>
      <c r="I1317" s="29">
        <f>IF($B1317="","",IFERROR(INDEX($U$4:$U$3183,MATCH(SMALL($V$4:$V$3183,1314),$V$4:$V$3183,0)),""))</f>
        <v/>
      </c>
      <c r="J1317">
        <f>IF($B1317="","",IF($D1317&gt;$F$2,"À venir",IF($E1317&lt;$D$2,"Passé","Dans la période")))</f>
        <v/>
      </c>
      <c r="K1317">
        <f>IF(OR($B1317="",NOT(ISNUMBER($D1317))),"",IF(AND($E1317&lt;$D$2,$G1317&lt;&gt;"X",$F1317&lt;&gt;"Réalisé",$F1317&lt;&gt;"Clôturé"),"RETARD",""))</f>
        <v/>
      </c>
      <c r="L1317">
        <f>IF(OR($B1317="",NOT(ISNUMBER($D1317))),"",IF(AND($D1317&gt;=$D$2,$D1317&lt;=$H$2,$G1317&lt;&gt;"X",$F1317&lt;&gt;"Réalisé",$F1317&lt;&gt;"Clôturé"),"≤ 7 j",""))</f>
        <v/>
      </c>
      <c r="M1317" s="29">
        <f>IF($B1317="","",IFERROR(INDEX($T$4:$T$3183,MATCH(SMALL($V$4:$V$3183,1314),$V$4:$V$3183,0)),""))</f>
        <v/>
      </c>
      <c r="O1317">
        <f>IF(INDEX(Suivi!$B:$B,1342)="","",INDEX(Suivi!$B:$B,1342))</f>
        <v/>
      </c>
      <c r="P1317">
        <f>IF($O1317="","",IF(INDEX(Suivi!$D:$D,1342)="",INDEX(Suivi!$C:$C,1342),INDEX(Suivi!$D:$D,1342)))</f>
        <v/>
      </c>
      <c r="Q1317">
        <f>IF($O1317="","",INDEX(Suivi!$E:$E,1342))</f>
        <v/>
      </c>
      <c r="R1317">
        <f>IF($O1317="","",INDEX(Suivi!$F:$F,1342))</f>
        <v/>
      </c>
      <c r="S1317">
        <f>IF($O1317="","",INDEX(Suivi!$G:$G,1342))</f>
        <v/>
      </c>
      <c r="T1317">
        <f>IF($O1317="","",IF(INDEX(Dossiers!$F$4:$F$63,25)="","",INDEX(Dossiers!$F$4:$F$63,25)))</f>
        <v/>
      </c>
      <c r="U1317">
        <f>IF($O1317="","",IF(INDEX(Dossiers!$G$4:$G$63,25)="","",INDEX(Dossiers!$G$4:$G$63,25)))</f>
        <v/>
      </c>
      <c r="V1317">
        <f>IF(OR($O1317="",NOT(ISNUMBER($Q1317))),"",$Q1317*1000000+1317)</f>
        <v/>
      </c>
      <c r="W1317" s="29">
        <f>IF($B1317="","",IFERROR(INDEX($U$4:$U$3183,MATCH(SMALL($V$4:$V$3183,1314),$V$4:$V$3183,0)),""))</f>
        <v/>
      </c>
    </row>
    <row r="1318">
      <c r="A1318">
        <f>IFERROR(INDEX($N$4:$N$3183,MATCH(SMALL($V$4:$V$3183,1315),$V$4:$V$3183,0)),"")</f>
        <v/>
      </c>
      <c r="B1318">
        <f>IFERROR(INDEX($O$4:$O$3183,MATCH(SMALL($V$4:$V$3183,1315),$V$4:$V$3183,0)),"")</f>
        <v/>
      </c>
      <c r="C1318">
        <f>IFERROR(INDEX($P$4:$P$3183,MATCH(SMALL($V$4:$V$3183,1315),$V$4:$V$3183,0)),"")</f>
        <v/>
      </c>
      <c r="D1318" s="29">
        <f>IFERROR(INDEX($Q$4:$Q$3183,MATCH(SMALL($V$4:$V$3183,1315),$V$4:$V$3183,0)),"")</f>
        <v/>
      </c>
      <c r="E1318" s="29">
        <f>IFERROR(INDEX($R$4:$R$3183,MATCH(SMALL($V$4:$V$3183,1315),$V$4:$V$3183,0)),"")</f>
        <v/>
      </c>
      <c r="F1318">
        <f>IFERROR(INDEX($S$4:$S$3183,MATCH(SMALL($V$4:$V$3183,1315),$V$4:$V$3183,0)),"")</f>
        <v/>
      </c>
      <c r="I1318" s="29">
        <f>IF($B1318="","",IFERROR(INDEX($U$4:$U$3183,MATCH(SMALL($V$4:$V$3183,1315),$V$4:$V$3183,0)),""))</f>
        <v/>
      </c>
      <c r="J1318">
        <f>IF($B1318="","",IF($D1318&gt;$F$2,"À venir",IF($E1318&lt;$D$2,"Passé","Dans la période")))</f>
        <v/>
      </c>
      <c r="K1318">
        <f>IF(OR($B1318="",NOT(ISNUMBER($D1318))),"",IF(AND($E1318&lt;$D$2,$G1318&lt;&gt;"X",$F1318&lt;&gt;"Réalisé",$F1318&lt;&gt;"Clôturé"),"RETARD",""))</f>
        <v/>
      </c>
      <c r="L1318">
        <f>IF(OR($B1318="",NOT(ISNUMBER($D1318))),"",IF(AND($D1318&gt;=$D$2,$D1318&lt;=$H$2,$G1318&lt;&gt;"X",$F1318&lt;&gt;"Réalisé",$F1318&lt;&gt;"Clôturé"),"≤ 7 j",""))</f>
        <v/>
      </c>
      <c r="M1318" s="29">
        <f>IF($B1318="","",IFERROR(INDEX($T$4:$T$3183,MATCH(SMALL($V$4:$V$3183,1315),$V$4:$V$3183,0)),""))</f>
        <v/>
      </c>
      <c r="O1318">
        <f>IF(INDEX(Suivi!$B:$B,1343)="","",INDEX(Suivi!$B:$B,1343))</f>
        <v/>
      </c>
      <c r="P1318">
        <f>IF($O1318="","",IF(INDEX(Suivi!$D:$D,1343)="",INDEX(Suivi!$C:$C,1343),INDEX(Suivi!$D:$D,1343)))</f>
        <v/>
      </c>
      <c r="Q1318">
        <f>IF($O1318="","",INDEX(Suivi!$E:$E,1343))</f>
        <v/>
      </c>
      <c r="R1318">
        <f>IF($O1318="","",INDEX(Suivi!$F:$F,1343))</f>
        <v/>
      </c>
      <c r="S1318">
        <f>IF($O1318="","",INDEX(Suivi!$G:$G,1343))</f>
        <v/>
      </c>
      <c r="T1318">
        <f>IF($O1318="","",IF(INDEX(Dossiers!$F$4:$F$63,25)="","",INDEX(Dossiers!$F$4:$F$63,25)))</f>
        <v/>
      </c>
      <c r="U1318">
        <f>IF($O1318="","",IF(INDEX(Dossiers!$G$4:$G$63,25)="","",INDEX(Dossiers!$G$4:$G$63,25)))</f>
        <v/>
      </c>
      <c r="V1318">
        <f>IF(OR($O1318="",NOT(ISNUMBER($Q1318))),"",$Q1318*1000000+1318)</f>
        <v/>
      </c>
      <c r="W1318" s="29">
        <f>IF($B1318="","",IFERROR(INDEX($U$4:$U$3183,MATCH(SMALL($V$4:$V$3183,1315),$V$4:$V$3183,0)),""))</f>
        <v/>
      </c>
    </row>
    <row r="1319">
      <c r="A1319">
        <f>IFERROR(INDEX($N$4:$N$3183,MATCH(SMALL($V$4:$V$3183,1316),$V$4:$V$3183,0)),"")</f>
        <v/>
      </c>
      <c r="B1319">
        <f>IFERROR(INDEX($O$4:$O$3183,MATCH(SMALL($V$4:$V$3183,1316),$V$4:$V$3183,0)),"")</f>
        <v/>
      </c>
      <c r="C1319">
        <f>IFERROR(INDEX($P$4:$P$3183,MATCH(SMALL($V$4:$V$3183,1316),$V$4:$V$3183,0)),"")</f>
        <v/>
      </c>
      <c r="D1319" s="29">
        <f>IFERROR(INDEX($Q$4:$Q$3183,MATCH(SMALL($V$4:$V$3183,1316),$V$4:$V$3183,0)),"")</f>
        <v/>
      </c>
      <c r="E1319" s="29">
        <f>IFERROR(INDEX($R$4:$R$3183,MATCH(SMALL($V$4:$V$3183,1316),$V$4:$V$3183,0)),"")</f>
        <v/>
      </c>
      <c r="F1319">
        <f>IFERROR(INDEX($S$4:$S$3183,MATCH(SMALL($V$4:$V$3183,1316),$V$4:$V$3183,0)),"")</f>
        <v/>
      </c>
      <c r="I1319" s="29">
        <f>IF($B1319="","",IFERROR(INDEX($U$4:$U$3183,MATCH(SMALL($V$4:$V$3183,1316),$V$4:$V$3183,0)),""))</f>
        <v/>
      </c>
      <c r="J1319">
        <f>IF($B1319="","",IF($D1319&gt;$F$2,"À venir",IF($E1319&lt;$D$2,"Passé","Dans la période")))</f>
        <v/>
      </c>
      <c r="K1319">
        <f>IF(OR($B1319="",NOT(ISNUMBER($D1319))),"",IF(AND($E1319&lt;$D$2,$G1319&lt;&gt;"X",$F1319&lt;&gt;"Réalisé",$F1319&lt;&gt;"Clôturé"),"RETARD",""))</f>
        <v/>
      </c>
      <c r="L1319">
        <f>IF(OR($B1319="",NOT(ISNUMBER($D1319))),"",IF(AND($D1319&gt;=$D$2,$D1319&lt;=$H$2,$G1319&lt;&gt;"X",$F1319&lt;&gt;"Réalisé",$F1319&lt;&gt;"Clôturé"),"≤ 7 j",""))</f>
        <v/>
      </c>
      <c r="M1319" s="29">
        <f>IF($B1319="","",IFERROR(INDEX($T$4:$T$3183,MATCH(SMALL($V$4:$V$3183,1316),$V$4:$V$3183,0)),""))</f>
        <v/>
      </c>
      <c r="O1319">
        <f>IF(INDEX(Suivi!$B:$B,1344)="","",INDEX(Suivi!$B:$B,1344))</f>
        <v/>
      </c>
      <c r="P1319">
        <f>IF($O1319="","",IF(INDEX(Suivi!$D:$D,1344)="",INDEX(Suivi!$C:$C,1344),INDEX(Suivi!$D:$D,1344)))</f>
        <v/>
      </c>
      <c r="Q1319">
        <f>IF($O1319="","",INDEX(Suivi!$E:$E,1344))</f>
        <v/>
      </c>
      <c r="R1319">
        <f>IF($O1319="","",INDEX(Suivi!$F:$F,1344))</f>
        <v/>
      </c>
      <c r="S1319">
        <f>IF($O1319="","",INDEX(Suivi!$G:$G,1344))</f>
        <v/>
      </c>
      <c r="T1319">
        <f>IF($O1319="","",IF(INDEX(Dossiers!$F$4:$F$63,25)="","",INDEX(Dossiers!$F$4:$F$63,25)))</f>
        <v/>
      </c>
      <c r="U1319">
        <f>IF($O1319="","",IF(INDEX(Dossiers!$G$4:$G$63,25)="","",INDEX(Dossiers!$G$4:$G$63,25)))</f>
        <v/>
      </c>
      <c r="V1319">
        <f>IF(OR($O1319="",NOT(ISNUMBER($Q1319))),"",$Q1319*1000000+1319)</f>
        <v/>
      </c>
      <c r="W1319" s="29">
        <f>IF($B1319="","",IFERROR(INDEX($U$4:$U$3183,MATCH(SMALL($V$4:$V$3183,1316),$V$4:$V$3183,0)),""))</f>
        <v/>
      </c>
    </row>
    <row r="1320">
      <c r="A1320">
        <f>IFERROR(INDEX($N$4:$N$3183,MATCH(SMALL($V$4:$V$3183,1317),$V$4:$V$3183,0)),"")</f>
        <v/>
      </c>
      <c r="B1320">
        <f>IFERROR(INDEX($O$4:$O$3183,MATCH(SMALL($V$4:$V$3183,1317),$V$4:$V$3183,0)),"")</f>
        <v/>
      </c>
      <c r="C1320">
        <f>IFERROR(INDEX($P$4:$P$3183,MATCH(SMALL($V$4:$V$3183,1317),$V$4:$V$3183,0)),"")</f>
        <v/>
      </c>
      <c r="D1320" s="29">
        <f>IFERROR(INDEX($Q$4:$Q$3183,MATCH(SMALL($V$4:$V$3183,1317),$V$4:$V$3183,0)),"")</f>
        <v/>
      </c>
      <c r="E1320" s="29">
        <f>IFERROR(INDEX($R$4:$R$3183,MATCH(SMALL($V$4:$V$3183,1317),$V$4:$V$3183,0)),"")</f>
        <v/>
      </c>
      <c r="F1320">
        <f>IFERROR(INDEX($S$4:$S$3183,MATCH(SMALL($V$4:$V$3183,1317),$V$4:$V$3183,0)),"")</f>
        <v/>
      </c>
      <c r="I1320" s="29">
        <f>IF($B1320="","",IFERROR(INDEX($U$4:$U$3183,MATCH(SMALL($V$4:$V$3183,1317),$V$4:$V$3183,0)),""))</f>
        <v/>
      </c>
      <c r="J1320">
        <f>IF($B1320="","",IF($D1320&gt;$F$2,"À venir",IF($E1320&lt;$D$2,"Passé","Dans la période")))</f>
        <v/>
      </c>
      <c r="K1320">
        <f>IF(OR($B1320="",NOT(ISNUMBER($D1320))),"",IF(AND($E1320&lt;$D$2,$G1320&lt;&gt;"X",$F1320&lt;&gt;"Réalisé",$F1320&lt;&gt;"Clôturé"),"RETARD",""))</f>
        <v/>
      </c>
      <c r="L1320">
        <f>IF(OR($B1320="",NOT(ISNUMBER($D1320))),"",IF(AND($D1320&gt;=$D$2,$D1320&lt;=$H$2,$G1320&lt;&gt;"X",$F1320&lt;&gt;"Réalisé",$F1320&lt;&gt;"Clôturé"),"≤ 7 j",""))</f>
        <v/>
      </c>
      <c r="M1320" s="29">
        <f>IF($B1320="","",IFERROR(INDEX($T$4:$T$3183,MATCH(SMALL($V$4:$V$3183,1317),$V$4:$V$3183,0)),""))</f>
        <v/>
      </c>
      <c r="O1320">
        <f>IF(INDEX(Suivi!$B:$B,1345)="","",INDEX(Suivi!$B:$B,1345))</f>
        <v/>
      </c>
      <c r="P1320">
        <f>IF($O1320="","",IF(INDEX(Suivi!$D:$D,1345)="",INDEX(Suivi!$C:$C,1345),INDEX(Suivi!$D:$D,1345)))</f>
        <v/>
      </c>
      <c r="Q1320">
        <f>IF($O1320="","",INDEX(Suivi!$E:$E,1345))</f>
        <v/>
      </c>
      <c r="R1320">
        <f>IF($O1320="","",INDEX(Suivi!$F:$F,1345))</f>
        <v/>
      </c>
      <c r="S1320">
        <f>IF($O1320="","",INDEX(Suivi!$G:$G,1345))</f>
        <v/>
      </c>
      <c r="T1320">
        <f>IF($O1320="","",IF(INDEX(Dossiers!$F$4:$F$63,25)="","",INDEX(Dossiers!$F$4:$F$63,25)))</f>
        <v/>
      </c>
      <c r="U1320">
        <f>IF($O1320="","",IF(INDEX(Dossiers!$G$4:$G$63,25)="","",INDEX(Dossiers!$G$4:$G$63,25)))</f>
        <v/>
      </c>
      <c r="V1320">
        <f>IF(OR($O1320="",NOT(ISNUMBER($Q1320))),"",$Q1320*1000000+1320)</f>
        <v/>
      </c>
      <c r="W1320" s="29">
        <f>IF($B1320="","",IFERROR(INDEX($U$4:$U$3183,MATCH(SMALL($V$4:$V$3183,1317),$V$4:$V$3183,0)),""))</f>
        <v/>
      </c>
    </row>
    <row r="1321">
      <c r="A1321">
        <f>IFERROR(INDEX($N$4:$N$3183,MATCH(SMALL($V$4:$V$3183,1318),$V$4:$V$3183,0)),"")</f>
        <v/>
      </c>
      <c r="B1321">
        <f>IFERROR(INDEX($O$4:$O$3183,MATCH(SMALL($V$4:$V$3183,1318),$V$4:$V$3183,0)),"")</f>
        <v/>
      </c>
      <c r="C1321">
        <f>IFERROR(INDEX($P$4:$P$3183,MATCH(SMALL($V$4:$V$3183,1318),$V$4:$V$3183,0)),"")</f>
        <v/>
      </c>
      <c r="D1321" s="29">
        <f>IFERROR(INDEX($Q$4:$Q$3183,MATCH(SMALL($V$4:$V$3183,1318),$V$4:$V$3183,0)),"")</f>
        <v/>
      </c>
      <c r="E1321" s="29">
        <f>IFERROR(INDEX($R$4:$R$3183,MATCH(SMALL($V$4:$V$3183,1318),$V$4:$V$3183,0)),"")</f>
        <v/>
      </c>
      <c r="F1321">
        <f>IFERROR(INDEX($S$4:$S$3183,MATCH(SMALL($V$4:$V$3183,1318),$V$4:$V$3183,0)),"")</f>
        <v/>
      </c>
      <c r="I1321" s="29">
        <f>IF($B1321="","",IFERROR(INDEX($U$4:$U$3183,MATCH(SMALL($V$4:$V$3183,1318),$V$4:$V$3183,0)),""))</f>
        <v/>
      </c>
      <c r="J1321">
        <f>IF($B1321="","",IF($D1321&gt;$F$2,"À venir",IF($E1321&lt;$D$2,"Passé","Dans la période")))</f>
        <v/>
      </c>
      <c r="K1321">
        <f>IF(OR($B1321="",NOT(ISNUMBER($D1321))),"",IF(AND($E1321&lt;$D$2,$G1321&lt;&gt;"X",$F1321&lt;&gt;"Réalisé",$F1321&lt;&gt;"Clôturé"),"RETARD",""))</f>
        <v/>
      </c>
      <c r="L1321">
        <f>IF(OR($B1321="",NOT(ISNUMBER($D1321))),"",IF(AND($D1321&gt;=$D$2,$D1321&lt;=$H$2,$G1321&lt;&gt;"X",$F1321&lt;&gt;"Réalisé",$F1321&lt;&gt;"Clôturé"),"≤ 7 j",""))</f>
        <v/>
      </c>
      <c r="M1321" s="29">
        <f>IF($B1321="","",IFERROR(INDEX($T$4:$T$3183,MATCH(SMALL($V$4:$V$3183,1318),$V$4:$V$3183,0)),""))</f>
        <v/>
      </c>
      <c r="O1321">
        <f>IF(INDEX(Suivi!$B:$B,1346)="","",INDEX(Suivi!$B:$B,1346))</f>
        <v/>
      </c>
      <c r="P1321">
        <f>IF($O1321="","",IF(INDEX(Suivi!$D:$D,1346)="",INDEX(Suivi!$C:$C,1346),INDEX(Suivi!$D:$D,1346)))</f>
        <v/>
      </c>
      <c r="Q1321">
        <f>IF($O1321="","",INDEX(Suivi!$E:$E,1346))</f>
        <v/>
      </c>
      <c r="R1321">
        <f>IF($O1321="","",INDEX(Suivi!$F:$F,1346))</f>
        <v/>
      </c>
      <c r="S1321">
        <f>IF($O1321="","",INDEX(Suivi!$G:$G,1346))</f>
        <v/>
      </c>
      <c r="T1321">
        <f>IF($O1321="","",IF(INDEX(Dossiers!$F$4:$F$63,25)="","",INDEX(Dossiers!$F$4:$F$63,25)))</f>
        <v/>
      </c>
      <c r="U1321">
        <f>IF($O1321="","",IF(INDEX(Dossiers!$G$4:$G$63,25)="","",INDEX(Dossiers!$G$4:$G$63,25)))</f>
        <v/>
      </c>
      <c r="V1321">
        <f>IF(OR($O1321="",NOT(ISNUMBER($Q1321))),"",$Q1321*1000000+1321)</f>
        <v/>
      </c>
      <c r="W1321" s="29">
        <f>IF($B1321="","",IFERROR(INDEX($U$4:$U$3183,MATCH(SMALL($V$4:$V$3183,1318),$V$4:$V$3183,0)),""))</f>
        <v/>
      </c>
    </row>
    <row r="1322">
      <c r="A1322">
        <f>IFERROR(INDEX($N$4:$N$3183,MATCH(SMALL($V$4:$V$3183,1319),$V$4:$V$3183,0)),"")</f>
        <v/>
      </c>
      <c r="B1322">
        <f>IFERROR(INDEX($O$4:$O$3183,MATCH(SMALL($V$4:$V$3183,1319),$V$4:$V$3183,0)),"")</f>
        <v/>
      </c>
      <c r="C1322">
        <f>IFERROR(INDEX($P$4:$P$3183,MATCH(SMALL($V$4:$V$3183,1319),$V$4:$V$3183,0)),"")</f>
        <v/>
      </c>
      <c r="D1322" s="29">
        <f>IFERROR(INDEX($Q$4:$Q$3183,MATCH(SMALL($V$4:$V$3183,1319),$V$4:$V$3183,0)),"")</f>
        <v/>
      </c>
      <c r="E1322" s="29">
        <f>IFERROR(INDEX($R$4:$R$3183,MATCH(SMALL($V$4:$V$3183,1319),$V$4:$V$3183,0)),"")</f>
        <v/>
      </c>
      <c r="F1322">
        <f>IFERROR(INDEX($S$4:$S$3183,MATCH(SMALL($V$4:$V$3183,1319),$V$4:$V$3183,0)),"")</f>
        <v/>
      </c>
      <c r="I1322" s="29">
        <f>IF($B1322="","",IFERROR(INDEX($U$4:$U$3183,MATCH(SMALL($V$4:$V$3183,1319),$V$4:$V$3183,0)),""))</f>
        <v/>
      </c>
      <c r="J1322">
        <f>IF($B1322="","",IF($D1322&gt;$F$2,"À venir",IF($E1322&lt;$D$2,"Passé","Dans la période")))</f>
        <v/>
      </c>
      <c r="K1322">
        <f>IF(OR($B1322="",NOT(ISNUMBER($D1322))),"",IF(AND($E1322&lt;$D$2,$G1322&lt;&gt;"X",$F1322&lt;&gt;"Réalisé",$F1322&lt;&gt;"Clôturé"),"RETARD",""))</f>
        <v/>
      </c>
      <c r="L1322">
        <f>IF(OR($B1322="",NOT(ISNUMBER($D1322))),"",IF(AND($D1322&gt;=$D$2,$D1322&lt;=$H$2,$G1322&lt;&gt;"X",$F1322&lt;&gt;"Réalisé",$F1322&lt;&gt;"Clôturé"),"≤ 7 j",""))</f>
        <v/>
      </c>
      <c r="M1322" s="29">
        <f>IF($B1322="","",IFERROR(INDEX($T$4:$T$3183,MATCH(SMALL($V$4:$V$3183,1319),$V$4:$V$3183,0)),""))</f>
        <v/>
      </c>
      <c r="O1322">
        <f>IF(INDEX(Suivi!$B:$B,1347)="","",INDEX(Suivi!$B:$B,1347))</f>
        <v/>
      </c>
      <c r="P1322">
        <f>IF($O1322="","",IF(INDEX(Suivi!$D:$D,1347)="",INDEX(Suivi!$C:$C,1347),INDEX(Suivi!$D:$D,1347)))</f>
        <v/>
      </c>
      <c r="Q1322">
        <f>IF($O1322="","",INDEX(Suivi!$E:$E,1347))</f>
        <v/>
      </c>
      <c r="R1322">
        <f>IF($O1322="","",INDEX(Suivi!$F:$F,1347))</f>
        <v/>
      </c>
      <c r="S1322">
        <f>IF($O1322="","",INDEX(Suivi!$G:$G,1347))</f>
        <v/>
      </c>
      <c r="T1322">
        <f>IF($O1322="","",IF(INDEX(Dossiers!$F$4:$F$63,25)="","",INDEX(Dossiers!$F$4:$F$63,25)))</f>
        <v/>
      </c>
      <c r="U1322">
        <f>IF($O1322="","",IF(INDEX(Dossiers!$G$4:$G$63,25)="","",INDEX(Dossiers!$G$4:$G$63,25)))</f>
        <v/>
      </c>
      <c r="V1322">
        <f>IF(OR($O1322="",NOT(ISNUMBER($Q1322))),"",$Q1322*1000000+1322)</f>
        <v/>
      </c>
      <c r="W1322" s="29">
        <f>IF($B1322="","",IFERROR(INDEX($U$4:$U$3183,MATCH(SMALL($V$4:$V$3183,1319),$V$4:$V$3183,0)),""))</f>
        <v/>
      </c>
    </row>
    <row r="1323">
      <c r="A1323">
        <f>IFERROR(INDEX($N$4:$N$3183,MATCH(SMALL($V$4:$V$3183,1320),$V$4:$V$3183,0)),"")</f>
        <v/>
      </c>
      <c r="B1323">
        <f>IFERROR(INDEX($O$4:$O$3183,MATCH(SMALL($V$4:$V$3183,1320),$V$4:$V$3183,0)),"")</f>
        <v/>
      </c>
      <c r="C1323">
        <f>IFERROR(INDEX($P$4:$P$3183,MATCH(SMALL($V$4:$V$3183,1320),$V$4:$V$3183,0)),"")</f>
        <v/>
      </c>
      <c r="D1323" s="29">
        <f>IFERROR(INDEX($Q$4:$Q$3183,MATCH(SMALL($V$4:$V$3183,1320),$V$4:$V$3183,0)),"")</f>
        <v/>
      </c>
      <c r="E1323" s="29">
        <f>IFERROR(INDEX($R$4:$R$3183,MATCH(SMALL($V$4:$V$3183,1320),$V$4:$V$3183,0)),"")</f>
        <v/>
      </c>
      <c r="F1323">
        <f>IFERROR(INDEX($S$4:$S$3183,MATCH(SMALL($V$4:$V$3183,1320),$V$4:$V$3183,0)),"")</f>
        <v/>
      </c>
      <c r="I1323" s="29">
        <f>IF($B1323="","",IFERROR(INDEX($U$4:$U$3183,MATCH(SMALL($V$4:$V$3183,1320),$V$4:$V$3183,0)),""))</f>
        <v/>
      </c>
      <c r="J1323">
        <f>IF($B1323="","",IF($D1323&gt;$F$2,"À venir",IF($E1323&lt;$D$2,"Passé","Dans la période")))</f>
        <v/>
      </c>
      <c r="K1323">
        <f>IF(OR($B1323="",NOT(ISNUMBER($D1323))),"",IF(AND($E1323&lt;$D$2,$G1323&lt;&gt;"X",$F1323&lt;&gt;"Réalisé",$F1323&lt;&gt;"Clôturé"),"RETARD",""))</f>
        <v/>
      </c>
      <c r="L1323">
        <f>IF(OR($B1323="",NOT(ISNUMBER($D1323))),"",IF(AND($D1323&gt;=$D$2,$D1323&lt;=$H$2,$G1323&lt;&gt;"X",$F1323&lt;&gt;"Réalisé",$F1323&lt;&gt;"Clôturé"),"≤ 7 j",""))</f>
        <v/>
      </c>
      <c r="M1323" s="29">
        <f>IF($B1323="","",IFERROR(INDEX($T$4:$T$3183,MATCH(SMALL($V$4:$V$3183,1320),$V$4:$V$3183,0)),""))</f>
        <v/>
      </c>
      <c r="O1323">
        <f>IF(INDEX(Suivi!$B:$B,1348)="","",INDEX(Suivi!$B:$B,1348))</f>
        <v/>
      </c>
      <c r="P1323">
        <f>IF($O1323="","",IF(INDEX(Suivi!$D:$D,1348)="",INDEX(Suivi!$C:$C,1348),INDEX(Suivi!$D:$D,1348)))</f>
        <v/>
      </c>
      <c r="Q1323">
        <f>IF($O1323="","",INDEX(Suivi!$E:$E,1348))</f>
        <v/>
      </c>
      <c r="R1323">
        <f>IF($O1323="","",INDEX(Suivi!$F:$F,1348))</f>
        <v/>
      </c>
      <c r="S1323">
        <f>IF($O1323="","",INDEX(Suivi!$G:$G,1348))</f>
        <v/>
      </c>
      <c r="T1323">
        <f>IF($O1323="","",IF(INDEX(Dossiers!$F$4:$F$63,25)="","",INDEX(Dossiers!$F$4:$F$63,25)))</f>
        <v/>
      </c>
      <c r="U1323">
        <f>IF($O1323="","",IF(INDEX(Dossiers!$G$4:$G$63,25)="","",INDEX(Dossiers!$G$4:$G$63,25)))</f>
        <v/>
      </c>
      <c r="V1323">
        <f>IF(OR($O1323="",NOT(ISNUMBER($Q1323))),"",$Q1323*1000000+1323)</f>
        <v/>
      </c>
      <c r="W1323" s="29">
        <f>IF($B1323="","",IFERROR(INDEX($U$4:$U$3183,MATCH(SMALL($V$4:$V$3183,1320),$V$4:$V$3183,0)),""))</f>
        <v/>
      </c>
    </row>
    <row r="1324">
      <c r="A1324">
        <f>IFERROR(INDEX($N$4:$N$3183,MATCH(SMALL($V$4:$V$3183,1321),$V$4:$V$3183,0)),"")</f>
        <v/>
      </c>
      <c r="B1324">
        <f>IFERROR(INDEX($O$4:$O$3183,MATCH(SMALL($V$4:$V$3183,1321),$V$4:$V$3183,0)),"")</f>
        <v/>
      </c>
      <c r="C1324">
        <f>IFERROR(INDEX($P$4:$P$3183,MATCH(SMALL($V$4:$V$3183,1321),$V$4:$V$3183,0)),"")</f>
        <v/>
      </c>
      <c r="D1324" s="29">
        <f>IFERROR(INDEX($Q$4:$Q$3183,MATCH(SMALL($V$4:$V$3183,1321),$V$4:$V$3183,0)),"")</f>
        <v/>
      </c>
      <c r="E1324" s="29">
        <f>IFERROR(INDEX($R$4:$R$3183,MATCH(SMALL($V$4:$V$3183,1321),$V$4:$V$3183,0)),"")</f>
        <v/>
      </c>
      <c r="F1324">
        <f>IFERROR(INDEX($S$4:$S$3183,MATCH(SMALL($V$4:$V$3183,1321),$V$4:$V$3183,0)),"")</f>
        <v/>
      </c>
      <c r="I1324" s="29">
        <f>IF($B1324="","",IFERROR(INDEX($U$4:$U$3183,MATCH(SMALL($V$4:$V$3183,1321),$V$4:$V$3183,0)),""))</f>
        <v/>
      </c>
      <c r="J1324">
        <f>IF($B1324="","",IF($D1324&gt;$F$2,"À venir",IF($E1324&lt;$D$2,"Passé","Dans la période")))</f>
        <v/>
      </c>
      <c r="K1324">
        <f>IF(OR($B1324="",NOT(ISNUMBER($D1324))),"",IF(AND($E1324&lt;$D$2,$G1324&lt;&gt;"X",$F1324&lt;&gt;"Réalisé",$F1324&lt;&gt;"Clôturé"),"RETARD",""))</f>
        <v/>
      </c>
      <c r="L1324">
        <f>IF(OR($B1324="",NOT(ISNUMBER($D1324))),"",IF(AND($D1324&gt;=$D$2,$D1324&lt;=$H$2,$G1324&lt;&gt;"X",$F1324&lt;&gt;"Réalisé",$F1324&lt;&gt;"Clôturé"),"≤ 7 j",""))</f>
        <v/>
      </c>
      <c r="M1324" s="29">
        <f>IF($B1324="","",IFERROR(INDEX($T$4:$T$3183,MATCH(SMALL($V$4:$V$3183,1321),$V$4:$V$3183,0)),""))</f>
        <v/>
      </c>
      <c r="O1324">
        <f>IF(INDEX(Suivi!$B:$B,1349)="","",INDEX(Suivi!$B:$B,1349))</f>
        <v/>
      </c>
      <c r="P1324">
        <f>IF($O1324="","",IF(INDEX(Suivi!$D:$D,1349)="",INDEX(Suivi!$C:$C,1349),INDEX(Suivi!$D:$D,1349)))</f>
        <v/>
      </c>
      <c r="Q1324">
        <f>IF($O1324="","",INDEX(Suivi!$E:$E,1349))</f>
        <v/>
      </c>
      <c r="R1324">
        <f>IF($O1324="","",INDEX(Suivi!$F:$F,1349))</f>
        <v/>
      </c>
      <c r="S1324">
        <f>IF($O1324="","",INDEX(Suivi!$G:$G,1349))</f>
        <v/>
      </c>
      <c r="T1324">
        <f>IF($O1324="","",IF(INDEX(Dossiers!$F$4:$F$63,25)="","",INDEX(Dossiers!$F$4:$F$63,25)))</f>
        <v/>
      </c>
      <c r="U1324">
        <f>IF($O1324="","",IF(INDEX(Dossiers!$G$4:$G$63,25)="","",INDEX(Dossiers!$G$4:$G$63,25)))</f>
        <v/>
      </c>
      <c r="V1324">
        <f>IF(OR($O1324="",NOT(ISNUMBER($Q1324))),"",$Q1324*1000000+1324)</f>
        <v/>
      </c>
      <c r="W1324" s="29">
        <f>IF($B1324="","",IFERROR(INDEX($U$4:$U$3183,MATCH(SMALL($V$4:$V$3183,1321),$V$4:$V$3183,0)),""))</f>
        <v/>
      </c>
    </row>
    <row r="1325">
      <c r="A1325">
        <f>IFERROR(INDEX($N$4:$N$3183,MATCH(SMALL($V$4:$V$3183,1322),$V$4:$V$3183,0)),"")</f>
        <v/>
      </c>
      <c r="B1325">
        <f>IFERROR(INDEX($O$4:$O$3183,MATCH(SMALL($V$4:$V$3183,1322),$V$4:$V$3183,0)),"")</f>
        <v/>
      </c>
      <c r="C1325">
        <f>IFERROR(INDEX($P$4:$P$3183,MATCH(SMALL($V$4:$V$3183,1322),$V$4:$V$3183,0)),"")</f>
        <v/>
      </c>
      <c r="D1325" s="29">
        <f>IFERROR(INDEX($Q$4:$Q$3183,MATCH(SMALL($V$4:$V$3183,1322),$V$4:$V$3183,0)),"")</f>
        <v/>
      </c>
      <c r="E1325" s="29">
        <f>IFERROR(INDEX($R$4:$R$3183,MATCH(SMALL($V$4:$V$3183,1322),$V$4:$V$3183,0)),"")</f>
        <v/>
      </c>
      <c r="F1325">
        <f>IFERROR(INDEX($S$4:$S$3183,MATCH(SMALL($V$4:$V$3183,1322),$V$4:$V$3183,0)),"")</f>
        <v/>
      </c>
      <c r="I1325" s="29">
        <f>IF($B1325="","",IFERROR(INDEX($U$4:$U$3183,MATCH(SMALL($V$4:$V$3183,1322),$V$4:$V$3183,0)),""))</f>
        <v/>
      </c>
      <c r="J1325">
        <f>IF($B1325="","",IF($D1325&gt;$F$2,"À venir",IF($E1325&lt;$D$2,"Passé","Dans la période")))</f>
        <v/>
      </c>
      <c r="K1325">
        <f>IF(OR($B1325="",NOT(ISNUMBER($D1325))),"",IF(AND($E1325&lt;$D$2,$G1325&lt;&gt;"X",$F1325&lt;&gt;"Réalisé",$F1325&lt;&gt;"Clôturé"),"RETARD",""))</f>
        <v/>
      </c>
      <c r="L1325">
        <f>IF(OR($B1325="",NOT(ISNUMBER($D1325))),"",IF(AND($D1325&gt;=$D$2,$D1325&lt;=$H$2,$G1325&lt;&gt;"X",$F1325&lt;&gt;"Réalisé",$F1325&lt;&gt;"Clôturé"),"≤ 7 j",""))</f>
        <v/>
      </c>
      <c r="M1325" s="29">
        <f>IF($B1325="","",IFERROR(INDEX($T$4:$T$3183,MATCH(SMALL($V$4:$V$3183,1322),$V$4:$V$3183,0)),""))</f>
        <v/>
      </c>
      <c r="O1325">
        <f>IF(INDEX(Suivi!$B:$B,1350)="","",INDEX(Suivi!$B:$B,1350))</f>
        <v/>
      </c>
      <c r="P1325">
        <f>IF($O1325="","",IF(INDEX(Suivi!$D:$D,1350)="",INDEX(Suivi!$C:$C,1350),INDEX(Suivi!$D:$D,1350)))</f>
        <v/>
      </c>
      <c r="Q1325">
        <f>IF($O1325="","",INDEX(Suivi!$E:$E,1350))</f>
        <v/>
      </c>
      <c r="R1325">
        <f>IF($O1325="","",INDEX(Suivi!$F:$F,1350))</f>
        <v/>
      </c>
      <c r="S1325">
        <f>IF($O1325="","",INDEX(Suivi!$G:$G,1350))</f>
        <v/>
      </c>
      <c r="T1325">
        <f>IF($O1325="","",IF(INDEX(Dossiers!$F$4:$F$63,25)="","",INDEX(Dossiers!$F$4:$F$63,25)))</f>
        <v/>
      </c>
      <c r="U1325">
        <f>IF($O1325="","",IF(INDEX(Dossiers!$G$4:$G$63,25)="","",INDEX(Dossiers!$G$4:$G$63,25)))</f>
        <v/>
      </c>
      <c r="V1325">
        <f>IF(OR($O1325="",NOT(ISNUMBER($Q1325))),"",$Q1325*1000000+1325)</f>
        <v/>
      </c>
      <c r="W1325" s="29">
        <f>IF($B1325="","",IFERROR(INDEX($U$4:$U$3183,MATCH(SMALL($V$4:$V$3183,1322),$V$4:$V$3183,0)),""))</f>
        <v/>
      </c>
    </row>
    <row r="1326">
      <c r="A1326">
        <f>IFERROR(INDEX($N$4:$N$3183,MATCH(SMALL($V$4:$V$3183,1323),$V$4:$V$3183,0)),"")</f>
        <v/>
      </c>
      <c r="B1326">
        <f>IFERROR(INDEX($O$4:$O$3183,MATCH(SMALL($V$4:$V$3183,1323),$V$4:$V$3183,0)),"")</f>
        <v/>
      </c>
      <c r="C1326">
        <f>IFERROR(INDEX($P$4:$P$3183,MATCH(SMALL($V$4:$V$3183,1323),$V$4:$V$3183,0)),"")</f>
        <v/>
      </c>
      <c r="D1326" s="29">
        <f>IFERROR(INDEX($Q$4:$Q$3183,MATCH(SMALL($V$4:$V$3183,1323),$V$4:$V$3183,0)),"")</f>
        <v/>
      </c>
      <c r="E1326" s="29">
        <f>IFERROR(INDEX($R$4:$R$3183,MATCH(SMALL($V$4:$V$3183,1323),$V$4:$V$3183,0)),"")</f>
        <v/>
      </c>
      <c r="F1326">
        <f>IFERROR(INDEX($S$4:$S$3183,MATCH(SMALL($V$4:$V$3183,1323),$V$4:$V$3183,0)),"")</f>
        <v/>
      </c>
      <c r="I1326" s="29">
        <f>IF($B1326="","",IFERROR(INDEX($U$4:$U$3183,MATCH(SMALL($V$4:$V$3183,1323),$V$4:$V$3183,0)),""))</f>
        <v/>
      </c>
      <c r="J1326">
        <f>IF($B1326="","",IF($D1326&gt;$F$2,"À venir",IF($E1326&lt;$D$2,"Passé","Dans la période")))</f>
        <v/>
      </c>
      <c r="K1326">
        <f>IF(OR($B1326="",NOT(ISNUMBER($D1326))),"",IF(AND($E1326&lt;$D$2,$G1326&lt;&gt;"X",$F1326&lt;&gt;"Réalisé",$F1326&lt;&gt;"Clôturé"),"RETARD",""))</f>
        <v/>
      </c>
      <c r="L1326">
        <f>IF(OR($B1326="",NOT(ISNUMBER($D1326))),"",IF(AND($D1326&gt;=$D$2,$D1326&lt;=$H$2,$G1326&lt;&gt;"X",$F1326&lt;&gt;"Réalisé",$F1326&lt;&gt;"Clôturé"),"≤ 7 j",""))</f>
        <v/>
      </c>
      <c r="M1326" s="29">
        <f>IF($B1326="","",IFERROR(INDEX($T$4:$T$3183,MATCH(SMALL($V$4:$V$3183,1323),$V$4:$V$3183,0)),""))</f>
        <v/>
      </c>
      <c r="O1326">
        <f>IF(INDEX(Suivi!$B:$B,1351)="","",INDEX(Suivi!$B:$B,1351))</f>
        <v/>
      </c>
      <c r="P1326">
        <f>IF($O1326="","",IF(INDEX(Suivi!$D:$D,1351)="",INDEX(Suivi!$C:$C,1351),INDEX(Suivi!$D:$D,1351)))</f>
        <v/>
      </c>
      <c r="Q1326">
        <f>IF($O1326="","",INDEX(Suivi!$E:$E,1351))</f>
        <v/>
      </c>
      <c r="R1326">
        <f>IF($O1326="","",INDEX(Suivi!$F:$F,1351))</f>
        <v/>
      </c>
      <c r="S1326">
        <f>IF($O1326="","",INDEX(Suivi!$G:$G,1351))</f>
        <v/>
      </c>
      <c r="T1326">
        <f>IF($O1326="","",IF(INDEX(Dossiers!$F$4:$F$63,25)="","",INDEX(Dossiers!$F$4:$F$63,25)))</f>
        <v/>
      </c>
      <c r="U1326">
        <f>IF($O1326="","",IF(INDEX(Dossiers!$G$4:$G$63,25)="","",INDEX(Dossiers!$G$4:$G$63,25)))</f>
        <v/>
      </c>
      <c r="V1326">
        <f>IF(OR($O1326="",NOT(ISNUMBER($Q1326))),"",$Q1326*1000000+1326)</f>
        <v/>
      </c>
      <c r="W1326" s="29">
        <f>IF($B1326="","",IFERROR(INDEX($U$4:$U$3183,MATCH(SMALL($V$4:$V$3183,1323),$V$4:$V$3183,0)),""))</f>
        <v/>
      </c>
    </row>
    <row r="1327">
      <c r="A1327">
        <f>IFERROR(INDEX($N$4:$N$3183,MATCH(SMALL($V$4:$V$3183,1324),$V$4:$V$3183,0)),"")</f>
        <v/>
      </c>
      <c r="B1327">
        <f>IFERROR(INDEX($O$4:$O$3183,MATCH(SMALL($V$4:$V$3183,1324),$V$4:$V$3183,0)),"")</f>
        <v/>
      </c>
      <c r="C1327">
        <f>IFERROR(INDEX($P$4:$P$3183,MATCH(SMALL($V$4:$V$3183,1324),$V$4:$V$3183,0)),"")</f>
        <v/>
      </c>
      <c r="D1327" s="29">
        <f>IFERROR(INDEX($Q$4:$Q$3183,MATCH(SMALL($V$4:$V$3183,1324),$V$4:$V$3183,0)),"")</f>
        <v/>
      </c>
      <c r="E1327" s="29">
        <f>IFERROR(INDEX($R$4:$R$3183,MATCH(SMALL($V$4:$V$3183,1324),$V$4:$V$3183,0)),"")</f>
        <v/>
      </c>
      <c r="F1327">
        <f>IFERROR(INDEX($S$4:$S$3183,MATCH(SMALL($V$4:$V$3183,1324),$V$4:$V$3183,0)),"")</f>
        <v/>
      </c>
      <c r="I1327" s="29">
        <f>IF($B1327="","",IFERROR(INDEX($U$4:$U$3183,MATCH(SMALL($V$4:$V$3183,1324),$V$4:$V$3183,0)),""))</f>
        <v/>
      </c>
      <c r="J1327">
        <f>IF($B1327="","",IF($D1327&gt;$F$2,"À venir",IF($E1327&lt;$D$2,"Passé","Dans la période")))</f>
        <v/>
      </c>
      <c r="K1327">
        <f>IF(OR($B1327="",NOT(ISNUMBER($D1327))),"",IF(AND($E1327&lt;$D$2,$G1327&lt;&gt;"X",$F1327&lt;&gt;"Réalisé",$F1327&lt;&gt;"Clôturé"),"RETARD",""))</f>
        <v/>
      </c>
      <c r="L1327">
        <f>IF(OR($B1327="",NOT(ISNUMBER($D1327))),"",IF(AND($D1327&gt;=$D$2,$D1327&lt;=$H$2,$G1327&lt;&gt;"X",$F1327&lt;&gt;"Réalisé",$F1327&lt;&gt;"Clôturé"),"≤ 7 j",""))</f>
        <v/>
      </c>
      <c r="M1327" s="29">
        <f>IF($B1327="","",IFERROR(INDEX($T$4:$T$3183,MATCH(SMALL($V$4:$V$3183,1324),$V$4:$V$3183,0)),""))</f>
        <v/>
      </c>
      <c r="O1327">
        <f>IF(INDEX(Suivi!$B:$B,1352)="","",INDEX(Suivi!$B:$B,1352))</f>
        <v/>
      </c>
      <c r="P1327">
        <f>IF($O1327="","",IF(INDEX(Suivi!$D:$D,1352)="",INDEX(Suivi!$C:$C,1352),INDEX(Suivi!$D:$D,1352)))</f>
        <v/>
      </c>
      <c r="Q1327">
        <f>IF($O1327="","",INDEX(Suivi!$E:$E,1352))</f>
        <v/>
      </c>
      <c r="R1327">
        <f>IF($O1327="","",INDEX(Suivi!$F:$F,1352))</f>
        <v/>
      </c>
      <c r="S1327">
        <f>IF($O1327="","",INDEX(Suivi!$G:$G,1352))</f>
        <v/>
      </c>
      <c r="T1327">
        <f>IF($O1327="","",IF(INDEX(Dossiers!$F$4:$F$63,25)="","",INDEX(Dossiers!$F$4:$F$63,25)))</f>
        <v/>
      </c>
      <c r="U1327">
        <f>IF($O1327="","",IF(INDEX(Dossiers!$G$4:$G$63,25)="","",INDEX(Dossiers!$G$4:$G$63,25)))</f>
        <v/>
      </c>
      <c r="V1327">
        <f>IF(OR($O1327="",NOT(ISNUMBER($Q1327))),"",$Q1327*1000000+1327)</f>
        <v/>
      </c>
      <c r="W1327" s="29">
        <f>IF($B1327="","",IFERROR(INDEX($U$4:$U$3183,MATCH(SMALL($V$4:$V$3183,1324),$V$4:$V$3183,0)),""))</f>
        <v/>
      </c>
    </row>
    <row r="1328">
      <c r="A1328">
        <f>IFERROR(INDEX($N$4:$N$3183,MATCH(SMALL($V$4:$V$3183,1325),$V$4:$V$3183,0)),"")</f>
        <v/>
      </c>
      <c r="B1328">
        <f>IFERROR(INDEX($O$4:$O$3183,MATCH(SMALL($V$4:$V$3183,1325),$V$4:$V$3183,0)),"")</f>
        <v/>
      </c>
      <c r="C1328">
        <f>IFERROR(INDEX($P$4:$P$3183,MATCH(SMALL($V$4:$V$3183,1325),$V$4:$V$3183,0)),"")</f>
        <v/>
      </c>
      <c r="D1328" s="29">
        <f>IFERROR(INDEX($Q$4:$Q$3183,MATCH(SMALL($V$4:$V$3183,1325),$V$4:$V$3183,0)),"")</f>
        <v/>
      </c>
      <c r="E1328" s="29">
        <f>IFERROR(INDEX($R$4:$R$3183,MATCH(SMALL($V$4:$V$3183,1325),$V$4:$V$3183,0)),"")</f>
        <v/>
      </c>
      <c r="F1328">
        <f>IFERROR(INDEX($S$4:$S$3183,MATCH(SMALL($V$4:$V$3183,1325),$V$4:$V$3183,0)),"")</f>
        <v/>
      </c>
      <c r="I1328" s="29">
        <f>IF($B1328="","",IFERROR(INDEX($U$4:$U$3183,MATCH(SMALL($V$4:$V$3183,1325),$V$4:$V$3183,0)),""))</f>
        <v/>
      </c>
      <c r="J1328">
        <f>IF($B1328="","",IF($D1328&gt;$F$2,"À venir",IF($E1328&lt;$D$2,"Passé","Dans la période")))</f>
        <v/>
      </c>
      <c r="K1328">
        <f>IF(OR($B1328="",NOT(ISNUMBER($D1328))),"",IF(AND($E1328&lt;$D$2,$G1328&lt;&gt;"X",$F1328&lt;&gt;"Réalisé",$F1328&lt;&gt;"Clôturé"),"RETARD",""))</f>
        <v/>
      </c>
      <c r="L1328">
        <f>IF(OR($B1328="",NOT(ISNUMBER($D1328))),"",IF(AND($D1328&gt;=$D$2,$D1328&lt;=$H$2,$G1328&lt;&gt;"X",$F1328&lt;&gt;"Réalisé",$F1328&lt;&gt;"Clôturé"),"≤ 7 j",""))</f>
        <v/>
      </c>
      <c r="M1328" s="29">
        <f>IF($B1328="","",IFERROR(INDEX($T$4:$T$3183,MATCH(SMALL($V$4:$V$3183,1325),$V$4:$V$3183,0)),""))</f>
        <v/>
      </c>
      <c r="O1328">
        <f>IF(INDEX(Suivi!$B:$B,1353)="","",INDEX(Suivi!$B:$B,1353))</f>
        <v/>
      </c>
      <c r="P1328">
        <f>IF($O1328="","",IF(INDEX(Suivi!$D:$D,1353)="",INDEX(Suivi!$C:$C,1353),INDEX(Suivi!$D:$D,1353)))</f>
        <v/>
      </c>
      <c r="Q1328">
        <f>IF($O1328="","",INDEX(Suivi!$E:$E,1353))</f>
        <v/>
      </c>
      <c r="R1328">
        <f>IF($O1328="","",INDEX(Suivi!$F:$F,1353))</f>
        <v/>
      </c>
      <c r="S1328">
        <f>IF($O1328="","",INDEX(Suivi!$G:$G,1353))</f>
        <v/>
      </c>
      <c r="T1328">
        <f>IF($O1328="","",IF(INDEX(Dossiers!$F$4:$F$63,25)="","",INDEX(Dossiers!$F$4:$F$63,25)))</f>
        <v/>
      </c>
      <c r="U1328">
        <f>IF($O1328="","",IF(INDEX(Dossiers!$G$4:$G$63,25)="","",INDEX(Dossiers!$G$4:$G$63,25)))</f>
        <v/>
      </c>
      <c r="V1328">
        <f>IF(OR($O1328="",NOT(ISNUMBER($Q1328))),"",$Q1328*1000000+1328)</f>
        <v/>
      </c>
      <c r="W1328" s="29">
        <f>IF($B1328="","",IFERROR(INDEX($U$4:$U$3183,MATCH(SMALL($V$4:$V$3183,1325),$V$4:$V$3183,0)),""))</f>
        <v/>
      </c>
    </row>
    <row r="1329">
      <c r="A1329">
        <f>IFERROR(INDEX($N$4:$N$3183,MATCH(SMALL($V$4:$V$3183,1326),$V$4:$V$3183,0)),"")</f>
        <v/>
      </c>
      <c r="B1329">
        <f>IFERROR(INDEX($O$4:$O$3183,MATCH(SMALL($V$4:$V$3183,1326),$V$4:$V$3183,0)),"")</f>
        <v/>
      </c>
      <c r="C1329">
        <f>IFERROR(INDEX($P$4:$P$3183,MATCH(SMALL($V$4:$V$3183,1326),$V$4:$V$3183,0)),"")</f>
        <v/>
      </c>
      <c r="D1329" s="29">
        <f>IFERROR(INDEX($Q$4:$Q$3183,MATCH(SMALL($V$4:$V$3183,1326),$V$4:$V$3183,0)),"")</f>
        <v/>
      </c>
      <c r="E1329" s="29">
        <f>IFERROR(INDEX($R$4:$R$3183,MATCH(SMALL($V$4:$V$3183,1326),$V$4:$V$3183,0)),"")</f>
        <v/>
      </c>
      <c r="F1329">
        <f>IFERROR(INDEX($S$4:$S$3183,MATCH(SMALL($V$4:$V$3183,1326),$V$4:$V$3183,0)),"")</f>
        <v/>
      </c>
      <c r="I1329" s="29">
        <f>IF($B1329="","",IFERROR(INDEX($U$4:$U$3183,MATCH(SMALL($V$4:$V$3183,1326),$V$4:$V$3183,0)),""))</f>
        <v/>
      </c>
      <c r="J1329">
        <f>IF($B1329="","",IF($D1329&gt;$F$2,"À venir",IF($E1329&lt;$D$2,"Passé","Dans la période")))</f>
        <v/>
      </c>
      <c r="K1329">
        <f>IF(OR($B1329="",NOT(ISNUMBER($D1329))),"",IF(AND($E1329&lt;$D$2,$G1329&lt;&gt;"X",$F1329&lt;&gt;"Réalisé",$F1329&lt;&gt;"Clôturé"),"RETARD",""))</f>
        <v/>
      </c>
      <c r="L1329">
        <f>IF(OR($B1329="",NOT(ISNUMBER($D1329))),"",IF(AND($D1329&gt;=$D$2,$D1329&lt;=$H$2,$G1329&lt;&gt;"X",$F1329&lt;&gt;"Réalisé",$F1329&lt;&gt;"Clôturé"),"≤ 7 j",""))</f>
        <v/>
      </c>
      <c r="M1329" s="29">
        <f>IF($B1329="","",IFERROR(INDEX($T$4:$T$3183,MATCH(SMALL($V$4:$V$3183,1326),$V$4:$V$3183,0)),""))</f>
        <v/>
      </c>
      <c r="O1329">
        <f>IF(INDEX(Suivi!$B:$B,1355)="","",INDEX(Suivi!$B:$B,1355))</f>
        <v/>
      </c>
      <c r="P1329">
        <f>IF($O1329="","",IF(INDEX(Suivi!$D:$D,1355)="",INDEX(Suivi!$C:$C,1355),INDEX(Suivi!$D:$D,1355)))</f>
        <v/>
      </c>
      <c r="Q1329">
        <f>IF($O1329="","",INDEX(Suivi!$E:$E,1355))</f>
        <v/>
      </c>
      <c r="R1329">
        <f>IF($O1329="","",INDEX(Suivi!$F:$F,1355))</f>
        <v/>
      </c>
      <c r="S1329">
        <f>IF($O1329="","",INDEX(Suivi!$G:$G,1355))</f>
        <v/>
      </c>
      <c r="T1329">
        <f>IF($O1329="","",IF(INDEX(Dossiers!$F$4:$F$63,26)="","",INDEX(Dossiers!$F$4:$F$63,26)))</f>
        <v/>
      </c>
      <c r="U1329">
        <f>IF($O1329="","",IF(INDEX(Dossiers!$G$4:$G$63,26)="","",INDEX(Dossiers!$G$4:$G$63,26)))</f>
        <v/>
      </c>
      <c r="V1329">
        <f>IF(OR($O1329="",NOT(ISNUMBER($Q1329))),"",$Q1329*1000000+1329)</f>
        <v/>
      </c>
      <c r="W1329" s="29">
        <f>IF($B1329="","",IFERROR(INDEX($U$4:$U$3183,MATCH(SMALL($V$4:$V$3183,1326),$V$4:$V$3183,0)),""))</f>
        <v/>
      </c>
    </row>
    <row r="1330">
      <c r="A1330">
        <f>IFERROR(INDEX($N$4:$N$3183,MATCH(SMALL($V$4:$V$3183,1327),$V$4:$V$3183,0)),"")</f>
        <v/>
      </c>
      <c r="B1330">
        <f>IFERROR(INDEX($O$4:$O$3183,MATCH(SMALL($V$4:$V$3183,1327),$V$4:$V$3183,0)),"")</f>
        <v/>
      </c>
      <c r="C1330">
        <f>IFERROR(INDEX($P$4:$P$3183,MATCH(SMALL($V$4:$V$3183,1327),$V$4:$V$3183,0)),"")</f>
        <v/>
      </c>
      <c r="D1330" s="29">
        <f>IFERROR(INDEX($Q$4:$Q$3183,MATCH(SMALL($V$4:$V$3183,1327),$V$4:$V$3183,0)),"")</f>
        <v/>
      </c>
      <c r="E1330" s="29">
        <f>IFERROR(INDEX($R$4:$R$3183,MATCH(SMALL($V$4:$V$3183,1327),$V$4:$V$3183,0)),"")</f>
        <v/>
      </c>
      <c r="F1330">
        <f>IFERROR(INDEX($S$4:$S$3183,MATCH(SMALL($V$4:$V$3183,1327),$V$4:$V$3183,0)),"")</f>
        <v/>
      </c>
      <c r="I1330" s="29">
        <f>IF($B1330="","",IFERROR(INDEX($U$4:$U$3183,MATCH(SMALL($V$4:$V$3183,1327),$V$4:$V$3183,0)),""))</f>
        <v/>
      </c>
      <c r="J1330">
        <f>IF($B1330="","",IF($D1330&gt;$F$2,"À venir",IF($E1330&lt;$D$2,"Passé","Dans la période")))</f>
        <v/>
      </c>
      <c r="K1330">
        <f>IF(OR($B1330="",NOT(ISNUMBER($D1330))),"",IF(AND($E1330&lt;$D$2,$G1330&lt;&gt;"X",$F1330&lt;&gt;"Réalisé",$F1330&lt;&gt;"Clôturé"),"RETARD",""))</f>
        <v/>
      </c>
      <c r="L1330">
        <f>IF(OR($B1330="",NOT(ISNUMBER($D1330))),"",IF(AND($D1330&gt;=$D$2,$D1330&lt;=$H$2,$G1330&lt;&gt;"X",$F1330&lt;&gt;"Réalisé",$F1330&lt;&gt;"Clôturé"),"≤ 7 j",""))</f>
        <v/>
      </c>
      <c r="M1330" s="29">
        <f>IF($B1330="","",IFERROR(INDEX($T$4:$T$3183,MATCH(SMALL($V$4:$V$3183,1327),$V$4:$V$3183,0)),""))</f>
        <v/>
      </c>
      <c r="O1330">
        <f>IF(INDEX(Suivi!$B:$B,1356)="","",INDEX(Suivi!$B:$B,1356))</f>
        <v/>
      </c>
      <c r="P1330">
        <f>IF($O1330="","",IF(INDEX(Suivi!$D:$D,1356)="",INDEX(Suivi!$C:$C,1356),INDEX(Suivi!$D:$D,1356)))</f>
        <v/>
      </c>
      <c r="Q1330">
        <f>IF($O1330="","",INDEX(Suivi!$E:$E,1356))</f>
        <v/>
      </c>
      <c r="R1330">
        <f>IF($O1330="","",INDEX(Suivi!$F:$F,1356))</f>
        <v/>
      </c>
      <c r="S1330">
        <f>IF($O1330="","",INDEX(Suivi!$G:$G,1356))</f>
        <v/>
      </c>
      <c r="T1330">
        <f>IF($O1330="","",IF(INDEX(Dossiers!$F$4:$F$63,26)="","",INDEX(Dossiers!$F$4:$F$63,26)))</f>
        <v/>
      </c>
      <c r="U1330">
        <f>IF($O1330="","",IF(INDEX(Dossiers!$G$4:$G$63,26)="","",INDEX(Dossiers!$G$4:$G$63,26)))</f>
        <v/>
      </c>
      <c r="V1330">
        <f>IF(OR($O1330="",NOT(ISNUMBER($Q1330))),"",$Q1330*1000000+1330)</f>
        <v/>
      </c>
      <c r="W1330" s="29">
        <f>IF($B1330="","",IFERROR(INDEX($U$4:$U$3183,MATCH(SMALL($V$4:$V$3183,1327),$V$4:$V$3183,0)),""))</f>
        <v/>
      </c>
    </row>
    <row r="1331">
      <c r="A1331">
        <f>IFERROR(INDEX($N$4:$N$3183,MATCH(SMALL($V$4:$V$3183,1328),$V$4:$V$3183,0)),"")</f>
        <v/>
      </c>
      <c r="B1331">
        <f>IFERROR(INDEX($O$4:$O$3183,MATCH(SMALL($V$4:$V$3183,1328),$V$4:$V$3183,0)),"")</f>
        <v/>
      </c>
      <c r="C1331">
        <f>IFERROR(INDEX($P$4:$P$3183,MATCH(SMALL($V$4:$V$3183,1328),$V$4:$V$3183,0)),"")</f>
        <v/>
      </c>
      <c r="D1331" s="29">
        <f>IFERROR(INDEX($Q$4:$Q$3183,MATCH(SMALL($V$4:$V$3183,1328),$V$4:$V$3183,0)),"")</f>
        <v/>
      </c>
      <c r="E1331" s="29">
        <f>IFERROR(INDEX($R$4:$R$3183,MATCH(SMALL($V$4:$V$3183,1328),$V$4:$V$3183,0)),"")</f>
        <v/>
      </c>
      <c r="F1331">
        <f>IFERROR(INDEX($S$4:$S$3183,MATCH(SMALL($V$4:$V$3183,1328),$V$4:$V$3183,0)),"")</f>
        <v/>
      </c>
      <c r="I1331" s="29">
        <f>IF($B1331="","",IFERROR(INDEX($U$4:$U$3183,MATCH(SMALL($V$4:$V$3183,1328),$V$4:$V$3183,0)),""))</f>
        <v/>
      </c>
      <c r="J1331">
        <f>IF($B1331="","",IF($D1331&gt;$F$2,"À venir",IF($E1331&lt;$D$2,"Passé","Dans la période")))</f>
        <v/>
      </c>
      <c r="K1331">
        <f>IF(OR($B1331="",NOT(ISNUMBER($D1331))),"",IF(AND($E1331&lt;$D$2,$G1331&lt;&gt;"X",$F1331&lt;&gt;"Réalisé",$F1331&lt;&gt;"Clôturé"),"RETARD",""))</f>
        <v/>
      </c>
      <c r="L1331">
        <f>IF(OR($B1331="",NOT(ISNUMBER($D1331))),"",IF(AND($D1331&gt;=$D$2,$D1331&lt;=$H$2,$G1331&lt;&gt;"X",$F1331&lt;&gt;"Réalisé",$F1331&lt;&gt;"Clôturé"),"≤ 7 j",""))</f>
        <v/>
      </c>
      <c r="M1331" s="29">
        <f>IF($B1331="","",IFERROR(INDEX($T$4:$T$3183,MATCH(SMALL($V$4:$V$3183,1328),$V$4:$V$3183,0)),""))</f>
        <v/>
      </c>
      <c r="O1331">
        <f>IF(INDEX(Suivi!$B:$B,1357)="","",INDEX(Suivi!$B:$B,1357))</f>
        <v/>
      </c>
      <c r="P1331">
        <f>IF($O1331="","",IF(INDEX(Suivi!$D:$D,1357)="",INDEX(Suivi!$C:$C,1357),INDEX(Suivi!$D:$D,1357)))</f>
        <v/>
      </c>
      <c r="Q1331">
        <f>IF($O1331="","",INDEX(Suivi!$E:$E,1357))</f>
        <v/>
      </c>
      <c r="R1331">
        <f>IF($O1331="","",INDEX(Suivi!$F:$F,1357))</f>
        <v/>
      </c>
      <c r="S1331">
        <f>IF($O1331="","",INDEX(Suivi!$G:$G,1357))</f>
        <v/>
      </c>
      <c r="T1331">
        <f>IF($O1331="","",IF(INDEX(Dossiers!$F$4:$F$63,26)="","",INDEX(Dossiers!$F$4:$F$63,26)))</f>
        <v/>
      </c>
      <c r="U1331">
        <f>IF($O1331="","",IF(INDEX(Dossiers!$G$4:$G$63,26)="","",INDEX(Dossiers!$G$4:$G$63,26)))</f>
        <v/>
      </c>
      <c r="V1331">
        <f>IF(OR($O1331="",NOT(ISNUMBER($Q1331))),"",$Q1331*1000000+1331)</f>
        <v/>
      </c>
      <c r="W1331" s="29">
        <f>IF($B1331="","",IFERROR(INDEX($U$4:$U$3183,MATCH(SMALL($V$4:$V$3183,1328),$V$4:$V$3183,0)),""))</f>
        <v/>
      </c>
    </row>
    <row r="1332">
      <c r="A1332">
        <f>IFERROR(INDEX($N$4:$N$3183,MATCH(SMALL($V$4:$V$3183,1329),$V$4:$V$3183,0)),"")</f>
        <v/>
      </c>
      <c r="B1332">
        <f>IFERROR(INDEX($O$4:$O$3183,MATCH(SMALL($V$4:$V$3183,1329),$V$4:$V$3183,0)),"")</f>
        <v/>
      </c>
      <c r="C1332">
        <f>IFERROR(INDEX($P$4:$P$3183,MATCH(SMALL($V$4:$V$3183,1329),$V$4:$V$3183,0)),"")</f>
        <v/>
      </c>
      <c r="D1332" s="29">
        <f>IFERROR(INDEX($Q$4:$Q$3183,MATCH(SMALL($V$4:$V$3183,1329),$V$4:$V$3183,0)),"")</f>
        <v/>
      </c>
      <c r="E1332" s="29">
        <f>IFERROR(INDEX($R$4:$R$3183,MATCH(SMALL($V$4:$V$3183,1329),$V$4:$V$3183,0)),"")</f>
        <v/>
      </c>
      <c r="F1332">
        <f>IFERROR(INDEX($S$4:$S$3183,MATCH(SMALL($V$4:$V$3183,1329),$V$4:$V$3183,0)),"")</f>
        <v/>
      </c>
      <c r="I1332" s="29">
        <f>IF($B1332="","",IFERROR(INDEX($U$4:$U$3183,MATCH(SMALL($V$4:$V$3183,1329),$V$4:$V$3183,0)),""))</f>
        <v/>
      </c>
      <c r="J1332">
        <f>IF($B1332="","",IF($D1332&gt;$F$2,"À venir",IF($E1332&lt;$D$2,"Passé","Dans la période")))</f>
        <v/>
      </c>
      <c r="K1332">
        <f>IF(OR($B1332="",NOT(ISNUMBER($D1332))),"",IF(AND($E1332&lt;$D$2,$G1332&lt;&gt;"X",$F1332&lt;&gt;"Réalisé",$F1332&lt;&gt;"Clôturé"),"RETARD",""))</f>
        <v/>
      </c>
      <c r="L1332">
        <f>IF(OR($B1332="",NOT(ISNUMBER($D1332))),"",IF(AND($D1332&gt;=$D$2,$D1332&lt;=$H$2,$G1332&lt;&gt;"X",$F1332&lt;&gt;"Réalisé",$F1332&lt;&gt;"Clôturé"),"≤ 7 j",""))</f>
        <v/>
      </c>
      <c r="M1332" s="29">
        <f>IF($B1332="","",IFERROR(INDEX($T$4:$T$3183,MATCH(SMALL($V$4:$V$3183,1329),$V$4:$V$3183,0)),""))</f>
        <v/>
      </c>
      <c r="O1332">
        <f>IF(INDEX(Suivi!$B:$B,1358)="","",INDEX(Suivi!$B:$B,1358))</f>
        <v/>
      </c>
      <c r="P1332">
        <f>IF($O1332="","",IF(INDEX(Suivi!$D:$D,1358)="",INDEX(Suivi!$C:$C,1358),INDEX(Suivi!$D:$D,1358)))</f>
        <v/>
      </c>
      <c r="Q1332">
        <f>IF($O1332="","",INDEX(Suivi!$E:$E,1358))</f>
        <v/>
      </c>
      <c r="R1332">
        <f>IF($O1332="","",INDEX(Suivi!$F:$F,1358))</f>
        <v/>
      </c>
      <c r="S1332">
        <f>IF($O1332="","",INDEX(Suivi!$G:$G,1358))</f>
        <v/>
      </c>
      <c r="T1332">
        <f>IF($O1332="","",IF(INDEX(Dossiers!$F$4:$F$63,26)="","",INDEX(Dossiers!$F$4:$F$63,26)))</f>
        <v/>
      </c>
      <c r="U1332">
        <f>IF($O1332="","",IF(INDEX(Dossiers!$G$4:$G$63,26)="","",INDEX(Dossiers!$G$4:$G$63,26)))</f>
        <v/>
      </c>
      <c r="V1332">
        <f>IF(OR($O1332="",NOT(ISNUMBER($Q1332))),"",$Q1332*1000000+1332)</f>
        <v/>
      </c>
      <c r="W1332" s="29">
        <f>IF($B1332="","",IFERROR(INDEX($U$4:$U$3183,MATCH(SMALL($V$4:$V$3183,1329),$V$4:$V$3183,0)),""))</f>
        <v/>
      </c>
    </row>
    <row r="1333">
      <c r="A1333">
        <f>IFERROR(INDEX($N$4:$N$3183,MATCH(SMALL($V$4:$V$3183,1330),$V$4:$V$3183,0)),"")</f>
        <v/>
      </c>
      <c r="B1333">
        <f>IFERROR(INDEX($O$4:$O$3183,MATCH(SMALL($V$4:$V$3183,1330),$V$4:$V$3183,0)),"")</f>
        <v/>
      </c>
      <c r="C1333">
        <f>IFERROR(INDEX($P$4:$P$3183,MATCH(SMALL($V$4:$V$3183,1330),$V$4:$V$3183,0)),"")</f>
        <v/>
      </c>
      <c r="D1333" s="29">
        <f>IFERROR(INDEX($Q$4:$Q$3183,MATCH(SMALL($V$4:$V$3183,1330),$V$4:$V$3183,0)),"")</f>
        <v/>
      </c>
      <c r="E1333" s="29">
        <f>IFERROR(INDEX($R$4:$R$3183,MATCH(SMALL($V$4:$V$3183,1330),$V$4:$V$3183,0)),"")</f>
        <v/>
      </c>
      <c r="F1333">
        <f>IFERROR(INDEX($S$4:$S$3183,MATCH(SMALL($V$4:$V$3183,1330),$V$4:$V$3183,0)),"")</f>
        <v/>
      </c>
      <c r="I1333" s="29">
        <f>IF($B1333="","",IFERROR(INDEX($U$4:$U$3183,MATCH(SMALL($V$4:$V$3183,1330),$V$4:$V$3183,0)),""))</f>
        <v/>
      </c>
      <c r="J1333">
        <f>IF($B1333="","",IF($D1333&gt;$F$2,"À venir",IF($E1333&lt;$D$2,"Passé","Dans la période")))</f>
        <v/>
      </c>
      <c r="K1333">
        <f>IF(OR($B1333="",NOT(ISNUMBER($D1333))),"",IF(AND($E1333&lt;$D$2,$G1333&lt;&gt;"X",$F1333&lt;&gt;"Réalisé",$F1333&lt;&gt;"Clôturé"),"RETARD",""))</f>
        <v/>
      </c>
      <c r="L1333">
        <f>IF(OR($B1333="",NOT(ISNUMBER($D1333))),"",IF(AND($D1333&gt;=$D$2,$D1333&lt;=$H$2,$G1333&lt;&gt;"X",$F1333&lt;&gt;"Réalisé",$F1333&lt;&gt;"Clôturé"),"≤ 7 j",""))</f>
        <v/>
      </c>
      <c r="M1333" s="29">
        <f>IF($B1333="","",IFERROR(INDEX($T$4:$T$3183,MATCH(SMALL($V$4:$V$3183,1330),$V$4:$V$3183,0)),""))</f>
        <v/>
      </c>
      <c r="O1333">
        <f>IF(INDEX(Suivi!$B:$B,1359)="","",INDEX(Suivi!$B:$B,1359))</f>
        <v/>
      </c>
      <c r="P1333">
        <f>IF($O1333="","",IF(INDEX(Suivi!$D:$D,1359)="",INDEX(Suivi!$C:$C,1359),INDEX(Suivi!$D:$D,1359)))</f>
        <v/>
      </c>
      <c r="Q1333">
        <f>IF($O1333="","",INDEX(Suivi!$E:$E,1359))</f>
        <v/>
      </c>
      <c r="R1333">
        <f>IF($O1333="","",INDEX(Suivi!$F:$F,1359))</f>
        <v/>
      </c>
      <c r="S1333">
        <f>IF($O1333="","",INDEX(Suivi!$G:$G,1359))</f>
        <v/>
      </c>
      <c r="T1333">
        <f>IF($O1333="","",IF(INDEX(Dossiers!$F$4:$F$63,26)="","",INDEX(Dossiers!$F$4:$F$63,26)))</f>
        <v/>
      </c>
      <c r="U1333">
        <f>IF($O1333="","",IF(INDEX(Dossiers!$G$4:$G$63,26)="","",INDEX(Dossiers!$G$4:$G$63,26)))</f>
        <v/>
      </c>
      <c r="V1333">
        <f>IF(OR($O1333="",NOT(ISNUMBER($Q1333))),"",$Q1333*1000000+1333)</f>
        <v/>
      </c>
      <c r="W1333" s="29">
        <f>IF($B1333="","",IFERROR(INDEX($U$4:$U$3183,MATCH(SMALL($V$4:$V$3183,1330),$V$4:$V$3183,0)),""))</f>
        <v/>
      </c>
    </row>
    <row r="1334">
      <c r="A1334">
        <f>IFERROR(INDEX($N$4:$N$3183,MATCH(SMALL($V$4:$V$3183,1331),$V$4:$V$3183,0)),"")</f>
        <v/>
      </c>
      <c r="B1334">
        <f>IFERROR(INDEX($O$4:$O$3183,MATCH(SMALL($V$4:$V$3183,1331),$V$4:$V$3183,0)),"")</f>
        <v/>
      </c>
      <c r="C1334">
        <f>IFERROR(INDEX($P$4:$P$3183,MATCH(SMALL($V$4:$V$3183,1331),$V$4:$V$3183,0)),"")</f>
        <v/>
      </c>
      <c r="D1334" s="29">
        <f>IFERROR(INDEX($Q$4:$Q$3183,MATCH(SMALL($V$4:$V$3183,1331),$V$4:$V$3183,0)),"")</f>
        <v/>
      </c>
      <c r="E1334" s="29">
        <f>IFERROR(INDEX($R$4:$R$3183,MATCH(SMALL($V$4:$V$3183,1331),$V$4:$V$3183,0)),"")</f>
        <v/>
      </c>
      <c r="F1334">
        <f>IFERROR(INDEX($S$4:$S$3183,MATCH(SMALL($V$4:$V$3183,1331),$V$4:$V$3183,0)),"")</f>
        <v/>
      </c>
      <c r="I1334" s="29">
        <f>IF($B1334="","",IFERROR(INDEX($U$4:$U$3183,MATCH(SMALL($V$4:$V$3183,1331),$V$4:$V$3183,0)),""))</f>
        <v/>
      </c>
      <c r="J1334">
        <f>IF($B1334="","",IF($D1334&gt;$F$2,"À venir",IF($E1334&lt;$D$2,"Passé","Dans la période")))</f>
        <v/>
      </c>
      <c r="K1334">
        <f>IF(OR($B1334="",NOT(ISNUMBER($D1334))),"",IF(AND($E1334&lt;$D$2,$G1334&lt;&gt;"X",$F1334&lt;&gt;"Réalisé",$F1334&lt;&gt;"Clôturé"),"RETARD",""))</f>
        <v/>
      </c>
      <c r="L1334">
        <f>IF(OR($B1334="",NOT(ISNUMBER($D1334))),"",IF(AND($D1334&gt;=$D$2,$D1334&lt;=$H$2,$G1334&lt;&gt;"X",$F1334&lt;&gt;"Réalisé",$F1334&lt;&gt;"Clôturé"),"≤ 7 j",""))</f>
        <v/>
      </c>
      <c r="M1334" s="29">
        <f>IF($B1334="","",IFERROR(INDEX($T$4:$T$3183,MATCH(SMALL($V$4:$V$3183,1331),$V$4:$V$3183,0)),""))</f>
        <v/>
      </c>
      <c r="O1334">
        <f>IF(INDEX(Suivi!$B:$B,1360)="","",INDEX(Suivi!$B:$B,1360))</f>
        <v/>
      </c>
      <c r="P1334">
        <f>IF($O1334="","",IF(INDEX(Suivi!$D:$D,1360)="",INDEX(Suivi!$C:$C,1360),INDEX(Suivi!$D:$D,1360)))</f>
        <v/>
      </c>
      <c r="Q1334">
        <f>IF($O1334="","",INDEX(Suivi!$E:$E,1360))</f>
        <v/>
      </c>
      <c r="R1334">
        <f>IF($O1334="","",INDEX(Suivi!$F:$F,1360))</f>
        <v/>
      </c>
      <c r="S1334">
        <f>IF($O1334="","",INDEX(Suivi!$G:$G,1360))</f>
        <v/>
      </c>
      <c r="T1334">
        <f>IF($O1334="","",IF(INDEX(Dossiers!$F$4:$F$63,26)="","",INDEX(Dossiers!$F$4:$F$63,26)))</f>
        <v/>
      </c>
      <c r="U1334">
        <f>IF($O1334="","",IF(INDEX(Dossiers!$G$4:$G$63,26)="","",INDEX(Dossiers!$G$4:$G$63,26)))</f>
        <v/>
      </c>
      <c r="V1334">
        <f>IF(OR($O1334="",NOT(ISNUMBER($Q1334))),"",$Q1334*1000000+1334)</f>
        <v/>
      </c>
      <c r="W1334" s="29">
        <f>IF($B1334="","",IFERROR(INDEX($U$4:$U$3183,MATCH(SMALL($V$4:$V$3183,1331),$V$4:$V$3183,0)),""))</f>
        <v/>
      </c>
    </row>
    <row r="1335">
      <c r="A1335">
        <f>IFERROR(INDEX($N$4:$N$3183,MATCH(SMALL($V$4:$V$3183,1332),$V$4:$V$3183,0)),"")</f>
        <v/>
      </c>
      <c r="B1335">
        <f>IFERROR(INDEX($O$4:$O$3183,MATCH(SMALL($V$4:$V$3183,1332),$V$4:$V$3183,0)),"")</f>
        <v/>
      </c>
      <c r="C1335">
        <f>IFERROR(INDEX($P$4:$P$3183,MATCH(SMALL($V$4:$V$3183,1332),$V$4:$V$3183,0)),"")</f>
        <v/>
      </c>
      <c r="D1335" s="29">
        <f>IFERROR(INDEX($Q$4:$Q$3183,MATCH(SMALL($V$4:$V$3183,1332),$V$4:$V$3183,0)),"")</f>
        <v/>
      </c>
      <c r="E1335" s="29">
        <f>IFERROR(INDEX($R$4:$R$3183,MATCH(SMALL($V$4:$V$3183,1332),$V$4:$V$3183,0)),"")</f>
        <v/>
      </c>
      <c r="F1335">
        <f>IFERROR(INDEX($S$4:$S$3183,MATCH(SMALL($V$4:$V$3183,1332),$V$4:$V$3183,0)),"")</f>
        <v/>
      </c>
      <c r="I1335" s="29">
        <f>IF($B1335="","",IFERROR(INDEX($U$4:$U$3183,MATCH(SMALL($V$4:$V$3183,1332),$V$4:$V$3183,0)),""))</f>
        <v/>
      </c>
      <c r="J1335">
        <f>IF($B1335="","",IF($D1335&gt;$F$2,"À venir",IF($E1335&lt;$D$2,"Passé","Dans la période")))</f>
        <v/>
      </c>
      <c r="K1335">
        <f>IF(OR($B1335="",NOT(ISNUMBER($D1335))),"",IF(AND($E1335&lt;$D$2,$G1335&lt;&gt;"X",$F1335&lt;&gt;"Réalisé",$F1335&lt;&gt;"Clôturé"),"RETARD",""))</f>
        <v/>
      </c>
      <c r="L1335">
        <f>IF(OR($B1335="",NOT(ISNUMBER($D1335))),"",IF(AND($D1335&gt;=$D$2,$D1335&lt;=$H$2,$G1335&lt;&gt;"X",$F1335&lt;&gt;"Réalisé",$F1335&lt;&gt;"Clôturé"),"≤ 7 j",""))</f>
        <v/>
      </c>
      <c r="M1335" s="29">
        <f>IF($B1335="","",IFERROR(INDEX($T$4:$T$3183,MATCH(SMALL($V$4:$V$3183,1332),$V$4:$V$3183,0)),""))</f>
        <v/>
      </c>
      <c r="O1335">
        <f>IF(INDEX(Suivi!$B:$B,1361)="","",INDEX(Suivi!$B:$B,1361))</f>
        <v/>
      </c>
      <c r="P1335">
        <f>IF($O1335="","",IF(INDEX(Suivi!$D:$D,1361)="",INDEX(Suivi!$C:$C,1361),INDEX(Suivi!$D:$D,1361)))</f>
        <v/>
      </c>
      <c r="Q1335">
        <f>IF($O1335="","",INDEX(Suivi!$E:$E,1361))</f>
        <v/>
      </c>
      <c r="R1335">
        <f>IF($O1335="","",INDEX(Suivi!$F:$F,1361))</f>
        <v/>
      </c>
      <c r="S1335">
        <f>IF($O1335="","",INDEX(Suivi!$G:$G,1361))</f>
        <v/>
      </c>
      <c r="T1335">
        <f>IF($O1335="","",IF(INDEX(Dossiers!$F$4:$F$63,26)="","",INDEX(Dossiers!$F$4:$F$63,26)))</f>
        <v/>
      </c>
      <c r="U1335">
        <f>IF($O1335="","",IF(INDEX(Dossiers!$G$4:$G$63,26)="","",INDEX(Dossiers!$G$4:$G$63,26)))</f>
        <v/>
      </c>
      <c r="V1335">
        <f>IF(OR($O1335="",NOT(ISNUMBER($Q1335))),"",$Q1335*1000000+1335)</f>
        <v/>
      </c>
      <c r="W1335" s="29">
        <f>IF($B1335="","",IFERROR(INDEX($U$4:$U$3183,MATCH(SMALL($V$4:$V$3183,1332),$V$4:$V$3183,0)),""))</f>
        <v/>
      </c>
    </row>
    <row r="1336">
      <c r="A1336">
        <f>IFERROR(INDEX($N$4:$N$3183,MATCH(SMALL($V$4:$V$3183,1333),$V$4:$V$3183,0)),"")</f>
        <v/>
      </c>
      <c r="B1336">
        <f>IFERROR(INDEX($O$4:$O$3183,MATCH(SMALL($V$4:$V$3183,1333),$V$4:$V$3183,0)),"")</f>
        <v/>
      </c>
      <c r="C1336">
        <f>IFERROR(INDEX($P$4:$P$3183,MATCH(SMALL($V$4:$V$3183,1333),$V$4:$V$3183,0)),"")</f>
        <v/>
      </c>
      <c r="D1336" s="29">
        <f>IFERROR(INDEX($Q$4:$Q$3183,MATCH(SMALL($V$4:$V$3183,1333),$V$4:$V$3183,0)),"")</f>
        <v/>
      </c>
      <c r="E1336" s="29">
        <f>IFERROR(INDEX($R$4:$R$3183,MATCH(SMALL($V$4:$V$3183,1333),$V$4:$V$3183,0)),"")</f>
        <v/>
      </c>
      <c r="F1336">
        <f>IFERROR(INDEX($S$4:$S$3183,MATCH(SMALL($V$4:$V$3183,1333),$V$4:$V$3183,0)),"")</f>
        <v/>
      </c>
      <c r="I1336" s="29">
        <f>IF($B1336="","",IFERROR(INDEX($U$4:$U$3183,MATCH(SMALL($V$4:$V$3183,1333),$V$4:$V$3183,0)),""))</f>
        <v/>
      </c>
      <c r="J1336">
        <f>IF($B1336="","",IF($D1336&gt;$F$2,"À venir",IF($E1336&lt;$D$2,"Passé","Dans la période")))</f>
        <v/>
      </c>
      <c r="K1336">
        <f>IF(OR($B1336="",NOT(ISNUMBER($D1336))),"",IF(AND($E1336&lt;$D$2,$G1336&lt;&gt;"X",$F1336&lt;&gt;"Réalisé",$F1336&lt;&gt;"Clôturé"),"RETARD",""))</f>
        <v/>
      </c>
      <c r="L1336">
        <f>IF(OR($B1336="",NOT(ISNUMBER($D1336))),"",IF(AND($D1336&gt;=$D$2,$D1336&lt;=$H$2,$G1336&lt;&gt;"X",$F1336&lt;&gt;"Réalisé",$F1336&lt;&gt;"Clôturé"),"≤ 7 j",""))</f>
        <v/>
      </c>
      <c r="M1336" s="29">
        <f>IF($B1336="","",IFERROR(INDEX($T$4:$T$3183,MATCH(SMALL($V$4:$V$3183,1333),$V$4:$V$3183,0)),""))</f>
        <v/>
      </c>
      <c r="O1336">
        <f>IF(INDEX(Suivi!$B:$B,1362)="","",INDEX(Suivi!$B:$B,1362))</f>
        <v/>
      </c>
      <c r="P1336">
        <f>IF($O1336="","",IF(INDEX(Suivi!$D:$D,1362)="",INDEX(Suivi!$C:$C,1362),INDEX(Suivi!$D:$D,1362)))</f>
        <v/>
      </c>
      <c r="Q1336">
        <f>IF($O1336="","",INDEX(Suivi!$E:$E,1362))</f>
        <v/>
      </c>
      <c r="R1336">
        <f>IF($O1336="","",INDEX(Suivi!$F:$F,1362))</f>
        <v/>
      </c>
      <c r="S1336">
        <f>IF($O1336="","",INDEX(Suivi!$G:$G,1362))</f>
        <v/>
      </c>
      <c r="T1336">
        <f>IF($O1336="","",IF(INDEX(Dossiers!$F$4:$F$63,26)="","",INDEX(Dossiers!$F$4:$F$63,26)))</f>
        <v/>
      </c>
      <c r="U1336">
        <f>IF($O1336="","",IF(INDEX(Dossiers!$G$4:$G$63,26)="","",INDEX(Dossiers!$G$4:$G$63,26)))</f>
        <v/>
      </c>
      <c r="V1336">
        <f>IF(OR($O1336="",NOT(ISNUMBER($Q1336))),"",$Q1336*1000000+1336)</f>
        <v/>
      </c>
      <c r="W1336" s="29">
        <f>IF($B1336="","",IFERROR(INDEX($U$4:$U$3183,MATCH(SMALL($V$4:$V$3183,1333),$V$4:$V$3183,0)),""))</f>
        <v/>
      </c>
    </row>
    <row r="1337">
      <c r="A1337">
        <f>IFERROR(INDEX($N$4:$N$3183,MATCH(SMALL($V$4:$V$3183,1334),$V$4:$V$3183,0)),"")</f>
        <v/>
      </c>
      <c r="B1337">
        <f>IFERROR(INDEX($O$4:$O$3183,MATCH(SMALL($V$4:$V$3183,1334),$V$4:$V$3183,0)),"")</f>
        <v/>
      </c>
      <c r="C1337">
        <f>IFERROR(INDEX($P$4:$P$3183,MATCH(SMALL($V$4:$V$3183,1334),$V$4:$V$3183,0)),"")</f>
        <v/>
      </c>
      <c r="D1337" s="29">
        <f>IFERROR(INDEX($Q$4:$Q$3183,MATCH(SMALL($V$4:$V$3183,1334),$V$4:$V$3183,0)),"")</f>
        <v/>
      </c>
      <c r="E1337" s="29">
        <f>IFERROR(INDEX($R$4:$R$3183,MATCH(SMALL($V$4:$V$3183,1334),$V$4:$V$3183,0)),"")</f>
        <v/>
      </c>
      <c r="F1337">
        <f>IFERROR(INDEX($S$4:$S$3183,MATCH(SMALL($V$4:$V$3183,1334),$V$4:$V$3183,0)),"")</f>
        <v/>
      </c>
      <c r="I1337" s="29">
        <f>IF($B1337="","",IFERROR(INDEX($U$4:$U$3183,MATCH(SMALL($V$4:$V$3183,1334),$V$4:$V$3183,0)),""))</f>
        <v/>
      </c>
      <c r="J1337">
        <f>IF($B1337="","",IF($D1337&gt;$F$2,"À venir",IF($E1337&lt;$D$2,"Passé","Dans la période")))</f>
        <v/>
      </c>
      <c r="K1337">
        <f>IF(OR($B1337="",NOT(ISNUMBER($D1337))),"",IF(AND($E1337&lt;$D$2,$G1337&lt;&gt;"X",$F1337&lt;&gt;"Réalisé",$F1337&lt;&gt;"Clôturé"),"RETARD",""))</f>
        <v/>
      </c>
      <c r="L1337">
        <f>IF(OR($B1337="",NOT(ISNUMBER($D1337))),"",IF(AND($D1337&gt;=$D$2,$D1337&lt;=$H$2,$G1337&lt;&gt;"X",$F1337&lt;&gt;"Réalisé",$F1337&lt;&gt;"Clôturé"),"≤ 7 j",""))</f>
        <v/>
      </c>
      <c r="M1337" s="29">
        <f>IF($B1337="","",IFERROR(INDEX($T$4:$T$3183,MATCH(SMALL($V$4:$V$3183,1334),$V$4:$V$3183,0)),""))</f>
        <v/>
      </c>
      <c r="O1337">
        <f>IF(INDEX(Suivi!$B:$B,1363)="","",INDEX(Suivi!$B:$B,1363))</f>
        <v/>
      </c>
      <c r="P1337">
        <f>IF($O1337="","",IF(INDEX(Suivi!$D:$D,1363)="",INDEX(Suivi!$C:$C,1363),INDEX(Suivi!$D:$D,1363)))</f>
        <v/>
      </c>
      <c r="Q1337">
        <f>IF($O1337="","",INDEX(Suivi!$E:$E,1363))</f>
        <v/>
      </c>
      <c r="R1337">
        <f>IF($O1337="","",INDEX(Suivi!$F:$F,1363))</f>
        <v/>
      </c>
      <c r="S1337">
        <f>IF($O1337="","",INDEX(Suivi!$G:$G,1363))</f>
        <v/>
      </c>
      <c r="T1337">
        <f>IF($O1337="","",IF(INDEX(Dossiers!$F$4:$F$63,26)="","",INDEX(Dossiers!$F$4:$F$63,26)))</f>
        <v/>
      </c>
      <c r="U1337">
        <f>IF($O1337="","",IF(INDEX(Dossiers!$G$4:$G$63,26)="","",INDEX(Dossiers!$G$4:$G$63,26)))</f>
        <v/>
      </c>
      <c r="V1337">
        <f>IF(OR($O1337="",NOT(ISNUMBER($Q1337))),"",$Q1337*1000000+1337)</f>
        <v/>
      </c>
      <c r="W1337" s="29">
        <f>IF($B1337="","",IFERROR(INDEX($U$4:$U$3183,MATCH(SMALL($V$4:$V$3183,1334),$V$4:$V$3183,0)),""))</f>
        <v/>
      </c>
    </row>
    <row r="1338">
      <c r="A1338">
        <f>IFERROR(INDEX($N$4:$N$3183,MATCH(SMALL($V$4:$V$3183,1335),$V$4:$V$3183,0)),"")</f>
        <v/>
      </c>
      <c r="B1338">
        <f>IFERROR(INDEX($O$4:$O$3183,MATCH(SMALL($V$4:$V$3183,1335),$V$4:$V$3183,0)),"")</f>
        <v/>
      </c>
      <c r="C1338">
        <f>IFERROR(INDEX($P$4:$P$3183,MATCH(SMALL($V$4:$V$3183,1335),$V$4:$V$3183,0)),"")</f>
        <v/>
      </c>
      <c r="D1338" s="29">
        <f>IFERROR(INDEX($Q$4:$Q$3183,MATCH(SMALL($V$4:$V$3183,1335),$V$4:$V$3183,0)),"")</f>
        <v/>
      </c>
      <c r="E1338" s="29">
        <f>IFERROR(INDEX($R$4:$R$3183,MATCH(SMALL($V$4:$V$3183,1335),$V$4:$V$3183,0)),"")</f>
        <v/>
      </c>
      <c r="F1338">
        <f>IFERROR(INDEX($S$4:$S$3183,MATCH(SMALL($V$4:$V$3183,1335),$V$4:$V$3183,0)),"")</f>
        <v/>
      </c>
      <c r="I1338" s="29">
        <f>IF($B1338="","",IFERROR(INDEX($U$4:$U$3183,MATCH(SMALL($V$4:$V$3183,1335),$V$4:$V$3183,0)),""))</f>
        <v/>
      </c>
      <c r="J1338">
        <f>IF($B1338="","",IF($D1338&gt;$F$2,"À venir",IF($E1338&lt;$D$2,"Passé","Dans la période")))</f>
        <v/>
      </c>
      <c r="K1338">
        <f>IF(OR($B1338="",NOT(ISNUMBER($D1338))),"",IF(AND($E1338&lt;$D$2,$G1338&lt;&gt;"X",$F1338&lt;&gt;"Réalisé",$F1338&lt;&gt;"Clôturé"),"RETARD",""))</f>
        <v/>
      </c>
      <c r="L1338">
        <f>IF(OR($B1338="",NOT(ISNUMBER($D1338))),"",IF(AND($D1338&gt;=$D$2,$D1338&lt;=$H$2,$G1338&lt;&gt;"X",$F1338&lt;&gt;"Réalisé",$F1338&lt;&gt;"Clôturé"),"≤ 7 j",""))</f>
        <v/>
      </c>
      <c r="M1338" s="29">
        <f>IF($B1338="","",IFERROR(INDEX($T$4:$T$3183,MATCH(SMALL($V$4:$V$3183,1335),$V$4:$V$3183,0)),""))</f>
        <v/>
      </c>
      <c r="O1338">
        <f>IF(INDEX(Suivi!$B:$B,1364)="","",INDEX(Suivi!$B:$B,1364))</f>
        <v/>
      </c>
      <c r="P1338">
        <f>IF($O1338="","",IF(INDEX(Suivi!$D:$D,1364)="",INDEX(Suivi!$C:$C,1364),INDEX(Suivi!$D:$D,1364)))</f>
        <v/>
      </c>
      <c r="Q1338">
        <f>IF($O1338="","",INDEX(Suivi!$E:$E,1364))</f>
        <v/>
      </c>
      <c r="R1338">
        <f>IF($O1338="","",INDEX(Suivi!$F:$F,1364))</f>
        <v/>
      </c>
      <c r="S1338">
        <f>IF($O1338="","",INDEX(Suivi!$G:$G,1364))</f>
        <v/>
      </c>
      <c r="T1338">
        <f>IF($O1338="","",IF(INDEX(Dossiers!$F$4:$F$63,26)="","",INDEX(Dossiers!$F$4:$F$63,26)))</f>
        <v/>
      </c>
      <c r="U1338">
        <f>IF($O1338="","",IF(INDEX(Dossiers!$G$4:$G$63,26)="","",INDEX(Dossiers!$G$4:$G$63,26)))</f>
        <v/>
      </c>
      <c r="V1338">
        <f>IF(OR($O1338="",NOT(ISNUMBER($Q1338))),"",$Q1338*1000000+1338)</f>
        <v/>
      </c>
      <c r="W1338" s="29">
        <f>IF($B1338="","",IFERROR(INDEX($U$4:$U$3183,MATCH(SMALL($V$4:$V$3183,1335),$V$4:$V$3183,0)),""))</f>
        <v/>
      </c>
    </row>
    <row r="1339">
      <c r="A1339">
        <f>IFERROR(INDEX($N$4:$N$3183,MATCH(SMALL($V$4:$V$3183,1336),$V$4:$V$3183,0)),"")</f>
        <v/>
      </c>
      <c r="B1339">
        <f>IFERROR(INDEX($O$4:$O$3183,MATCH(SMALL($V$4:$V$3183,1336),$V$4:$V$3183,0)),"")</f>
        <v/>
      </c>
      <c r="C1339">
        <f>IFERROR(INDEX($P$4:$P$3183,MATCH(SMALL($V$4:$V$3183,1336),$V$4:$V$3183,0)),"")</f>
        <v/>
      </c>
      <c r="D1339" s="29">
        <f>IFERROR(INDEX($Q$4:$Q$3183,MATCH(SMALL($V$4:$V$3183,1336),$V$4:$V$3183,0)),"")</f>
        <v/>
      </c>
      <c r="E1339" s="29">
        <f>IFERROR(INDEX($R$4:$R$3183,MATCH(SMALL($V$4:$V$3183,1336),$V$4:$V$3183,0)),"")</f>
        <v/>
      </c>
      <c r="F1339">
        <f>IFERROR(INDEX($S$4:$S$3183,MATCH(SMALL($V$4:$V$3183,1336),$V$4:$V$3183,0)),"")</f>
        <v/>
      </c>
      <c r="I1339" s="29">
        <f>IF($B1339="","",IFERROR(INDEX($U$4:$U$3183,MATCH(SMALL($V$4:$V$3183,1336),$V$4:$V$3183,0)),""))</f>
        <v/>
      </c>
      <c r="J1339">
        <f>IF($B1339="","",IF($D1339&gt;$F$2,"À venir",IF($E1339&lt;$D$2,"Passé","Dans la période")))</f>
        <v/>
      </c>
      <c r="K1339">
        <f>IF(OR($B1339="",NOT(ISNUMBER($D1339))),"",IF(AND($E1339&lt;$D$2,$G1339&lt;&gt;"X",$F1339&lt;&gt;"Réalisé",$F1339&lt;&gt;"Clôturé"),"RETARD",""))</f>
        <v/>
      </c>
      <c r="L1339">
        <f>IF(OR($B1339="",NOT(ISNUMBER($D1339))),"",IF(AND($D1339&gt;=$D$2,$D1339&lt;=$H$2,$G1339&lt;&gt;"X",$F1339&lt;&gt;"Réalisé",$F1339&lt;&gt;"Clôturé"),"≤ 7 j",""))</f>
        <v/>
      </c>
      <c r="M1339" s="29">
        <f>IF($B1339="","",IFERROR(INDEX($T$4:$T$3183,MATCH(SMALL($V$4:$V$3183,1336),$V$4:$V$3183,0)),""))</f>
        <v/>
      </c>
      <c r="O1339">
        <f>IF(INDEX(Suivi!$B:$B,1365)="","",INDEX(Suivi!$B:$B,1365))</f>
        <v/>
      </c>
      <c r="P1339">
        <f>IF($O1339="","",IF(INDEX(Suivi!$D:$D,1365)="",INDEX(Suivi!$C:$C,1365),INDEX(Suivi!$D:$D,1365)))</f>
        <v/>
      </c>
      <c r="Q1339">
        <f>IF($O1339="","",INDEX(Suivi!$E:$E,1365))</f>
        <v/>
      </c>
      <c r="R1339">
        <f>IF($O1339="","",INDEX(Suivi!$F:$F,1365))</f>
        <v/>
      </c>
      <c r="S1339">
        <f>IF($O1339="","",INDEX(Suivi!$G:$G,1365))</f>
        <v/>
      </c>
      <c r="T1339">
        <f>IF($O1339="","",IF(INDEX(Dossiers!$F$4:$F$63,26)="","",INDEX(Dossiers!$F$4:$F$63,26)))</f>
        <v/>
      </c>
      <c r="U1339">
        <f>IF($O1339="","",IF(INDEX(Dossiers!$G$4:$G$63,26)="","",INDEX(Dossiers!$G$4:$G$63,26)))</f>
        <v/>
      </c>
      <c r="V1339">
        <f>IF(OR($O1339="",NOT(ISNUMBER($Q1339))),"",$Q1339*1000000+1339)</f>
        <v/>
      </c>
      <c r="W1339" s="29">
        <f>IF($B1339="","",IFERROR(INDEX($U$4:$U$3183,MATCH(SMALL($V$4:$V$3183,1336),$V$4:$V$3183,0)),""))</f>
        <v/>
      </c>
    </row>
    <row r="1340">
      <c r="A1340">
        <f>IFERROR(INDEX($N$4:$N$3183,MATCH(SMALL($V$4:$V$3183,1337),$V$4:$V$3183,0)),"")</f>
        <v/>
      </c>
      <c r="B1340">
        <f>IFERROR(INDEX($O$4:$O$3183,MATCH(SMALL($V$4:$V$3183,1337),$V$4:$V$3183,0)),"")</f>
        <v/>
      </c>
      <c r="C1340">
        <f>IFERROR(INDEX($P$4:$P$3183,MATCH(SMALL($V$4:$V$3183,1337),$V$4:$V$3183,0)),"")</f>
        <v/>
      </c>
      <c r="D1340" s="29">
        <f>IFERROR(INDEX($Q$4:$Q$3183,MATCH(SMALL($V$4:$V$3183,1337),$V$4:$V$3183,0)),"")</f>
        <v/>
      </c>
      <c r="E1340" s="29">
        <f>IFERROR(INDEX($R$4:$R$3183,MATCH(SMALL($V$4:$V$3183,1337),$V$4:$V$3183,0)),"")</f>
        <v/>
      </c>
      <c r="F1340">
        <f>IFERROR(INDEX($S$4:$S$3183,MATCH(SMALL($V$4:$V$3183,1337),$V$4:$V$3183,0)),"")</f>
        <v/>
      </c>
      <c r="I1340" s="29">
        <f>IF($B1340="","",IFERROR(INDEX($U$4:$U$3183,MATCH(SMALL($V$4:$V$3183,1337),$V$4:$V$3183,0)),""))</f>
        <v/>
      </c>
      <c r="J1340">
        <f>IF($B1340="","",IF($D1340&gt;$F$2,"À venir",IF($E1340&lt;$D$2,"Passé","Dans la période")))</f>
        <v/>
      </c>
      <c r="K1340">
        <f>IF(OR($B1340="",NOT(ISNUMBER($D1340))),"",IF(AND($E1340&lt;$D$2,$G1340&lt;&gt;"X",$F1340&lt;&gt;"Réalisé",$F1340&lt;&gt;"Clôturé"),"RETARD",""))</f>
        <v/>
      </c>
      <c r="L1340">
        <f>IF(OR($B1340="",NOT(ISNUMBER($D1340))),"",IF(AND($D1340&gt;=$D$2,$D1340&lt;=$H$2,$G1340&lt;&gt;"X",$F1340&lt;&gt;"Réalisé",$F1340&lt;&gt;"Clôturé"),"≤ 7 j",""))</f>
        <v/>
      </c>
      <c r="M1340" s="29">
        <f>IF($B1340="","",IFERROR(INDEX($T$4:$T$3183,MATCH(SMALL($V$4:$V$3183,1337),$V$4:$V$3183,0)),""))</f>
        <v/>
      </c>
      <c r="O1340">
        <f>IF(INDEX(Suivi!$B:$B,1366)="","",INDEX(Suivi!$B:$B,1366))</f>
        <v/>
      </c>
      <c r="P1340">
        <f>IF($O1340="","",IF(INDEX(Suivi!$D:$D,1366)="",INDEX(Suivi!$C:$C,1366),INDEX(Suivi!$D:$D,1366)))</f>
        <v/>
      </c>
      <c r="Q1340">
        <f>IF($O1340="","",INDEX(Suivi!$E:$E,1366))</f>
        <v/>
      </c>
      <c r="R1340">
        <f>IF($O1340="","",INDEX(Suivi!$F:$F,1366))</f>
        <v/>
      </c>
      <c r="S1340">
        <f>IF($O1340="","",INDEX(Suivi!$G:$G,1366))</f>
        <v/>
      </c>
      <c r="T1340">
        <f>IF($O1340="","",IF(INDEX(Dossiers!$F$4:$F$63,26)="","",INDEX(Dossiers!$F$4:$F$63,26)))</f>
        <v/>
      </c>
      <c r="U1340">
        <f>IF($O1340="","",IF(INDEX(Dossiers!$G$4:$G$63,26)="","",INDEX(Dossiers!$G$4:$G$63,26)))</f>
        <v/>
      </c>
      <c r="V1340">
        <f>IF(OR($O1340="",NOT(ISNUMBER($Q1340))),"",$Q1340*1000000+1340)</f>
        <v/>
      </c>
      <c r="W1340" s="29">
        <f>IF($B1340="","",IFERROR(INDEX($U$4:$U$3183,MATCH(SMALL($V$4:$V$3183,1337),$V$4:$V$3183,0)),""))</f>
        <v/>
      </c>
    </row>
    <row r="1341">
      <c r="A1341">
        <f>IFERROR(INDEX($N$4:$N$3183,MATCH(SMALL($V$4:$V$3183,1338),$V$4:$V$3183,0)),"")</f>
        <v/>
      </c>
      <c r="B1341">
        <f>IFERROR(INDEX($O$4:$O$3183,MATCH(SMALL($V$4:$V$3183,1338),$V$4:$V$3183,0)),"")</f>
        <v/>
      </c>
      <c r="C1341">
        <f>IFERROR(INDEX($P$4:$P$3183,MATCH(SMALL($V$4:$V$3183,1338),$V$4:$V$3183,0)),"")</f>
        <v/>
      </c>
      <c r="D1341" s="29">
        <f>IFERROR(INDEX($Q$4:$Q$3183,MATCH(SMALL($V$4:$V$3183,1338),$V$4:$V$3183,0)),"")</f>
        <v/>
      </c>
      <c r="E1341" s="29">
        <f>IFERROR(INDEX($R$4:$R$3183,MATCH(SMALL($V$4:$V$3183,1338),$V$4:$V$3183,0)),"")</f>
        <v/>
      </c>
      <c r="F1341">
        <f>IFERROR(INDEX($S$4:$S$3183,MATCH(SMALL($V$4:$V$3183,1338),$V$4:$V$3183,0)),"")</f>
        <v/>
      </c>
      <c r="I1341" s="29">
        <f>IF($B1341="","",IFERROR(INDEX($U$4:$U$3183,MATCH(SMALL($V$4:$V$3183,1338),$V$4:$V$3183,0)),""))</f>
        <v/>
      </c>
      <c r="J1341">
        <f>IF($B1341="","",IF($D1341&gt;$F$2,"À venir",IF($E1341&lt;$D$2,"Passé","Dans la période")))</f>
        <v/>
      </c>
      <c r="K1341">
        <f>IF(OR($B1341="",NOT(ISNUMBER($D1341))),"",IF(AND($E1341&lt;$D$2,$G1341&lt;&gt;"X",$F1341&lt;&gt;"Réalisé",$F1341&lt;&gt;"Clôturé"),"RETARD",""))</f>
        <v/>
      </c>
      <c r="L1341">
        <f>IF(OR($B1341="",NOT(ISNUMBER($D1341))),"",IF(AND($D1341&gt;=$D$2,$D1341&lt;=$H$2,$G1341&lt;&gt;"X",$F1341&lt;&gt;"Réalisé",$F1341&lt;&gt;"Clôturé"),"≤ 7 j",""))</f>
        <v/>
      </c>
      <c r="M1341" s="29">
        <f>IF($B1341="","",IFERROR(INDEX($T$4:$T$3183,MATCH(SMALL($V$4:$V$3183,1338),$V$4:$V$3183,0)),""))</f>
        <v/>
      </c>
      <c r="O1341">
        <f>IF(INDEX(Suivi!$B:$B,1367)="","",INDEX(Suivi!$B:$B,1367))</f>
        <v/>
      </c>
      <c r="P1341">
        <f>IF($O1341="","",IF(INDEX(Suivi!$D:$D,1367)="",INDEX(Suivi!$C:$C,1367),INDEX(Suivi!$D:$D,1367)))</f>
        <v/>
      </c>
      <c r="Q1341">
        <f>IF($O1341="","",INDEX(Suivi!$E:$E,1367))</f>
        <v/>
      </c>
      <c r="R1341">
        <f>IF($O1341="","",INDEX(Suivi!$F:$F,1367))</f>
        <v/>
      </c>
      <c r="S1341">
        <f>IF($O1341="","",INDEX(Suivi!$G:$G,1367))</f>
        <v/>
      </c>
      <c r="T1341">
        <f>IF($O1341="","",IF(INDEX(Dossiers!$F$4:$F$63,26)="","",INDEX(Dossiers!$F$4:$F$63,26)))</f>
        <v/>
      </c>
      <c r="U1341">
        <f>IF($O1341="","",IF(INDEX(Dossiers!$G$4:$G$63,26)="","",INDEX(Dossiers!$G$4:$G$63,26)))</f>
        <v/>
      </c>
      <c r="V1341">
        <f>IF(OR($O1341="",NOT(ISNUMBER($Q1341))),"",$Q1341*1000000+1341)</f>
        <v/>
      </c>
      <c r="W1341" s="29">
        <f>IF($B1341="","",IFERROR(INDEX($U$4:$U$3183,MATCH(SMALL($V$4:$V$3183,1338),$V$4:$V$3183,0)),""))</f>
        <v/>
      </c>
    </row>
    <row r="1342">
      <c r="A1342">
        <f>IFERROR(INDEX($N$4:$N$3183,MATCH(SMALL($V$4:$V$3183,1339),$V$4:$V$3183,0)),"")</f>
        <v/>
      </c>
      <c r="B1342">
        <f>IFERROR(INDEX($O$4:$O$3183,MATCH(SMALL($V$4:$V$3183,1339),$V$4:$V$3183,0)),"")</f>
        <v/>
      </c>
      <c r="C1342">
        <f>IFERROR(INDEX($P$4:$P$3183,MATCH(SMALL($V$4:$V$3183,1339),$V$4:$V$3183,0)),"")</f>
        <v/>
      </c>
      <c r="D1342" s="29">
        <f>IFERROR(INDEX($Q$4:$Q$3183,MATCH(SMALL($V$4:$V$3183,1339),$V$4:$V$3183,0)),"")</f>
        <v/>
      </c>
      <c r="E1342" s="29">
        <f>IFERROR(INDEX($R$4:$R$3183,MATCH(SMALL($V$4:$V$3183,1339),$V$4:$V$3183,0)),"")</f>
        <v/>
      </c>
      <c r="F1342">
        <f>IFERROR(INDEX($S$4:$S$3183,MATCH(SMALL($V$4:$V$3183,1339),$V$4:$V$3183,0)),"")</f>
        <v/>
      </c>
      <c r="I1342" s="29">
        <f>IF($B1342="","",IFERROR(INDEX($U$4:$U$3183,MATCH(SMALL($V$4:$V$3183,1339),$V$4:$V$3183,0)),""))</f>
        <v/>
      </c>
      <c r="J1342">
        <f>IF($B1342="","",IF($D1342&gt;$F$2,"À venir",IF($E1342&lt;$D$2,"Passé","Dans la période")))</f>
        <v/>
      </c>
      <c r="K1342">
        <f>IF(OR($B1342="",NOT(ISNUMBER($D1342))),"",IF(AND($E1342&lt;$D$2,$G1342&lt;&gt;"X",$F1342&lt;&gt;"Réalisé",$F1342&lt;&gt;"Clôturé"),"RETARD",""))</f>
        <v/>
      </c>
      <c r="L1342">
        <f>IF(OR($B1342="",NOT(ISNUMBER($D1342))),"",IF(AND($D1342&gt;=$D$2,$D1342&lt;=$H$2,$G1342&lt;&gt;"X",$F1342&lt;&gt;"Réalisé",$F1342&lt;&gt;"Clôturé"),"≤ 7 j",""))</f>
        <v/>
      </c>
      <c r="M1342" s="29">
        <f>IF($B1342="","",IFERROR(INDEX($T$4:$T$3183,MATCH(SMALL($V$4:$V$3183,1339),$V$4:$V$3183,0)),""))</f>
        <v/>
      </c>
      <c r="O1342">
        <f>IF(INDEX(Suivi!$B:$B,1368)="","",INDEX(Suivi!$B:$B,1368))</f>
        <v/>
      </c>
      <c r="P1342">
        <f>IF($O1342="","",IF(INDEX(Suivi!$D:$D,1368)="",INDEX(Suivi!$C:$C,1368),INDEX(Suivi!$D:$D,1368)))</f>
        <v/>
      </c>
      <c r="Q1342">
        <f>IF($O1342="","",INDEX(Suivi!$E:$E,1368))</f>
        <v/>
      </c>
      <c r="R1342">
        <f>IF($O1342="","",INDEX(Suivi!$F:$F,1368))</f>
        <v/>
      </c>
      <c r="S1342">
        <f>IF($O1342="","",INDEX(Suivi!$G:$G,1368))</f>
        <v/>
      </c>
      <c r="T1342">
        <f>IF($O1342="","",IF(INDEX(Dossiers!$F$4:$F$63,26)="","",INDEX(Dossiers!$F$4:$F$63,26)))</f>
        <v/>
      </c>
      <c r="U1342">
        <f>IF($O1342="","",IF(INDEX(Dossiers!$G$4:$G$63,26)="","",INDEX(Dossiers!$G$4:$G$63,26)))</f>
        <v/>
      </c>
      <c r="V1342">
        <f>IF(OR($O1342="",NOT(ISNUMBER($Q1342))),"",$Q1342*1000000+1342)</f>
        <v/>
      </c>
      <c r="W1342" s="29">
        <f>IF($B1342="","",IFERROR(INDEX($U$4:$U$3183,MATCH(SMALL($V$4:$V$3183,1339),$V$4:$V$3183,0)),""))</f>
        <v/>
      </c>
    </row>
    <row r="1343">
      <c r="A1343">
        <f>IFERROR(INDEX($N$4:$N$3183,MATCH(SMALL($V$4:$V$3183,1340),$V$4:$V$3183,0)),"")</f>
        <v/>
      </c>
      <c r="B1343">
        <f>IFERROR(INDEX($O$4:$O$3183,MATCH(SMALL($V$4:$V$3183,1340),$V$4:$V$3183,0)),"")</f>
        <v/>
      </c>
      <c r="C1343">
        <f>IFERROR(INDEX($P$4:$P$3183,MATCH(SMALL($V$4:$V$3183,1340),$V$4:$V$3183,0)),"")</f>
        <v/>
      </c>
      <c r="D1343" s="29">
        <f>IFERROR(INDEX($Q$4:$Q$3183,MATCH(SMALL($V$4:$V$3183,1340),$V$4:$V$3183,0)),"")</f>
        <v/>
      </c>
      <c r="E1343" s="29">
        <f>IFERROR(INDEX($R$4:$R$3183,MATCH(SMALL($V$4:$V$3183,1340),$V$4:$V$3183,0)),"")</f>
        <v/>
      </c>
      <c r="F1343">
        <f>IFERROR(INDEX($S$4:$S$3183,MATCH(SMALL($V$4:$V$3183,1340),$V$4:$V$3183,0)),"")</f>
        <v/>
      </c>
      <c r="I1343" s="29">
        <f>IF($B1343="","",IFERROR(INDEX($U$4:$U$3183,MATCH(SMALL($V$4:$V$3183,1340),$V$4:$V$3183,0)),""))</f>
        <v/>
      </c>
      <c r="J1343">
        <f>IF($B1343="","",IF($D1343&gt;$F$2,"À venir",IF($E1343&lt;$D$2,"Passé","Dans la période")))</f>
        <v/>
      </c>
      <c r="K1343">
        <f>IF(OR($B1343="",NOT(ISNUMBER($D1343))),"",IF(AND($E1343&lt;$D$2,$G1343&lt;&gt;"X",$F1343&lt;&gt;"Réalisé",$F1343&lt;&gt;"Clôturé"),"RETARD",""))</f>
        <v/>
      </c>
      <c r="L1343">
        <f>IF(OR($B1343="",NOT(ISNUMBER($D1343))),"",IF(AND($D1343&gt;=$D$2,$D1343&lt;=$H$2,$G1343&lt;&gt;"X",$F1343&lt;&gt;"Réalisé",$F1343&lt;&gt;"Clôturé"),"≤ 7 j",""))</f>
        <v/>
      </c>
      <c r="M1343" s="29">
        <f>IF($B1343="","",IFERROR(INDEX($T$4:$T$3183,MATCH(SMALL($V$4:$V$3183,1340),$V$4:$V$3183,0)),""))</f>
        <v/>
      </c>
      <c r="O1343">
        <f>IF(INDEX(Suivi!$B:$B,1369)="","",INDEX(Suivi!$B:$B,1369))</f>
        <v/>
      </c>
      <c r="P1343">
        <f>IF($O1343="","",IF(INDEX(Suivi!$D:$D,1369)="",INDEX(Suivi!$C:$C,1369),INDEX(Suivi!$D:$D,1369)))</f>
        <v/>
      </c>
      <c r="Q1343">
        <f>IF($O1343="","",INDEX(Suivi!$E:$E,1369))</f>
        <v/>
      </c>
      <c r="R1343">
        <f>IF($O1343="","",INDEX(Suivi!$F:$F,1369))</f>
        <v/>
      </c>
      <c r="S1343">
        <f>IF($O1343="","",INDEX(Suivi!$G:$G,1369))</f>
        <v/>
      </c>
      <c r="T1343">
        <f>IF($O1343="","",IF(INDEX(Dossiers!$F$4:$F$63,26)="","",INDEX(Dossiers!$F$4:$F$63,26)))</f>
        <v/>
      </c>
      <c r="U1343">
        <f>IF($O1343="","",IF(INDEX(Dossiers!$G$4:$G$63,26)="","",INDEX(Dossiers!$G$4:$G$63,26)))</f>
        <v/>
      </c>
      <c r="V1343">
        <f>IF(OR($O1343="",NOT(ISNUMBER($Q1343))),"",$Q1343*1000000+1343)</f>
        <v/>
      </c>
      <c r="W1343" s="29">
        <f>IF($B1343="","",IFERROR(INDEX($U$4:$U$3183,MATCH(SMALL($V$4:$V$3183,1340),$V$4:$V$3183,0)),""))</f>
        <v/>
      </c>
    </row>
    <row r="1344">
      <c r="A1344">
        <f>IFERROR(INDEX($N$4:$N$3183,MATCH(SMALL($V$4:$V$3183,1341),$V$4:$V$3183,0)),"")</f>
        <v/>
      </c>
      <c r="B1344">
        <f>IFERROR(INDEX($O$4:$O$3183,MATCH(SMALL($V$4:$V$3183,1341),$V$4:$V$3183,0)),"")</f>
        <v/>
      </c>
      <c r="C1344">
        <f>IFERROR(INDEX($P$4:$P$3183,MATCH(SMALL($V$4:$V$3183,1341),$V$4:$V$3183,0)),"")</f>
        <v/>
      </c>
      <c r="D1344" s="29">
        <f>IFERROR(INDEX($Q$4:$Q$3183,MATCH(SMALL($V$4:$V$3183,1341),$V$4:$V$3183,0)),"")</f>
        <v/>
      </c>
      <c r="E1344" s="29">
        <f>IFERROR(INDEX($R$4:$R$3183,MATCH(SMALL($V$4:$V$3183,1341),$V$4:$V$3183,0)),"")</f>
        <v/>
      </c>
      <c r="F1344">
        <f>IFERROR(INDEX($S$4:$S$3183,MATCH(SMALL($V$4:$V$3183,1341),$V$4:$V$3183,0)),"")</f>
        <v/>
      </c>
      <c r="I1344" s="29">
        <f>IF($B1344="","",IFERROR(INDEX($U$4:$U$3183,MATCH(SMALL($V$4:$V$3183,1341),$V$4:$V$3183,0)),""))</f>
        <v/>
      </c>
      <c r="J1344">
        <f>IF($B1344="","",IF($D1344&gt;$F$2,"À venir",IF($E1344&lt;$D$2,"Passé","Dans la période")))</f>
        <v/>
      </c>
      <c r="K1344">
        <f>IF(OR($B1344="",NOT(ISNUMBER($D1344))),"",IF(AND($E1344&lt;$D$2,$G1344&lt;&gt;"X",$F1344&lt;&gt;"Réalisé",$F1344&lt;&gt;"Clôturé"),"RETARD",""))</f>
        <v/>
      </c>
      <c r="L1344">
        <f>IF(OR($B1344="",NOT(ISNUMBER($D1344))),"",IF(AND($D1344&gt;=$D$2,$D1344&lt;=$H$2,$G1344&lt;&gt;"X",$F1344&lt;&gt;"Réalisé",$F1344&lt;&gt;"Clôturé"),"≤ 7 j",""))</f>
        <v/>
      </c>
      <c r="M1344" s="29">
        <f>IF($B1344="","",IFERROR(INDEX($T$4:$T$3183,MATCH(SMALL($V$4:$V$3183,1341),$V$4:$V$3183,0)),""))</f>
        <v/>
      </c>
      <c r="O1344">
        <f>IF(INDEX(Suivi!$B:$B,1370)="","",INDEX(Suivi!$B:$B,1370))</f>
        <v/>
      </c>
      <c r="P1344">
        <f>IF($O1344="","",IF(INDEX(Suivi!$D:$D,1370)="",INDEX(Suivi!$C:$C,1370),INDEX(Suivi!$D:$D,1370)))</f>
        <v/>
      </c>
      <c r="Q1344">
        <f>IF($O1344="","",INDEX(Suivi!$E:$E,1370))</f>
        <v/>
      </c>
      <c r="R1344">
        <f>IF($O1344="","",INDEX(Suivi!$F:$F,1370))</f>
        <v/>
      </c>
      <c r="S1344">
        <f>IF($O1344="","",INDEX(Suivi!$G:$G,1370))</f>
        <v/>
      </c>
      <c r="T1344">
        <f>IF($O1344="","",IF(INDEX(Dossiers!$F$4:$F$63,26)="","",INDEX(Dossiers!$F$4:$F$63,26)))</f>
        <v/>
      </c>
      <c r="U1344">
        <f>IF($O1344="","",IF(INDEX(Dossiers!$G$4:$G$63,26)="","",INDEX(Dossiers!$G$4:$G$63,26)))</f>
        <v/>
      </c>
      <c r="V1344">
        <f>IF(OR($O1344="",NOT(ISNUMBER($Q1344))),"",$Q1344*1000000+1344)</f>
        <v/>
      </c>
      <c r="W1344" s="29">
        <f>IF($B1344="","",IFERROR(INDEX($U$4:$U$3183,MATCH(SMALL($V$4:$V$3183,1341),$V$4:$V$3183,0)),""))</f>
        <v/>
      </c>
    </row>
    <row r="1345">
      <c r="A1345">
        <f>IFERROR(INDEX($N$4:$N$3183,MATCH(SMALL($V$4:$V$3183,1342),$V$4:$V$3183,0)),"")</f>
        <v/>
      </c>
      <c r="B1345">
        <f>IFERROR(INDEX($O$4:$O$3183,MATCH(SMALL($V$4:$V$3183,1342),$V$4:$V$3183,0)),"")</f>
        <v/>
      </c>
      <c r="C1345">
        <f>IFERROR(INDEX($P$4:$P$3183,MATCH(SMALL($V$4:$V$3183,1342),$V$4:$V$3183,0)),"")</f>
        <v/>
      </c>
      <c r="D1345" s="29">
        <f>IFERROR(INDEX($Q$4:$Q$3183,MATCH(SMALL($V$4:$V$3183,1342),$V$4:$V$3183,0)),"")</f>
        <v/>
      </c>
      <c r="E1345" s="29">
        <f>IFERROR(INDEX($R$4:$R$3183,MATCH(SMALL($V$4:$V$3183,1342),$V$4:$V$3183,0)),"")</f>
        <v/>
      </c>
      <c r="F1345">
        <f>IFERROR(INDEX($S$4:$S$3183,MATCH(SMALL($V$4:$V$3183,1342),$V$4:$V$3183,0)),"")</f>
        <v/>
      </c>
      <c r="I1345" s="29">
        <f>IF($B1345="","",IFERROR(INDEX($U$4:$U$3183,MATCH(SMALL($V$4:$V$3183,1342),$V$4:$V$3183,0)),""))</f>
        <v/>
      </c>
      <c r="J1345">
        <f>IF($B1345="","",IF($D1345&gt;$F$2,"À venir",IF($E1345&lt;$D$2,"Passé","Dans la période")))</f>
        <v/>
      </c>
      <c r="K1345">
        <f>IF(OR($B1345="",NOT(ISNUMBER($D1345))),"",IF(AND($E1345&lt;$D$2,$G1345&lt;&gt;"X",$F1345&lt;&gt;"Réalisé",$F1345&lt;&gt;"Clôturé"),"RETARD",""))</f>
        <v/>
      </c>
      <c r="L1345">
        <f>IF(OR($B1345="",NOT(ISNUMBER($D1345))),"",IF(AND($D1345&gt;=$D$2,$D1345&lt;=$H$2,$G1345&lt;&gt;"X",$F1345&lt;&gt;"Réalisé",$F1345&lt;&gt;"Clôturé"),"≤ 7 j",""))</f>
        <v/>
      </c>
      <c r="M1345" s="29">
        <f>IF($B1345="","",IFERROR(INDEX($T$4:$T$3183,MATCH(SMALL($V$4:$V$3183,1342),$V$4:$V$3183,0)),""))</f>
        <v/>
      </c>
      <c r="O1345">
        <f>IF(INDEX(Suivi!$B:$B,1371)="","",INDEX(Suivi!$B:$B,1371))</f>
        <v/>
      </c>
      <c r="P1345">
        <f>IF($O1345="","",IF(INDEX(Suivi!$D:$D,1371)="",INDEX(Suivi!$C:$C,1371),INDEX(Suivi!$D:$D,1371)))</f>
        <v/>
      </c>
      <c r="Q1345">
        <f>IF($O1345="","",INDEX(Suivi!$E:$E,1371))</f>
        <v/>
      </c>
      <c r="R1345">
        <f>IF($O1345="","",INDEX(Suivi!$F:$F,1371))</f>
        <v/>
      </c>
      <c r="S1345">
        <f>IF($O1345="","",INDEX(Suivi!$G:$G,1371))</f>
        <v/>
      </c>
      <c r="T1345">
        <f>IF($O1345="","",IF(INDEX(Dossiers!$F$4:$F$63,26)="","",INDEX(Dossiers!$F$4:$F$63,26)))</f>
        <v/>
      </c>
      <c r="U1345">
        <f>IF($O1345="","",IF(INDEX(Dossiers!$G$4:$G$63,26)="","",INDEX(Dossiers!$G$4:$G$63,26)))</f>
        <v/>
      </c>
      <c r="V1345">
        <f>IF(OR($O1345="",NOT(ISNUMBER($Q1345))),"",$Q1345*1000000+1345)</f>
        <v/>
      </c>
      <c r="W1345" s="29">
        <f>IF($B1345="","",IFERROR(INDEX($U$4:$U$3183,MATCH(SMALL($V$4:$V$3183,1342),$V$4:$V$3183,0)),""))</f>
        <v/>
      </c>
    </row>
    <row r="1346">
      <c r="A1346">
        <f>IFERROR(INDEX($N$4:$N$3183,MATCH(SMALL($V$4:$V$3183,1343),$V$4:$V$3183,0)),"")</f>
        <v/>
      </c>
      <c r="B1346">
        <f>IFERROR(INDEX($O$4:$O$3183,MATCH(SMALL($V$4:$V$3183,1343),$V$4:$V$3183,0)),"")</f>
        <v/>
      </c>
      <c r="C1346">
        <f>IFERROR(INDEX($P$4:$P$3183,MATCH(SMALL($V$4:$V$3183,1343),$V$4:$V$3183,0)),"")</f>
        <v/>
      </c>
      <c r="D1346" s="29">
        <f>IFERROR(INDEX($Q$4:$Q$3183,MATCH(SMALL($V$4:$V$3183,1343),$V$4:$V$3183,0)),"")</f>
        <v/>
      </c>
      <c r="E1346" s="29">
        <f>IFERROR(INDEX($R$4:$R$3183,MATCH(SMALL($V$4:$V$3183,1343),$V$4:$V$3183,0)),"")</f>
        <v/>
      </c>
      <c r="F1346">
        <f>IFERROR(INDEX($S$4:$S$3183,MATCH(SMALL($V$4:$V$3183,1343),$V$4:$V$3183,0)),"")</f>
        <v/>
      </c>
      <c r="I1346" s="29">
        <f>IF($B1346="","",IFERROR(INDEX($U$4:$U$3183,MATCH(SMALL($V$4:$V$3183,1343),$V$4:$V$3183,0)),""))</f>
        <v/>
      </c>
      <c r="J1346">
        <f>IF($B1346="","",IF($D1346&gt;$F$2,"À venir",IF($E1346&lt;$D$2,"Passé","Dans la période")))</f>
        <v/>
      </c>
      <c r="K1346">
        <f>IF(OR($B1346="",NOT(ISNUMBER($D1346))),"",IF(AND($E1346&lt;$D$2,$G1346&lt;&gt;"X",$F1346&lt;&gt;"Réalisé",$F1346&lt;&gt;"Clôturé"),"RETARD",""))</f>
        <v/>
      </c>
      <c r="L1346">
        <f>IF(OR($B1346="",NOT(ISNUMBER($D1346))),"",IF(AND($D1346&gt;=$D$2,$D1346&lt;=$H$2,$G1346&lt;&gt;"X",$F1346&lt;&gt;"Réalisé",$F1346&lt;&gt;"Clôturé"),"≤ 7 j",""))</f>
        <v/>
      </c>
      <c r="M1346" s="29">
        <f>IF($B1346="","",IFERROR(INDEX($T$4:$T$3183,MATCH(SMALL($V$4:$V$3183,1343),$V$4:$V$3183,0)),""))</f>
        <v/>
      </c>
      <c r="O1346">
        <f>IF(INDEX(Suivi!$B:$B,1372)="","",INDEX(Suivi!$B:$B,1372))</f>
        <v/>
      </c>
      <c r="P1346">
        <f>IF($O1346="","",IF(INDEX(Suivi!$D:$D,1372)="",INDEX(Suivi!$C:$C,1372),INDEX(Suivi!$D:$D,1372)))</f>
        <v/>
      </c>
      <c r="Q1346">
        <f>IF($O1346="","",INDEX(Suivi!$E:$E,1372))</f>
        <v/>
      </c>
      <c r="R1346">
        <f>IF($O1346="","",INDEX(Suivi!$F:$F,1372))</f>
        <v/>
      </c>
      <c r="S1346">
        <f>IF($O1346="","",INDEX(Suivi!$G:$G,1372))</f>
        <v/>
      </c>
      <c r="T1346">
        <f>IF($O1346="","",IF(INDEX(Dossiers!$F$4:$F$63,26)="","",INDEX(Dossiers!$F$4:$F$63,26)))</f>
        <v/>
      </c>
      <c r="U1346">
        <f>IF($O1346="","",IF(INDEX(Dossiers!$G$4:$G$63,26)="","",INDEX(Dossiers!$G$4:$G$63,26)))</f>
        <v/>
      </c>
      <c r="V1346">
        <f>IF(OR($O1346="",NOT(ISNUMBER($Q1346))),"",$Q1346*1000000+1346)</f>
        <v/>
      </c>
      <c r="W1346" s="29">
        <f>IF($B1346="","",IFERROR(INDEX($U$4:$U$3183,MATCH(SMALL($V$4:$V$3183,1343),$V$4:$V$3183,0)),""))</f>
        <v/>
      </c>
    </row>
    <row r="1347">
      <c r="A1347">
        <f>IFERROR(INDEX($N$4:$N$3183,MATCH(SMALL($V$4:$V$3183,1344),$V$4:$V$3183,0)),"")</f>
        <v/>
      </c>
      <c r="B1347">
        <f>IFERROR(INDEX($O$4:$O$3183,MATCH(SMALL($V$4:$V$3183,1344),$V$4:$V$3183,0)),"")</f>
        <v/>
      </c>
      <c r="C1347">
        <f>IFERROR(INDEX($P$4:$P$3183,MATCH(SMALL($V$4:$V$3183,1344),$V$4:$V$3183,0)),"")</f>
        <v/>
      </c>
      <c r="D1347" s="29">
        <f>IFERROR(INDEX($Q$4:$Q$3183,MATCH(SMALL($V$4:$V$3183,1344),$V$4:$V$3183,0)),"")</f>
        <v/>
      </c>
      <c r="E1347" s="29">
        <f>IFERROR(INDEX($R$4:$R$3183,MATCH(SMALL($V$4:$V$3183,1344),$V$4:$V$3183,0)),"")</f>
        <v/>
      </c>
      <c r="F1347">
        <f>IFERROR(INDEX($S$4:$S$3183,MATCH(SMALL($V$4:$V$3183,1344),$V$4:$V$3183,0)),"")</f>
        <v/>
      </c>
      <c r="I1347" s="29">
        <f>IF($B1347="","",IFERROR(INDEX($U$4:$U$3183,MATCH(SMALL($V$4:$V$3183,1344),$V$4:$V$3183,0)),""))</f>
        <v/>
      </c>
      <c r="J1347">
        <f>IF($B1347="","",IF($D1347&gt;$F$2,"À venir",IF($E1347&lt;$D$2,"Passé","Dans la période")))</f>
        <v/>
      </c>
      <c r="K1347">
        <f>IF(OR($B1347="",NOT(ISNUMBER($D1347))),"",IF(AND($E1347&lt;$D$2,$G1347&lt;&gt;"X",$F1347&lt;&gt;"Réalisé",$F1347&lt;&gt;"Clôturé"),"RETARD",""))</f>
        <v/>
      </c>
      <c r="L1347">
        <f>IF(OR($B1347="",NOT(ISNUMBER($D1347))),"",IF(AND($D1347&gt;=$D$2,$D1347&lt;=$H$2,$G1347&lt;&gt;"X",$F1347&lt;&gt;"Réalisé",$F1347&lt;&gt;"Clôturé"),"≤ 7 j",""))</f>
        <v/>
      </c>
      <c r="M1347" s="29">
        <f>IF($B1347="","",IFERROR(INDEX($T$4:$T$3183,MATCH(SMALL($V$4:$V$3183,1344),$V$4:$V$3183,0)),""))</f>
        <v/>
      </c>
      <c r="O1347">
        <f>IF(INDEX(Suivi!$B:$B,1373)="","",INDEX(Suivi!$B:$B,1373))</f>
        <v/>
      </c>
      <c r="P1347">
        <f>IF($O1347="","",IF(INDEX(Suivi!$D:$D,1373)="",INDEX(Suivi!$C:$C,1373),INDEX(Suivi!$D:$D,1373)))</f>
        <v/>
      </c>
      <c r="Q1347">
        <f>IF($O1347="","",INDEX(Suivi!$E:$E,1373))</f>
        <v/>
      </c>
      <c r="R1347">
        <f>IF($O1347="","",INDEX(Suivi!$F:$F,1373))</f>
        <v/>
      </c>
      <c r="S1347">
        <f>IF($O1347="","",INDEX(Suivi!$G:$G,1373))</f>
        <v/>
      </c>
      <c r="T1347">
        <f>IF($O1347="","",IF(INDEX(Dossiers!$F$4:$F$63,26)="","",INDEX(Dossiers!$F$4:$F$63,26)))</f>
        <v/>
      </c>
      <c r="U1347">
        <f>IF($O1347="","",IF(INDEX(Dossiers!$G$4:$G$63,26)="","",INDEX(Dossiers!$G$4:$G$63,26)))</f>
        <v/>
      </c>
      <c r="V1347">
        <f>IF(OR($O1347="",NOT(ISNUMBER($Q1347))),"",$Q1347*1000000+1347)</f>
        <v/>
      </c>
      <c r="W1347" s="29">
        <f>IF($B1347="","",IFERROR(INDEX($U$4:$U$3183,MATCH(SMALL($V$4:$V$3183,1344),$V$4:$V$3183,0)),""))</f>
        <v/>
      </c>
    </row>
    <row r="1348">
      <c r="A1348">
        <f>IFERROR(INDEX($N$4:$N$3183,MATCH(SMALL($V$4:$V$3183,1345),$V$4:$V$3183,0)),"")</f>
        <v/>
      </c>
      <c r="B1348">
        <f>IFERROR(INDEX($O$4:$O$3183,MATCH(SMALL($V$4:$V$3183,1345),$V$4:$V$3183,0)),"")</f>
        <v/>
      </c>
      <c r="C1348">
        <f>IFERROR(INDEX($P$4:$P$3183,MATCH(SMALL($V$4:$V$3183,1345),$V$4:$V$3183,0)),"")</f>
        <v/>
      </c>
      <c r="D1348" s="29">
        <f>IFERROR(INDEX($Q$4:$Q$3183,MATCH(SMALL($V$4:$V$3183,1345),$V$4:$V$3183,0)),"")</f>
        <v/>
      </c>
      <c r="E1348" s="29">
        <f>IFERROR(INDEX($R$4:$R$3183,MATCH(SMALL($V$4:$V$3183,1345),$V$4:$V$3183,0)),"")</f>
        <v/>
      </c>
      <c r="F1348">
        <f>IFERROR(INDEX($S$4:$S$3183,MATCH(SMALL($V$4:$V$3183,1345),$V$4:$V$3183,0)),"")</f>
        <v/>
      </c>
      <c r="I1348" s="29">
        <f>IF($B1348="","",IFERROR(INDEX($U$4:$U$3183,MATCH(SMALL($V$4:$V$3183,1345),$V$4:$V$3183,0)),""))</f>
        <v/>
      </c>
      <c r="J1348">
        <f>IF($B1348="","",IF($D1348&gt;$F$2,"À venir",IF($E1348&lt;$D$2,"Passé","Dans la période")))</f>
        <v/>
      </c>
      <c r="K1348">
        <f>IF(OR($B1348="",NOT(ISNUMBER($D1348))),"",IF(AND($E1348&lt;$D$2,$G1348&lt;&gt;"X",$F1348&lt;&gt;"Réalisé",$F1348&lt;&gt;"Clôturé"),"RETARD",""))</f>
        <v/>
      </c>
      <c r="L1348">
        <f>IF(OR($B1348="",NOT(ISNUMBER($D1348))),"",IF(AND($D1348&gt;=$D$2,$D1348&lt;=$H$2,$G1348&lt;&gt;"X",$F1348&lt;&gt;"Réalisé",$F1348&lt;&gt;"Clôturé"),"≤ 7 j",""))</f>
        <v/>
      </c>
      <c r="M1348" s="29">
        <f>IF($B1348="","",IFERROR(INDEX($T$4:$T$3183,MATCH(SMALL($V$4:$V$3183,1345),$V$4:$V$3183,0)),""))</f>
        <v/>
      </c>
      <c r="O1348">
        <f>IF(INDEX(Suivi!$B:$B,1374)="","",INDEX(Suivi!$B:$B,1374))</f>
        <v/>
      </c>
      <c r="P1348">
        <f>IF($O1348="","",IF(INDEX(Suivi!$D:$D,1374)="",INDEX(Suivi!$C:$C,1374),INDEX(Suivi!$D:$D,1374)))</f>
        <v/>
      </c>
      <c r="Q1348">
        <f>IF($O1348="","",INDEX(Suivi!$E:$E,1374))</f>
        <v/>
      </c>
      <c r="R1348">
        <f>IF($O1348="","",INDEX(Suivi!$F:$F,1374))</f>
        <v/>
      </c>
      <c r="S1348">
        <f>IF($O1348="","",INDEX(Suivi!$G:$G,1374))</f>
        <v/>
      </c>
      <c r="T1348">
        <f>IF($O1348="","",IF(INDEX(Dossiers!$F$4:$F$63,26)="","",INDEX(Dossiers!$F$4:$F$63,26)))</f>
        <v/>
      </c>
      <c r="U1348">
        <f>IF($O1348="","",IF(INDEX(Dossiers!$G$4:$G$63,26)="","",INDEX(Dossiers!$G$4:$G$63,26)))</f>
        <v/>
      </c>
      <c r="V1348">
        <f>IF(OR($O1348="",NOT(ISNUMBER($Q1348))),"",$Q1348*1000000+1348)</f>
        <v/>
      </c>
      <c r="W1348" s="29">
        <f>IF($B1348="","",IFERROR(INDEX($U$4:$U$3183,MATCH(SMALL($V$4:$V$3183,1345),$V$4:$V$3183,0)),""))</f>
        <v/>
      </c>
    </row>
    <row r="1349">
      <c r="A1349">
        <f>IFERROR(INDEX($N$4:$N$3183,MATCH(SMALL($V$4:$V$3183,1346),$V$4:$V$3183,0)),"")</f>
        <v/>
      </c>
      <c r="B1349">
        <f>IFERROR(INDEX($O$4:$O$3183,MATCH(SMALL($V$4:$V$3183,1346),$V$4:$V$3183,0)),"")</f>
        <v/>
      </c>
      <c r="C1349">
        <f>IFERROR(INDEX($P$4:$P$3183,MATCH(SMALL($V$4:$V$3183,1346),$V$4:$V$3183,0)),"")</f>
        <v/>
      </c>
      <c r="D1349" s="29">
        <f>IFERROR(INDEX($Q$4:$Q$3183,MATCH(SMALL($V$4:$V$3183,1346),$V$4:$V$3183,0)),"")</f>
        <v/>
      </c>
      <c r="E1349" s="29">
        <f>IFERROR(INDEX($R$4:$R$3183,MATCH(SMALL($V$4:$V$3183,1346),$V$4:$V$3183,0)),"")</f>
        <v/>
      </c>
      <c r="F1349">
        <f>IFERROR(INDEX($S$4:$S$3183,MATCH(SMALL($V$4:$V$3183,1346),$V$4:$V$3183,0)),"")</f>
        <v/>
      </c>
      <c r="I1349" s="29">
        <f>IF($B1349="","",IFERROR(INDEX($U$4:$U$3183,MATCH(SMALL($V$4:$V$3183,1346),$V$4:$V$3183,0)),""))</f>
        <v/>
      </c>
      <c r="J1349">
        <f>IF($B1349="","",IF($D1349&gt;$F$2,"À venir",IF($E1349&lt;$D$2,"Passé","Dans la période")))</f>
        <v/>
      </c>
      <c r="K1349">
        <f>IF(OR($B1349="",NOT(ISNUMBER($D1349))),"",IF(AND($E1349&lt;$D$2,$G1349&lt;&gt;"X",$F1349&lt;&gt;"Réalisé",$F1349&lt;&gt;"Clôturé"),"RETARD",""))</f>
        <v/>
      </c>
      <c r="L1349">
        <f>IF(OR($B1349="",NOT(ISNUMBER($D1349))),"",IF(AND($D1349&gt;=$D$2,$D1349&lt;=$H$2,$G1349&lt;&gt;"X",$F1349&lt;&gt;"Réalisé",$F1349&lt;&gt;"Clôturé"),"≤ 7 j",""))</f>
        <v/>
      </c>
      <c r="M1349" s="29">
        <f>IF($B1349="","",IFERROR(INDEX($T$4:$T$3183,MATCH(SMALL($V$4:$V$3183,1346),$V$4:$V$3183,0)),""))</f>
        <v/>
      </c>
      <c r="O1349">
        <f>IF(INDEX(Suivi!$B:$B,1375)="","",INDEX(Suivi!$B:$B,1375))</f>
        <v/>
      </c>
      <c r="P1349">
        <f>IF($O1349="","",IF(INDEX(Suivi!$D:$D,1375)="",INDEX(Suivi!$C:$C,1375),INDEX(Suivi!$D:$D,1375)))</f>
        <v/>
      </c>
      <c r="Q1349">
        <f>IF($O1349="","",INDEX(Suivi!$E:$E,1375))</f>
        <v/>
      </c>
      <c r="R1349">
        <f>IF($O1349="","",INDEX(Suivi!$F:$F,1375))</f>
        <v/>
      </c>
      <c r="S1349">
        <f>IF($O1349="","",INDEX(Suivi!$G:$G,1375))</f>
        <v/>
      </c>
      <c r="T1349">
        <f>IF($O1349="","",IF(INDEX(Dossiers!$F$4:$F$63,26)="","",INDEX(Dossiers!$F$4:$F$63,26)))</f>
        <v/>
      </c>
      <c r="U1349">
        <f>IF($O1349="","",IF(INDEX(Dossiers!$G$4:$G$63,26)="","",INDEX(Dossiers!$G$4:$G$63,26)))</f>
        <v/>
      </c>
      <c r="V1349">
        <f>IF(OR($O1349="",NOT(ISNUMBER($Q1349))),"",$Q1349*1000000+1349)</f>
        <v/>
      </c>
      <c r="W1349" s="29">
        <f>IF($B1349="","",IFERROR(INDEX($U$4:$U$3183,MATCH(SMALL($V$4:$V$3183,1346),$V$4:$V$3183,0)),""))</f>
        <v/>
      </c>
    </row>
    <row r="1350">
      <c r="A1350">
        <f>IFERROR(INDEX($N$4:$N$3183,MATCH(SMALL($V$4:$V$3183,1347),$V$4:$V$3183,0)),"")</f>
        <v/>
      </c>
      <c r="B1350">
        <f>IFERROR(INDEX($O$4:$O$3183,MATCH(SMALL($V$4:$V$3183,1347),$V$4:$V$3183,0)),"")</f>
        <v/>
      </c>
      <c r="C1350">
        <f>IFERROR(INDEX($P$4:$P$3183,MATCH(SMALL($V$4:$V$3183,1347),$V$4:$V$3183,0)),"")</f>
        <v/>
      </c>
      <c r="D1350" s="29">
        <f>IFERROR(INDEX($Q$4:$Q$3183,MATCH(SMALL($V$4:$V$3183,1347),$V$4:$V$3183,0)),"")</f>
        <v/>
      </c>
      <c r="E1350" s="29">
        <f>IFERROR(INDEX($R$4:$R$3183,MATCH(SMALL($V$4:$V$3183,1347),$V$4:$V$3183,0)),"")</f>
        <v/>
      </c>
      <c r="F1350">
        <f>IFERROR(INDEX($S$4:$S$3183,MATCH(SMALL($V$4:$V$3183,1347),$V$4:$V$3183,0)),"")</f>
        <v/>
      </c>
      <c r="I1350" s="29">
        <f>IF($B1350="","",IFERROR(INDEX($U$4:$U$3183,MATCH(SMALL($V$4:$V$3183,1347),$V$4:$V$3183,0)),""))</f>
        <v/>
      </c>
      <c r="J1350">
        <f>IF($B1350="","",IF($D1350&gt;$F$2,"À venir",IF($E1350&lt;$D$2,"Passé","Dans la période")))</f>
        <v/>
      </c>
      <c r="K1350">
        <f>IF(OR($B1350="",NOT(ISNUMBER($D1350))),"",IF(AND($E1350&lt;$D$2,$G1350&lt;&gt;"X",$F1350&lt;&gt;"Réalisé",$F1350&lt;&gt;"Clôturé"),"RETARD",""))</f>
        <v/>
      </c>
      <c r="L1350">
        <f>IF(OR($B1350="",NOT(ISNUMBER($D1350))),"",IF(AND($D1350&gt;=$D$2,$D1350&lt;=$H$2,$G1350&lt;&gt;"X",$F1350&lt;&gt;"Réalisé",$F1350&lt;&gt;"Clôturé"),"≤ 7 j",""))</f>
        <v/>
      </c>
      <c r="M1350" s="29">
        <f>IF($B1350="","",IFERROR(INDEX($T$4:$T$3183,MATCH(SMALL($V$4:$V$3183,1347),$V$4:$V$3183,0)),""))</f>
        <v/>
      </c>
      <c r="O1350">
        <f>IF(INDEX(Suivi!$B:$B,1376)="","",INDEX(Suivi!$B:$B,1376))</f>
        <v/>
      </c>
      <c r="P1350">
        <f>IF($O1350="","",IF(INDEX(Suivi!$D:$D,1376)="",INDEX(Suivi!$C:$C,1376),INDEX(Suivi!$D:$D,1376)))</f>
        <v/>
      </c>
      <c r="Q1350">
        <f>IF($O1350="","",INDEX(Suivi!$E:$E,1376))</f>
        <v/>
      </c>
      <c r="R1350">
        <f>IF($O1350="","",INDEX(Suivi!$F:$F,1376))</f>
        <v/>
      </c>
      <c r="S1350">
        <f>IF($O1350="","",INDEX(Suivi!$G:$G,1376))</f>
        <v/>
      </c>
      <c r="T1350">
        <f>IF($O1350="","",IF(INDEX(Dossiers!$F$4:$F$63,26)="","",INDEX(Dossiers!$F$4:$F$63,26)))</f>
        <v/>
      </c>
      <c r="U1350">
        <f>IF($O1350="","",IF(INDEX(Dossiers!$G$4:$G$63,26)="","",INDEX(Dossiers!$G$4:$G$63,26)))</f>
        <v/>
      </c>
      <c r="V1350">
        <f>IF(OR($O1350="",NOT(ISNUMBER($Q1350))),"",$Q1350*1000000+1350)</f>
        <v/>
      </c>
      <c r="W1350" s="29">
        <f>IF($B1350="","",IFERROR(INDEX($U$4:$U$3183,MATCH(SMALL($V$4:$V$3183,1347),$V$4:$V$3183,0)),""))</f>
        <v/>
      </c>
    </row>
    <row r="1351">
      <c r="A1351">
        <f>IFERROR(INDEX($N$4:$N$3183,MATCH(SMALL($V$4:$V$3183,1348),$V$4:$V$3183,0)),"")</f>
        <v/>
      </c>
      <c r="B1351">
        <f>IFERROR(INDEX($O$4:$O$3183,MATCH(SMALL($V$4:$V$3183,1348),$V$4:$V$3183,0)),"")</f>
        <v/>
      </c>
      <c r="C1351">
        <f>IFERROR(INDEX($P$4:$P$3183,MATCH(SMALL($V$4:$V$3183,1348),$V$4:$V$3183,0)),"")</f>
        <v/>
      </c>
      <c r="D1351" s="29">
        <f>IFERROR(INDEX($Q$4:$Q$3183,MATCH(SMALL($V$4:$V$3183,1348),$V$4:$V$3183,0)),"")</f>
        <v/>
      </c>
      <c r="E1351" s="29">
        <f>IFERROR(INDEX($R$4:$R$3183,MATCH(SMALL($V$4:$V$3183,1348),$V$4:$V$3183,0)),"")</f>
        <v/>
      </c>
      <c r="F1351">
        <f>IFERROR(INDEX($S$4:$S$3183,MATCH(SMALL($V$4:$V$3183,1348),$V$4:$V$3183,0)),"")</f>
        <v/>
      </c>
      <c r="I1351" s="29">
        <f>IF($B1351="","",IFERROR(INDEX($U$4:$U$3183,MATCH(SMALL($V$4:$V$3183,1348),$V$4:$V$3183,0)),""))</f>
        <v/>
      </c>
      <c r="J1351">
        <f>IF($B1351="","",IF($D1351&gt;$F$2,"À venir",IF($E1351&lt;$D$2,"Passé","Dans la période")))</f>
        <v/>
      </c>
      <c r="K1351">
        <f>IF(OR($B1351="",NOT(ISNUMBER($D1351))),"",IF(AND($E1351&lt;$D$2,$G1351&lt;&gt;"X",$F1351&lt;&gt;"Réalisé",$F1351&lt;&gt;"Clôturé"),"RETARD",""))</f>
        <v/>
      </c>
      <c r="L1351">
        <f>IF(OR($B1351="",NOT(ISNUMBER($D1351))),"",IF(AND($D1351&gt;=$D$2,$D1351&lt;=$H$2,$G1351&lt;&gt;"X",$F1351&lt;&gt;"Réalisé",$F1351&lt;&gt;"Clôturé"),"≤ 7 j",""))</f>
        <v/>
      </c>
      <c r="M1351" s="29">
        <f>IF($B1351="","",IFERROR(INDEX($T$4:$T$3183,MATCH(SMALL($V$4:$V$3183,1348),$V$4:$V$3183,0)),""))</f>
        <v/>
      </c>
      <c r="O1351">
        <f>IF(INDEX(Suivi!$B:$B,1377)="","",INDEX(Suivi!$B:$B,1377))</f>
        <v/>
      </c>
      <c r="P1351">
        <f>IF($O1351="","",IF(INDEX(Suivi!$D:$D,1377)="",INDEX(Suivi!$C:$C,1377),INDEX(Suivi!$D:$D,1377)))</f>
        <v/>
      </c>
      <c r="Q1351">
        <f>IF($O1351="","",INDEX(Suivi!$E:$E,1377))</f>
        <v/>
      </c>
      <c r="R1351">
        <f>IF($O1351="","",INDEX(Suivi!$F:$F,1377))</f>
        <v/>
      </c>
      <c r="S1351">
        <f>IF($O1351="","",INDEX(Suivi!$G:$G,1377))</f>
        <v/>
      </c>
      <c r="T1351">
        <f>IF($O1351="","",IF(INDEX(Dossiers!$F$4:$F$63,26)="","",INDEX(Dossiers!$F$4:$F$63,26)))</f>
        <v/>
      </c>
      <c r="U1351">
        <f>IF($O1351="","",IF(INDEX(Dossiers!$G$4:$G$63,26)="","",INDEX(Dossiers!$G$4:$G$63,26)))</f>
        <v/>
      </c>
      <c r="V1351">
        <f>IF(OR($O1351="",NOT(ISNUMBER($Q1351))),"",$Q1351*1000000+1351)</f>
        <v/>
      </c>
      <c r="W1351" s="29">
        <f>IF($B1351="","",IFERROR(INDEX($U$4:$U$3183,MATCH(SMALL($V$4:$V$3183,1348),$V$4:$V$3183,0)),""))</f>
        <v/>
      </c>
    </row>
    <row r="1352">
      <c r="A1352">
        <f>IFERROR(INDEX($N$4:$N$3183,MATCH(SMALL($V$4:$V$3183,1349),$V$4:$V$3183,0)),"")</f>
        <v/>
      </c>
      <c r="B1352">
        <f>IFERROR(INDEX($O$4:$O$3183,MATCH(SMALL($V$4:$V$3183,1349),$V$4:$V$3183,0)),"")</f>
        <v/>
      </c>
      <c r="C1352">
        <f>IFERROR(INDEX($P$4:$P$3183,MATCH(SMALL($V$4:$V$3183,1349),$V$4:$V$3183,0)),"")</f>
        <v/>
      </c>
      <c r="D1352" s="29">
        <f>IFERROR(INDEX($Q$4:$Q$3183,MATCH(SMALL($V$4:$V$3183,1349),$V$4:$V$3183,0)),"")</f>
        <v/>
      </c>
      <c r="E1352" s="29">
        <f>IFERROR(INDEX($R$4:$R$3183,MATCH(SMALL($V$4:$V$3183,1349),$V$4:$V$3183,0)),"")</f>
        <v/>
      </c>
      <c r="F1352">
        <f>IFERROR(INDEX($S$4:$S$3183,MATCH(SMALL($V$4:$V$3183,1349),$V$4:$V$3183,0)),"")</f>
        <v/>
      </c>
      <c r="I1352" s="29">
        <f>IF($B1352="","",IFERROR(INDEX($U$4:$U$3183,MATCH(SMALL($V$4:$V$3183,1349),$V$4:$V$3183,0)),""))</f>
        <v/>
      </c>
      <c r="J1352">
        <f>IF($B1352="","",IF($D1352&gt;$F$2,"À venir",IF($E1352&lt;$D$2,"Passé","Dans la période")))</f>
        <v/>
      </c>
      <c r="K1352">
        <f>IF(OR($B1352="",NOT(ISNUMBER($D1352))),"",IF(AND($E1352&lt;$D$2,$G1352&lt;&gt;"X",$F1352&lt;&gt;"Réalisé",$F1352&lt;&gt;"Clôturé"),"RETARD",""))</f>
        <v/>
      </c>
      <c r="L1352">
        <f>IF(OR($B1352="",NOT(ISNUMBER($D1352))),"",IF(AND($D1352&gt;=$D$2,$D1352&lt;=$H$2,$G1352&lt;&gt;"X",$F1352&lt;&gt;"Réalisé",$F1352&lt;&gt;"Clôturé"),"≤ 7 j",""))</f>
        <v/>
      </c>
      <c r="M1352" s="29">
        <f>IF($B1352="","",IFERROR(INDEX($T$4:$T$3183,MATCH(SMALL($V$4:$V$3183,1349),$V$4:$V$3183,0)),""))</f>
        <v/>
      </c>
      <c r="O1352">
        <f>IF(INDEX(Suivi!$B:$B,1378)="","",INDEX(Suivi!$B:$B,1378))</f>
        <v/>
      </c>
      <c r="P1352">
        <f>IF($O1352="","",IF(INDEX(Suivi!$D:$D,1378)="",INDEX(Suivi!$C:$C,1378),INDEX(Suivi!$D:$D,1378)))</f>
        <v/>
      </c>
      <c r="Q1352">
        <f>IF($O1352="","",INDEX(Suivi!$E:$E,1378))</f>
        <v/>
      </c>
      <c r="R1352">
        <f>IF($O1352="","",INDEX(Suivi!$F:$F,1378))</f>
        <v/>
      </c>
      <c r="S1352">
        <f>IF($O1352="","",INDEX(Suivi!$G:$G,1378))</f>
        <v/>
      </c>
      <c r="T1352">
        <f>IF($O1352="","",IF(INDEX(Dossiers!$F$4:$F$63,26)="","",INDEX(Dossiers!$F$4:$F$63,26)))</f>
        <v/>
      </c>
      <c r="U1352">
        <f>IF($O1352="","",IF(INDEX(Dossiers!$G$4:$G$63,26)="","",INDEX(Dossiers!$G$4:$G$63,26)))</f>
        <v/>
      </c>
      <c r="V1352">
        <f>IF(OR($O1352="",NOT(ISNUMBER($Q1352))),"",$Q1352*1000000+1352)</f>
        <v/>
      </c>
      <c r="W1352" s="29">
        <f>IF($B1352="","",IFERROR(INDEX($U$4:$U$3183,MATCH(SMALL($V$4:$V$3183,1349),$V$4:$V$3183,0)),""))</f>
        <v/>
      </c>
    </row>
    <row r="1353">
      <c r="A1353">
        <f>IFERROR(INDEX($N$4:$N$3183,MATCH(SMALL($V$4:$V$3183,1350),$V$4:$V$3183,0)),"")</f>
        <v/>
      </c>
      <c r="B1353">
        <f>IFERROR(INDEX($O$4:$O$3183,MATCH(SMALL($V$4:$V$3183,1350),$V$4:$V$3183,0)),"")</f>
        <v/>
      </c>
      <c r="C1353">
        <f>IFERROR(INDEX($P$4:$P$3183,MATCH(SMALL($V$4:$V$3183,1350),$V$4:$V$3183,0)),"")</f>
        <v/>
      </c>
      <c r="D1353" s="29">
        <f>IFERROR(INDEX($Q$4:$Q$3183,MATCH(SMALL($V$4:$V$3183,1350),$V$4:$V$3183,0)),"")</f>
        <v/>
      </c>
      <c r="E1353" s="29">
        <f>IFERROR(INDEX($R$4:$R$3183,MATCH(SMALL($V$4:$V$3183,1350),$V$4:$V$3183,0)),"")</f>
        <v/>
      </c>
      <c r="F1353">
        <f>IFERROR(INDEX($S$4:$S$3183,MATCH(SMALL($V$4:$V$3183,1350),$V$4:$V$3183,0)),"")</f>
        <v/>
      </c>
      <c r="I1353" s="29">
        <f>IF($B1353="","",IFERROR(INDEX($U$4:$U$3183,MATCH(SMALL($V$4:$V$3183,1350),$V$4:$V$3183,0)),""))</f>
        <v/>
      </c>
      <c r="J1353">
        <f>IF($B1353="","",IF($D1353&gt;$F$2,"À venir",IF($E1353&lt;$D$2,"Passé","Dans la période")))</f>
        <v/>
      </c>
      <c r="K1353">
        <f>IF(OR($B1353="",NOT(ISNUMBER($D1353))),"",IF(AND($E1353&lt;$D$2,$G1353&lt;&gt;"X",$F1353&lt;&gt;"Réalisé",$F1353&lt;&gt;"Clôturé"),"RETARD",""))</f>
        <v/>
      </c>
      <c r="L1353">
        <f>IF(OR($B1353="",NOT(ISNUMBER($D1353))),"",IF(AND($D1353&gt;=$D$2,$D1353&lt;=$H$2,$G1353&lt;&gt;"X",$F1353&lt;&gt;"Réalisé",$F1353&lt;&gt;"Clôturé"),"≤ 7 j",""))</f>
        <v/>
      </c>
      <c r="M1353" s="29">
        <f>IF($B1353="","",IFERROR(INDEX($T$4:$T$3183,MATCH(SMALL($V$4:$V$3183,1350),$V$4:$V$3183,0)),""))</f>
        <v/>
      </c>
      <c r="O1353">
        <f>IF(INDEX(Suivi!$B:$B,1379)="","",INDEX(Suivi!$B:$B,1379))</f>
        <v/>
      </c>
      <c r="P1353">
        <f>IF($O1353="","",IF(INDEX(Suivi!$D:$D,1379)="",INDEX(Suivi!$C:$C,1379),INDEX(Suivi!$D:$D,1379)))</f>
        <v/>
      </c>
      <c r="Q1353">
        <f>IF($O1353="","",INDEX(Suivi!$E:$E,1379))</f>
        <v/>
      </c>
      <c r="R1353">
        <f>IF($O1353="","",INDEX(Suivi!$F:$F,1379))</f>
        <v/>
      </c>
      <c r="S1353">
        <f>IF($O1353="","",INDEX(Suivi!$G:$G,1379))</f>
        <v/>
      </c>
      <c r="T1353">
        <f>IF($O1353="","",IF(INDEX(Dossiers!$F$4:$F$63,26)="","",INDEX(Dossiers!$F$4:$F$63,26)))</f>
        <v/>
      </c>
      <c r="U1353">
        <f>IF($O1353="","",IF(INDEX(Dossiers!$G$4:$G$63,26)="","",INDEX(Dossiers!$G$4:$G$63,26)))</f>
        <v/>
      </c>
      <c r="V1353">
        <f>IF(OR($O1353="",NOT(ISNUMBER($Q1353))),"",$Q1353*1000000+1353)</f>
        <v/>
      </c>
      <c r="W1353" s="29">
        <f>IF($B1353="","",IFERROR(INDEX($U$4:$U$3183,MATCH(SMALL($V$4:$V$3183,1350),$V$4:$V$3183,0)),""))</f>
        <v/>
      </c>
    </row>
    <row r="1354">
      <c r="A1354">
        <f>IFERROR(INDEX($N$4:$N$3183,MATCH(SMALL($V$4:$V$3183,1351),$V$4:$V$3183,0)),"")</f>
        <v/>
      </c>
      <c r="B1354">
        <f>IFERROR(INDEX($O$4:$O$3183,MATCH(SMALL($V$4:$V$3183,1351),$V$4:$V$3183,0)),"")</f>
        <v/>
      </c>
      <c r="C1354">
        <f>IFERROR(INDEX($P$4:$P$3183,MATCH(SMALL($V$4:$V$3183,1351),$V$4:$V$3183,0)),"")</f>
        <v/>
      </c>
      <c r="D1354" s="29">
        <f>IFERROR(INDEX($Q$4:$Q$3183,MATCH(SMALL($V$4:$V$3183,1351),$V$4:$V$3183,0)),"")</f>
        <v/>
      </c>
      <c r="E1354" s="29">
        <f>IFERROR(INDEX($R$4:$R$3183,MATCH(SMALL($V$4:$V$3183,1351),$V$4:$V$3183,0)),"")</f>
        <v/>
      </c>
      <c r="F1354">
        <f>IFERROR(INDEX($S$4:$S$3183,MATCH(SMALL($V$4:$V$3183,1351),$V$4:$V$3183,0)),"")</f>
        <v/>
      </c>
      <c r="I1354" s="29">
        <f>IF($B1354="","",IFERROR(INDEX($U$4:$U$3183,MATCH(SMALL($V$4:$V$3183,1351),$V$4:$V$3183,0)),""))</f>
        <v/>
      </c>
      <c r="J1354">
        <f>IF($B1354="","",IF($D1354&gt;$F$2,"À venir",IF($E1354&lt;$D$2,"Passé","Dans la période")))</f>
        <v/>
      </c>
      <c r="K1354">
        <f>IF(OR($B1354="",NOT(ISNUMBER($D1354))),"",IF(AND($E1354&lt;$D$2,$G1354&lt;&gt;"X",$F1354&lt;&gt;"Réalisé",$F1354&lt;&gt;"Clôturé"),"RETARD",""))</f>
        <v/>
      </c>
      <c r="L1354">
        <f>IF(OR($B1354="",NOT(ISNUMBER($D1354))),"",IF(AND($D1354&gt;=$D$2,$D1354&lt;=$H$2,$G1354&lt;&gt;"X",$F1354&lt;&gt;"Réalisé",$F1354&lt;&gt;"Clôturé"),"≤ 7 j",""))</f>
        <v/>
      </c>
      <c r="M1354" s="29">
        <f>IF($B1354="","",IFERROR(INDEX($T$4:$T$3183,MATCH(SMALL($V$4:$V$3183,1351),$V$4:$V$3183,0)),""))</f>
        <v/>
      </c>
      <c r="O1354">
        <f>IF(INDEX(Suivi!$B:$B,1380)="","",INDEX(Suivi!$B:$B,1380))</f>
        <v/>
      </c>
      <c r="P1354">
        <f>IF($O1354="","",IF(INDEX(Suivi!$D:$D,1380)="",INDEX(Suivi!$C:$C,1380),INDEX(Suivi!$D:$D,1380)))</f>
        <v/>
      </c>
      <c r="Q1354">
        <f>IF($O1354="","",INDEX(Suivi!$E:$E,1380))</f>
        <v/>
      </c>
      <c r="R1354">
        <f>IF($O1354="","",INDEX(Suivi!$F:$F,1380))</f>
        <v/>
      </c>
      <c r="S1354">
        <f>IF($O1354="","",INDEX(Suivi!$G:$G,1380))</f>
        <v/>
      </c>
      <c r="T1354">
        <f>IF($O1354="","",IF(INDEX(Dossiers!$F$4:$F$63,26)="","",INDEX(Dossiers!$F$4:$F$63,26)))</f>
        <v/>
      </c>
      <c r="U1354">
        <f>IF($O1354="","",IF(INDEX(Dossiers!$G$4:$G$63,26)="","",INDEX(Dossiers!$G$4:$G$63,26)))</f>
        <v/>
      </c>
      <c r="V1354">
        <f>IF(OR($O1354="",NOT(ISNUMBER($Q1354))),"",$Q1354*1000000+1354)</f>
        <v/>
      </c>
      <c r="W1354" s="29">
        <f>IF($B1354="","",IFERROR(INDEX($U$4:$U$3183,MATCH(SMALL($V$4:$V$3183,1351),$V$4:$V$3183,0)),""))</f>
        <v/>
      </c>
    </row>
    <row r="1355">
      <c r="A1355">
        <f>IFERROR(INDEX($N$4:$N$3183,MATCH(SMALL($V$4:$V$3183,1352),$V$4:$V$3183,0)),"")</f>
        <v/>
      </c>
      <c r="B1355">
        <f>IFERROR(INDEX($O$4:$O$3183,MATCH(SMALL($V$4:$V$3183,1352),$V$4:$V$3183,0)),"")</f>
        <v/>
      </c>
      <c r="C1355">
        <f>IFERROR(INDEX($P$4:$P$3183,MATCH(SMALL($V$4:$V$3183,1352),$V$4:$V$3183,0)),"")</f>
        <v/>
      </c>
      <c r="D1355" s="29">
        <f>IFERROR(INDEX($Q$4:$Q$3183,MATCH(SMALL($V$4:$V$3183,1352),$V$4:$V$3183,0)),"")</f>
        <v/>
      </c>
      <c r="E1355" s="29">
        <f>IFERROR(INDEX($R$4:$R$3183,MATCH(SMALL($V$4:$V$3183,1352),$V$4:$V$3183,0)),"")</f>
        <v/>
      </c>
      <c r="F1355">
        <f>IFERROR(INDEX($S$4:$S$3183,MATCH(SMALL($V$4:$V$3183,1352),$V$4:$V$3183,0)),"")</f>
        <v/>
      </c>
      <c r="I1355" s="29">
        <f>IF($B1355="","",IFERROR(INDEX($U$4:$U$3183,MATCH(SMALL($V$4:$V$3183,1352),$V$4:$V$3183,0)),""))</f>
        <v/>
      </c>
      <c r="J1355">
        <f>IF($B1355="","",IF($D1355&gt;$F$2,"À venir",IF($E1355&lt;$D$2,"Passé","Dans la période")))</f>
        <v/>
      </c>
      <c r="K1355">
        <f>IF(OR($B1355="",NOT(ISNUMBER($D1355))),"",IF(AND($E1355&lt;$D$2,$G1355&lt;&gt;"X",$F1355&lt;&gt;"Réalisé",$F1355&lt;&gt;"Clôturé"),"RETARD",""))</f>
        <v/>
      </c>
      <c r="L1355">
        <f>IF(OR($B1355="",NOT(ISNUMBER($D1355))),"",IF(AND($D1355&gt;=$D$2,$D1355&lt;=$H$2,$G1355&lt;&gt;"X",$F1355&lt;&gt;"Réalisé",$F1355&lt;&gt;"Clôturé"),"≤ 7 j",""))</f>
        <v/>
      </c>
      <c r="M1355" s="29">
        <f>IF($B1355="","",IFERROR(INDEX($T$4:$T$3183,MATCH(SMALL($V$4:$V$3183,1352),$V$4:$V$3183,0)),""))</f>
        <v/>
      </c>
      <c r="O1355">
        <f>IF(INDEX(Suivi!$B:$B,1381)="","",INDEX(Suivi!$B:$B,1381))</f>
        <v/>
      </c>
      <c r="P1355">
        <f>IF($O1355="","",IF(INDEX(Suivi!$D:$D,1381)="",INDEX(Suivi!$C:$C,1381),INDEX(Suivi!$D:$D,1381)))</f>
        <v/>
      </c>
      <c r="Q1355">
        <f>IF($O1355="","",INDEX(Suivi!$E:$E,1381))</f>
        <v/>
      </c>
      <c r="R1355">
        <f>IF($O1355="","",INDEX(Suivi!$F:$F,1381))</f>
        <v/>
      </c>
      <c r="S1355">
        <f>IF($O1355="","",INDEX(Suivi!$G:$G,1381))</f>
        <v/>
      </c>
      <c r="T1355">
        <f>IF($O1355="","",IF(INDEX(Dossiers!$F$4:$F$63,26)="","",INDEX(Dossiers!$F$4:$F$63,26)))</f>
        <v/>
      </c>
      <c r="U1355">
        <f>IF($O1355="","",IF(INDEX(Dossiers!$G$4:$G$63,26)="","",INDEX(Dossiers!$G$4:$G$63,26)))</f>
        <v/>
      </c>
      <c r="V1355">
        <f>IF(OR($O1355="",NOT(ISNUMBER($Q1355))),"",$Q1355*1000000+1355)</f>
        <v/>
      </c>
      <c r="W1355" s="29">
        <f>IF($B1355="","",IFERROR(INDEX($U$4:$U$3183,MATCH(SMALL($V$4:$V$3183,1352),$V$4:$V$3183,0)),""))</f>
        <v/>
      </c>
    </row>
    <row r="1356">
      <c r="A1356">
        <f>IFERROR(INDEX($N$4:$N$3183,MATCH(SMALL($V$4:$V$3183,1353),$V$4:$V$3183,0)),"")</f>
        <v/>
      </c>
      <c r="B1356">
        <f>IFERROR(INDEX($O$4:$O$3183,MATCH(SMALL($V$4:$V$3183,1353),$V$4:$V$3183,0)),"")</f>
        <v/>
      </c>
      <c r="C1356">
        <f>IFERROR(INDEX($P$4:$P$3183,MATCH(SMALL($V$4:$V$3183,1353),$V$4:$V$3183,0)),"")</f>
        <v/>
      </c>
      <c r="D1356" s="29">
        <f>IFERROR(INDEX($Q$4:$Q$3183,MATCH(SMALL($V$4:$V$3183,1353),$V$4:$V$3183,0)),"")</f>
        <v/>
      </c>
      <c r="E1356" s="29">
        <f>IFERROR(INDEX($R$4:$R$3183,MATCH(SMALL($V$4:$V$3183,1353),$V$4:$V$3183,0)),"")</f>
        <v/>
      </c>
      <c r="F1356">
        <f>IFERROR(INDEX($S$4:$S$3183,MATCH(SMALL($V$4:$V$3183,1353),$V$4:$V$3183,0)),"")</f>
        <v/>
      </c>
      <c r="I1356" s="29">
        <f>IF($B1356="","",IFERROR(INDEX($U$4:$U$3183,MATCH(SMALL($V$4:$V$3183,1353),$V$4:$V$3183,0)),""))</f>
        <v/>
      </c>
      <c r="J1356">
        <f>IF($B1356="","",IF($D1356&gt;$F$2,"À venir",IF($E1356&lt;$D$2,"Passé","Dans la période")))</f>
        <v/>
      </c>
      <c r="K1356">
        <f>IF(OR($B1356="",NOT(ISNUMBER($D1356))),"",IF(AND($E1356&lt;$D$2,$G1356&lt;&gt;"X",$F1356&lt;&gt;"Réalisé",$F1356&lt;&gt;"Clôturé"),"RETARD",""))</f>
        <v/>
      </c>
      <c r="L1356">
        <f>IF(OR($B1356="",NOT(ISNUMBER($D1356))),"",IF(AND($D1356&gt;=$D$2,$D1356&lt;=$H$2,$G1356&lt;&gt;"X",$F1356&lt;&gt;"Réalisé",$F1356&lt;&gt;"Clôturé"),"≤ 7 j",""))</f>
        <v/>
      </c>
      <c r="M1356" s="29">
        <f>IF($B1356="","",IFERROR(INDEX($T$4:$T$3183,MATCH(SMALL($V$4:$V$3183,1353),$V$4:$V$3183,0)),""))</f>
        <v/>
      </c>
      <c r="O1356">
        <f>IF(INDEX(Suivi!$B:$B,1382)="","",INDEX(Suivi!$B:$B,1382))</f>
        <v/>
      </c>
      <c r="P1356">
        <f>IF($O1356="","",IF(INDEX(Suivi!$D:$D,1382)="",INDEX(Suivi!$C:$C,1382),INDEX(Suivi!$D:$D,1382)))</f>
        <v/>
      </c>
      <c r="Q1356">
        <f>IF($O1356="","",INDEX(Suivi!$E:$E,1382))</f>
        <v/>
      </c>
      <c r="R1356">
        <f>IF($O1356="","",INDEX(Suivi!$F:$F,1382))</f>
        <v/>
      </c>
      <c r="S1356">
        <f>IF($O1356="","",INDEX(Suivi!$G:$G,1382))</f>
        <v/>
      </c>
      <c r="T1356">
        <f>IF($O1356="","",IF(INDEX(Dossiers!$F$4:$F$63,26)="","",INDEX(Dossiers!$F$4:$F$63,26)))</f>
        <v/>
      </c>
      <c r="U1356">
        <f>IF($O1356="","",IF(INDEX(Dossiers!$G$4:$G$63,26)="","",INDEX(Dossiers!$G$4:$G$63,26)))</f>
        <v/>
      </c>
      <c r="V1356">
        <f>IF(OR($O1356="",NOT(ISNUMBER($Q1356))),"",$Q1356*1000000+1356)</f>
        <v/>
      </c>
      <c r="W1356" s="29">
        <f>IF($B1356="","",IFERROR(INDEX($U$4:$U$3183,MATCH(SMALL($V$4:$V$3183,1353),$V$4:$V$3183,0)),""))</f>
        <v/>
      </c>
    </row>
    <row r="1357">
      <c r="A1357">
        <f>IFERROR(INDEX($N$4:$N$3183,MATCH(SMALL($V$4:$V$3183,1354),$V$4:$V$3183,0)),"")</f>
        <v/>
      </c>
      <c r="B1357">
        <f>IFERROR(INDEX($O$4:$O$3183,MATCH(SMALL($V$4:$V$3183,1354),$V$4:$V$3183,0)),"")</f>
        <v/>
      </c>
      <c r="C1357">
        <f>IFERROR(INDEX($P$4:$P$3183,MATCH(SMALL($V$4:$V$3183,1354),$V$4:$V$3183,0)),"")</f>
        <v/>
      </c>
      <c r="D1357" s="29">
        <f>IFERROR(INDEX($Q$4:$Q$3183,MATCH(SMALL($V$4:$V$3183,1354),$V$4:$V$3183,0)),"")</f>
        <v/>
      </c>
      <c r="E1357" s="29">
        <f>IFERROR(INDEX($R$4:$R$3183,MATCH(SMALL($V$4:$V$3183,1354),$V$4:$V$3183,0)),"")</f>
        <v/>
      </c>
      <c r="F1357">
        <f>IFERROR(INDEX($S$4:$S$3183,MATCH(SMALL($V$4:$V$3183,1354),$V$4:$V$3183,0)),"")</f>
        <v/>
      </c>
      <c r="I1357" s="29">
        <f>IF($B1357="","",IFERROR(INDEX($U$4:$U$3183,MATCH(SMALL($V$4:$V$3183,1354),$V$4:$V$3183,0)),""))</f>
        <v/>
      </c>
      <c r="J1357">
        <f>IF($B1357="","",IF($D1357&gt;$F$2,"À venir",IF($E1357&lt;$D$2,"Passé","Dans la période")))</f>
        <v/>
      </c>
      <c r="K1357">
        <f>IF(OR($B1357="",NOT(ISNUMBER($D1357))),"",IF(AND($E1357&lt;$D$2,$G1357&lt;&gt;"X",$F1357&lt;&gt;"Réalisé",$F1357&lt;&gt;"Clôturé"),"RETARD",""))</f>
        <v/>
      </c>
      <c r="L1357">
        <f>IF(OR($B1357="",NOT(ISNUMBER($D1357))),"",IF(AND($D1357&gt;=$D$2,$D1357&lt;=$H$2,$G1357&lt;&gt;"X",$F1357&lt;&gt;"Réalisé",$F1357&lt;&gt;"Clôturé"),"≤ 7 j",""))</f>
        <v/>
      </c>
      <c r="M1357" s="29">
        <f>IF($B1357="","",IFERROR(INDEX($T$4:$T$3183,MATCH(SMALL($V$4:$V$3183,1354),$V$4:$V$3183,0)),""))</f>
        <v/>
      </c>
      <c r="O1357">
        <f>IF(INDEX(Suivi!$B:$B,1383)="","",INDEX(Suivi!$B:$B,1383))</f>
        <v/>
      </c>
      <c r="P1357">
        <f>IF($O1357="","",IF(INDEX(Suivi!$D:$D,1383)="",INDEX(Suivi!$C:$C,1383),INDEX(Suivi!$D:$D,1383)))</f>
        <v/>
      </c>
      <c r="Q1357">
        <f>IF($O1357="","",INDEX(Suivi!$E:$E,1383))</f>
        <v/>
      </c>
      <c r="R1357">
        <f>IF($O1357="","",INDEX(Suivi!$F:$F,1383))</f>
        <v/>
      </c>
      <c r="S1357">
        <f>IF($O1357="","",INDEX(Suivi!$G:$G,1383))</f>
        <v/>
      </c>
      <c r="T1357">
        <f>IF($O1357="","",IF(INDEX(Dossiers!$F$4:$F$63,26)="","",INDEX(Dossiers!$F$4:$F$63,26)))</f>
        <v/>
      </c>
      <c r="U1357">
        <f>IF($O1357="","",IF(INDEX(Dossiers!$G$4:$G$63,26)="","",INDEX(Dossiers!$G$4:$G$63,26)))</f>
        <v/>
      </c>
      <c r="V1357">
        <f>IF(OR($O1357="",NOT(ISNUMBER($Q1357))),"",$Q1357*1000000+1357)</f>
        <v/>
      </c>
      <c r="W1357" s="29">
        <f>IF($B1357="","",IFERROR(INDEX($U$4:$U$3183,MATCH(SMALL($V$4:$V$3183,1354),$V$4:$V$3183,0)),""))</f>
        <v/>
      </c>
    </row>
    <row r="1358">
      <c r="A1358">
        <f>IFERROR(INDEX($N$4:$N$3183,MATCH(SMALL($V$4:$V$3183,1355),$V$4:$V$3183,0)),"")</f>
        <v/>
      </c>
      <c r="B1358">
        <f>IFERROR(INDEX($O$4:$O$3183,MATCH(SMALL($V$4:$V$3183,1355),$V$4:$V$3183,0)),"")</f>
        <v/>
      </c>
      <c r="C1358">
        <f>IFERROR(INDEX($P$4:$P$3183,MATCH(SMALL($V$4:$V$3183,1355),$V$4:$V$3183,0)),"")</f>
        <v/>
      </c>
      <c r="D1358" s="29">
        <f>IFERROR(INDEX($Q$4:$Q$3183,MATCH(SMALL($V$4:$V$3183,1355),$V$4:$V$3183,0)),"")</f>
        <v/>
      </c>
      <c r="E1358" s="29">
        <f>IFERROR(INDEX($R$4:$R$3183,MATCH(SMALL($V$4:$V$3183,1355),$V$4:$V$3183,0)),"")</f>
        <v/>
      </c>
      <c r="F1358">
        <f>IFERROR(INDEX($S$4:$S$3183,MATCH(SMALL($V$4:$V$3183,1355),$V$4:$V$3183,0)),"")</f>
        <v/>
      </c>
      <c r="I1358" s="29">
        <f>IF($B1358="","",IFERROR(INDEX($U$4:$U$3183,MATCH(SMALL($V$4:$V$3183,1355),$V$4:$V$3183,0)),""))</f>
        <v/>
      </c>
      <c r="J1358">
        <f>IF($B1358="","",IF($D1358&gt;$F$2,"À venir",IF($E1358&lt;$D$2,"Passé","Dans la période")))</f>
        <v/>
      </c>
      <c r="K1358">
        <f>IF(OR($B1358="",NOT(ISNUMBER($D1358))),"",IF(AND($E1358&lt;$D$2,$G1358&lt;&gt;"X",$F1358&lt;&gt;"Réalisé",$F1358&lt;&gt;"Clôturé"),"RETARD",""))</f>
        <v/>
      </c>
      <c r="L1358">
        <f>IF(OR($B1358="",NOT(ISNUMBER($D1358))),"",IF(AND($D1358&gt;=$D$2,$D1358&lt;=$H$2,$G1358&lt;&gt;"X",$F1358&lt;&gt;"Réalisé",$F1358&lt;&gt;"Clôturé"),"≤ 7 j",""))</f>
        <v/>
      </c>
      <c r="M1358" s="29">
        <f>IF($B1358="","",IFERROR(INDEX($T$4:$T$3183,MATCH(SMALL($V$4:$V$3183,1355),$V$4:$V$3183,0)),""))</f>
        <v/>
      </c>
      <c r="O1358">
        <f>IF(INDEX(Suivi!$B:$B,1384)="","",INDEX(Suivi!$B:$B,1384))</f>
        <v/>
      </c>
      <c r="P1358">
        <f>IF($O1358="","",IF(INDEX(Suivi!$D:$D,1384)="",INDEX(Suivi!$C:$C,1384),INDEX(Suivi!$D:$D,1384)))</f>
        <v/>
      </c>
      <c r="Q1358">
        <f>IF($O1358="","",INDEX(Suivi!$E:$E,1384))</f>
        <v/>
      </c>
      <c r="R1358">
        <f>IF($O1358="","",INDEX(Suivi!$F:$F,1384))</f>
        <v/>
      </c>
      <c r="S1358">
        <f>IF($O1358="","",INDEX(Suivi!$G:$G,1384))</f>
        <v/>
      </c>
      <c r="T1358">
        <f>IF($O1358="","",IF(INDEX(Dossiers!$F$4:$F$63,26)="","",INDEX(Dossiers!$F$4:$F$63,26)))</f>
        <v/>
      </c>
      <c r="U1358">
        <f>IF($O1358="","",IF(INDEX(Dossiers!$G$4:$G$63,26)="","",INDEX(Dossiers!$G$4:$G$63,26)))</f>
        <v/>
      </c>
      <c r="V1358">
        <f>IF(OR($O1358="",NOT(ISNUMBER($Q1358))),"",$Q1358*1000000+1358)</f>
        <v/>
      </c>
      <c r="W1358" s="29">
        <f>IF($B1358="","",IFERROR(INDEX($U$4:$U$3183,MATCH(SMALL($V$4:$V$3183,1355),$V$4:$V$3183,0)),""))</f>
        <v/>
      </c>
    </row>
    <row r="1359">
      <c r="A1359">
        <f>IFERROR(INDEX($N$4:$N$3183,MATCH(SMALL($V$4:$V$3183,1356),$V$4:$V$3183,0)),"")</f>
        <v/>
      </c>
      <c r="B1359">
        <f>IFERROR(INDEX($O$4:$O$3183,MATCH(SMALL($V$4:$V$3183,1356),$V$4:$V$3183,0)),"")</f>
        <v/>
      </c>
      <c r="C1359">
        <f>IFERROR(INDEX($P$4:$P$3183,MATCH(SMALL($V$4:$V$3183,1356),$V$4:$V$3183,0)),"")</f>
        <v/>
      </c>
      <c r="D1359" s="29">
        <f>IFERROR(INDEX($Q$4:$Q$3183,MATCH(SMALL($V$4:$V$3183,1356),$V$4:$V$3183,0)),"")</f>
        <v/>
      </c>
      <c r="E1359" s="29">
        <f>IFERROR(INDEX($R$4:$R$3183,MATCH(SMALL($V$4:$V$3183,1356),$V$4:$V$3183,0)),"")</f>
        <v/>
      </c>
      <c r="F1359">
        <f>IFERROR(INDEX($S$4:$S$3183,MATCH(SMALL($V$4:$V$3183,1356),$V$4:$V$3183,0)),"")</f>
        <v/>
      </c>
      <c r="I1359" s="29">
        <f>IF($B1359="","",IFERROR(INDEX($U$4:$U$3183,MATCH(SMALL($V$4:$V$3183,1356),$V$4:$V$3183,0)),""))</f>
        <v/>
      </c>
      <c r="J1359">
        <f>IF($B1359="","",IF($D1359&gt;$F$2,"À venir",IF($E1359&lt;$D$2,"Passé","Dans la période")))</f>
        <v/>
      </c>
      <c r="K1359">
        <f>IF(OR($B1359="",NOT(ISNUMBER($D1359))),"",IF(AND($E1359&lt;$D$2,$G1359&lt;&gt;"X",$F1359&lt;&gt;"Réalisé",$F1359&lt;&gt;"Clôturé"),"RETARD",""))</f>
        <v/>
      </c>
      <c r="L1359">
        <f>IF(OR($B1359="",NOT(ISNUMBER($D1359))),"",IF(AND($D1359&gt;=$D$2,$D1359&lt;=$H$2,$G1359&lt;&gt;"X",$F1359&lt;&gt;"Réalisé",$F1359&lt;&gt;"Clôturé"),"≤ 7 j",""))</f>
        <v/>
      </c>
      <c r="M1359" s="29">
        <f>IF($B1359="","",IFERROR(INDEX($T$4:$T$3183,MATCH(SMALL($V$4:$V$3183,1356),$V$4:$V$3183,0)),""))</f>
        <v/>
      </c>
      <c r="O1359">
        <f>IF(INDEX(Suivi!$B:$B,1385)="","",INDEX(Suivi!$B:$B,1385))</f>
        <v/>
      </c>
      <c r="P1359">
        <f>IF($O1359="","",IF(INDEX(Suivi!$D:$D,1385)="",INDEX(Suivi!$C:$C,1385),INDEX(Suivi!$D:$D,1385)))</f>
        <v/>
      </c>
      <c r="Q1359">
        <f>IF($O1359="","",INDEX(Suivi!$E:$E,1385))</f>
        <v/>
      </c>
      <c r="R1359">
        <f>IF($O1359="","",INDEX(Suivi!$F:$F,1385))</f>
        <v/>
      </c>
      <c r="S1359">
        <f>IF($O1359="","",INDEX(Suivi!$G:$G,1385))</f>
        <v/>
      </c>
      <c r="T1359">
        <f>IF($O1359="","",IF(INDEX(Dossiers!$F$4:$F$63,26)="","",INDEX(Dossiers!$F$4:$F$63,26)))</f>
        <v/>
      </c>
      <c r="U1359">
        <f>IF($O1359="","",IF(INDEX(Dossiers!$G$4:$G$63,26)="","",INDEX(Dossiers!$G$4:$G$63,26)))</f>
        <v/>
      </c>
      <c r="V1359">
        <f>IF(OR($O1359="",NOT(ISNUMBER($Q1359))),"",$Q1359*1000000+1359)</f>
        <v/>
      </c>
      <c r="W1359" s="29">
        <f>IF($B1359="","",IFERROR(INDEX($U$4:$U$3183,MATCH(SMALL($V$4:$V$3183,1356),$V$4:$V$3183,0)),""))</f>
        <v/>
      </c>
    </row>
    <row r="1360">
      <c r="A1360">
        <f>IFERROR(INDEX($N$4:$N$3183,MATCH(SMALL($V$4:$V$3183,1357),$V$4:$V$3183,0)),"")</f>
        <v/>
      </c>
      <c r="B1360">
        <f>IFERROR(INDEX($O$4:$O$3183,MATCH(SMALL($V$4:$V$3183,1357),$V$4:$V$3183,0)),"")</f>
        <v/>
      </c>
      <c r="C1360">
        <f>IFERROR(INDEX($P$4:$P$3183,MATCH(SMALL($V$4:$V$3183,1357),$V$4:$V$3183,0)),"")</f>
        <v/>
      </c>
      <c r="D1360" s="29">
        <f>IFERROR(INDEX($Q$4:$Q$3183,MATCH(SMALL($V$4:$V$3183,1357),$V$4:$V$3183,0)),"")</f>
        <v/>
      </c>
      <c r="E1360" s="29">
        <f>IFERROR(INDEX($R$4:$R$3183,MATCH(SMALL($V$4:$V$3183,1357),$V$4:$V$3183,0)),"")</f>
        <v/>
      </c>
      <c r="F1360">
        <f>IFERROR(INDEX($S$4:$S$3183,MATCH(SMALL($V$4:$V$3183,1357),$V$4:$V$3183,0)),"")</f>
        <v/>
      </c>
      <c r="I1360" s="29">
        <f>IF($B1360="","",IFERROR(INDEX($U$4:$U$3183,MATCH(SMALL($V$4:$V$3183,1357),$V$4:$V$3183,0)),""))</f>
        <v/>
      </c>
      <c r="J1360">
        <f>IF($B1360="","",IF($D1360&gt;$F$2,"À venir",IF($E1360&lt;$D$2,"Passé","Dans la période")))</f>
        <v/>
      </c>
      <c r="K1360">
        <f>IF(OR($B1360="",NOT(ISNUMBER($D1360))),"",IF(AND($E1360&lt;$D$2,$G1360&lt;&gt;"X",$F1360&lt;&gt;"Réalisé",$F1360&lt;&gt;"Clôturé"),"RETARD",""))</f>
        <v/>
      </c>
      <c r="L1360">
        <f>IF(OR($B1360="",NOT(ISNUMBER($D1360))),"",IF(AND($D1360&gt;=$D$2,$D1360&lt;=$H$2,$G1360&lt;&gt;"X",$F1360&lt;&gt;"Réalisé",$F1360&lt;&gt;"Clôturé"),"≤ 7 j",""))</f>
        <v/>
      </c>
      <c r="M1360" s="29">
        <f>IF($B1360="","",IFERROR(INDEX($T$4:$T$3183,MATCH(SMALL($V$4:$V$3183,1357),$V$4:$V$3183,0)),""))</f>
        <v/>
      </c>
      <c r="O1360">
        <f>IF(INDEX(Suivi!$B:$B,1386)="","",INDEX(Suivi!$B:$B,1386))</f>
        <v/>
      </c>
      <c r="P1360">
        <f>IF($O1360="","",IF(INDEX(Suivi!$D:$D,1386)="",INDEX(Suivi!$C:$C,1386),INDEX(Suivi!$D:$D,1386)))</f>
        <v/>
      </c>
      <c r="Q1360">
        <f>IF($O1360="","",INDEX(Suivi!$E:$E,1386))</f>
        <v/>
      </c>
      <c r="R1360">
        <f>IF($O1360="","",INDEX(Suivi!$F:$F,1386))</f>
        <v/>
      </c>
      <c r="S1360">
        <f>IF($O1360="","",INDEX(Suivi!$G:$G,1386))</f>
        <v/>
      </c>
      <c r="T1360">
        <f>IF($O1360="","",IF(INDEX(Dossiers!$F$4:$F$63,26)="","",INDEX(Dossiers!$F$4:$F$63,26)))</f>
        <v/>
      </c>
      <c r="U1360">
        <f>IF($O1360="","",IF(INDEX(Dossiers!$G$4:$G$63,26)="","",INDEX(Dossiers!$G$4:$G$63,26)))</f>
        <v/>
      </c>
      <c r="V1360">
        <f>IF(OR($O1360="",NOT(ISNUMBER($Q1360))),"",$Q1360*1000000+1360)</f>
        <v/>
      </c>
      <c r="W1360" s="29">
        <f>IF($B1360="","",IFERROR(INDEX($U$4:$U$3183,MATCH(SMALL($V$4:$V$3183,1357),$V$4:$V$3183,0)),""))</f>
        <v/>
      </c>
    </row>
    <row r="1361">
      <c r="A1361">
        <f>IFERROR(INDEX($N$4:$N$3183,MATCH(SMALL($V$4:$V$3183,1358),$V$4:$V$3183,0)),"")</f>
        <v/>
      </c>
      <c r="B1361">
        <f>IFERROR(INDEX($O$4:$O$3183,MATCH(SMALL($V$4:$V$3183,1358),$V$4:$V$3183,0)),"")</f>
        <v/>
      </c>
      <c r="C1361">
        <f>IFERROR(INDEX($P$4:$P$3183,MATCH(SMALL($V$4:$V$3183,1358),$V$4:$V$3183,0)),"")</f>
        <v/>
      </c>
      <c r="D1361" s="29">
        <f>IFERROR(INDEX($Q$4:$Q$3183,MATCH(SMALL($V$4:$V$3183,1358),$V$4:$V$3183,0)),"")</f>
        <v/>
      </c>
      <c r="E1361" s="29">
        <f>IFERROR(INDEX($R$4:$R$3183,MATCH(SMALL($V$4:$V$3183,1358),$V$4:$V$3183,0)),"")</f>
        <v/>
      </c>
      <c r="F1361">
        <f>IFERROR(INDEX($S$4:$S$3183,MATCH(SMALL($V$4:$V$3183,1358),$V$4:$V$3183,0)),"")</f>
        <v/>
      </c>
      <c r="I1361" s="29">
        <f>IF($B1361="","",IFERROR(INDEX($U$4:$U$3183,MATCH(SMALL($V$4:$V$3183,1358),$V$4:$V$3183,0)),""))</f>
        <v/>
      </c>
      <c r="J1361">
        <f>IF($B1361="","",IF($D1361&gt;$F$2,"À venir",IF($E1361&lt;$D$2,"Passé","Dans la période")))</f>
        <v/>
      </c>
      <c r="K1361">
        <f>IF(OR($B1361="",NOT(ISNUMBER($D1361))),"",IF(AND($E1361&lt;$D$2,$G1361&lt;&gt;"X",$F1361&lt;&gt;"Réalisé",$F1361&lt;&gt;"Clôturé"),"RETARD",""))</f>
        <v/>
      </c>
      <c r="L1361">
        <f>IF(OR($B1361="",NOT(ISNUMBER($D1361))),"",IF(AND($D1361&gt;=$D$2,$D1361&lt;=$H$2,$G1361&lt;&gt;"X",$F1361&lt;&gt;"Réalisé",$F1361&lt;&gt;"Clôturé"),"≤ 7 j",""))</f>
        <v/>
      </c>
      <c r="M1361" s="29">
        <f>IF($B1361="","",IFERROR(INDEX($T$4:$T$3183,MATCH(SMALL($V$4:$V$3183,1358),$V$4:$V$3183,0)),""))</f>
        <v/>
      </c>
      <c r="O1361">
        <f>IF(INDEX(Suivi!$B:$B,1387)="","",INDEX(Suivi!$B:$B,1387))</f>
        <v/>
      </c>
      <c r="P1361">
        <f>IF($O1361="","",IF(INDEX(Suivi!$D:$D,1387)="",INDEX(Suivi!$C:$C,1387),INDEX(Suivi!$D:$D,1387)))</f>
        <v/>
      </c>
      <c r="Q1361">
        <f>IF($O1361="","",INDEX(Suivi!$E:$E,1387))</f>
        <v/>
      </c>
      <c r="R1361">
        <f>IF($O1361="","",INDEX(Suivi!$F:$F,1387))</f>
        <v/>
      </c>
      <c r="S1361">
        <f>IF($O1361="","",INDEX(Suivi!$G:$G,1387))</f>
        <v/>
      </c>
      <c r="T1361">
        <f>IF($O1361="","",IF(INDEX(Dossiers!$F$4:$F$63,26)="","",INDEX(Dossiers!$F$4:$F$63,26)))</f>
        <v/>
      </c>
      <c r="U1361">
        <f>IF($O1361="","",IF(INDEX(Dossiers!$G$4:$G$63,26)="","",INDEX(Dossiers!$G$4:$G$63,26)))</f>
        <v/>
      </c>
      <c r="V1361">
        <f>IF(OR($O1361="",NOT(ISNUMBER($Q1361))),"",$Q1361*1000000+1361)</f>
        <v/>
      </c>
      <c r="W1361" s="29">
        <f>IF($B1361="","",IFERROR(INDEX($U$4:$U$3183,MATCH(SMALL($V$4:$V$3183,1358),$V$4:$V$3183,0)),""))</f>
        <v/>
      </c>
    </row>
    <row r="1362">
      <c r="A1362">
        <f>IFERROR(INDEX($N$4:$N$3183,MATCH(SMALL($V$4:$V$3183,1359),$V$4:$V$3183,0)),"")</f>
        <v/>
      </c>
      <c r="B1362">
        <f>IFERROR(INDEX($O$4:$O$3183,MATCH(SMALL($V$4:$V$3183,1359),$V$4:$V$3183,0)),"")</f>
        <v/>
      </c>
      <c r="C1362">
        <f>IFERROR(INDEX($P$4:$P$3183,MATCH(SMALL($V$4:$V$3183,1359),$V$4:$V$3183,0)),"")</f>
        <v/>
      </c>
      <c r="D1362" s="29">
        <f>IFERROR(INDEX($Q$4:$Q$3183,MATCH(SMALL($V$4:$V$3183,1359),$V$4:$V$3183,0)),"")</f>
        <v/>
      </c>
      <c r="E1362" s="29">
        <f>IFERROR(INDEX($R$4:$R$3183,MATCH(SMALL($V$4:$V$3183,1359),$V$4:$V$3183,0)),"")</f>
        <v/>
      </c>
      <c r="F1362">
        <f>IFERROR(INDEX($S$4:$S$3183,MATCH(SMALL($V$4:$V$3183,1359),$V$4:$V$3183,0)),"")</f>
        <v/>
      </c>
      <c r="I1362" s="29">
        <f>IF($B1362="","",IFERROR(INDEX($U$4:$U$3183,MATCH(SMALL($V$4:$V$3183,1359),$V$4:$V$3183,0)),""))</f>
        <v/>
      </c>
      <c r="J1362">
        <f>IF($B1362="","",IF($D1362&gt;$F$2,"À venir",IF($E1362&lt;$D$2,"Passé","Dans la période")))</f>
        <v/>
      </c>
      <c r="K1362">
        <f>IF(OR($B1362="",NOT(ISNUMBER($D1362))),"",IF(AND($E1362&lt;$D$2,$G1362&lt;&gt;"X",$F1362&lt;&gt;"Réalisé",$F1362&lt;&gt;"Clôturé"),"RETARD",""))</f>
        <v/>
      </c>
      <c r="L1362">
        <f>IF(OR($B1362="",NOT(ISNUMBER($D1362))),"",IF(AND($D1362&gt;=$D$2,$D1362&lt;=$H$2,$G1362&lt;&gt;"X",$F1362&lt;&gt;"Réalisé",$F1362&lt;&gt;"Clôturé"),"≤ 7 j",""))</f>
        <v/>
      </c>
      <c r="M1362" s="29">
        <f>IF($B1362="","",IFERROR(INDEX($T$4:$T$3183,MATCH(SMALL($V$4:$V$3183,1359),$V$4:$V$3183,0)),""))</f>
        <v/>
      </c>
      <c r="O1362">
        <f>IF(INDEX(Suivi!$B:$B,1388)="","",INDEX(Suivi!$B:$B,1388))</f>
        <v/>
      </c>
      <c r="P1362">
        <f>IF($O1362="","",IF(INDEX(Suivi!$D:$D,1388)="",INDEX(Suivi!$C:$C,1388),INDEX(Suivi!$D:$D,1388)))</f>
        <v/>
      </c>
      <c r="Q1362">
        <f>IF($O1362="","",INDEX(Suivi!$E:$E,1388))</f>
        <v/>
      </c>
      <c r="R1362">
        <f>IF($O1362="","",INDEX(Suivi!$F:$F,1388))</f>
        <v/>
      </c>
      <c r="S1362">
        <f>IF($O1362="","",INDEX(Suivi!$G:$G,1388))</f>
        <v/>
      </c>
      <c r="T1362">
        <f>IF($O1362="","",IF(INDEX(Dossiers!$F$4:$F$63,26)="","",INDEX(Dossiers!$F$4:$F$63,26)))</f>
        <v/>
      </c>
      <c r="U1362">
        <f>IF($O1362="","",IF(INDEX(Dossiers!$G$4:$G$63,26)="","",INDEX(Dossiers!$G$4:$G$63,26)))</f>
        <v/>
      </c>
      <c r="V1362">
        <f>IF(OR($O1362="",NOT(ISNUMBER($Q1362))),"",$Q1362*1000000+1362)</f>
        <v/>
      </c>
      <c r="W1362" s="29">
        <f>IF($B1362="","",IFERROR(INDEX($U$4:$U$3183,MATCH(SMALL($V$4:$V$3183,1359),$V$4:$V$3183,0)),""))</f>
        <v/>
      </c>
    </row>
    <row r="1363">
      <c r="A1363">
        <f>IFERROR(INDEX($N$4:$N$3183,MATCH(SMALL($V$4:$V$3183,1360),$V$4:$V$3183,0)),"")</f>
        <v/>
      </c>
      <c r="B1363">
        <f>IFERROR(INDEX($O$4:$O$3183,MATCH(SMALL($V$4:$V$3183,1360),$V$4:$V$3183,0)),"")</f>
        <v/>
      </c>
      <c r="C1363">
        <f>IFERROR(INDEX($P$4:$P$3183,MATCH(SMALL($V$4:$V$3183,1360),$V$4:$V$3183,0)),"")</f>
        <v/>
      </c>
      <c r="D1363" s="29">
        <f>IFERROR(INDEX($Q$4:$Q$3183,MATCH(SMALL($V$4:$V$3183,1360),$V$4:$V$3183,0)),"")</f>
        <v/>
      </c>
      <c r="E1363" s="29">
        <f>IFERROR(INDEX($R$4:$R$3183,MATCH(SMALL($V$4:$V$3183,1360),$V$4:$V$3183,0)),"")</f>
        <v/>
      </c>
      <c r="F1363">
        <f>IFERROR(INDEX($S$4:$S$3183,MATCH(SMALL($V$4:$V$3183,1360),$V$4:$V$3183,0)),"")</f>
        <v/>
      </c>
      <c r="I1363" s="29">
        <f>IF($B1363="","",IFERROR(INDEX($U$4:$U$3183,MATCH(SMALL($V$4:$V$3183,1360),$V$4:$V$3183,0)),""))</f>
        <v/>
      </c>
      <c r="J1363">
        <f>IF($B1363="","",IF($D1363&gt;$F$2,"À venir",IF($E1363&lt;$D$2,"Passé","Dans la période")))</f>
        <v/>
      </c>
      <c r="K1363">
        <f>IF(OR($B1363="",NOT(ISNUMBER($D1363))),"",IF(AND($E1363&lt;$D$2,$G1363&lt;&gt;"X",$F1363&lt;&gt;"Réalisé",$F1363&lt;&gt;"Clôturé"),"RETARD",""))</f>
        <v/>
      </c>
      <c r="L1363">
        <f>IF(OR($B1363="",NOT(ISNUMBER($D1363))),"",IF(AND($D1363&gt;=$D$2,$D1363&lt;=$H$2,$G1363&lt;&gt;"X",$F1363&lt;&gt;"Réalisé",$F1363&lt;&gt;"Clôturé"),"≤ 7 j",""))</f>
        <v/>
      </c>
      <c r="M1363" s="29">
        <f>IF($B1363="","",IFERROR(INDEX($T$4:$T$3183,MATCH(SMALL($V$4:$V$3183,1360),$V$4:$V$3183,0)),""))</f>
        <v/>
      </c>
      <c r="O1363">
        <f>IF(INDEX(Suivi!$B:$B,1389)="","",INDEX(Suivi!$B:$B,1389))</f>
        <v/>
      </c>
      <c r="P1363">
        <f>IF($O1363="","",IF(INDEX(Suivi!$D:$D,1389)="",INDEX(Suivi!$C:$C,1389),INDEX(Suivi!$D:$D,1389)))</f>
        <v/>
      </c>
      <c r="Q1363">
        <f>IF($O1363="","",INDEX(Suivi!$E:$E,1389))</f>
        <v/>
      </c>
      <c r="R1363">
        <f>IF($O1363="","",INDEX(Suivi!$F:$F,1389))</f>
        <v/>
      </c>
      <c r="S1363">
        <f>IF($O1363="","",INDEX(Suivi!$G:$G,1389))</f>
        <v/>
      </c>
      <c r="T1363">
        <f>IF($O1363="","",IF(INDEX(Dossiers!$F$4:$F$63,26)="","",INDEX(Dossiers!$F$4:$F$63,26)))</f>
        <v/>
      </c>
      <c r="U1363">
        <f>IF($O1363="","",IF(INDEX(Dossiers!$G$4:$G$63,26)="","",INDEX(Dossiers!$G$4:$G$63,26)))</f>
        <v/>
      </c>
      <c r="V1363">
        <f>IF(OR($O1363="",NOT(ISNUMBER($Q1363))),"",$Q1363*1000000+1363)</f>
        <v/>
      </c>
      <c r="W1363" s="29">
        <f>IF($B1363="","",IFERROR(INDEX($U$4:$U$3183,MATCH(SMALL($V$4:$V$3183,1360),$V$4:$V$3183,0)),""))</f>
        <v/>
      </c>
    </row>
    <row r="1364">
      <c r="A1364">
        <f>IFERROR(INDEX($N$4:$N$3183,MATCH(SMALL($V$4:$V$3183,1361),$V$4:$V$3183,0)),"")</f>
        <v/>
      </c>
      <c r="B1364">
        <f>IFERROR(INDEX($O$4:$O$3183,MATCH(SMALL($V$4:$V$3183,1361),$V$4:$V$3183,0)),"")</f>
        <v/>
      </c>
      <c r="C1364">
        <f>IFERROR(INDEX($P$4:$P$3183,MATCH(SMALL($V$4:$V$3183,1361),$V$4:$V$3183,0)),"")</f>
        <v/>
      </c>
      <c r="D1364" s="29">
        <f>IFERROR(INDEX($Q$4:$Q$3183,MATCH(SMALL($V$4:$V$3183,1361),$V$4:$V$3183,0)),"")</f>
        <v/>
      </c>
      <c r="E1364" s="29">
        <f>IFERROR(INDEX($R$4:$R$3183,MATCH(SMALL($V$4:$V$3183,1361),$V$4:$V$3183,0)),"")</f>
        <v/>
      </c>
      <c r="F1364">
        <f>IFERROR(INDEX($S$4:$S$3183,MATCH(SMALL($V$4:$V$3183,1361),$V$4:$V$3183,0)),"")</f>
        <v/>
      </c>
      <c r="I1364" s="29">
        <f>IF($B1364="","",IFERROR(INDEX($U$4:$U$3183,MATCH(SMALL($V$4:$V$3183,1361),$V$4:$V$3183,0)),""))</f>
        <v/>
      </c>
      <c r="J1364">
        <f>IF($B1364="","",IF($D1364&gt;$F$2,"À venir",IF($E1364&lt;$D$2,"Passé","Dans la période")))</f>
        <v/>
      </c>
      <c r="K1364">
        <f>IF(OR($B1364="",NOT(ISNUMBER($D1364))),"",IF(AND($E1364&lt;$D$2,$G1364&lt;&gt;"X",$F1364&lt;&gt;"Réalisé",$F1364&lt;&gt;"Clôturé"),"RETARD",""))</f>
        <v/>
      </c>
      <c r="L1364">
        <f>IF(OR($B1364="",NOT(ISNUMBER($D1364))),"",IF(AND($D1364&gt;=$D$2,$D1364&lt;=$H$2,$G1364&lt;&gt;"X",$F1364&lt;&gt;"Réalisé",$F1364&lt;&gt;"Clôturé"),"≤ 7 j",""))</f>
        <v/>
      </c>
      <c r="M1364" s="29">
        <f>IF($B1364="","",IFERROR(INDEX($T$4:$T$3183,MATCH(SMALL($V$4:$V$3183,1361),$V$4:$V$3183,0)),""))</f>
        <v/>
      </c>
      <c r="O1364">
        <f>IF(INDEX(Suivi!$B:$B,1390)="","",INDEX(Suivi!$B:$B,1390))</f>
        <v/>
      </c>
      <c r="P1364">
        <f>IF($O1364="","",IF(INDEX(Suivi!$D:$D,1390)="",INDEX(Suivi!$C:$C,1390),INDEX(Suivi!$D:$D,1390)))</f>
        <v/>
      </c>
      <c r="Q1364">
        <f>IF($O1364="","",INDEX(Suivi!$E:$E,1390))</f>
        <v/>
      </c>
      <c r="R1364">
        <f>IF($O1364="","",INDEX(Suivi!$F:$F,1390))</f>
        <v/>
      </c>
      <c r="S1364">
        <f>IF($O1364="","",INDEX(Suivi!$G:$G,1390))</f>
        <v/>
      </c>
      <c r="T1364">
        <f>IF($O1364="","",IF(INDEX(Dossiers!$F$4:$F$63,26)="","",INDEX(Dossiers!$F$4:$F$63,26)))</f>
        <v/>
      </c>
      <c r="U1364">
        <f>IF($O1364="","",IF(INDEX(Dossiers!$G$4:$G$63,26)="","",INDEX(Dossiers!$G$4:$G$63,26)))</f>
        <v/>
      </c>
      <c r="V1364">
        <f>IF(OR($O1364="",NOT(ISNUMBER($Q1364))),"",$Q1364*1000000+1364)</f>
        <v/>
      </c>
      <c r="W1364" s="29">
        <f>IF($B1364="","",IFERROR(INDEX($U$4:$U$3183,MATCH(SMALL($V$4:$V$3183,1361),$V$4:$V$3183,0)),""))</f>
        <v/>
      </c>
    </row>
    <row r="1365">
      <c r="A1365">
        <f>IFERROR(INDEX($N$4:$N$3183,MATCH(SMALL($V$4:$V$3183,1362),$V$4:$V$3183,0)),"")</f>
        <v/>
      </c>
      <c r="B1365">
        <f>IFERROR(INDEX($O$4:$O$3183,MATCH(SMALL($V$4:$V$3183,1362),$V$4:$V$3183,0)),"")</f>
        <v/>
      </c>
      <c r="C1365">
        <f>IFERROR(INDEX($P$4:$P$3183,MATCH(SMALL($V$4:$V$3183,1362),$V$4:$V$3183,0)),"")</f>
        <v/>
      </c>
      <c r="D1365" s="29">
        <f>IFERROR(INDEX($Q$4:$Q$3183,MATCH(SMALL($V$4:$V$3183,1362),$V$4:$V$3183,0)),"")</f>
        <v/>
      </c>
      <c r="E1365" s="29">
        <f>IFERROR(INDEX($R$4:$R$3183,MATCH(SMALL($V$4:$V$3183,1362),$V$4:$V$3183,0)),"")</f>
        <v/>
      </c>
      <c r="F1365">
        <f>IFERROR(INDEX($S$4:$S$3183,MATCH(SMALL($V$4:$V$3183,1362),$V$4:$V$3183,0)),"")</f>
        <v/>
      </c>
      <c r="I1365" s="29">
        <f>IF($B1365="","",IFERROR(INDEX($U$4:$U$3183,MATCH(SMALL($V$4:$V$3183,1362),$V$4:$V$3183,0)),""))</f>
        <v/>
      </c>
      <c r="J1365">
        <f>IF($B1365="","",IF($D1365&gt;$F$2,"À venir",IF($E1365&lt;$D$2,"Passé","Dans la période")))</f>
        <v/>
      </c>
      <c r="K1365">
        <f>IF(OR($B1365="",NOT(ISNUMBER($D1365))),"",IF(AND($E1365&lt;$D$2,$G1365&lt;&gt;"X",$F1365&lt;&gt;"Réalisé",$F1365&lt;&gt;"Clôturé"),"RETARD",""))</f>
        <v/>
      </c>
      <c r="L1365">
        <f>IF(OR($B1365="",NOT(ISNUMBER($D1365))),"",IF(AND($D1365&gt;=$D$2,$D1365&lt;=$H$2,$G1365&lt;&gt;"X",$F1365&lt;&gt;"Réalisé",$F1365&lt;&gt;"Clôturé"),"≤ 7 j",""))</f>
        <v/>
      </c>
      <c r="M1365" s="29">
        <f>IF($B1365="","",IFERROR(INDEX($T$4:$T$3183,MATCH(SMALL($V$4:$V$3183,1362),$V$4:$V$3183,0)),""))</f>
        <v/>
      </c>
      <c r="O1365">
        <f>IF(INDEX(Suivi!$B:$B,1391)="","",INDEX(Suivi!$B:$B,1391))</f>
        <v/>
      </c>
      <c r="P1365">
        <f>IF($O1365="","",IF(INDEX(Suivi!$D:$D,1391)="",INDEX(Suivi!$C:$C,1391),INDEX(Suivi!$D:$D,1391)))</f>
        <v/>
      </c>
      <c r="Q1365">
        <f>IF($O1365="","",INDEX(Suivi!$E:$E,1391))</f>
        <v/>
      </c>
      <c r="R1365">
        <f>IF($O1365="","",INDEX(Suivi!$F:$F,1391))</f>
        <v/>
      </c>
      <c r="S1365">
        <f>IF($O1365="","",INDEX(Suivi!$G:$G,1391))</f>
        <v/>
      </c>
      <c r="T1365">
        <f>IF($O1365="","",IF(INDEX(Dossiers!$F$4:$F$63,26)="","",INDEX(Dossiers!$F$4:$F$63,26)))</f>
        <v/>
      </c>
      <c r="U1365">
        <f>IF($O1365="","",IF(INDEX(Dossiers!$G$4:$G$63,26)="","",INDEX(Dossiers!$G$4:$G$63,26)))</f>
        <v/>
      </c>
      <c r="V1365">
        <f>IF(OR($O1365="",NOT(ISNUMBER($Q1365))),"",$Q1365*1000000+1365)</f>
        <v/>
      </c>
      <c r="W1365" s="29">
        <f>IF($B1365="","",IFERROR(INDEX($U$4:$U$3183,MATCH(SMALL($V$4:$V$3183,1362),$V$4:$V$3183,0)),""))</f>
        <v/>
      </c>
    </row>
    <row r="1366">
      <c r="A1366">
        <f>IFERROR(INDEX($N$4:$N$3183,MATCH(SMALL($V$4:$V$3183,1363),$V$4:$V$3183,0)),"")</f>
        <v/>
      </c>
      <c r="B1366">
        <f>IFERROR(INDEX($O$4:$O$3183,MATCH(SMALL($V$4:$V$3183,1363),$V$4:$V$3183,0)),"")</f>
        <v/>
      </c>
      <c r="C1366">
        <f>IFERROR(INDEX($P$4:$P$3183,MATCH(SMALL($V$4:$V$3183,1363),$V$4:$V$3183,0)),"")</f>
        <v/>
      </c>
      <c r="D1366" s="29">
        <f>IFERROR(INDEX($Q$4:$Q$3183,MATCH(SMALL($V$4:$V$3183,1363),$V$4:$V$3183,0)),"")</f>
        <v/>
      </c>
      <c r="E1366" s="29">
        <f>IFERROR(INDEX($R$4:$R$3183,MATCH(SMALL($V$4:$V$3183,1363),$V$4:$V$3183,0)),"")</f>
        <v/>
      </c>
      <c r="F1366">
        <f>IFERROR(INDEX($S$4:$S$3183,MATCH(SMALL($V$4:$V$3183,1363),$V$4:$V$3183,0)),"")</f>
        <v/>
      </c>
      <c r="I1366" s="29">
        <f>IF($B1366="","",IFERROR(INDEX($U$4:$U$3183,MATCH(SMALL($V$4:$V$3183,1363),$V$4:$V$3183,0)),""))</f>
        <v/>
      </c>
      <c r="J1366">
        <f>IF($B1366="","",IF($D1366&gt;$F$2,"À venir",IF($E1366&lt;$D$2,"Passé","Dans la période")))</f>
        <v/>
      </c>
      <c r="K1366">
        <f>IF(OR($B1366="",NOT(ISNUMBER($D1366))),"",IF(AND($E1366&lt;$D$2,$G1366&lt;&gt;"X",$F1366&lt;&gt;"Réalisé",$F1366&lt;&gt;"Clôturé"),"RETARD",""))</f>
        <v/>
      </c>
      <c r="L1366">
        <f>IF(OR($B1366="",NOT(ISNUMBER($D1366))),"",IF(AND($D1366&gt;=$D$2,$D1366&lt;=$H$2,$G1366&lt;&gt;"X",$F1366&lt;&gt;"Réalisé",$F1366&lt;&gt;"Clôturé"),"≤ 7 j",""))</f>
        <v/>
      </c>
      <c r="M1366" s="29">
        <f>IF($B1366="","",IFERROR(INDEX($T$4:$T$3183,MATCH(SMALL($V$4:$V$3183,1363),$V$4:$V$3183,0)),""))</f>
        <v/>
      </c>
      <c r="O1366">
        <f>IF(INDEX(Suivi!$B:$B,1392)="","",INDEX(Suivi!$B:$B,1392))</f>
        <v/>
      </c>
      <c r="P1366">
        <f>IF($O1366="","",IF(INDEX(Suivi!$D:$D,1392)="",INDEX(Suivi!$C:$C,1392),INDEX(Suivi!$D:$D,1392)))</f>
        <v/>
      </c>
      <c r="Q1366">
        <f>IF($O1366="","",INDEX(Suivi!$E:$E,1392))</f>
        <v/>
      </c>
      <c r="R1366">
        <f>IF($O1366="","",INDEX(Suivi!$F:$F,1392))</f>
        <v/>
      </c>
      <c r="S1366">
        <f>IF($O1366="","",INDEX(Suivi!$G:$G,1392))</f>
        <v/>
      </c>
      <c r="T1366">
        <f>IF($O1366="","",IF(INDEX(Dossiers!$F$4:$F$63,26)="","",INDEX(Dossiers!$F$4:$F$63,26)))</f>
        <v/>
      </c>
      <c r="U1366">
        <f>IF($O1366="","",IF(INDEX(Dossiers!$G$4:$G$63,26)="","",INDEX(Dossiers!$G$4:$G$63,26)))</f>
        <v/>
      </c>
      <c r="V1366">
        <f>IF(OR($O1366="",NOT(ISNUMBER($Q1366))),"",$Q1366*1000000+1366)</f>
        <v/>
      </c>
      <c r="W1366" s="29">
        <f>IF($B1366="","",IFERROR(INDEX($U$4:$U$3183,MATCH(SMALL($V$4:$V$3183,1363),$V$4:$V$3183,0)),""))</f>
        <v/>
      </c>
    </row>
    <row r="1367">
      <c r="A1367">
        <f>IFERROR(INDEX($N$4:$N$3183,MATCH(SMALL($V$4:$V$3183,1364),$V$4:$V$3183,0)),"")</f>
        <v/>
      </c>
      <c r="B1367">
        <f>IFERROR(INDEX($O$4:$O$3183,MATCH(SMALL($V$4:$V$3183,1364),$V$4:$V$3183,0)),"")</f>
        <v/>
      </c>
      <c r="C1367">
        <f>IFERROR(INDEX($P$4:$P$3183,MATCH(SMALL($V$4:$V$3183,1364),$V$4:$V$3183,0)),"")</f>
        <v/>
      </c>
      <c r="D1367" s="29">
        <f>IFERROR(INDEX($Q$4:$Q$3183,MATCH(SMALL($V$4:$V$3183,1364),$V$4:$V$3183,0)),"")</f>
        <v/>
      </c>
      <c r="E1367" s="29">
        <f>IFERROR(INDEX($R$4:$R$3183,MATCH(SMALL($V$4:$V$3183,1364),$V$4:$V$3183,0)),"")</f>
        <v/>
      </c>
      <c r="F1367">
        <f>IFERROR(INDEX($S$4:$S$3183,MATCH(SMALL($V$4:$V$3183,1364),$V$4:$V$3183,0)),"")</f>
        <v/>
      </c>
      <c r="I1367" s="29">
        <f>IF($B1367="","",IFERROR(INDEX($U$4:$U$3183,MATCH(SMALL($V$4:$V$3183,1364),$V$4:$V$3183,0)),""))</f>
        <v/>
      </c>
      <c r="J1367">
        <f>IF($B1367="","",IF($D1367&gt;$F$2,"À venir",IF($E1367&lt;$D$2,"Passé","Dans la période")))</f>
        <v/>
      </c>
      <c r="K1367">
        <f>IF(OR($B1367="",NOT(ISNUMBER($D1367))),"",IF(AND($E1367&lt;$D$2,$G1367&lt;&gt;"X",$F1367&lt;&gt;"Réalisé",$F1367&lt;&gt;"Clôturé"),"RETARD",""))</f>
        <v/>
      </c>
      <c r="L1367">
        <f>IF(OR($B1367="",NOT(ISNUMBER($D1367))),"",IF(AND($D1367&gt;=$D$2,$D1367&lt;=$H$2,$G1367&lt;&gt;"X",$F1367&lt;&gt;"Réalisé",$F1367&lt;&gt;"Clôturé"),"≤ 7 j",""))</f>
        <v/>
      </c>
      <c r="M1367" s="29">
        <f>IF($B1367="","",IFERROR(INDEX($T$4:$T$3183,MATCH(SMALL($V$4:$V$3183,1364),$V$4:$V$3183,0)),""))</f>
        <v/>
      </c>
      <c r="O1367">
        <f>IF(INDEX(Suivi!$B:$B,1393)="","",INDEX(Suivi!$B:$B,1393))</f>
        <v/>
      </c>
      <c r="P1367">
        <f>IF($O1367="","",IF(INDEX(Suivi!$D:$D,1393)="",INDEX(Suivi!$C:$C,1393),INDEX(Suivi!$D:$D,1393)))</f>
        <v/>
      </c>
      <c r="Q1367">
        <f>IF($O1367="","",INDEX(Suivi!$E:$E,1393))</f>
        <v/>
      </c>
      <c r="R1367">
        <f>IF($O1367="","",INDEX(Suivi!$F:$F,1393))</f>
        <v/>
      </c>
      <c r="S1367">
        <f>IF($O1367="","",INDEX(Suivi!$G:$G,1393))</f>
        <v/>
      </c>
      <c r="T1367">
        <f>IF($O1367="","",IF(INDEX(Dossiers!$F$4:$F$63,26)="","",INDEX(Dossiers!$F$4:$F$63,26)))</f>
        <v/>
      </c>
      <c r="U1367">
        <f>IF($O1367="","",IF(INDEX(Dossiers!$G$4:$G$63,26)="","",INDEX(Dossiers!$G$4:$G$63,26)))</f>
        <v/>
      </c>
      <c r="V1367">
        <f>IF(OR($O1367="",NOT(ISNUMBER($Q1367))),"",$Q1367*1000000+1367)</f>
        <v/>
      </c>
      <c r="W1367" s="29">
        <f>IF($B1367="","",IFERROR(INDEX($U$4:$U$3183,MATCH(SMALL($V$4:$V$3183,1364),$V$4:$V$3183,0)),""))</f>
        <v/>
      </c>
    </row>
    <row r="1368">
      <c r="A1368">
        <f>IFERROR(INDEX($N$4:$N$3183,MATCH(SMALL($V$4:$V$3183,1365),$V$4:$V$3183,0)),"")</f>
        <v/>
      </c>
      <c r="B1368">
        <f>IFERROR(INDEX($O$4:$O$3183,MATCH(SMALL($V$4:$V$3183,1365),$V$4:$V$3183,0)),"")</f>
        <v/>
      </c>
      <c r="C1368">
        <f>IFERROR(INDEX($P$4:$P$3183,MATCH(SMALL($V$4:$V$3183,1365),$V$4:$V$3183,0)),"")</f>
        <v/>
      </c>
      <c r="D1368" s="29">
        <f>IFERROR(INDEX($Q$4:$Q$3183,MATCH(SMALL($V$4:$V$3183,1365),$V$4:$V$3183,0)),"")</f>
        <v/>
      </c>
      <c r="E1368" s="29">
        <f>IFERROR(INDEX($R$4:$R$3183,MATCH(SMALL($V$4:$V$3183,1365),$V$4:$V$3183,0)),"")</f>
        <v/>
      </c>
      <c r="F1368">
        <f>IFERROR(INDEX($S$4:$S$3183,MATCH(SMALL($V$4:$V$3183,1365),$V$4:$V$3183,0)),"")</f>
        <v/>
      </c>
      <c r="I1368" s="29">
        <f>IF($B1368="","",IFERROR(INDEX($U$4:$U$3183,MATCH(SMALL($V$4:$V$3183,1365),$V$4:$V$3183,0)),""))</f>
        <v/>
      </c>
      <c r="J1368">
        <f>IF($B1368="","",IF($D1368&gt;$F$2,"À venir",IF($E1368&lt;$D$2,"Passé","Dans la période")))</f>
        <v/>
      </c>
      <c r="K1368">
        <f>IF(OR($B1368="",NOT(ISNUMBER($D1368))),"",IF(AND($E1368&lt;$D$2,$G1368&lt;&gt;"X",$F1368&lt;&gt;"Réalisé",$F1368&lt;&gt;"Clôturé"),"RETARD",""))</f>
        <v/>
      </c>
      <c r="L1368">
        <f>IF(OR($B1368="",NOT(ISNUMBER($D1368))),"",IF(AND($D1368&gt;=$D$2,$D1368&lt;=$H$2,$G1368&lt;&gt;"X",$F1368&lt;&gt;"Réalisé",$F1368&lt;&gt;"Clôturé"),"≤ 7 j",""))</f>
        <v/>
      </c>
      <c r="M1368" s="29">
        <f>IF($B1368="","",IFERROR(INDEX($T$4:$T$3183,MATCH(SMALL($V$4:$V$3183,1365),$V$4:$V$3183,0)),""))</f>
        <v/>
      </c>
      <c r="O1368">
        <f>IF(INDEX(Suivi!$B:$B,1394)="","",INDEX(Suivi!$B:$B,1394))</f>
        <v/>
      </c>
      <c r="P1368">
        <f>IF($O1368="","",IF(INDEX(Suivi!$D:$D,1394)="",INDEX(Suivi!$C:$C,1394),INDEX(Suivi!$D:$D,1394)))</f>
        <v/>
      </c>
      <c r="Q1368">
        <f>IF($O1368="","",INDEX(Suivi!$E:$E,1394))</f>
        <v/>
      </c>
      <c r="R1368">
        <f>IF($O1368="","",INDEX(Suivi!$F:$F,1394))</f>
        <v/>
      </c>
      <c r="S1368">
        <f>IF($O1368="","",INDEX(Suivi!$G:$G,1394))</f>
        <v/>
      </c>
      <c r="T1368">
        <f>IF($O1368="","",IF(INDEX(Dossiers!$F$4:$F$63,26)="","",INDEX(Dossiers!$F$4:$F$63,26)))</f>
        <v/>
      </c>
      <c r="U1368">
        <f>IF($O1368="","",IF(INDEX(Dossiers!$G$4:$G$63,26)="","",INDEX(Dossiers!$G$4:$G$63,26)))</f>
        <v/>
      </c>
      <c r="V1368">
        <f>IF(OR($O1368="",NOT(ISNUMBER($Q1368))),"",$Q1368*1000000+1368)</f>
        <v/>
      </c>
      <c r="W1368" s="29">
        <f>IF($B1368="","",IFERROR(INDEX($U$4:$U$3183,MATCH(SMALL($V$4:$V$3183,1365),$V$4:$V$3183,0)),""))</f>
        <v/>
      </c>
    </row>
    <row r="1369">
      <c r="A1369">
        <f>IFERROR(INDEX($N$4:$N$3183,MATCH(SMALL($V$4:$V$3183,1366),$V$4:$V$3183,0)),"")</f>
        <v/>
      </c>
      <c r="B1369">
        <f>IFERROR(INDEX($O$4:$O$3183,MATCH(SMALL($V$4:$V$3183,1366),$V$4:$V$3183,0)),"")</f>
        <v/>
      </c>
      <c r="C1369">
        <f>IFERROR(INDEX($P$4:$P$3183,MATCH(SMALL($V$4:$V$3183,1366),$V$4:$V$3183,0)),"")</f>
        <v/>
      </c>
      <c r="D1369" s="29">
        <f>IFERROR(INDEX($Q$4:$Q$3183,MATCH(SMALL($V$4:$V$3183,1366),$V$4:$V$3183,0)),"")</f>
        <v/>
      </c>
      <c r="E1369" s="29">
        <f>IFERROR(INDEX($R$4:$R$3183,MATCH(SMALL($V$4:$V$3183,1366),$V$4:$V$3183,0)),"")</f>
        <v/>
      </c>
      <c r="F1369">
        <f>IFERROR(INDEX($S$4:$S$3183,MATCH(SMALL($V$4:$V$3183,1366),$V$4:$V$3183,0)),"")</f>
        <v/>
      </c>
      <c r="I1369" s="29">
        <f>IF($B1369="","",IFERROR(INDEX($U$4:$U$3183,MATCH(SMALL($V$4:$V$3183,1366),$V$4:$V$3183,0)),""))</f>
        <v/>
      </c>
      <c r="J1369">
        <f>IF($B1369="","",IF($D1369&gt;$F$2,"À venir",IF($E1369&lt;$D$2,"Passé","Dans la période")))</f>
        <v/>
      </c>
      <c r="K1369">
        <f>IF(OR($B1369="",NOT(ISNUMBER($D1369))),"",IF(AND($E1369&lt;$D$2,$G1369&lt;&gt;"X",$F1369&lt;&gt;"Réalisé",$F1369&lt;&gt;"Clôturé"),"RETARD",""))</f>
        <v/>
      </c>
      <c r="L1369">
        <f>IF(OR($B1369="",NOT(ISNUMBER($D1369))),"",IF(AND($D1369&gt;=$D$2,$D1369&lt;=$H$2,$G1369&lt;&gt;"X",$F1369&lt;&gt;"Réalisé",$F1369&lt;&gt;"Clôturé"),"≤ 7 j",""))</f>
        <v/>
      </c>
      <c r="M1369" s="29">
        <f>IF($B1369="","",IFERROR(INDEX($T$4:$T$3183,MATCH(SMALL($V$4:$V$3183,1366),$V$4:$V$3183,0)),""))</f>
        <v/>
      </c>
      <c r="O1369">
        <f>IF(INDEX(Suivi!$B:$B,1395)="","",INDEX(Suivi!$B:$B,1395))</f>
        <v/>
      </c>
      <c r="P1369">
        <f>IF($O1369="","",IF(INDEX(Suivi!$D:$D,1395)="",INDEX(Suivi!$C:$C,1395),INDEX(Suivi!$D:$D,1395)))</f>
        <v/>
      </c>
      <c r="Q1369">
        <f>IF($O1369="","",INDEX(Suivi!$E:$E,1395))</f>
        <v/>
      </c>
      <c r="R1369">
        <f>IF($O1369="","",INDEX(Suivi!$F:$F,1395))</f>
        <v/>
      </c>
      <c r="S1369">
        <f>IF($O1369="","",INDEX(Suivi!$G:$G,1395))</f>
        <v/>
      </c>
      <c r="T1369">
        <f>IF($O1369="","",IF(INDEX(Dossiers!$F$4:$F$63,26)="","",INDEX(Dossiers!$F$4:$F$63,26)))</f>
        <v/>
      </c>
      <c r="U1369">
        <f>IF($O1369="","",IF(INDEX(Dossiers!$G$4:$G$63,26)="","",INDEX(Dossiers!$G$4:$G$63,26)))</f>
        <v/>
      </c>
      <c r="V1369">
        <f>IF(OR($O1369="",NOT(ISNUMBER($Q1369))),"",$Q1369*1000000+1369)</f>
        <v/>
      </c>
      <c r="W1369" s="29">
        <f>IF($B1369="","",IFERROR(INDEX($U$4:$U$3183,MATCH(SMALL($V$4:$V$3183,1366),$V$4:$V$3183,0)),""))</f>
        <v/>
      </c>
    </row>
    <row r="1370">
      <c r="A1370">
        <f>IFERROR(INDEX($N$4:$N$3183,MATCH(SMALL($V$4:$V$3183,1367),$V$4:$V$3183,0)),"")</f>
        <v/>
      </c>
      <c r="B1370">
        <f>IFERROR(INDEX($O$4:$O$3183,MATCH(SMALL($V$4:$V$3183,1367),$V$4:$V$3183,0)),"")</f>
        <v/>
      </c>
      <c r="C1370">
        <f>IFERROR(INDEX($P$4:$P$3183,MATCH(SMALL($V$4:$V$3183,1367),$V$4:$V$3183,0)),"")</f>
        <v/>
      </c>
      <c r="D1370" s="29">
        <f>IFERROR(INDEX($Q$4:$Q$3183,MATCH(SMALL($V$4:$V$3183,1367),$V$4:$V$3183,0)),"")</f>
        <v/>
      </c>
      <c r="E1370" s="29">
        <f>IFERROR(INDEX($R$4:$R$3183,MATCH(SMALL($V$4:$V$3183,1367),$V$4:$V$3183,0)),"")</f>
        <v/>
      </c>
      <c r="F1370">
        <f>IFERROR(INDEX($S$4:$S$3183,MATCH(SMALL($V$4:$V$3183,1367),$V$4:$V$3183,0)),"")</f>
        <v/>
      </c>
      <c r="I1370" s="29">
        <f>IF($B1370="","",IFERROR(INDEX($U$4:$U$3183,MATCH(SMALL($V$4:$V$3183,1367),$V$4:$V$3183,0)),""))</f>
        <v/>
      </c>
      <c r="J1370">
        <f>IF($B1370="","",IF($D1370&gt;$F$2,"À venir",IF($E1370&lt;$D$2,"Passé","Dans la période")))</f>
        <v/>
      </c>
      <c r="K1370">
        <f>IF(OR($B1370="",NOT(ISNUMBER($D1370))),"",IF(AND($E1370&lt;$D$2,$G1370&lt;&gt;"X",$F1370&lt;&gt;"Réalisé",$F1370&lt;&gt;"Clôturé"),"RETARD",""))</f>
        <v/>
      </c>
      <c r="L1370">
        <f>IF(OR($B1370="",NOT(ISNUMBER($D1370))),"",IF(AND($D1370&gt;=$D$2,$D1370&lt;=$H$2,$G1370&lt;&gt;"X",$F1370&lt;&gt;"Réalisé",$F1370&lt;&gt;"Clôturé"),"≤ 7 j",""))</f>
        <v/>
      </c>
      <c r="M1370" s="29">
        <f>IF($B1370="","",IFERROR(INDEX($T$4:$T$3183,MATCH(SMALL($V$4:$V$3183,1367),$V$4:$V$3183,0)),""))</f>
        <v/>
      </c>
      <c r="O1370">
        <f>IF(INDEX(Suivi!$B:$B,1396)="","",INDEX(Suivi!$B:$B,1396))</f>
        <v/>
      </c>
      <c r="P1370">
        <f>IF($O1370="","",IF(INDEX(Suivi!$D:$D,1396)="",INDEX(Suivi!$C:$C,1396),INDEX(Suivi!$D:$D,1396)))</f>
        <v/>
      </c>
      <c r="Q1370">
        <f>IF($O1370="","",INDEX(Suivi!$E:$E,1396))</f>
        <v/>
      </c>
      <c r="R1370">
        <f>IF($O1370="","",INDEX(Suivi!$F:$F,1396))</f>
        <v/>
      </c>
      <c r="S1370">
        <f>IF($O1370="","",INDEX(Suivi!$G:$G,1396))</f>
        <v/>
      </c>
      <c r="T1370">
        <f>IF($O1370="","",IF(INDEX(Dossiers!$F$4:$F$63,26)="","",INDEX(Dossiers!$F$4:$F$63,26)))</f>
        <v/>
      </c>
      <c r="U1370">
        <f>IF($O1370="","",IF(INDEX(Dossiers!$G$4:$G$63,26)="","",INDEX(Dossiers!$G$4:$G$63,26)))</f>
        <v/>
      </c>
      <c r="V1370">
        <f>IF(OR($O1370="",NOT(ISNUMBER($Q1370))),"",$Q1370*1000000+1370)</f>
        <v/>
      </c>
      <c r="W1370" s="29">
        <f>IF($B1370="","",IFERROR(INDEX($U$4:$U$3183,MATCH(SMALL($V$4:$V$3183,1367),$V$4:$V$3183,0)),""))</f>
        <v/>
      </c>
    </row>
    <row r="1371">
      <c r="A1371">
        <f>IFERROR(INDEX($N$4:$N$3183,MATCH(SMALL($V$4:$V$3183,1368),$V$4:$V$3183,0)),"")</f>
        <v/>
      </c>
      <c r="B1371">
        <f>IFERROR(INDEX($O$4:$O$3183,MATCH(SMALL($V$4:$V$3183,1368),$V$4:$V$3183,0)),"")</f>
        <v/>
      </c>
      <c r="C1371">
        <f>IFERROR(INDEX($P$4:$P$3183,MATCH(SMALL($V$4:$V$3183,1368),$V$4:$V$3183,0)),"")</f>
        <v/>
      </c>
      <c r="D1371" s="29">
        <f>IFERROR(INDEX($Q$4:$Q$3183,MATCH(SMALL($V$4:$V$3183,1368),$V$4:$V$3183,0)),"")</f>
        <v/>
      </c>
      <c r="E1371" s="29">
        <f>IFERROR(INDEX($R$4:$R$3183,MATCH(SMALL($V$4:$V$3183,1368),$V$4:$V$3183,0)),"")</f>
        <v/>
      </c>
      <c r="F1371">
        <f>IFERROR(INDEX($S$4:$S$3183,MATCH(SMALL($V$4:$V$3183,1368),$V$4:$V$3183,0)),"")</f>
        <v/>
      </c>
      <c r="I1371" s="29">
        <f>IF($B1371="","",IFERROR(INDEX($U$4:$U$3183,MATCH(SMALL($V$4:$V$3183,1368),$V$4:$V$3183,0)),""))</f>
        <v/>
      </c>
      <c r="J1371">
        <f>IF($B1371="","",IF($D1371&gt;$F$2,"À venir",IF($E1371&lt;$D$2,"Passé","Dans la période")))</f>
        <v/>
      </c>
      <c r="K1371">
        <f>IF(OR($B1371="",NOT(ISNUMBER($D1371))),"",IF(AND($E1371&lt;$D$2,$G1371&lt;&gt;"X",$F1371&lt;&gt;"Réalisé",$F1371&lt;&gt;"Clôturé"),"RETARD",""))</f>
        <v/>
      </c>
      <c r="L1371">
        <f>IF(OR($B1371="",NOT(ISNUMBER($D1371))),"",IF(AND($D1371&gt;=$D$2,$D1371&lt;=$H$2,$G1371&lt;&gt;"X",$F1371&lt;&gt;"Réalisé",$F1371&lt;&gt;"Clôturé"),"≤ 7 j",""))</f>
        <v/>
      </c>
      <c r="M1371" s="29">
        <f>IF($B1371="","",IFERROR(INDEX($T$4:$T$3183,MATCH(SMALL($V$4:$V$3183,1368),$V$4:$V$3183,0)),""))</f>
        <v/>
      </c>
      <c r="O1371">
        <f>IF(INDEX(Suivi!$B:$B,1397)="","",INDEX(Suivi!$B:$B,1397))</f>
        <v/>
      </c>
      <c r="P1371">
        <f>IF($O1371="","",IF(INDEX(Suivi!$D:$D,1397)="",INDEX(Suivi!$C:$C,1397),INDEX(Suivi!$D:$D,1397)))</f>
        <v/>
      </c>
      <c r="Q1371">
        <f>IF($O1371="","",INDEX(Suivi!$E:$E,1397))</f>
        <v/>
      </c>
      <c r="R1371">
        <f>IF($O1371="","",INDEX(Suivi!$F:$F,1397))</f>
        <v/>
      </c>
      <c r="S1371">
        <f>IF($O1371="","",INDEX(Suivi!$G:$G,1397))</f>
        <v/>
      </c>
      <c r="T1371">
        <f>IF($O1371="","",IF(INDEX(Dossiers!$F$4:$F$63,26)="","",INDEX(Dossiers!$F$4:$F$63,26)))</f>
        <v/>
      </c>
      <c r="U1371">
        <f>IF($O1371="","",IF(INDEX(Dossiers!$G$4:$G$63,26)="","",INDEX(Dossiers!$G$4:$G$63,26)))</f>
        <v/>
      </c>
      <c r="V1371">
        <f>IF(OR($O1371="",NOT(ISNUMBER($Q1371))),"",$Q1371*1000000+1371)</f>
        <v/>
      </c>
      <c r="W1371" s="29">
        <f>IF($B1371="","",IFERROR(INDEX($U$4:$U$3183,MATCH(SMALL($V$4:$V$3183,1368),$V$4:$V$3183,0)),""))</f>
        <v/>
      </c>
    </row>
    <row r="1372">
      <c r="A1372">
        <f>IFERROR(INDEX($N$4:$N$3183,MATCH(SMALL($V$4:$V$3183,1369),$V$4:$V$3183,0)),"")</f>
        <v/>
      </c>
      <c r="B1372">
        <f>IFERROR(INDEX($O$4:$O$3183,MATCH(SMALL($V$4:$V$3183,1369),$V$4:$V$3183,0)),"")</f>
        <v/>
      </c>
      <c r="C1372">
        <f>IFERROR(INDEX($P$4:$P$3183,MATCH(SMALL($V$4:$V$3183,1369),$V$4:$V$3183,0)),"")</f>
        <v/>
      </c>
      <c r="D1372" s="29">
        <f>IFERROR(INDEX($Q$4:$Q$3183,MATCH(SMALL($V$4:$V$3183,1369),$V$4:$V$3183,0)),"")</f>
        <v/>
      </c>
      <c r="E1372" s="29">
        <f>IFERROR(INDEX($R$4:$R$3183,MATCH(SMALL($V$4:$V$3183,1369),$V$4:$V$3183,0)),"")</f>
        <v/>
      </c>
      <c r="F1372">
        <f>IFERROR(INDEX($S$4:$S$3183,MATCH(SMALL($V$4:$V$3183,1369),$V$4:$V$3183,0)),"")</f>
        <v/>
      </c>
      <c r="I1372" s="29">
        <f>IF($B1372="","",IFERROR(INDEX($U$4:$U$3183,MATCH(SMALL($V$4:$V$3183,1369),$V$4:$V$3183,0)),""))</f>
        <v/>
      </c>
      <c r="J1372">
        <f>IF($B1372="","",IF($D1372&gt;$F$2,"À venir",IF($E1372&lt;$D$2,"Passé","Dans la période")))</f>
        <v/>
      </c>
      <c r="K1372">
        <f>IF(OR($B1372="",NOT(ISNUMBER($D1372))),"",IF(AND($E1372&lt;$D$2,$G1372&lt;&gt;"X",$F1372&lt;&gt;"Réalisé",$F1372&lt;&gt;"Clôturé"),"RETARD",""))</f>
        <v/>
      </c>
      <c r="L1372">
        <f>IF(OR($B1372="",NOT(ISNUMBER($D1372))),"",IF(AND($D1372&gt;=$D$2,$D1372&lt;=$H$2,$G1372&lt;&gt;"X",$F1372&lt;&gt;"Réalisé",$F1372&lt;&gt;"Clôturé"),"≤ 7 j",""))</f>
        <v/>
      </c>
      <c r="M1372" s="29">
        <f>IF($B1372="","",IFERROR(INDEX($T$4:$T$3183,MATCH(SMALL($V$4:$V$3183,1369),$V$4:$V$3183,0)),""))</f>
        <v/>
      </c>
      <c r="O1372">
        <f>IF(INDEX(Suivi!$B:$B,1398)="","",INDEX(Suivi!$B:$B,1398))</f>
        <v/>
      </c>
      <c r="P1372">
        <f>IF($O1372="","",IF(INDEX(Suivi!$D:$D,1398)="",INDEX(Suivi!$C:$C,1398),INDEX(Suivi!$D:$D,1398)))</f>
        <v/>
      </c>
      <c r="Q1372">
        <f>IF($O1372="","",INDEX(Suivi!$E:$E,1398))</f>
        <v/>
      </c>
      <c r="R1372">
        <f>IF($O1372="","",INDEX(Suivi!$F:$F,1398))</f>
        <v/>
      </c>
      <c r="S1372">
        <f>IF($O1372="","",INDEX(Suivi!$G:$G,1398))</f>
        <v/>
      </c>
      <c r="T1372">
        <f>IF($O1372="","",IF(INDEX(Dossiers!$F$4:$F$63,26)="","",INDEX(Dossiers!$F$4:$F$63,26)))</f>
        <v/>
      </c>
      <c r="U1372">
        <f>IF($O1372="","",IF(INDEX(Dossiers!$G$4:$G$63,26)="","",INDEX(Dossiers!$G$4:$G$63,26)))</f>
        <v/>
      </c>
      <c r="V1372">
        <f>IF(OR($O1372="",NOT(ISNUMBER($Q1372))),"",$Q1372*1000000+1372)</f>
        <v/>
      </c>
      <c r="W1372" s="29">
        <f>IF($B1372="","",IFERROR(INDEX($U$4:$U$3183,MATCH(SMALL($V$4:$V$3183,1369),$V$4:$V$3183,0)),""))</f>
        <v/>
      </c>
    </row>
    <row r="1373">
      <c r="A1373">
        <f>IFERROR(INDEX($N$4:$N$3183,MATCH(SMALL($V$4:$V$3183,1370),$V$4:$V$3183,0)),"")</f>
        <v/>
      </c>
      <c r="B1373">
        <f>IFERROR(INDEX($O$4:$O$3183,MATCH(SMALL($V$4:$V$3183,1370),$V$4:$V$3183,0)),"")</f>
        <v/>
      </c>
      <c r="C1373">
        <f>IFERROR(INDEX($P$4:$P$3183,MATCH(SMALL($V$4:$V$3183,1370),$V$4:$V$3183,0)),"")</f>
        <v/>
      </c>
      <c r="D1373" s="29">
        <f>IFERROR(INDEX($Q$4:$Q$3183,MATCH(SMALL($V$4:$V$3183,1370),$V$4:$V$3183,0)),"")</f>
        <v/>
      </c>
      <c r="E1373" s="29">
        <f>IFERROR(INDEX($R$4:$R$3183,MATCH(SMALL($V$4:$V$3183,1370),$V$4:$V$3183,0)),"")</f>
        <v/>
      </c>
      <c r="F1373">
        <f>IFERROR(INDEX($S$4:$S$3183,MATCH(SMALL($V$4:$V$3183,1370),$V$4:$V$3183,0)),"")</f>
        <v/>
      </c>
      <c r="I1373" s="29">
        <f>IF($B1373="","",IFERROR(INDEX($U$4:$U$3183,MATCH(SMALL($V$4:$V$3183,1370),$V$4:$V$3183,0)),""))</f>
        <v/>
      </c>
      <c r="J1373">
        <f>IF($B1373="","",IF($D1373&gt;$F$2,"À venir",IF($E1373&lt;$D$2,"Passé","Dans la période")))</f>
        <v/>
      </c>
      <c r="K1373">
        <f>IF(OR($B1373="",NOT(ISNUMBER($D1373))),"",IF(AND($E1373&lt;$D$2,$G1373&lt;&gt;"X",$F1373&lt;&gt;"Réalisé",$F1373&lt;&gt;"Clôturé"),"RETARD",""))</f>
        <v/>
      </c>
      <c r="L1373">
        <f>IF(OR($B1373="",NOT(ISNUMBER($D1373))),"",IF(AND($D1373&gt;=$D$2,$D1373&lt;=$H$2,$G1373&lt;&gt;"X",$F1373&lt;&gt;"Réalisé",$F1373&lt;&gt;"Clôturé"),"≤ 7 j",""))</f>
        <v/>
      </c>
      <c r="M1373" s="29">
        <f>IF($B1373="","",IFERROR(INDEX($T$4:$T$3183,MATCH(SMALL($V$4:$V$3183,1370),$V$4:$V$3183,0)),""))</f>
        <v/>
      </c>
      <c r="O1373">
        <f>IF(INDEX(Suivi!$B:$B,1399)="","",INDEX(Suivi!$B:$B,1399))</f>
        <v/>
      </c>
      <c r="P1373">
        <f>IF($O1373="","",IF(INDEX(Suivi!$D:$D,1399)="",INDEX(Suivi!$C:$C,1399),INDEX(Suivi!$D:$D,1399)))</f>
        <v/>
      </c>
      <c r="Q1373">
        <f>IF($O1373="","",INDEX(Suivi!$E:$E,1399))</f>
        <v/>
      </c>
      <c r="R1373">
        <f>IF($O1373="","",INDEX(Suivi!$F:$F,1399))</f>
        <v/>
      </c>
      <c r="S1373">
        <f>IF($O1373="","",INDEX(Suivi!$G:$G,1399))</f>
        <v/>
      </c>
      <c r="T1373">
        <f>IF($O1373="","",IF(INDEX(Dossiers!$F$4:$F$63,26)="","",INDEX(Dossiers!$F$4:$F$63,26)))</f>
        <v/>
      </c>
      <c r="U1373">
        <f>IF($O1373="","",IF(INDEX(Dossiers!$G$4:$G$63,26)="","",INDEX(Dossiers!$G$4:$G$63,26)))</f>
        <v/>
      </c>
      <c r="V1373">
        <f>IF(OR($O1373="",NOT(ISNUMBER($Q1373))),"",$Q1373*1000000+1373)</f>
        <v/>
      </c>
      <c r="W1373" s="29">
        <f>IF($B1373="","",IFERROR(INDEX($U$4:$U$3183,MATCH(SMALL($V$4:$V$3183,1370),$V$4:$V$3183,0)),""))</f>
        <v/>
      </c>
    </row>
    <row r="1374">
      <c r="A1374">
        <f>IFERROR(INDEX($N$4:$N$3183,MATCH(SMALL($V$4:$V$3183,1371),$V$4:$V$3183,0)),"")</f>
        <v/>
      </c>
      <c r="B1374">
        <f>IFERROR(INDEX($O$4:$O$3183,MATCH(SMALL($V$4:$V$3183,1371),$V$4:$V$3183,0)),"")</f>
        <v/>
      </c>
      <c r="C1374">
        <f>IFERROR(INDEX($P$4:$P$3183,MATCH(SMALL($V$4:$V$3183,1371),$V$4:$V$3183,0)),"")</f>
        <v/>
      </c>
      <c r="D1374" s="29">
        <f>IFERROR(INDEX($Q$4:$Q$3183,MATCH(SMALL($V$4:$V$3183,1371),$V$4:$V$3183,0)),"")</f>
        <v/>
      </c>
      <c r="E1374" s="29">
        <f>IFERROR(INDEX($R$4:$R$3183,MATCH(SMALL($V$4:$V$3183,1371),$V$4:$V$3183,0)),"")</f>
        <v/>
      </c>
      <c r="F1374">
        <f>IFERROR(INDEX($S$4:$S$3183,MATCH(SMALL($V$4:$V$3183,1371),$V$4:$V$3183,0)),"")</f>
        <v/>
      </c>
      <c r="I1374" s="29">
        <f>IF($B1374="","",IFERROR(INDEX($U$4:$U$3183,MATCH(SMALL($V$4:$V$3183,1371),$V$4:$V$3183,0)),""))</f>
        <v/>
      </c>
      <c r="J1374">
        <f>IF($B1374="","",IF($D1374&gt;$F$2,"À venir",IF($E1374&lt;$D$2,"Passé","Dans la période")))</f>
        <v/>
      </c>
      <c r="K1374">
        <f>IF(OR($B1374="",NOT(ISNUMBER($D1374))),"",IF(AND($E1374&lt;$D$2,$G1374&lt;&gt;"X",$F1374&lt;&gt;"Réalisé",$F1374&lt;&gt;"Clôturé"),"RETARD",""))</f>
        <v/>
      </c>
      <c r="L1374">
        <f>IF(OR($B1374="",NOT(ISNUMBER($D1374))),"",IF(AND($D1374&gt;=$D$2,$D1374&lt;=$H$2,$G1374&lt;&gt;"X",$F1374&lt;&gt;"Réalisé",$F1374&lt;&gt;"Clôturé"),"≤ 7 j",""))</f>
        <v/>
      </c>
      <c r="M1374" s="29">
        <f>IF($B1374="","",IFERROR(INDEX($T$4:$T$3183,MATCH(SMALL($V$4:$V$3183,1371),$V$4:$V$3183,0)),""))</f>
        <v/>
      </c>
      <c r="O1374">
        <f>IF(INDEX(Suivi!$B:$B,1400)="","",INDEX(Suivi!$B:$B,1400))</f>
        <v/>
      </c>
      <c r="P1374">
        <f>IF($O1374="","",IF(INDEX(Suivi!$D:$D,1400)="",INDEX(Suivi!$C:$C,1400),INDEX(Suivi!$D:$D,1400)))</f>
        <v/>
      </c>
      <c r="Q1374">
        <f>IF($O1374="","",INDEX(Suivi!$E:$E,1400))</f>
        <v/>
      </c>
      <c r="R1374">
        <f>IF($O1374="","",INDEX(Suivi!$F:$F,1400))</f>
        <v/>
      </c>
      <c r="S1374">
        <f>IF($O1374="","",INDEX(Suivi!$G:$G,1400))</f>
        <v/>
      </c>
      <c r="T1374">
        <f>IF($O1374="","",IF(INDEX(Dossiers!$F$4:$F$63,26)="","",INDEX(Dossiers!$F$4:$F$63,26)))</f>
        <v/>
      </c>
      <c r="U1374">
        <f>IF($O1374="","",IF(INDEX(Dossiers!$G$4:$G$63,26)="","",INDEX(Dossiers!$G$4:$G$63,26)))</f>
        <v/>
      </c>
      <c r="V1374">
        <f>IF(OR($O1374="",NOT(ISNUMBER($Q1374))),"",$Q1374*1000000+1374)</f>
        <v/>
      </c>
      <c r="W1374" s="29">
        <f>IF($B1374="","",IFERROR(INDEX($U$4:$U$3183,MATCH(SMALL($V$4:$V$3183,1371),$V$4:$V$3183,0)),""))</f>
        <v/>
      </c>
    </row>
    <row r="1375">
      <c r="A1375">
        <f>IFERROR(INDEX($N$4:$N$3183,MATCH(SMALL($V$4:$V$3183,1372),$V$4:$V$3183,0)),"")</f>
        <v/>
      </c>
      <c r="B1375">
        <f>IFERROR(INDEX($O$4:$O$3183,MATCH(SMALL($V$4:$V$3183,1372),$V$4:$V$3183,0)),"")</f>
        <v/>
      </c>
      <c r="C1375">
        <f>IFERROR(INDEX($P$4:$P$3183,MATCH(SMALL($V$4:$V$3183,1372),$V$4:$V$3183,0)),"")</f>
        <v/>
      </c>
      <c r="D1375" s="29">
        <f>IFERROR(INDEX($Q$4:$Q$3183,MATCH(SMALL($V$4:$V$3183,1372),$V$4:$V$3183,0)),"")</f>
        <v/>
      </c>
      <c r="E1375" s="29">
        <f>IFERROR(INDEX($R$4:$R$3183,MATCH(SMALL($V$4:$V$3183,1372),$V$4:$V$3183,0)),"")</f>
        <v/>
      </c>
      <c r="F1375">
        <f>IFERROR(INDEX($S$4:$S$3183,MATCH(SMALL($V$4:$V$3183,1372),$V$4:$V$3183,0)),"")</f>
        <v/>
      </c>
      <c r="I1375" s="29">
        <f>IF($B1375="","",IFERROR(INDEX($U$4:$U$3183,MATCH(SMALL($V$4:$V$3183,1372),$V$4:$V$3183,0)),""))</f>
        <v/>
      </c>
      <c r="J1375">
        <f>IF($B1375="","",IF($D1375&gt;$F$2,"À venir",IF($E1375&lt;$D$2,"Passé","Dans la période")))</f>
        <v/>
      </c>
      <c r="K1375">
        <f>IF(OR($B1375="",NOT(ISNUMBER($D1375))),"",IF(AND($E1375&lt;$D$2,$G1375&lt;&gt;"X",$F1375&lt;&gt;"Réalisé",$F1375&lt;&gt;"Clôturé"),"RETARD",""))</f>
        <v/>
      </c>
      <c r="L1375">
        <f>IF(OR($B1375="",NOT(ISNUMBER($D1375))),"",IF(AND($D1375&gt;=$D$2,$D1375&lt;=$H$2,$G1375&lt;&gt;"X",$F1375&lt;&gt;"Réalisé",$F1375&lt;&gt;"Clôturé"),"≤ 7 j",""))</f>
        <v/>
      </c>
      <c r="M1375" s="29">
        <f>IF($B1375="","",IFERROR(INDEX($T$4:$T$3183,MATCH(SMALL($V$4:$V$3183,1372),$V$4:$V$3183,0)),""))</f>
        <v/>
      </c>
      <c r="O1375">
        <f>IF(INDEX(Suivi!$B:$B,1401)="","",INDEX(Suivi!$B:$B,1401))</f>
        <v/>
      </c>
      <c r="P1375">
        <f>IF($O1375="","",IF(INDEX(Suivi!$D:$D,1401)="",INDEX(Suivi!$C:$C,1401),INDEX(Suivi!$D:$D,1401)))</f>
        <v/>
      </c>
      <c r="Q1375">
        <f>IF($O1375="","",INDEX(Suivi!$E:$E,1401))</f>
        <v/>
      </c>
      <c r="R1375">
        <f>IF($O1375="","",INDEX(Suivi!$F:$F,1401))</f>
        <v/>
      </c>
      <c r="S1375">
        <f>IF($O1375="","",INDEX(Suivi!$G:$G,1401))</f>
        <v/>
      </c>
      <c r="T1375">
        <f>IF($O1375="","",IF(INDEX(Dossiers!$F$4:$F$63,26)="","",INDEX(Dossiers!$F$4:$F$63,26)))</f>
        <v/>
      </c>
      <c r="U1375">
        <f>IF($O1375="","",IF(INDEX(Dossiers!$G$4:$G$63,26)="","",INDEX(Dossiers!$G$4:$G$63,26)))</f>
        <v/>
      </c>
      <c r="V1375">
        <f>IF(OR($O1375="",NOT(ISNUMBER($Q1375))),"",$Q1375*1000000+1375)</f>
        <v/>
      </c>
      <c r="W1375" s="29">
        <f>IF($B1375="","",IFERROR(INDEX($U$4:$U$3183,MATCH(SMALL($V$4:$V$3183,1372),$V$4:$V$3183,0)),""))</f>
        <v/>
      </c>
    </row>
    <row r="1376">
      <c r="A1376">
        <f>IFERROR(INDEX($N$4:$N$3183,MATCH(SMALL($V$4:$V$3183,1373),$V$4:$V$3183,0)),"")</f>
        <v/>
      </c>
      <c r="B1376">
        <f>IFERROR(INDEX($O$4:$O$3183,MATCH(SMALL($V$4:$V$3183,1373),$V$4:$V$3183,0)),"")</f>
        <v/>
      </c>
      <c r="C1376">
        <f>IFERROR(INDEX($P$4:$P$3183,MATCH(SMALL($V$4:$V$3183,1373),$V$4:$V$3183,0)),"")</f>
        <v/>
      </c>
      <c r="D1376" s="29">
        <f>IFERROR(INDEX($Q$4:$Q$3183,MATCH(SMALL($V$4:$V$3183,1373),$V$4:$V$3183,0)),"")</f>
        <v/>
      </c>
      <c r="E1376" s="29">
        <f>IFERROR(INDEX($R$4:$R$3183,MATCH(SMALL($V$4:$V$3183,1373),$V$4:$V$3183,0)),"")</f>
        <v/>
      </c>
      <c r="F1376">
        <f>IFERROR(INDEX($S$4:$S$3183,MATCH(SMALL($V$4:$V$3183,1373),$V$4:$V$3183,0)),"")</f>
        <v/>
      </c>
      <c r="I1376" s="29">
        <f>IF($B1376="","",IFERROR(INDEX($U$4:$U$3183,MATCH(SMALL($V$4:$V$3183,1373),$V$4:$V$3183,0)),""))</f>
        <v/>
      </c>
      <c r="J1376">
        <f>IF($B1376="","",IF($D1376&gt;$F$2,"À venir",IF($E1376&lt;$D$2,"Passé","Dans la période")))</f>
        <v/>
      </c>
      <c r="K1376">
        <f>IF(OR($B1376="",NOT(ISNUMBER($D1376))),"",IF(AND($E1376&lt;$D$2,$G1376&lt;&gt;"X",$F1376&lt;&gt;"Réalisé",$F1376&lt;&gt;"Clôturé"),"RETARD",""))</f>
        <v/>
      </c>
      <c r="L1376">
        <f>IF(OR($B1376="",NOT(ISNUMBER($D1376))),"",IF(AND($D1376&gt;=$D$2,$D1376&lt;=$H$2,$G1376&lt;&gt;"X",$F1376&lt;&gt;"Réalisé",$F1376&lt;&gt;"Clôturé"),"≤ 7 j",""))</f>
        <v/>
      </c>
      <c r="M1376" s="29">
        <f>IF($B1376="","",IFERROR(INDEX($T$4:$T$3183,MATCH(SMALL($V$4:$V$3183,1373),$V$4:$V$3183,0)),""))</f>
        <v/>
      </c>
      <c r="O1376">
        <f>IF(INDEX(Suivi!$B:$B,1402)="","",INDEX(Suivi!$B:$B,1402))</f>
        <v/>
      </c>
      <c r="P1376">
        <f>IF($O1376="","",IF(INDEX(Suivi!$D:$D,1402)="",INDEX(Suivi!$C:$C,1402),INDEX(Suivi!$D:$D,1402)))</f>
        <v/>
      </c>
      <c r="Q1376">
        <f>IF($O1376="","",INDEX(Suivi!$E:$E,1402))</f>
        <v/>
      </c>
      <c r="R1376">
        <f>IF($O1376="","",INDEX(Suivi!$F:$F,1402))</f>
        <v/>
      </c>
      <c r="S1376">
        <f>IF($O1376="","",INDEX(Suivi!$G:$G,1402))</f>
        <v/>
      </c>
      <c r="T1376">
        <f>IF($O1376="","",IF(INDEX(Dossiers!$F$4:$F$63,26)="","",INDEX(Dossiers!$F$4:$F$63,26)))</f>
        <v/>
      </c>
      <c r="U1376">
        <f>IF($O1376="","",IF(INDEX(Dossiers!$G$4:$G$63,26)="","",INDEX(Dossiers!$G$4:$G$63,26)))</f>
        <v/>
      </c>
      <c r="V1376">
        <f>IF(OR($O1376="",NOT(ISNUMBER($Q1376))),"",$Q1376*1000000+1376)</f>
        <v/>
      </c>
      <c r="W1376" s="29">
        <f>IF($B1376="","",IFERROR(INDEX($U$4:$U$3183,MATCH(SMALL($V$4:$V$3183,1373),$V$4:$V$3183,0)),""))</f>
        <v/>
      </c>
    </row>
    <row r="1377">
      <c r="A1377">
        <f>IFERROR(INDEX($N$4:$N$3183,MATCH(SMALL($V$4:$V$3183,1374),$V$4:$V$3183,0)),"")</f>
        <v/>
      </c>
      <c r="B1377">
        <f>IFERROR(INDEX($O$4:$O$3183,MATCH(SMALL($V$4:$V$3183,1374),$V$4:$V$3183,0)),"")</f>
        <v/>
      </c>
      <c r="C1377">
        <f>IFERROR(INDEX($P$4:$P$3183,MATCH(SMALL($V$4:$V$3183,1374),$V$4:$V$3183,0)),"")</f>
        <v/>
      </c>
      <c r="D1377" s="29">
        <f>IFERROR(INDEX($Q$4:$Q$3183,MATCH(SMALL($V$4:$V$3183,1374),$V$4:$V$3183,0)),"")</f>
        <v/>
      </c>
      <c r="E1377" s="29">
        <f>IFERROR(INDEX($R$4:$R$3183,MATCH(SMALL($V$4:$V$3183,1374),$V$4:$V$3183,0)),"")</f>
        <v/>
      </c>
      <c r="F1377">
        <f>IFERROR(INDEX($S$4:$S$3183,MATCH(SMALL($V$4:$V$3183,1374),$V$4:$V$3183,0)),"")</f>
        <v/>
      </c>
      <c r="I1377" s="29">
        <f>IF($B1377="","",IFERROR(INDEX($U$4:$U$3183,MATCH(SMALL($V$4:$V$3183,1374),$V$4:$V$3183,0)),""))</f>
        <v/>
      </c>
      <c r="J1377">
        <f>IF($B1377="","",IF($D1377&gt;$F$2,"À venir",IF($E1377&lt;$D$2,"Passé","Dans la période")))</f>
        <v/>
      </c>
      <c r="K1377">
        <f>IF(OR($B1377="",NOT(ISNUMBER($D1377))),"",IF(AND($E1377&lt;$D$2,$G1377&lt;&gt;"X",$F1377&lt;&gt;"Réalisé",$F1377&lt;&gt;"Clôturé"),"RETARD",""))</f>
        <v/>
      </c>
      <c r="L1377">
        <f>IF(OR($B1377="",NOT(ISNUMBER($D1377))),"",IF(AND($D1377&gt;=$D$2,$D1377&lt;=$H$2,$G1377&lt;&gt;"X",$F1377&lt;&gt;"Réalisé",$F1377&lt;&gt;"Clôturé"),"≤ 7 j",""))</f>
        <v/>
      </c>
      <c r="M1377" s="29">
        <f>IF($B1377="","",IFERROR(INDEX($T$4:$T$3183,MATCH(SMALL($V$4:$V$3183,1374),$V$4:$V$3183,0)),""))</f>
        <v/>
      </c>
      <c r="O1377">
        <f>IF(INDEX(Suivi!$B:$B,1403)="","",INDEX(Suivi!$B:$B,1403))</f>
        <v/>
      </c>
      <c r="P1377">
        <f>IF($O1377="","",IF(INDEX(Suivi!$D:$D,1403)="",INDEX(Suivi!$C:$C,1403),INDEX(Suivi!$D:$D,1403)))</f>
        <v/>
      </c>
      <c r="Q1377">
        <f>IF($O1377="","",INDEX(Suivi!$E:$E,1403))</f>
        <v/>
      </c>
      <c r="R1377">
        <f>IF($O1377="","",INDEX(Suivi!$F:$F,1403))</f>
        <v/>
      </c>
      <c r="S1377">
        <f>IF($O1377="","",INDEX(Suivi!$G:$G,1403))</f>
        <v/>
      </c>
      <c r="T1377">
        <f>IF($O1377="","",IF(INDEX(Dossiers!$F$4:$F$63,26)="","",INDEX(Dossiers!$F$4:$F$63,26)))</f>
        <v/>
      </c>
      <c r="U1377">
        <f>IF($O1377="","",IF(INDEX(Dossiers!$G$4:$G$63,26)="","",INDEX(Dossiers!$G$4:$G$63,26)))</f>
        <v/>
      </c>
      <c r="V1377">
        <f>IF(OR($O1377="",NOT(ISNUMBER($Q1377))),"",$Q1377*1000000+1377)</f>
        <v/>
      </c>
      <c r="W1377" s="29">
        <f>IF($B1377="","",IFERROR(INDEX($U$4:$U$3183,MATCH(SMALL($V$4:$V$3183,1374),$V$4:$V$3183,0)),""))</f>
        <v/>
      </c>
    </row>
    <row r="1378">
      <c r="A1378">
        <f>IFERROR(INDEX($N$4:$N$3183,MATCH(SMALL($V$4:$V$3183,1375),$V$4:$V$3183,0)),"")</f>
        <v/>
      </c>
      <c r="B1378">
        <f>IFERROR(INDEX($O$4:$O$3183,MATCH(SMALL($V$4:$V$3183,1375),$V$4:$V$3183,0)),"")</f>
        <v/>
      </c>
      <c r="C1378">
        <f>IFERROR(INDEX($P$4:$P$3183,MATCH(SMALL($V$4:$V$3183,1375),$V$4:$V$3183,0)),"")</f>
        <v/>
      </c>
      <c r="D1378" s="29">
        <f>IFERROR(INDEX($Q$4:$Q$3183,MATCH(SMALL($V$4:$V$3183,1375),$V$4:$V$3183,0)),"")</f>
        <v/>
      </c>
      <c r="E1378" s="29">
        <f>IFERROR(INDEX($R$4:$R$3183,MATCH(SMALL($V$4:$V$3183,1375),$V$4:$V$3183,0)),"")</f>
        <v/>
      </c>
      <c r="F1378">
        <f>IFERROR(INDEX($S$4:$S$3183,MATCH(SMALL($V$4:$V$3183,1375),$V$4:$V$3183,0)),"")</f>
        <v/>
      </c>
      <c r="I1378" s="29">
        <f>IF($B1378="","",IFERROR(INDEX($U$4:$U$3183,MATCH(SMALL($V$4:$V$3183,1375),$V$4:$V$3183,0)),""))</f>
        <v/>
      </c>
      <c r="J1378">
        <f>IF($B1378="","",IF($D1378&gt;$F$2,"À venir",IF($E1378&lt;$D$2,"Passé","Dans la période")))</f>
        <v/>
      </c>
      <c r="K1378">
        <f>IF(OR($B1378="",NOT(ISNUMBER($D1378))),"",IF(AND($E1378&lt;$D$2,$G1378&lt;&gt;"X",$F1378&lt;&gt;"Réalisé",$F1378&lt;&gt;"Clôturé"),"RETARD",""))</f>
        <v/>
      </c>
      <c r="L1378">
        <f>IF(OR($B1378="",NOT(ISNUMBER($D1378))),"",IF(AND($D1378&gt;=$D$2,$D1378&lt;=$H$2,$G1378&lt;&gt;"X",$F1378&lt;&gt;"Réalisé",$F1378&lt;&gt;"Clôturé"),"≤ 7 j",""))</f>
        <v/>
      </c>
      <c r="M1378" s="29">
        <f>IF($B1378="","",IFERROR(INDEX($T$4:$T$3183,MATCH(SMALL($V$4:$V$3183,1375),$V$4:$V$3183,0)),""))</f>
        <v/>
      </c>
      <c r="O1378">
        <f>IF(INDEX(Suivi!$B:$B,1404)="","",INDEX(Suivi!$B:$B,1404))</f>
        <v/>
      </c>
      <c r="P1378">
        <f>IF($O1378="","",IF(INDEX(Suivi!$D:$D,1404)="",INDEX(Suivi!$C:$C,1404),INDEX(Suivi!$D:$D,1404)))</f>
        <v/>
      </c>
      <c r="Q1378">
        <f>IF($O1378="","",INDEX(Suivi!$E:$E,1404))</f>
        <v/>
      </c>
      <c r="R1378">
        <f>IF($O1378="","",INDEX(Suivi!$F:$F,1404))</f>
        <v/>
      </c>
      <c r="S1378">
        <f>IF($O1378="","",INDEX(Suivi!$G:$G,1404))</f>
        <v/>
      </c>
      <c r="T1378">
        <f>IF($O1378="","",IF(INDEX(Dossiers!$F$4:$F$63,26)="","",INDEX(Dossiers!$F$4:$F$63,26)))</f>
        <v/>
      </c>
      <c r="U1378">
        <f>IF($O1378="","",IF(INDEX(Dossiers!$G$4:$G$63,26)="","",INDEX(Dossiers!$G$4:$G$63,26)))</f>
        <v/>
      </c>
      <c r="V1378">
        <f>IF(OR($O1378="",NOT(ISNUMBER($Q1378))),"",$Q1378*1000000+1378)</f>
        <v/>
      </c>
      <c r="W1378" s="29">
        <f>IF($B1378="","",IFERROR(INDEX($U$4:$U$3183,MATCH(SMALL($V$4:$V$3183,1375),$V$4:$V$3183,0)),""))</f>
        <v/>
      </c>
    </row>
    <row r="1379">
      <c r="A1379">
        <f>IFERROR(INDEX($N$4:$N$3183,MATCH(SMALL($V$4:$V$3183,1376),$V$4:$V$3183,0)),"")</f>
        <v/>
      </c>
      <c r="B1379">
        <f>IFERROR(INDEX($O$4:$O$3183,MATCH(SMALL($V$4:$V$3183,1376),$V$4:$V$3183,0)),"")</f>
        <v/>
      </c>
      <c r="C1379">
        <f>IFERROR(INDEX($P$4:$P$3183,MATCH(SMALL($V$4:$V$3183,1376),$V$4:$V$3183,0)),"")</f>
        <v/>
      </c>
      <c r="D1379" s="29">
        <f>IFERROR(INDEX($Q$4:$Q$3183,MATCH(SMALL($V$4:$V$3183,1376),$V$4:$V$3183,0)),"")</f>
        <v/>
      </c>
      <c r="E1379" s="29">
        <f>IFERROR(INDEX($R$4:$R$3183,MATCH(SMALL($V$4:$V$3183,1376),$V$4:$V$3183,0)),"")</f>
        <v/>
      </c>
      <c r="F1379">
        <f>IFERROR(INDEX($S$4:$S$3183,MATCH(SMALL($V$4:$V$3183,1376),$V$4:$V$3183,0)),"")</f>
        <v/>
      </c>
      <c r="I1379" s="29">
        <f>IF($B1379="","",IFERROR(INDEX($U$4:$U$3183,MATCH(SMALL($V$4:$V$3183,1376),$V$4:$V$3183,0)),""))</f>
        <v/>
      </c>
      <c r="J1379">
        <f>IF($B1379="","",IF($D1379&gt;$F$2,"À venir",IF($E1379&lt;$D$2,"Passé","Dans la période")))</f>
        <v/>
      </c>
      <c r="K1379">
        <f>IF(OR($B1379="",NOT(ISNUMBER($D1379))),"",IF(AND($E1379&lt;$D$2,$G1379&lt;&gt;"X",$F1379&lt;&gt;"Réalisé",$F1379&lt;&gt;"Clôturé"),"RETARD",""))</f>
        <v/>
      </c>
      <c r="L1379">
        <f>IF(OR($B1379="",NOT(ISNUMBER($D1379))),"",IF(AND($D1379&gt;=$D$2,$D1379&lt;=$H$2,$G1379&lt;&gt;"X",$F1379&lt;&gt;"Réalisé",$F1379&lt;&gt;"Clôturé"),"≤ 7 j",""))</f>
        <v/>
      </c>
      <c r="M1379" s="29">
        <f>IF($B1379="","",IFERROR(INDEX($T$4:$T$3183,MATCH(SMALL($V$4:$V$3183,1376),$V$4:$V$3183,0)),""))</f>
        <v/>
      </c>
      <c r="O1379">
        <f>IF(INDEX(Suivi!$B:$B,1405)="","",INDEX(Suivi!$B:$B,1405))</f>
        <v/>
      </c>
      <c r="P1379">
        <f>IF($O1379="","",IF(INDEX(Suivi!$D:$D,1405)="",INDEX(Suivi!$C:$C,1405),INDEX(Suivi!$D:$D,1405)))</f>
        <v/>
      </c>
      <c r="Q1379">
        <f>IF($O1379="","",INDEX(Suivi!$E:$E,1405))</f>
        <v/>
      </c>
      <c r="R1379">
        <f>IF($O1379="","",INDEX(Suivi!$F:$F,1405))</f>
        <v/>
      </c>
      <c r="S1379">
        <f>IF($O1379="","",INDEX(Suivi!$G:$G,1405))</f>
        <v/>
      </c>
      <c r="T1379">
        <f>IF($O1379="","",IF(INDEX(Dossiers!$F$4:$F$63,26)="","",INDEX(Dossiers!$F$4:$F$63,26)))</f>
        <v/>
      </c>
      <c r="U1379">
        <f>IF($O1379="","",IF(INDEX(Dossiers!$G$4:$G$63,26)="","",INDEX(Dossiers!$G$4:$G$63,26)))</f>
        <v/>
      </c>
      <c r="V1379">
        <f>IF(OR($O1379="",NOT(ISNUMBER($Q1379))),"",$Q1379*1000000+1379)</f>
        <v/>
      </c>
      <c r="W1379" s="29">
        <f>IF($B1379="","",IFERROR(INDEX($U$4:$U$3183,MATCH(SMALL($V$4:$V$3183,1376),$V$4:$V$3183,0)),""))</f>
        <v/>
      </c>
    </row>
    <row r="1380">
      <c r="A1380">
        <f>IFERROR(INDEX($N$4:$N$3183,MATCH(SMALL($V$4:$V$3183,1377),$V$4:$V$3183,0)),"")</f>
        <v/>
      </c>
      <c r="B1380">
        <f>IFERROR(INDEX($O$4:$O$3183,MATCH(SMALL($V$4:$V$3183,1377),$V$4:$V$3183,0)),"")</f>
        <v/>
      </c>
      <c r="C1380">
        <f>IFERROR(INDEX($P$4:$P$3183,MATCH(SMALL($V$4:$V$3183,1377),$V$4:$V$3183,0)),"")</f>
        <v/>
      </c>
      <c r="D1380" s="29">
        <f>IFERROR(INDEX($Q$4:$Q$3183,MATCH(SMALL($V$4:$V$3183,1377),$V$4:$V$3183,0)),"")</f>
        <v/>
      </c>
      <c r="E1380" s="29">
        <f>IFERROR(INDEX($R$4:$R$3183,MATCH(SMALL($V$4:$V$3183,1377),$V$4:$V$3183,0)),"")</f>
        <v/>
      </c>
      <c r="F1380">
        <f>IFERROR(INDEX($S$4:$S$3183,MATCH(SMALL($V$4:$V$3183,1377),$V$4:$V$3183,0)),"")</f>
        <v/>
      </c>
      <c r="I1380" s="29">
        <f>IF($B1380="","",IFERROR(INDEX($U$4:$U$3183,MATCH(SMALL($V$4:$V$3183,1377),$V$4:$V$3183,0)),""))</f>
        <v/>
      </c>
      <c r="J1380">
        <f>IF($B1380="","",IF($D1380&gt;$F$2,"À venir",IF($E1380&lt;$D$2,"Passé","Dans la période")))</f>
        <v/>
      </c>
      <c r="K1380">
        <f>IF(OR($B1380="",NOT(ISNUMBER($D1380))),"",IF(AND($E1380&lt;$D$2,$G1380&lt;&gt;"X",$F1380&lt;&gt;"Réalisé",$F1380&lt;&gt;"Clôturé"),"RETARD",""))</f>
        <v/>
      </c>
      <c r="L1380">
        <f>IF(OR($B1380="",NOT(ISNUMBER($D1380))),"",IF(AND($D1380&gt;=$D$2,$D1380&lt;=$H$2,$G1380&lt;&gt;"X",$F1380&lt;&gt;"Réalisé",$F1380&lt;&gt;"Clôturé"),"≤ 7 j",""))</f>
        <v/>
      </c>
      <c r="M1380" s="29">
        <f>IF($B1380="","",IFERROR(INDEX($T$4:$T$3183,MATCH(SMALL($V$4:$V$3183,1377),$V$4:$V$3183,0)),""))</f>
        <v/>
      </c>
      <c r="O1380">
        <f>IF(INDEX(Suivi!$B:$B,1406)="","",INDEX(Suivi!$B:$B,1406))</f>
        <v/>
      </c>
      <c r="P1380">
        <f>IF($O1380="","",IF(INDEX(Suivi!$D:$D,1406)="",INDEX(Suivi!$C:$C,1406),INDEX(Suivi!$D:$D,1406)))</f>
        <v/>
      </c>
      <c r="Q1380">
        <f>IF($O1380="","",INDEX(Suivi!$E:$E,1406))</f>
        <v/>
      </c>
      <c r="R1380">
        <f>IF($O1380="","",INDEX(Suivi!$F:$F,1406))</f>
        <v/>
      </c>
      <c r="S1380">
        <f>IF($O1380="","",INDEX(Suivi!$G:$G,1406))</f>
        <v/>
      </c>
      <c r="T1380">
        <f>IF($O1380="","",IF(INDEX(Dossiers!$F$4:$F$63,26)="","",INDEX(Dossiers!$F$4:$F$63,26)))</f>
        <v/>
      </c>
      <c r="U1380">
        <f>IF($O1380="","",IF(INDEX(Dossiers!$G$4:$G$63,26)="","",INDEX(Dossiers!$G$4:$G$63,26)))</f>
        <v/>
      </c>
      <c r="V1380">
        <f>IF(OR($O1380="",NOT(ISNUMBER($Q1380))),"",$Q1380*1000000+1380)</f>
        <v/>
      </c>
      <c r="W1380" s="29">
        <f>IF($B1380="","",IFERROR(INDEX($U$4:$U$3183,MATCH(SMALL($V$4:$V$3183,1377),$V$4:$V$3183,0)),""))</f>
        <v/>
      </c>
    </row>
    <row r="1381">
      <c r="A1381">
        <f>IFERROR(INDEX($N$4:$N$3183,MATCH(SMALL($V$4:$V$3183,1378),$V$4:$V$3183,0)),"")</f>
        <v/>
      </c>
      <c r="B1381">
        <f>IFERROR(INDEX($O$4:$O$3183,MATCH(SMALL($V$4:$V$3183,1378),$V$4:$V$3183,0)),"")</f>
        <v/>
      </c>
      <c r="C1381">
        <f>IFERROR(INDEX($P$4:$P$3183,MATCH(SMALL($V$4:$V$3183,1378),$V$4:$V$3183,0)),"")</f>
        <v/>
      </c>
      <c r="D1381" s="29">
        <f>IFERROR(INDEX($Q$4:$Q$3183,MATCH(SMALL($V$4:$V$3183,1378),$V$4:$V$3183,0)),"")</f>
        <v/>
      </c>
      <c r="E1381" s="29">
        <f>IFERROR(INDEX($R$4:$R$3183,MATCH(SMALL($V$4:$V$3183,1378),$V$4:$V$3183,0)),"")</f>
        <v/>
      </c>
      <c r="F1381">
        <f>IFERROR(INDEX($S$4:$S$3183,MATCH(SMALL($V$4:$V$3183,1378),$V$4:$V$3183,0)),"")</f>
        <v/>
      </c>
      <c r="I1381" s="29">
        <f>IF($B1381="","",IFERROR(INDEX($U$4:$U$3183,MATCH(SMALL($V$4:$V$3183,1378),$V$4:$V$3183,0)),""))</f>
        <v/>
      </c>
      <c r="J1381">
        <f>IF($B1381="","",IF($D1381&gt;$F$2,"À venir",IF($E1381&lt;$D$2,"Passé","Dans la période")))</f>
        <v/>
      </c>
      <c r="K1381">
        <f>IF(OR($B1381="",NOT(ISNUMBER($D1381))),"",IF(AND($E1381&lt;$D$2,$G1381&lt;&gt;"X",$F1381&lt;&gt;"Réalisé",$F1381&lt;&gt;"Clôturé"),"RETARD",""))</f>
        <v/>
      </c>
      <c r="L1381">
        <f>IF(OR($B1381="",NOT(ISNUMBER($D1381))),"",IF(AND($D1381&gt;=$D$2,$D1381&lt;=$H$2,$G1381&lt;&gt;"X",$F1381&lt;&gt;"Réalisé",$F1381&lt;&gt;"Clôturé"),"≤ 7 j",""))</f>
        <v/>
      </c>
      <c r="M1381" s="29">
        <f>IF($B1381="","",IFERROR(INDEX($T$4:$T$3183,MATCH(SMALL($V$4:$V$3183,1378),$V$4:$V$3183,0)),""))</f>
        <v/>
      </c>
      <c r="O1381">
        <f>IF(INDEX(Suivi!$B:$B,1407)="","",INDEX(Suivi!$B:$B,1407))</f>
        <v/>
      </c>
      <c r="P1381">
        <f>IF($O1381="","",IF(INDEX(Suivi!$D:$D,1407)="",INDEX(Suivi!$C:$C,1407),INDEX(Suivi!$D:$D,1407)))</f>
        <v/>
      </c>
      <c r="Q1381">
        <f>IF($O1381="","",INDEX(Suivi!$E:$E,1407))</f>
        <v/>
      </c>
      <c r="R1381">
        <f>IF($O1381="","",INDEX(Suivi!$F:$F,1407))</f>
        <v/>
      </c>
      <c r="S1381">
        <f>IF($O1381="","",INDEX(Suivi!$G:$G,1407))</f>
        <v/>
      </c>
      <c r="T1381">
        <f>IF($O1381="","",IF(INDEX(Dossiers!$F$4:$F$63,26)="","",INDEX(Dossiers!$F$4:$F$63,26)))</f>
        <v/>
      </c>
      <c r="U1381">
        <f>IF($O1381="","",IF(INDEX(Dossiers!$G$4:$G$63,26)="","",INDEX(Dossiers!$G$4:$G$63,26)))</f>
        <v/>
      </c>
      <c r="V1381">
        <f>IF(OR($O1381="",NOT(ISNUMBER($Q1381))),"",$Q1381*1000000+1381)</f>
        <v/>
      </c>
      <c r="W1381" s="29">
        <f>IF($B1381="","",IFERROR(INDEX($U$4:$U$3183,MATCH(SMALL($V$4:$V$3183,1378),$V$4:$V$3183,0)),""))</f>
        <v/>
      </c>
    </row>
    <row r="1382">
      <c r="A1382">
        <f>IFERROR(INDEX($N$4:$N$3183,MATCH(SMALL($V$4:$V$3183,1379),$V$4:$V$3183,0)),"")</f>
        <v/>
      </c>
      <c r="B1382">
        <f>IFERROR(INDEX($O$4:$O$3183,MATCH(SMALL($V$4:$V$3183,1379),$V$4:$V$3183,0)),"")</f>
        <v/>
      </c>
      <c r="C1382">
        <f>IFERROR(INDEX($P$4:$P$3183,MATCH(SMALL($V$4:$V$3183,1379),$V$4:$V$3183,0)),"")</f>
        <v/>
      </c>
      <c r="D1382" s="29">
        <f>IFERROR(INDEX($Q$4:$Q$3183,MATCH(SMALL($V$4:$V$3183,1379),$V$4:$V$3183,0)),"")</f>
        <v/>
      </c>
      <c r="E1382" s="29">
        <f>IFERROR(INDEX($R$4:$R$3183,MATCH(SMALL($V$4:$V$3183,1379),$V$4:$V$3183,0)),"")</f>
        <v/>
      </c>
      <c r="F1382">
        <f>IFERROR(INDEX($S$4:$S$3183,MATCH(SMALL($V$4:$V$3183,1379),$V$4:$V$3183,0)),"")</f>
        <v/>
      </c>
      <c r="I1382" s="29">
        <f>IF($B1382="","",IFERROR(INDEX($U$4:$U$3183,MATCH(SMALL($V$4:$V$3183,1379),$V$4:$V$3183,0)),""))</f>
        <v/>
      </c>
      <c r="J1382">
        <f>IF($B1382="","",IF($D1382&gt;$F$2,"À venir",IF($E1382&lt;$D$2,"Passé","Dans la période")))</f>
        <v/>
      </c>
      <c r="K1382">
        <f>IF(OR($B1382="",NOT(ISNUMBER($D1382))),"",IF(AND($E1382&lt;$D$2,$G1382&lt;&gt;"X",$F1382&lt;&gt;"Réalisé",$F1382&lt;&gt;"Clôturé"),"RETARD",""))</f>
        <v/>
      </c>
      <c r="L1382">
        <f>IF(OR($B1382="",NOT(ISNUMBER($D1382))),"",IF(AND($D1382&gt;=$D$2,$D1382&lt;=$H$2,$G1382&lt;&gt;"X",$F1382&lt;&gt;"Réalisé",$F1382&lt;&gt;"Clôturé"),"≤ 7 j",""))</f>
        <v/>
      </c>
      <c r="M1382" s="29">
        <f>IF($B1382="","",IFERROR(INDEX($T$4:$T$3183,MATCH(SMALL($V$4:$V$3183,1379),$V$4:$V$3183,0)),""))</f>
        <v/>
      </c>
      <c r="O1382">
        <f>IF(INDEX(Suivi!$B:$B,1409)="","",INDEX(Suivi!$B:$B,1409))</f>
        <v/>
      </c>
      <c r="P1382">
        <f>IF($O1382="","",IF(INDEX(Suivi!$D:$D,1409)="",INDEX(Suivi!$C:$C,1409),INDEX(Suivi!$D:$D,1409)))</f>
        <v/>
      </c>
      <c r="Q1382">
        <f>IF($O1382="","",INDEX(Suivi!$E:$E,1409))</f>
        <v/>
      </c>
      <c r="R1382">
        <f>IF($O1382="","",INDEX(Suivi!$F:$F,1409))</f>
        <v/>
      </c>
      <c r="S1382">
        <f>IF($O1382="","",INDEX(Suivi!$G:$G,1409))</f>
        <v/>
      </c>
      <c r="T1382">
        <f>IF($O1382="","",IF(INDEX(Dossiers!$F$4:$F$63,27)="","",INDEX(Dossiers!$F$4:$F$63,27)))</f>
        <v/>
      </c>
      <c r="U1382">
        <f>IF($O1382="","",IF(INDEX(Dossiers!$G$4:$G$63,27)="","",INDEX(Dossiers!$G$4:$G$63,27)))</f>
        <v/>
      </c>
      <c r="V1382">
        <f>IF(OR($O1382="",NOT(ISNUMBER($Q1382))),"",$Q1382*1000000+1382)</f>
        <v/>
      </c>
      <c r="W1382" s="29">
        <f>IF($B1382="","",IFERROR(INDEX($U$4:$U$3183,MATCH(SMALL($V$4:$V$3183,1379),$V$4:$V$3183,0)),""))</f>
        <v/>
      </c>
    </row>
    <row r="1383">
      <c r="A1383">
        <f>IFERROR(INDEX($N$4:$N$3183,MATCH(SMALL($V$4:$V$3183,1380),$V$4:$V$3183,0)),"")</f>
        <v/>
      </c>
      <c r="B1383">
        <f>IFERROR(INDEX($O$4:$O$3183,MATCH(SMALL($V$4:$V$3183,1380),$V$4:$V$3183,0)),"")</f>
        <v/>
      </c>
      <c r="C1383">
        <f>IFERROR(INDEX($P$4:$P$3183,MATCH(SMALL($V$4:$V$3183,1380),$V$4:$V$3183,0)),"")</f>
        <v/>
      </c>
      <c r="D1383" s="29">
        <f>IFERROR(INDEX($Q$4:$Q$3183,MATCH(SMALL($V$4:$V$3183,1380),$V$4:$V$3183,0)),"")</f>
        <v/>
      </c>
      <c r="E1383" s="29">
        <f>IFERROR(INDEX($R$4:$R$3183,MATCH(SMALL($V$4:$V$3183,1380),$V$4:$V$3183,0)),"")</f>
        <v/>
      </c>
      <c r="F1383">
        <f>IFERROR(INDEX($S$4:$S$3183,MATCH(SMALL($V$4:$V$3183,1380),$V$4:$V$3183,0)),"")</f>
        <v/>
      </c>
      <c r="I1383" s="29">
        <f>IF($B1383="","",IFERROR(INDEX($U$4:$U$3183,MATCH(SMALL($V$4:$V$3183,1380),$V$4:$V$3183,0)),""))</f>
        <v/>
      </c>
      <c r="J1383">
        <f>IF($B1383="","",IF($D1383&gt;$F$2,"À venir",IF($E1383&lt;$D$2,"Passé","Dans la période")))</f>
        <v/>
      </c>
      <c r="K1383">
        <f>IF(OR($B1383="",NOT(ISNUMBER($D1383))),"",IF(AND($E1383&lt;$D$2,$G1383&lt;&gt;"X",$F1383&lt;&gt;"Réalisé",$F1383&lt;&gt;"Clôturé"),"RETARD",""))</f>
        <v/>
      </c>
      <c r="L1383">
        <f>IF(OR($B1383="",NOT(ISNUMBER($D1383))),"",IF(AND($D1383&gt;=$D$2,$D1383&lt;=$H$2,$G1383&lt;&gt;"X",$F1383&lt;&gt;"Réalisé",$F1383&lt;&gt;"Clôturé"),"≤ 7 j",""))</f>
        <v/>
      </c>
      <c r="M1383" s="29">
        <f>IF($B1383="","",IFERROR(INDEX($T$4:$T$3183,MATCH(SMALL($V$4:$V$3183,1380),$V$4:$V$3183,0)),""))</f>
        <v/>
      </c>
      <c r="O1383">
        <f>IF(INDEX(Suivi!$B:$B,1410)="","",INDEX(Suivi!$B:$B,1410))</f>
        <v/>
      </c>
      <c r="P1383">
        <f>IF($O1383="","",IF(INDEX(Suivi!$D:$D,1410)="",INDEX(Suivi!$C:$C,1410),INDEX(Suivi!$D:$D,1410)))</f>
        <v/>
      </c>
      <c r="Q1383">
        <f>IF($O1383="","",INDEX(Suivi!$E:$E,1410))</f>
        <v/>
      </c>
      <c r="R1383">
        <f>IF($O1383="","",INDEX(Suivi!$F:$F,1410))</f>
        <v/>
      </c>
      <c r="S1383">
        <f>IF($O1383="","",INDEX(Suivi!$G:$G,1410))</f>
        <v/>
      </c>
      <c r="T1383">
        <f>IF($O1383="","",IF(INDEX(Dossiers!$F$4:$F$63,27)="","",INDEX(Dossiers!$F$4:$F$63,27)))</f>
        <v/>
      </c>
      <c r="U1383">
        <f>IF($O1383="","",IF(INDEX(Dossiers!$G$4:$G$63,27)="","",INDEX(Dossiers!$G$4:$G$63,27)))</f>
        <v/>
      </c>
      <c r="V1383">
        <f>IF(OR($O1383="",NOT(ISNUMBER($Q1383))),"",$Q1383*1000000+1383)</f>
        <v/>
      </c>
      <c r="W1383" s="29">
        <f>IF($B1383="","",IFERROR(INDEX($U$4:$U$3183,MATCH(SMALL($V$4:$V$3183,1380),$V$4:$V$3183,0)),""))</f>
        <v/>
      </c>
    </row>
    <row r="1384">
      <c r="A1384">
        <f>IFERROR(INDEX($N$4:$N$3183,MATCH(SMALL($V$4:$V$3183,1381),$V$4:$V$3183,0)),"")</f>
        <v/>
      </c>
      <c r="B1384">
        <f>IFERROR(INDEX($O$4:$O$3183,MATCH(SMALL($V$4:$V$3183,1381),$V$4:$V$3183,0)),"")</f>
        <v/>
      </c>
      <c r="C1384">
        <f>IFERROR(INDEX($P$4:$P$3183,MATCH(SMALL($V$4:$V$3183,1381),$V$4:$V$3183,0)),"")</f>
        <v/>
      </c>
      <c r="D1384" s="29">
        <f>IFERROR(INDEX($Q$4:$Q$3183,MATCH(SMALL($V$4:$V$3183,1381),$V$4:$V$3183,0)),"")</f>
        <v/>
      </c>
      <c r="E1384" s="29">
        <f>IFERROR(INDEX($R$4:$R$3183,MATCH(SMALL($V$4:$V$3183,1381),$V$4:$V$3183,0)),"")</f>
        <v/>
      </c>
      <c r="F1384">
        <f>IFERROR(INDEX($S$4:$S$3183,MATCH(SMALL($V$4:$V$3183,1381),$V$4:$V$3183,0)),"")</f>
        <v/>
      </c>
      <c r="I1384" s="29">
        <f>IF($B1384="","",IFERROR(INDEX($U$4:$U$3183,MATCH(SMALL($V$4:$V$3183,1381),$V$4:$V$3183,0)),""))</f>
        <v/>
      </c>
      <c r="J1384">
        <f>IF($B1384="","",IF($D1384&gt;$F$2,"À venir",IF($E1384&lt;$D$2,"Passé","Dans la période")))</f>
        <v/>
      </c>
      <c r="K1384">
        <f>IF(OR($B1384="",NOT(ISNUMBER($D1384))),"",IF(AND($E1384&lt;$D$2,$G1384&lt;&gt;"X",$F1384&lt;&gt;"Réalisé",$F1384&lt;&gt;"Clôturé"),"RETARD",""))</f>
        <v/>
      </c>
      <c r="L1384">
        <f>IF(OR($B1384="",NOT(ISNUMBER($D1384))),"",IF(AND($D1384&gt;=$D$2,$D1384&lt;=$H$2,$G1384&lt;&gt;"X",$F1384&lt;&gt;"Réalisé",$F1384&lt;&gt;"Clôturé"),"≤ 7 j",""))</f>
        <v/>
      </c>
      <c r="M1384" s="29">
        <f>IF($B1384="","",IFERROR(INDEX($T$4:$T$3183,MATCH(SMALL($V$4:$V$3183,1381),$V$4:$V$3183,0)),""))</f>
        <v/>
      </c>
      <c r="O1384">
        <f>IF(INDEX(Suivi!$B:$B,1411)="","",INDEX(Suivi!$B:$B,1411))</f>
        <v/>
      </c>
      <c r="P1384">
        <f>IF($O1384="","",IF(INDEX(Suivi!$D:$D,1411)="",INDEX(Suivi!$C:$C,1411),INDEX(Suivi!$D:$D,1411)))</f>
        <v/>
      </c>
      <c r="Q1384">
        <f>IF($O1384="","",INDEX(Suivi!$E:$E,1411))</f>
        <v/>
      </c>
      <c r="R1384">
        <f>IF($O1384="","",INDEX(Suivi!$F:$F,1411))</f>
        <v/>
      </c>
      <c r="S1384">
        <f>IF($O1384="","",INDEX(Suivi!$G:$G,1411))</f>
        <v/>
      </c>
      <c r="T1384">
        <f>IF($O1384="","",IF(INDEX(Dossiers!$F$4:$F$63,27)="","",INDEX(Dossiers!$F$4:$F$63,27)))</f>
        <v/>
      </c>
      <c r="U1384">
        <f>IF($O1384="","",IF(INDEX(Dossiers!$G$4:$G$63,27)="","",INDEX(Dossiers!$G$4:$G$63,27)))</f>
        <v/>
      </c>
      <c r="V1384">
        <f>IF(OR($O1384="",NOT(ISNUMBER($Q1384))),"",$Q1384*1000000+1384)</f>
        <v/>
      </c>
      <c r="W1384" s="29">
        <f>IF($B1384="","",IFERROR(INDEX($U$4:$U$3183,MATCH(SMALL($V$4:$V$3183,1381),$V$4:$V$3183,0)),""))</f>
        <v/>
      </c>
    </row>
    <row r="1385">
      <c r="A1385">
        <f>IFERROR(INDEX($N$4:$N$3183,MATCH(SMALL($V$4:$V$3183,1382),$V$4:$V$3183,0)),"")</f>
        <v/>
      </c>
      <c r="B1385">
        <f>IFERROR(INDEX($O$4:$O$3183,MATCH(SMALL($V$4:$V$3183,1382),$V$4:$V$3183,0)),"")</f>
        <v/>
      </c>
      <c r="C1385">
        <f>IFERROR(INDEX($P$4:$P$3183,MATCH(SMALL($V$4:$V$3183,1382),$V$4:$V$3183,0)),"")</f>
        <v/>
      </c>
      <c r="D1385" s="29">
        <f>IFERROR(INDEX($Q$4:$Q$3183,MATCH(SMALL($V$4:$V$3183,1382),$V$4:$V$3183,0)),"")</f>
        <v/>
      </c>
      <c r="E1385" s="29">
        <f>IFERROR(INDEX($R$4:$R$3183,MATCH(SMALL($V$4:$V$3183,1382),$V$4:$V$3183,0)),"")</f>
        <v/>
      </c>
      <c r="F1385">
        <f>IFERROR(INDEX($S$4:$S$3183,MATCH(SMALL($V$4:$V$3183,1382),$V$4:$V$3183,0)),"")</f>
        <v/>
      </c>
      <c r="I1385" s="29">
        <f>IF($B1385="","",IFERROR(INDEX($U$4:$U$3183,MATCH(SMALL($V$4:$V$3183,1382),$V$4:$V$3183,0)),""))</f>
        <v/>
      </c>
      <c r="J1385">
        <f>IF($B1385="","",IF($D1385&gt;$F$2,"À venir",IF($E1385&lt;$D$2,"Passé","Dans la période")))</f>
        <v/>
      </c>
      <c r="K1385">
        <f>IF(OR($B1385="",NOT(ISNUMBER($D1385))),"",IF(AND($E1385&lt;$D$2,$G1385&lt;&gt;"X",$F1385&lt;&gt;"Réalisé",$F1385&lt;&gt;"Clôturé"),"RETARD",""))</f>
        <v/>
      </c>
      <c r="L1385">
        <f>IF(OR($B1385="",NOT(ISNUMBER($D1385))),"",IF(AND($D1385&gt;=$D$2,$D1385&lt;=$H$2,$G1385&lt;&gt;"X",$F1385&lt;&gt;"Réalisé",$F1385&lt;&gt;"Clôturé"),"≤ 7 j",""))</f>
        <v/>
      </c>
      <c r="M1385" s="29">
        <f>IF($B1385="","",IFERROR(INDEX($T$4:$T$3183,MATCH(SMALL($V$4:$V$3183,1382),$V$4:$V$3183,0)),""))</f>
        <v/>
      </c>
      <c r="O1385">
        <f>IF(INDEX(Suivi!$B:$B,1412)="","",INDEX(Suivi!$B:$B,1412))</f>
        <v/>
      </c>
      <c r="P1385">
        <f>IF($O1385="","",IF(INDEX(Suivi!$D:$D,1412)="",INDEX(Suivi!$C:$C,1412),INDEX(Suivi!$D:$D,1412)))</f>
        <v/>
      </c>
      <c r="Q1385">
        <f>IF($O1385="","",INDEX(Suivi!$E:$E,1412))</f>
        <v/>
      </c>
      <c r="R1385">
        <f>IF($O1385="","",INDEX(Suivi!$F:$F,1412))</f>
        <v/>
      </c>
      <c r="S1385">
        <f>IF($O1385="","",INDEX(Suivi!$G:$G,1412))</f>
        <v/>
      </c>
      <c r="T1385">
        <f>IF($O1385="","",IF(INDEX(Dossiers!$F$4:$F$63,27)="","",INDEX(Dossiers!$F$4:$F$63,27)))</f>
        <v/>
      </c>
      <c r="U1385">
        <f>IF($O1385="","",IF(INDEX(Dossiers!$G$4:$G$63,27)="","",INDEX(Dossiers!$G$4:$G$63,27)))</f>
        <v/>
      </c>
      <c r="V1385">
        <f>IF(OR($O1385="",NOT(ISNUMBER($Q1385))),"",$Q1385*1000000+1385)</f>
        <v/>
      </c>
      <c r="W1385" s="29">
        <f>IF($B1385="","",IFERROR(INDEX($U$4:$U$3183,MATCH(SMALL($V$4:$V$3183,1382),$V$4:$V$3183,0)),""))</f>
        <v/>
      </c>
    </row>
    <row r="1386">
      <c r="A1386">
        <f>IFERROR(INDEX($N$4:$N$3183,MATCH(SMALL($V$4:$V$3183,1383),$V$4:$V$3183,0)),"")</f>
        <v/>
      </c>
      <c r="B1386">
        <f>IFERROR(INDEX($O$4:$O$3183,MATCH(SMALL($V$4:$V$3183,1383),$V$4:$V$3183,0)),"")</f>
        <v/>
      </c>
      <c r="C1386">
        <f>IFERROR(INDEX($P$4:$P$3183,MATCH(SMALL($V$4:$V$3183,1383),$V$4:$V$3183,0)),"")</f>
        <v/>
      </c>
      <c r="D1386" s="29">
        <f>IFERROR(INDEX($Q$4:$Q$3183,MATCH(SMALL($V$4:$V$3183,1383),$V$4:$V$3183,0)),"")</f>
        <v/>
      </c>
      <c r="E1386" s="29">
        <f>IFERROR(INDEX($R$4:$R$3183,MATCH(SMALL($V$4:$V$3183,1383),$V$4:$V$3183,0)),"")</f>
        <v/>
      </c>
      <c r="F1386">
        <f>IFERROR(INDEX($S$4:$S$3183,MATCH(SMALL($V$4:$V$3183,1383),$V$4:$V$3183,0)),"")</f>
        <v/>
      </c>
      <c r="I1386" s="29">
        <f>IF($B1386="","",IFERROR(INDEX($U$4:$U$3183,MATCH(SMALL($V$4:$V$3183,1383),$V$4:$V$3183,0)),""))</f>
        <v/>
      </c>
      <c r="J1386">
        <f>IF($B1386="","",IF($D1386&gt;$F$2,"À venir",IF($E1386&lt;$D$2,"Passé","Dans la période")))</f>
        <v/>
      </c>
      <c r="K1386">
        <f>IF(OR($B1386="",NOT(ISNUMBER($D1386))),"",IF(AND($E1386&lt;$D$2,$G1386&lt;&gt;"X",$F1386&lt;&gt;"Réalisé",$F1386&lt;&gt;"Clôturé"),"RETARD",""))</f>
        <v/>
      </c>
      <c r="L1386">
        <f>IF(OR($B1386="",NOT(ISNUMBER($D1386))),"",IF(AND($D1386&gt;=$D$2,$D1386&lt;=$H$2,$G1386&lt;&gt;"X",$F1386&lt;&gt;"Réalisé",$F1386&lt;&gt;"Clôturé"),"≤ 7 j",""))</f>
        <v/>
      </c>
      <c r="M1386" s="29">
        <f>IF($B1386="","",IFERROR(INDEX($T$4:$T$3183,MATCH(SMALL($V$4:$V$3183,1383),$V$4:$V$3183,0)),""))</f>
        <v/>
      </c>
      <c r="O1386">
        <f>IF(INDEX(Suivi!$B:$B,1413)="","",INDEX(Suivi!$B:$B,1413))</f>
        <v/>
      </c>
      <c r="P1386">
        <f>IF($O1386="","",IF(INDEX(Suivi!$D:$D,1413)="",INDEX(Suivi!$C:$C,1413),INDEX(Suivi!$D:$D,1413)))</f>
        <v/>
      </c>
      <c r="Q1386">
        <f>IF($O1386="","",INDEX(Suivi!$E:$E,1413))</f>
        <v/>
      </c>
      <c r="R1386">
        <f>IF($O1386="","",INDEX(Suivi!$F:$F,1413))</f>
        <v/>
      </c>
      <c r="S1386">
        <f>IF($O1386="","",INDEX(Suivi!$G:$G,1413))</f>
        <v/>
      </c>
      <c r="T1386">
        <f>IF($O1386="","",IF(INDEX(Dossiers!$F$4:$F$63,27)="","",INDEX(Dossiers!$F$4:$F$63,27)))</f>
        <v/>
      </c>
      <c r="U1386">
        <f>IF($O1386="","",IF(INDEX(Dossiers!$G$4:$G$63,27)="","",INDEX(Dossiers!$G$4:$G$63,27)))</f>
        <v/>
      </c>
      <c r="V1386">
        <f>IF(OR($O1386="",NOT(ISNUMBER($Q1386))),"",$Q1386*1000000+1386)</f>
        <v/>
      </c>
      <c r="W1386" s="29">
        <f>IF($B1386="","",IFERROR(INDEX($U$4:$U$3183,MATCH(SMALL($V$4:$V$3183,1383),$V$4:$V$3183,0)),""))</f>
        <v/>
      </c>
    </row>
    <row r="1387">
      <c r="A1387">
        <f>IFERROR(INDEX($N$4:$N$3183,MATCH(SMALL($V$4:$V$3183,1384),$V$4:$V$3183,0)),"")</f>
        <v/>
      </c>
      <c r="B1387">
        <f>IFERROR(INDEX($O$4:$O$3183,MATCH(SMALL($V$4:$V$3183,1384),$V$4:$V$3183,0)),"")</f>
        <v/>
      </c>
      <c r="C1387">
        <f>IFERROR(INDEX($P$4:$P$3183,MATCH(SMALL($V$4:$V$3183,1384),$V$4:$V$3183,0)),"")</f>
        <v/>
      </c>
      <c r="D1387" s="29">
        <f>IFERROR(INDEX($Q$4:$Q$3183,MATCH(SMALL($V$4:$V$3183,1384),$V$4:$V$3183,0)),"")</f>
        <v/>
      </c>
      <c r="E1387" s="29">
        <f>IFERROR(INDEX($R$4:$R$3183,MATCH(SMALL($V$4:$V$3183,1384),$V$4:$V$3183,0)),"")</f>
        <v/>
      </c>
      <c r="F1387">
        <f>IFERROR(INDEX($S$4:$S$3183,MATCH(SMALL($V$4:$V$3183,1384),$V$4:$V$3183,0)),"")</f>
        <v/>
      </c>
      <c r="I1387" s="29">
        <f>IF($B1387="","",IFERROR(INDEX($U$4:$U$3183,MATCH(SMALL($V$4:$V$3183,1384),$V$4:$V$3183,0)),""))</f>
        <v/>
      </c>
      <c r="J1387">
        <f>IF($B1387="","",IF($D1387&gt;$F$2,"À venir",IF($E1387&lt;$D$2,"Passé","Dans la période")))</f>
        <v/>
      </c>
      <c r="K1387">
        <f>IF(OR($B1387="",NOT(ISNUMBER($D1387))),"",IF(AND($E1387&lt;$D$2,$G1387&lt;&gt;"X",$F1387&lt;&gt;"Réalisé",$F1387&lt;&gt;"Clôturé"),"RETARD",""))</f>
        <v/>
      </c>
      <c r="L1387">
        <f>IF(OR($B1387="",NOT(ISNUMBER($D1387))),"",IF(AND($D1387&gt;=$D$2,$D1387&lt;=$H$2,$G1387&lt;&gt;"X",$F1387&lt;&gt;"Réalisé",$F1387&lt;&gt;"Clôturé"),"≤ 7 j",""))</f>
        <v/>
      </c>
      <c r="M1387" s="29">
        <f>IF($B1387="","",IFERROR(INDEX($T$4:$T$3183,MATCH(SMALL($V$4:$V$3183,1384),$V$4:$V$3183,0)),""))</f>
        <v/>
      </c>
      <c r="O1387">
        <f>IF(INDEX(Suivi!$B:$B,1414)="","",INDEX(Suivi!$B:$B,1414))</f>
        <v/>
      </c>
      <c r="P1387">
        <f>IF($O1387="","",IF(INDEX(Suivi!$D:$D,1414)="",INDEX(Suivi!$C:$C,1414),INDEX(Suivi!$D:$D,1414)))</f>
        <v/>
      </c>
      <c r="Q1387">
        <f>IF($O1387="","",INDEX(Suivi!$E:$E,1414))</f>
        <v/>
      </c>
      <c r="R1387">
        <f>IF($O1387="","",INDEX(Suivi!$F:$F,1414))</f>
        <v/>
      </c>
      <c r="S1387">
        <f>IF($O1387="","",INDEX(Suivi!$G:$G,1414))</f>
        <v/>
      </c>
      <c r="T1387">
        <f>IF($O1387="","",IF(INDEX(Dossiers!$F$4:$F$63,27)="","",INDEX(Dossiers!$F$4:$F$63,27)))</f>
        <v/>
      </c>
      <c r="U1387">
        <f>IF($O1387="","",IF(INDEX(Dossiers!$G$4:$G$63,27)="","",INDEX(Dossiers!$G$4:$G$63,27)))</f>
        <v/>
      </c>
      <c r="V1387">
        <f>IF(OR($O1387="",NOT(ISNUMBER($Q1387))),"",$Q1387*1000000+1387)</f>
        <v/>
      </c>
      <c r="W1387" s="29">
        <f>IF($B1387="","",IFERROR(INDEX($U$4:$U$3183,MATCH(SMALL($V$4:$V$3183,1384),$V$4:$V$3183,0)),""))</f>
        <v/>
      </c>
    </row>
    <row r="1388">
      <c r="A1388">
        <f>IFERROR(INDEX($N$4:$N$3183,MATCH(SMALL($V$4:$V$3183,1385),$V$4:$V$3183,0)),"")</f>
        <v/>
      </c>
      <c r="B1388">
        <f>IFERROR(INDEX($O$4:$O$3183,MATCH(SMALL($V$4:$V$3183,1385),$V$4:$V$3183,0)),"")</f>
        <v/>
      </c>
      <c r="C1388">
        <f>IFERROR(INDEX($P$4:$P$3183,MATCH(SMALL($V$4:$V$3183,1385),$V$4:$V$3183,0)),"")</f>
        <v/>
      </c>
      <c r="D1388" s="29">
        <f>IFERROR(INDEX($Q$4:$Q$3183,MATCH(SMALL($V$4:$V$3183,1385),$V$4:$V$3183,0)),"")</f>
        <v/>
      </c>
      <c r="E1388" s="29">
        <f>IFERROR(INDEX($R$4:$R$3183,MATCH(SMALL($V$4:$V$3183,1385),$V$4:$V$3183,0)),"")</f>
        <v/>
      </c>
      <c r="F1388">
        <f>IFERROR(INDEX($S$4:$S$3183,MATCH(SMALL($V$4:$V$3183,1385),$V$4:$V$3183,0)),"")</f>
        <v/>
      </c>
      <c r="I1388" s="29">
        <f>IF($B1388="","",IFERROR(INDEX($U$4:$U$3183,MATCH(SMALL($V$4:$V$3183,1385),$V$4:$V$3183,0)),""))</f>
        <v/>
      </c>
      <c r="J1388">
        <f>IF($B1388="","",IF($D1388&gt;$F$2,"À venir",IF($E1388&lt;$D$2,"Passé","Dans la période")))</f>
        <v/>
      </c>
      <c r="K1388">
        <f>IF(OR($B1388="",NOT(ISNUMBER($D1388))),"",IF(AND($E1388&lt;$D$2,$G1388&lt;&gt;"X",$F1388&lt;&gt;"Réalisé",$F1388&lt;&gt;"Clôturé"),"RETARD",""))</f>
        <v/>
      </c>
      <c r="L1388">
        <f>IF(OR($B1388="",NOT(ISNUMBER($D1388))),"",IF(AND($D1388&gt;=$D$2,$D1388&lt;=$H$2,$G1388&lt;&gt;"X",$F1388&lt;&gt;"Réalisé",$F1388&lt;&gt;"Clôturé"),"≤ 7 j",""))</f>
        <v/>
      </c>
      <c r="M1388" s="29">
        <f>IF($B1388="","",IFERROR(INDEX($T$4:$T$3183,MATCH(SMALL($V$4:$V$3183,1385),$V$4:$V$3183,0)),""))</f>
        <v/>
      </c>
      <c r="O1388">
        <f>IF(INDEX(Suivi!$B:$B,1415)="","",INDEX(Suivi!$B:$B,1415))</f>
        <v/>
      </c>
      <c r="P1388">
        <f>IF($O1388="","",IF(INDEX(Suivi!$D:$D,1415)="",INDEX(Suivi!$C:$C,1415),INDEX(Suivi!$D:$D,1415)))</f>
        <v/>
      </c>
      <c r="Q1388">
        <f>IF($O1388="","",INDEX(Suivi!$E:$E,1415))</f>
        <v/>
      </c>
      <c r="R1388">
        <f>IF($O1388="","",INDEX(Suivi!$F:$F,1415))</f>
        <v/>
      </c>
      <c r="S1388">
        <f>IF($O1388="","",INDEX(Suivi!$G:$G,1415))</f>
        <v/>
      </c>
      <c r="T1388">
        <f>IF($O1388="","",IF(INDEX(Dossiers!$F$4:$F$63,27)="","",INDEX(Dossiers!$F$4:$F$63,27)))</f>
        <v/>
      </c>
      <c r="U1388">
        <f>IF($O1388="","",IF(INDEX(Dossiers!$G$4:$G$63,27)="","",INDEX(Dossiers!$G$4:$G$63,27)))</f>
        <v/>
      </c>
      <c r="V1388">
        <f>IF(OR($O1388="",NOT(ISNUMBER($Q1388))),"",$Q1388*1000000+1388)</f>
        <v/>
      </c>
      <c r="W1388" s="29">
        <f>IF($B1388="","",IFERROR(INDEX($U$4:$U$3183,MATCH(SMALL($V$4:$V$3183,1385),$V$4:$V$3183,0)),""))</f>
        <v/>
      </c>
    </row>
    <row r="1389">
      <c r="A1389">
        <f>IFERROR(INDEX($N$4:$N$3183,MATCH(SMALL($V$4:$V$3183,1386),$V$4:$V$3183,0)),"")</f>
        <v/>
      </c>
      <c r="B1389">
        <f>IFERROR(INDEX($O$4:$O$3183,MATCH(SMALL($V$4:$V$3183,1386),$V$4:$V$3183,0)),"")</f>
        <v/>
      </c>
      <c r="C1389">
        <f>IFERROR(INDEX($P$4:$P$3183,MATCH(SMALL($V$4:$V$3183,1386),$V$4:$V$3183,0)),"")</f>
        <v/>
      </c>
      <c r="D1389" s="29">
        <f>IFERROR(INDEX($Q$4:$Q$3183,MATCH(SMALL($V$4:$V$3183,1386),$V$4:$V$3183,0)),"")</f>
        <v/>
      </c>
      <c r="E1389" s="29">
        <f>IFERROR(INDEX($R$4:$R$3183,MATCH(SMALL($V$4:$V$3183,1386),$V$4:$V$3183,0)),"")</f>
        <v/>
      </c>
      <c r="F1389">
        <f>IFERROR(INDEX($S$4:$S$3183,MATCH(SMALL($V$4:$V$3183,1386),$V$4:$V$3183,0)),"")</f>
        <v/>
      </c>
      <c r="I1389" s="29">
        <f>IF($B1389="","",IFERROR(INDEX($U$4:$U$3183,MATCH(SMALL($V$4:$V$3183,1386),$V$4:$V$3183,0)),""))</f>
        <v/>
      </c>
      <c r="J1389">
        <f>IF($B1389="","",IF($D1389&gt;$F$2,"À venir",IF($E1389&lt;$D$2,"Passé","Dans la période")))</f>
        <v/>
      </c>
      <c r="K1389">
        <f>IF(OR($B1389="",NOT(ISNUMBER($D1389))),"",IF(AND($E1389&lt;$D$2,$G1389&lt;&gt;"X",$F1389&lt;&gt;"Réalisé",$F1389&lt;&gt;"Clôturé"),"RETARD",""))</f>
        <v/>
      </c>
      <c r="L1389">
        <f>IF(OR($B1389="",NOT(ISNUMBER($D1389))),"",IF(AND($D1389&gt;=$D$2,$D1389&lt;=$H$2,$G1389&lt;&gt;"X",$F1389&lt;&gt;"Réalisé",$F1389&lt;&gt;"Clôturé"),"≤ 7 j",""))</f>
        <v/>
      </c>
      <c r="M1389" s="29">
        <f>IF($B1389="","",IFERROR(INDEX($T$4:$T$3183,MATCH(SMALL($V$4:$V$3183,1386),$V$4:$V$3183,0)),""))</f>
        <v/>
      </c>
      <c r="O1389">
        <f>IF(INDEX(Suivi!$B:$B,1416)="","",INDEX(Suivi!$B:$B,1416))</f>
        <v/>
      </c>
      <c r="P1389">
        <f>IF($O1389="","",IF(INDEX(Suivi!$D:$D,1416)="",INDEX(Suivi!$C:$C,1416),INDEX(Suivi!$D:$D,1416)))</f>
        <v/>
      </c>
      <c r="Q1389">
        <f>IF($O1389="","",INDEX(Suivi!$E:$E,1416))</f>
        <v/>
      </c>
      <c r="R1389">
        <f>IF($O1389="","",INDEX(Suivi!$F:$F,1416))</f>
        <v/>
      </c>
      <c r="S1389">
        <f>IF($O1389="","",INDEX(Suivi!$G:$G,1416))</f>
        <v/>
      </c>
      <c r="T1389">
        <f>IF($O1389="","",IF(INDEX(Dossiers!$F$4:$F$63,27)="","",INDEX(Dossiers!$F$4:$F$63,27)))</f>
        <v/>
      </c>
      <c r="U1389">
        <f>IF($O1389="","",IF(INDEX(Dossiers!$G$4:$G$63,27)="","",INDEX(Dossiers!$G$4:$G$63,27)))</f>
        <v/>
      </c>
      <c r="V1389">
        <f>IF(OR($O1389="",NOT(ISNUMBER($Q1389))),"",$Q1389*1000000+1389)</f>
        <v/>
      </c>
      <c r="W1389" s="29">
        <f>IF($B1389="","",IFERROR(INDEX($U$4:$U$3183,MATCH(SMALL($V$4:$V$3183,1386),$V$4:$V$3183,0)),""))</f>
        <v/>
      </c>
    </row>
    <row r="1390">
      <c r="A1390">
        <f>IFERROR(INDEX($N$4:$N$3183,MATCH(SMALL($V$4:$V$3183,1387),$V$4:$V$3183,0)),"")</f>
        <v/>
      </c>
      <c r="B1390">
        <f>IFERROR(INDEX($O$4:$O$3183,MATCH(SMALL($V$4:$V$3183,1387),$V$4:$V$3183,0)),"")</f>
        <v/>
      </c>
      <c r="C1390">
        <f>IFERROR(INDEX($P$4:$P$3183,MATCH(SMALL($V$4:$V$3183,1387),$V$4:$V$3183,0)),"")</f>
        <v/>
      </c>
      <c r="D1390" s="29">
        <f>IFERROR(INDEX($Q$4:$Q$3183,MATCH(SMALL($V$4:$V$3183,1387),$V$4:$V$3183,0)),"")</f>
        <v/>
      </c>
      <c r="E1390" s="29">
        <f>IFERROR(INDEX($R$4:$R$3183,MATCH(SMALL($V$4:$V$3183,1387),$V$4:$V$3183,0)),"")</f>
        <v/>
      </c>
      <c r="F1390">
        <f>IFERROR(INDEX($S$4:$S$3183,MATCH(SMALL($V$4:$V$3183,1387),$V$4:$V$3183,0)),"")</f>
        <v/>
      </c>
      <c r="I1390" s="29">
        <f>IF($B1390="","",IFERROR(INDEX($U$4:$U$3183,MATCH(SMALL($V$4:$V$3183,1387),$V$4:$V$3183,0)),""))</f>
        <v/>
      </c>
      <c r="J1390">
        <f>IF($B1390="","",IF($D1390&gt;$F$2,"À venir",IF($E1390&lt;$D$2,"Passé","Dans la période")))</f>
        <v/>
      </c>
      <c r="K1390">
        <f>IF(OR($B1390="",NOT(ISNUMBER($D1390))),"",IF(AND($E1390&lt;$D$2,$G1390&lt;&gt;"X",$F1390&lt;&gt;"Réalisé",$F1390&lt;&gt;"Clôturé"),"RETARD",""))</f>
        <v/>
      </c>
      <c r="L1390">
        <f>IF(OR($B1390="",NOT(ISNUMBER($D1390))),"",IF(AND($D1390&gt;=$D$2,$D1390&lt;=$H$2,$G1390&lt;&gt;"X",$F1390&lt;&gt;"Réalisé",$F1390&lt;&gt;"Clôturé"),"≤ 7 j",""))</f>
        <v/>
      </c>
      <c r="M1390" s="29">
        <f>IF($B1390="","",IFERROR(INDEX($T$4:$T$3183,MATCH(SMALL($V$4:$V$3183,1387),$V$4:$V$3183,0)),""))</f>
        <v/>
      </c>
      <c r="O1390">
        <f>IF(INDEX(Suivi!$B:$B,1417)="","",INDEX(Suivi!$B:$B,1417))</f>
        <v/>
      </c>
      <c r="P1390">
        <f>IF($O1390="","",IF(INDEX(Suivi!$D:$D,1417)="",INDEX(Suivi!$C:$C,1417),INDEX(Suivi!$D:$D,1417)))</f>
        <v/>
      </c>
      <c r="Q1390">
        <f>IF($O1390="","",INDEX(Suivi!$E:$E,1417))</f>
        <v/>
      </c>
      <c r="R1390">
        <f>IF($O1390="","",INDEX(Suivi!$F:$F,1417))</f>
        <v/>
      </c>
      <c r="S1390">
        <f>IF($O1390="","",INDEX(Suivi!$G:$G,1417))</f>
        <v/>
      </c>
      <c r="T1390">
        <f>IF($O1390="","",IF(INDEX(Dossiers!$F$4:$F$63,27)="","",INDEX(Dossiers!$F$4:$F$63,27)))</f>
        <v/>
      </c>
      <c r="U1390">
        <f>IF($O1390="","",IF(INDEX(Dossiers!$G$4:$G$63,27)="","",INDEX(Dossiers!$G$4:$G$63,27)))</f>
        <v/>
      </c>
      <c r="V1390">
        <f>IF(OR($O1390="",NOT(ISNUMBER($Q1390))),"",$Q1390*1000000+1390)</f>
        <v/>
      </c>
      <c r="W1390" s="29">
        <f>IF($B1390="","",IFERROR(INDEX($U$4:$U$3183,MATCH(SMALL($V$4:$V$3183,1387),$V$4:$V$3183,0)),""))</f>
        <v/>
      </c>
    </row>
    <row r="1391">
      <c r="A1391">
        <f>IFERROR(INDEX($N$4:$N$3183,MATCH(SMALL($V$4:$V$3183,1388),$V$4:$V$3183,0)),"")</f>
        <v/>
      </c>
      <c r="B1391">
        <f>IFERROR(INDEX($O$4:$O$3183,MATCH(SMALL($V$4:$V$3183,1388),$V$4:$V$3183,0)),"")</f>
        <v/>
      </c>
      <c r="C1391">
        <f>IFERROR(INDEX($P$4:$P$3183,MATCH(SMALL($V$4:$V$3183,1388),$V$4:$V$3183,0)),"")</f>
        <v/>
      </c>
      <c r="D1391" s="29">
        <f>IFERROR(INDEX($Q$4:$Q$3183,MATCH(SMALL($V$4:$V$3183,1388),$V$4:$V$3183,0)),"")</f>
        <v/>
      </c>
      <c r="E1391" s="29">
        <f>IFERROR(INDEX($R$4:$R$3183,MATCH(SMALL($V$4:$V$3183,1388),$V$4:$V$3183,0)),"")</f>
        <v/>
      </c>
      <c r="F1391">
        <f>IFERROR(INDEX($S$4:$S$3183,MATCH(SMALL($V$4:$V$3183,1388),$V$4:$V$3183,0)),"")</f>
        <v/>
      </c>
      <c r="I1391" s="29">
        <f>IF($B1391="","",IFERROR(INDEX($U$4:$U$3183,MATCH(SMALL($V$4:$V$3183,1388),$V$4:$V$3183,0)),""))</f>
        <v/>
      </c>
      <c r="J1391">
        <f>IF($B1391="","",IF($D1391&gt;$F$2,"À venir",IF($E1391&lt;$D$2,"Passé","Dans la période")))</f>
        <v/>
      </c>
      <c r="K1391">
        <f>IF(OR($B1391="",NOT(ISNUMBER($D1391))),"",IF(AND($E1391&lt;$D$2,$G1391&lt;&gt;"X",$F1391&lt;&gt;"Réalisé",$F1391&lt;&gt;"Clôturé"),"RETARD",""))</f>
        <v/>
      </c>
      <c r="L1391">
        <f>IF(OR($B1391="",NOT(ISNUMBER($D1391))),"",IF(AND($D1391&gt;=$D$2,$D1391&lt;=$H$2,$G1391&lt;&gt;"X",$F1391&lt;&gt;"Réalisé",$F1391&lt;&gt;"Clôturé"),"≤ 7 j",""))</f>
        <v/>
      </c>
      <c r="M1391" s="29">
        <f>IF($B1391="","",IFERROR(INDEX($T$4:$T$3183,MATCH(SMALL($V$4:$V$3183,1388),$V$4:$V$3183,0)),""))</f>
        <v/>
      </c>
      <c r="O1391">
        <f>IF(INDEX(Suivi!$B:$B,1418)="","",INDEX(Suivi!$B:$B,1418))</f>
        <v/>
      </c>
      <c r="P1391">
        <f>IF($O1391="","",IF(INDEX(Suivi!$D:$D,1418)="",INDEX(Suivi!$C:$C,1418),INDEX(Suivi!$D:$D,1418)))</f>
        <v/>
      </c>
      <c r="Q1391">
        <f>IF($O1391="","",INDEX(Suivi!$E:$E,1418))</f>
        <v/>
      </c>
      <c r="R1391">
        <f>IF($O1391="","",INDEX(Suivi!$F:$F,1418))</f>
        <v/>
      </c>
      <c r="S1391">
        <f>IF($O1391="","",INDEX(Suivi!$G:$G,1418))</f>
        <v/>
      </c>
      <c r="T1391">
        <f>IF($O1391="","",IF(INDEX(Dossiers!$F$4:$F$63,27)="","",INDEX(Dossiers!$F$4:$F$63,27)))</f>
        <v/>
      </c>
      <c r="U1391">
        <f>IF($O1391="","",IF(INDEX(Dossiers!$G$4:$G$63,27)="","",INDEX(Dossiers!$G$4:$G$63,27)))</f>
        <v/>
      </c>
      <c r="V1391">
        <f>IF(OR($O1391="",NOT(ISNUMBER($Q1391))),"",$Q1391*1000000+1391)</f>
        <v/>
      </c>
      <c r="W1391" s="29">
        <f>IF($B1391="","",IFERROR(INDEX($U$4:$U$3183,MATCH(SMALL($V$4:$V$3183,1388),$V$4:$V$3183,0)),""))</f>
        <v/>
      </c>
    </row>
    <row r="1392">
      <c r="A1392">
        <f>IFERROR(INDEX($N$4:$N$3183,MATCH(SMALL($V$4:$V$3183,1389),$V$4:$V$3183,0)),"")</f>
        <v/>
      </c>
      <c r="B1392">
        <f>IFERROR(INDEX($O$4:$O$3183,MATCH(SMALL($V$4:$V$3183,1389),$V$4:$V$3183,0)),"")</f>
        <v/>
      </c>
      <c r="C1392">
        <f>IFERROR(INDEX($P$4:$P$3183,MATCH(SMALL($V$4:$V$3183,1389),$V$4:$V$3183,0)),"")</f>
        <v/>
      </c>
      <c r="D1392" s="29">
        <f>IFERROR(INDEX($Q$4:$Q$3183,MATCH(SMALL($V$4:$V$3183,1389),$V$4:$V$3183,0)),"")</f>
        <v/>
      </c>
      <c r="E1392" s="29">
        <f>IFERROR(INDEX($R$4:$R$3183,MATCH(SMALL($V$4:$V$3183,1389),$V$4:$V$3183,0)),"")</f>
        <v/>
      </c>
      <c r="F1392">
        <f>IFERROR(INDEX($S$4:$S$3183,MATCH(SMALL($V$4:$V$3183,1389),$V$4:$V$3183,0)),"")</f>
        <v/>
      </c>
      <c r="I1392" s="29">
        <f>IF($B1392="","",IFERROR(INDEX($U$4:$U$3183,MATCH(SMALL($V$4:$V$3183,1389),$V$4:$V$3183,0)),""))</f>
        <v/>
      </c>
      <c r="J1392">
        <f>IF($B1392="","",IF($D1392&gt;$F$2,"À venir",IF($E1392&lt;$D$2,"Passé","Dans la période")))</f>
        <v/>
      </c>
      <c r="K1392">
        <f>IF(OR($B1392="",NOT(ISNUMBER($D1392))),"",IF(AND($E1392&lt;$D$2,$G1392&lt;&gt;"X",$F1392&lt;&gt;"Réalisé",$F1392&lt;&gt;"Clôturé"),"RETARD",""))</f>
        <v/>
      </c>
      <c r="L1392">
        <f>IF(OR($B1392="",NOT(ISNUMBER($D1392))),"",IF(AND($D1392&gt;=$D$2,$D1392&lt;=$H$2,$G1392&lt;&gt;"X",$F1392&lt;&gt;"Réalisé",$F1392&lt;&gt;"Clôturé"),"≤ 7 j",""))</f>
        <v/>
      </c>
      <c r="M1392" s="29">
        <f>IF($B1392="","",IFERROR(INDEX($T$4:$T$3183,MATCH(SMALL($V$4:$V$3183,1389),$V$4:$V$3183,0)),""))</f>
        <v/>
      </c>
      <c r="O1392">
        <f>IF(INDEX(Suivi!$B:$B,1419)="","",INDEX(Suivi!$B:$B,1419))</f>
        <v/>
      </c>
      <c r="P1392">
        <f>IF($O1392="","",IF(INDEX(Suivi!$D:$D,1419)="",INDEX(Suivi!$C:$C,1419),INDEX(Suivi!$D:$D,1419)))</f>
        <v/>
      </c>
      <c r="Q1392">
        <f>IF($O1392="","",INDEX(Suivi!$E:$E,1419))</f>
        <v/>
      </c>
      <c r="R1392">
        <f>IF($O1392="","",INDEX(Suivi!$F:$F,1419))</f>
        <v/>
      </c>
      <c r="S1392">
        <f>IF($O1392="","",INDEX(Suivi!$G:$G,1419))</f>
        <v/>
      </c>
      <c r="T1392">
        <f>IF($O1392="","",IF(INDEX(Dossiers!$F$4:$F$63,27)="","",INDEX(Dossiers!$F$4:$F$63,27)))</f>
        <v/>
      </c>
      <c r="U1392">
        <f>IF($O1392="","",IF(INDEX(Dossiers!$G$4:$G$63,27)="","",INDEX(Dossiers!$G$4:$G$63,27)))</f>
        <v/>
      </c>
      <c r="V1392">
        <f>IF(OR($O1392="",NOT(ISNUMBER($Q1392))),"",$Q1392*1000000+1392)</f>
        <v/>
      </c>
      <c r="W1392" s="29">
        <f>IF($B1392="","",IFERROR(INDEX($U$4:$U$3183,MATCH(SMALL($V$4:$V$3183,1389),$V$4:$V$3183,0)),""))</f>
        <v/>
      </c>
    </row>
    <row r="1393">
      <c r="A1393">
        <f>IFERROR(INDEX($N$4:$N$3183,MATCH(SMALL($V$4:$V$3183,1390),$V$4:$V$3183,0)),"")</f>
        <v/>
      </c>
      <c r="B1393">
        <f>IFERROR(INDEX($O$4:$O$3183,MATCH(SMALL($V$4:$V$3183,1390),$V$4:$V$3183,0)),"")</f>
        <v/>
      </c>
      <c r="C1393">
        <f>IFERROR(INDEX($P$4:$P$3183,MATCH(SMALL($V$4:$V$3183,1390),$V$4:$V$3183,0)),"")</f>
        <v/>
      </c>
      <c r="D1393" s="29">
        <f>IFERROR(INDEX($Q$4:$Q$3183,MATCH(SMALL($V$4:$V$3183,1390),$V$4:$V$3183,0)),"")</f>
        <v/>
      </c>
      <c r="E1393" s="29">
        <f>IFERROR(INDEX($R$4:$R$3183,MATCH(SMALL($V$4:$V$3183,1390),$V$4:$V$3183,0)),"")</f>
        <v/>
      </c>
      <c r="F1393">
        <f>IFERROR(INDEX($S$4:$S$3183,MATCH(SMALL($V$4:$V$3183,1390),$V$4:$V$3183,0)),"")</f>
        <v/>
      </c>
      <c r="I1393" s="29">
        <f>IF($B1393="","",IFERROR(INDEX($U$4:$U$3183,MATCH(SMALL($V$4:$V$3183,1390),$V$4:$V$3183,0)),""))</f>
        <v/>
      </c>
      <c r="J1393">
        <f>IF($B1393="","",IF($D1393&gt;$F$2,"À venir",IF($E1393&lt;$D$2,"Passé","Dans la période")))</f>
        <v/>
      </c>
      <c r="K1393">
        <f>IF(OR($B1393="",NOT(ISNUMBER($D1393))),"",IF(AND($E1393&lt;$D$2,$G1393&lt;&gt;"X",$F1393&lt;&gt;"Réalisé",$F1393&lt;&gt;"Clôturé"),"RETARD",""))</f>
        <v/>
      </c>
      <c r="L1393">
        <f>IF(OR($B1393="",NOT(ISNUMBER($D1393))),"",IF(AND($D1393&gt;=$D$2,$D1393&lt;=$H$2,$G1393&lt;&gt;"X",$F1393&lt;&gt;"Réalisé",$F1393&lt;&gt;"Clôturé"),"≤ 7 j",""))</f>
        <v/>
      </c>
      <c r="M1393" s="29">
        <f>IF($B1393="","",IFERROR(INDEX($T$4:$T$3183,MATCH(SMALL($V$4:$V$3183,1390),$V$4:$V$3183,0)),""))</f>
        <v/>
      </c>
      <c r="O1393">
        <f>IF(INDEX(Suivi!$B:$B,1420)="","",INDEX(Suivi!$B:$B,1420))</f>
        <v/>
      </c>
      <c r="P1393">
        <f>IF($O1393="","",IF(INDEX(Suivi!$D:$D,1420)="",INDEX(Suivi!$C:$C,1420),INDEX(Suivi!$D:$D,1420)))</f>
        <v/>
      </c>
      <c r="Q1393">
        <f>IF($O1393="","",INDEX(Suivi!$E:$E,1420))</f>
        <v/>
      </c>
      <c r="R1393">
        <f>IF($O1393="","",INDEX(Suivi!$F:$F,1420))</f>
        <v/>
      </c>
      <c r="S1393">
        <f>IF($O1393="","",INDEX(Suivi!$G:$G,1420))</f>
        <v/>
      </c>
      <c r="T1393">
        <f>IF($O1393="","",IF(INDEX(Dossiers!$F$4:$F$63,27)="","",INDEX(Dossiers!$F$4:$F$63,27)))</f>
        <v/>
      </c>
      <c r="U1393">
        <f>IF($O1393="","",IF(INDEX(Dossiers!$G$4:$G$63,27)="","",INDEX(Dossiers!$G$4:$G$63,27)))</f>
        <v/>
      </c>
      <c r="V1393">
        <f>IF(OR($O1393="",NOT(ISNUMBER($Q1393))),"",$Q1393*1000000+1393)</f>
        <v/>
      </c>
      <c r="W1393" s="29">
        <f>IF($B1393="","",IFERROR(INDEX($U$4:$U$3183,MATCH(SMALL($V$4:$V$3183,1390),$V$4:$V$3183,0)),""))</f>
        <v/>
      </c>
    </row>
    <row r="1394">
      <c r="A1394">
        <f>IFERROR(INDEX($N$4:$N$3183,MATCH(SMALL($V$4:$V$3183,1391),$V$4:$V$3183,0)),"")</f>
        <v/>
      </c>
      <c r="B1394">
        <f>IFERROR(INDEX($O$4:$O$3183,MATCH(SMALL($V$4:$V$3183,1391),$V$4:$V$3183,0)),"")</f>
        <v/>
      </c>
      <c r="C1394">
        <f>IFERROR(INDEX($P$4:$P$3183,MATCH(SMALL($V$4:$V$3183,1391),$V$4:$V$3183,0)),"")</f>
        <v/>
      </c>
      <c r="D1394" s="29">
        <f>IFERROR(INDEX($Q$4:$Q$3183,MATCH(SMALL($V$4:$V$3183,1391),$V$4:$V$3183,0)),"")</f>
        <v/>
      </c>
      <c r="E1394" s="29">
        <f>IFERROR(INDEX($R$4:$R$3183,MATCH(SMALL($V$4:$V$3183,1391),$V$4:$V$3183,0)),"")</f>
        <v/>
      </c>
      <c r="F1394">
        <f>IFERROR(INDEX($S$4:$S$3183,MATCH(SMALL($V$4:$V$3183,1391),$V$4:$V$3183,0)),"")</f>
        <v/>
      </c>
      <c r="I1394" s="29">
        <f>IF($B1394="","",IFERROR(INDEX($U$4:$U$3183,MATCH(SMALL($V$4:$V$3183,1391),$V$4:$V$3183,0)),""))</f>
        <v/>
      </c>
      <c r="J1394">
        <f>IF($B1394="","",IF($D1394&gt;$F$2,"À venir",IF($E1394&lt;$D$2,"Passé","Dans la période")))</f>
        <v/>
      </c>
      <c r="K1394">
        <f>IF(OR($B1394="",NOT(ISNUMBER($D1394))),"",IF(AND($E1394&lt;$D$2,$G1394&lt;&gt;"X",$F1394&lt;&gt;"Réalisé",$F1394&lt;&gt;"Clôturé"),"RETARD",""))</f>
        <v/>
      </c>
      <c r="L1394">
        <f>IF(OR($B1394="",NOT(ISNUMBER($D1394))),"",IF(AND($D1394&gt;=$D$2,$D1394&lt;=$H$2,$G1394&lt;&gt;"X",$F1394&lt;&gt;"Réalisé",$F1394&lt;&gt;"Clôturé"),"≤ 7 j",""))</f>
        <v/>
      </c>
      <c r="M1394" s="29">
        <f>IF($B1394="","",IFERROR(INDEX($T$4:$T$3183,MATCH(SMALL($V$4:$V$3183,1391),$V$4:$V$3183,0)),""))</f>
        <v/>
      </c>
      <c r="O1394">
        <f>IF(INDEX(Suivi!$B:$B,1421)="","",INDEX(Suivi!$B:$B,1421))</f>
        <v/>
      </c>
      <c r="P1394">
        <f>IF($O1394="","",IF(INDEX(Suivi!$D:$D,1421)="",INDEX(Suivi!$C:$C,1421),INDEX(Suivi!$D:$D,1421)))</f>
        <v/>
      </c>
      <c r="Q1394">
        <f>IF($O1394="","",INDEX(Suivi!$E:$E,1421))</f>
        <v/>
      </c>
      <c r="R1394">
        <f>IF($O1394="","",INDEX(Suivi!$F:$F,1421))</f>
        <v/>
      </c>
      <c r="S1394">
        <f>IF($O1394="","",INDEX(Suivi!$G:$G,1421))</f>
        <v/>
      </c>
      <c r="T1394">
        <f>IF($O1394="","",IF(INDEX(Dossiers!$F$4:$F$63,27)="","",INDEX(Dossiers!$F$4:$F$63,27)))</f>
        <v/>
      </c>
      <c r="U1394">
        <f>IF($O1394="","",IF(INDEX(Dossiers!$G$4:$G$63,27)="","",INDEX(Dossiers!$G$4:$G$63,27)))</f>
        <v/>
      </c>
      <c r="V1394">
        <f>IF(OR($O1394="",NOT(ISNUMBER($Q1394))),"",$Q1394*1000000+1394)</f>
        <v/>
      </c>
      <c r="W1394" s="29">
        <f>IF($B1394="","",IFERROR(INDEX($U$4:$U$3183,MATCH(SMALL($V$4:$V$3183,1391),$V$4:$V$3183,0)),""))</f>
        <v/>
      </c>
    </row>
    <row r="1395">
      <c r="A1395">
        <f>IFERROR(INDEX($N$4:$N$3183,MATCH(SMALL($V$4:$V$3183,1392),$V$4:$V$3183,0)),"")</f>
        <v/>
      </c>
      <c r="B1395">
        <f>IFERROR(INDEX($O$4:$O$3183,MATCH(SMALL($V$4:$V$3183,1392),$V$4:$V$3183,0)),"")</f>
        <v/>
      </c>
      <c r="C1395">
        <f>IFERROR(INDEX($P$4:$P$3183,MATCH(SMALL($V$4:$V$3183,1392),$V$4:$V$3183,0)),"")</f>
        <v/>
      </c>
      <c r="D1395" s="29">
        <f>IFERROR(INDEX($Q$4:$Q$3183,MATCH(SMALL($V$4:$V$3183,1392),$V$4:$V$3183,0)),"")</f>
        <v/>
      </c>
      <c r="E1395" s="29">
        <f>IFERROR(INDEX($R$4:$R$3183,MATCH(SMALL($V$4:$V$3183,1392),$V$4:$V$3183,0)),"")</f>
        <v/>
      </c>
      <c r="F1395">
        <f>IFERROR(INDEX($S$4:$S$3183,MATCH(SMALL($V$4:$V$3183,1392),$V$4:$V$3183,0)),"")</f>
        <v/>
      </c>
      <c r="I1395" s="29">
        <f>IF($B1395="","",IFERROR(INDEX($U$4:$U$3183,MATCH(SMALL($V$4:$V$3183,1392),$V$4:$V$3183,0)),""))</f>
        <v/>
      </c>
      <c r="J1395">
        <f>IF($B1395="","",IF($D1395&gt;$F$2,"À venir",IF($E1395&lt;$D$2,"Passé","Dans la période")))</f>
        <v/>
      </c>
      <c r="K1395">
        <f>IF(OR($B1395="",NOT(ISNUMBER($D1395))),"",IF(AND($E1395&lt;$D$2,$G1395&lt;&gt;"X",$F1395&lt;&gt;"Réalisé",$F1395&lt;&gt;"Clôturé"),"RETARD",""))</f>
        <v/>
      </c>
      <c r="L1395">
        <f>IF(OR($B1395="",NOT(ISNUMBER($D1395))),"",IF(AND($D1395&gt;=$D$2,$D1395&lt;=$H$2,$G1395&lt;&gt;"X",$F1395&lt;&gt;"Réalisé",$F1395&lt;&gt;"Clôturé"),"≤ 7 j",""))</f>
        <v/>
      </c>
      <c r="M1395" s="29">
        <f>IF($B1395="","",IFERROR(INDEX($T$4:$T$3183,MATCH(SMALL($V$4:$V$3183,1392),$V$4:$V$3183,0)),""))</f>
        <v/>
      </c>
      <c r="O1395">
        <f>IF(INDEX(Suivi!$B:$B,1422)="","",INDEX(Suivi!$B:$B,1422))</f>
        <v/>
      </c>
      <c r="P1395">
        <f>IF($O1395="","",IF(INDEX(Suivi!$D:$D,1422)="",INDEX(Suivi!$C:$C,1422),INDEX(Suivi!$D:$D,1422)))</f>
        <v/>
      </c>
      <c r="Q1395">
        <f>IF($O1395="","",INDEX(Suivi!$E:$E,1422))</f>
        <v/>
      </c>
      <c r="R1395">
        <f>IF($O1395="","",INDEX(Suivi!$F:$F,1422))</f>
        <v/>
      </c>
      <c r="S1395">
        <f>IF($O1395="","",INDEX(Suivi!$G:$G,1422))</f>
        <v/>
      </c>
      <c r="T1395">
        <f>IF($O1395="","",IF(INDEX(Dossiers!$F$4:$F$63,27)="","",INDEX(Dossiers!$F$4:$F$63,27)))</f>
        <v/>
      </c>
      <c r="U1395">
        <f>IF($O1395="","",IF(INDEX(Dossiers!$G$4:$G$63,27)="","",INDEX(Dossiers!$G$4:$G$63,27)))</f>
        <v/>
      </c>
      <c r="V1395">
        <f>IF(OR($O1395="",NOT(ISNUMBER($Q1395))),"",$Q1395*1000000+1395)</f>
        <v/>
      </c>
      <c r="W1395" s="29">
        <f>IF($B1395="","",IFERROR(INDEX($U$4:$U$3183,MATCH(SMALL($V$4:$V$3183,1392),$V$4:$V$3183,0)),""))</f>
        <v/>
      </c>
    </row>
    <row r="1396">
      <c r="A1396">
        <f>IFERROR(INDEX($N$4:$N$3183,MATCH(SMALL($V$4:$V$3183,1393),$V$4:$V$3183,0)),"")</f>
        <v/>
      </c>
      <c r="B1396">
        <f>IFERROR(INDEX($O$4:$O$3183,MATCH(SMALL($V$4:$V$3183,1393),$V$4:$V$3183,0)),"")</f>
        <v/>
      </c>
      <c r="C1396">
        <f>IFERROR(INDEX($P$4:$P$3183,MATCH(SMALL($V$4:$V$3183,1393),$V$4:$V$3183,0)),"")</f>
        <v/>
      </c>
      <c r="D1396" s="29">
        <f>IFERROR(INDEX($Q$4:$Q$3183,MATCH(SMALL($V$4:$V$3183,1393),$V$4:$V$3183,0)),"")</f>
        <v/>
      </c>
      <c r="E1396" s="29">
        <f>IFERROR(INDEX($R$4:$R$3183,MATCH(SMALL($V$4:$V$3183,1393),$V$4:$V$3183,0)),"")</f>
        <v/>
      </c>
      <c r="F1396">
        <f>IFERROR(INDEX($S$4:$S$3183,MATCH(SMALL($V$4:$V$3183,1393),$V$4:$V$3183,0)),"")</f>
        <v/>
      </c>
      <c r="I1396" s="29">
        <f>IF($B1396="","",IFERROR(INDEX($U$4:$U$3183,MATCH(SMALL($V$4:$V$3183,1393),$V$4:$V$3183,0)),""))</f>
        <v/>
      </c>
      <c r="J1396">
        <f>IF($B1396="","",IF($D1396&gt;$F$2,"À venir",IF($E1396&lt;$D$2,"Passé","Dans la période")))</f>
        <v/>
      </c>
      <c r="K1396">
        <f>IF(OR($B1396="",NOT(ISNUMBER($D1396))),"",IF(AND($E1396&lt;$D$2,$G1396&lt;&gt;"X",$F1396&lt;&gt;"Réalisé",$F1396&lt;&gt;"Clôturé"),"RETARD",""))</f>
        <v/>
      </c>
      <c r="L1396">
        <f>IF(OR($B1396="",NOT(ISNUMBER($D1396))),"",IF(AND($D1396&gt;=$D$2,$D1396&lt;=$H$2,$G1396&lt;&gt;"X",$F1396&lt;&gt;"Réalisé",$F1396&lt;&gt;"Clôturé"),"≤ 7 j",""))</f>
        <v/>
      </c>
      <c r="M1396" s="29">
        <f>IF($B1396="","",IFERROR(INDEX($T$4:$T$3183,MATCH(SMALL($V$4:$V$3183,1393),$V$4:$V$3183,0)),""))</f>
        <v/>
      </c>
      <c r="O1396">
        <f>IF(INDEX(Suivi!$B:$B,1423)="","",INDEX(Suivi!$B:$B,1423))</f>
        <v/>
      </c>
      <c r="P1396">
        <f>IF($O1396="","",IF(INDEX(Suivi!$D:$D,1423)="",INDEX(Suivi!$C:$C,1423),INDEX(Suivi!$D:$D,1423)))</f>
        <v/>
      </c>
      <c r="Q1396">
        <f>IF($O1396="","",INDEX(Suivi!$E:$E,1423))</f>
        <v/>
      </c>
      <c r="R1396">
        <f>IF($O1396="","",INDEX(Suivi!$F:$F,1423))</f>
        <v/>
      </c>
      <c r="S1396">
        <f>IF($O1396="","",INDEX(Suivi!$G:$G,1423))</f>
        <v/>
      </c>
      <c r="T1396">
        <f>IF($O1396="","",IF(INDEX(Dossiers!$F$4:$F$63,27)="","",INDEX(Dossiers!$F$4:$F$63,27)))</f>
        <v/>
      </c>
      <c r="U1396">
        <f>IF($O1396="","",IF(INDEX(Dossiers!$G$4:$G$63,27)="","",INDEX(Dossiers!$G$4:$G$63,27)))</f>
        <v/>
      </c>
      <c r="V1396">
        <f>IF(OR($O1396="",NOT(ISNUMBER($Q1396))),"",$Q1396*1000000+1396)</f>
        <v/>
      </c>
      <c r="W1396" s="29">
        <f>IF($B1396="","",IFERROR(INDEX($U$4:$U$3183,MATCH(SMALL($V$4:$V$3183,1393),$V$4:$V$3183,0)),""))</f>
        <v/>
      </c>
    </row>
    <row r="1397">
      <c r="A1397">
        <f>IFERROR(INDEX($N$4:$N$3183,MATCH(SMALL($V$4:$V$3183,1394),$V$4:$V$3183,0)),"")</f>
        <v/>
      </c>
      <c r="B1397">
        <f>IFERROR(INDEX($O$4:$O$3183,MATCH(SMALL($V$4:$V$3183,1394),$V$4:$V$3183,0)),"")</f>
        <v/>
      </c>
      <c r="C1397">
        <f>IFERROR(INDEX($P$4:$P$3183,MATCH(SMALL($V$4:$V$3183,1394),$V$4:$V$3183,0)),"")</f>
        <v/>
      </c>
      <c r="D1397" s="29">
        <f>IFERROR(INDEX($Q$4:$Q$3183,MATCH(SMALL($V$4:$V$3183,1394),$V$4:$V$3183,0)),"")</f>
        <v/>
      </c>
      <c r="E1397" s="29">
        <f>IFERROR(INDEX($R$4:$R$3183,MATCH(SMALL($V$4:$V$3183,1394),$V$4:$V$3183,0)),"")</f>
        <v/>
      </c>
      <c r="F1397">
        <f>IFERROR(INDEX($S$4:$S$3183,MATCH(SMALL($V$4:$V$3183,1394),$V$4:$V$3183,0)),"")</f>
        <v/>
      </c>
      <c r="I1397" s="29">
        <f>IF($B1397="","",IFERROR(INDEX($U$4:$U$3183,MATCH(SMALL($V$4:$V$3183,1394),$V$4:$V$3183,0)),""))</f>
        <v/>
      </c>
      <c r="J1397">
        <f>IF($B1397="","",IF($D1397&gt;$F$2,"À venir",IF($E1397&lt;$D$2,"Passé","Dans la période")))</f>
        <v/>
      </c>
      <c r="K1397">
        <f>IF(OR($B1397="",NOT(ISNUMBER($D1397))),"",IF(AND($E1397&lt;$D$2,$G1397&lt;&gt;"X",$F1397&lt;&gt;"Réalisé",$F1397&lt;&gt;"Clôturé"),"RETARD",""))</f>
        <v/>
      </c>
      <c r="L1397">
        <f>IF(OR($B1397="",NOT(ISNUMBER($D1397))),"",IF(AND($D1397&gt;=$D$2,$D1397&lt;=$H$2,$G1397&lt;&gt;"X",$F1397&lt;&gt;"Réalisé",$F1397&lt;&gt;"Clôturé"),"≤ 7 j",""))</f>
        <v/>
      </c>
      <c r="M1397" s="29">
        <f>IF($B1397="","",IFERROR(INDEX($T$4:$T$3183,MATCH(SMALL($V$4:$V$3183,1394),$V$4:$V$3183,0)),""))</f>
        <v/>
      </c>
      <c r="O1397">
        <f>IF(INDEX(Suivi!$B:$B,1424)="","",INDEX(Suivi!$B:$B,1424))</f>
        <v/>
      </c>
      <c r="P1397">
        <f>IF($O1397="","",IF(INDEX(Suivi!$D:$D,1424)="",INDEX(Suivi!$C:$C,1424),INDEX(Suivi!$D:$D,1424)))</f>
        <v/>
      </c>
      <c r="Q1397">
        <f>IF($O1397="","",INDEX(Suivi!$E:$E,1424))</f>
        <v/>
      </c>
      <c r="R1397">
        <f>IF($O1397="","",INDEX(Suivi!$F:$F,1424))</f>
        <v/>
      </c>
      <c r="S1397">
        <f>IF($O1397="","",INDEX(Suivi!$G:$G,1424))</f>
        <v/>
      </c>
      <c r="T1397">
        <f>IF($O1397="","",IF(INDEX(Dossiers!$F$4:$F$63,27)="","",INDEX(Dossiers!$F$4:$F$63,27)))</f>
        <v/>
      </c>
      <c r="U1397">
        <f>IF($O1397="","",IF(INDEX(Dossiers!$G$4:$G$63,27)="","",INDEX(Dossiers!$G$4:$G$63,27)))</f>
        <v/>
      </c>
      <c r="V1397">
        <f>IF(OR($O1397="",NOT(ISNUMBER($Q1397))),"",$Q1397*1000000+1397)</f>
        <v/>
      </c>
      <c r="W1397" s="29">
        <f>IF($B1397="","",IFERROR(INDEX($U$4:$U$3183,MATCH(SMALL($V$4:$V$3183,1394),$V$4:$V$3183,0)),""))</f>
        <v/>
      </c>
    </row>
    <row r="1398">
      <c r="A1398">
        <f>IFERROR(INDEX($N$4:$N$3183,MATCH(SMALL($V$4:$V$3183,1395),$V$4:$V$3183,0)),"")</f>
        <v/>
      </c>
      <c r="B1398">
        <f>IFERROR(INDEX($O$4:$O$3183,MATCH(SMALL($V$4:$V$3183,1395),$V$4:$V$3183,0)),"")</f>
        <v/>
      </c>
      <c r="C1398">
        <f>IFERROR(INDEX($P$4:$P$3183,MATCH(SMALL($V$4:$V$3183,1395),$V$4:$V$3183,0)),"")</f>
        <v/>
      </c>
      <c r="D1398" s="29">
        <f>IFERROR(INDEX($Q$4:$Q$3183,MATCH(SMALL($V$4:$V$3183,1395),$V$4:$V$3183,0)),"")</f>
        <v/>
      </c>
      <c r="E1398" s="29">
        <f>IFERROR(INDEX($R$4:$R$3183,MATCH(SMALL($V$4:$V$3183,1395),$V$4:$V$3183,0)),"")</f>
        <v/>
      </c>
      <c r="F1398">
        <f>IFERROR(INDEX($S$4:$S$3183,MATCH(SMALL($V$4:$V$3183,1395),$V$4:$V$3183,0)),"")</f>
        <v/>
      </c>
      <c r="I1398" s="29">
        <f>IF($B1398="","",IFERROR(INDEX($U$4:$U$3183,MATCH(SMALL($V$4:$V$3183,1395),$V$4:$V$3183,0)),""))</f>
        <v/>
      </c>
      <c r="J1398">
        <f>IF($B1398="","",IF($D1398&gt;$F$2,"À venir",IF($E1398&lt;$D$2,"Passé","Dans la période")))</f>
        <v/>
      </c>
      <c r="K1398">
        <f>IF(OR($B1398="",NOT(ISNUMBER($D1398))),"",IF(AND($E1398&lt;$D$2,$G1398&lt;&gt;"X",$F1398&lt;&gt;"Réalisé",$F1398&lt;&gt;"Clôturé"),"RETARD",""))</f>
        <v/>
      </c>
      <c r="L1398">
        <f>IF(OR($B1398="",NOT(ISNUMBER($D1398))),"",IF(AND($D1398&gt;=$D$2,$D1398&lt;=$H$2,$G1398&lt;&gt;"X",$F1398&lt;&gt;"Réalisé",$F1398&lt;&gt;"Clôturé"),"≤ 7 j",""))</f>
        <v/>
      </c>
      <c r="M1398" s="29">
        <f>IF($B1398="","",IFERROR(INDEX($T$4:$T$3183,MATCH(SMALL($V$4:$V$3183,1395),$V$4:$V$3183,0)),""))</f>
        <v/>
      </c>
      <c r="O1398">
        <f>IF(INDEX(Suivi!$B:$B,1425)="","",INDEX(Suivi!$B:$B,1425))</f>
        <v/>
      </c>
      <c r="P1398">
        <f>IF($O1398="","",IF(INDEX(Suivi!$D:$D,1425)="",INDEX(Suivi!$C:$C,1425),INDEX(Suivi!$D:$D,1425)))</f>
        <v/>
      </c>
      <c r="Q1398">
        <f>IF($O1398="","",INDEX(Suivi!$E:$E,1425))</f>
        <v/>
      </c>
      <c r="R1398">
        <f>IF($O1398="","",INDEX(Suivi!$F:$F,1425))</f>
        <v/>
      </c>
      <c r="S1398">
        <f>IF($O1398="","",INDEX(Suivi!$G:$G,1425))</f>
        <v/>
      </c>
      <c r="T1398">
        <f>IF($O1398="","",IF(INDEX(Dossiers!$F$4:$F$63,27)="","",INDEX(Dossiers!$F$4:$F$63,27)))</f>
        <v/>
      </c>
      <c r="U1398">
        <f>IF($O1398="","",IF(INDEX(Dossiers!$G$4:$G$63,27)="","",INDEX(Dossiers!$G$4:$G$63,27)))</f>
        <v/>
      </c>
      <c r="V1398">
        <f>IF(OR($O1398="",NOT(ISNUMBER($Q1398))),"",$Q1398*1000000+1398)</f>
        <v/>
      </c>
      <c r="W1398" s="29">
        <f>IF($B1398="","",IFERROR(INDEX($U$4:$U$3183,MATCH(SMALL($V$4:$V$3183,1395),$V$4:$V$3183,0)),""))</f>
        <v/>
      </c>
    </row>
    <row r="1399">
      <c r="A1399">
        <f>IFERROR(INDEX($N$4:$N$3183,MATCH(SMALL($V$4:$V$3183,1396),$V$4:$V$3183,0)),"")</f>
        <v/>
      </c>
      <c r="B1399">
        <f>IFERROR(INDEX($O$4:$O$3183,MATCH(SMALL($V$4:$V$3183,1396),$V$4:$V$3183,0)),"")</f>
        <v/>
      </c>
      <c r="C1399">
        <f>IFERROR(INDEX($P$4:$P$3183,MATCH(SMALL($V$4:$V$3183,1396),$V$4:$V$3183,0)),"")</f>
        <v/>
      </c>
      <c r="D1399" s="29">
        <f>IFERROR(INDEX($Q$4:$Q$3183,MATCH(SMALL($V$4:$V$3183,1396),$V$4:$V$3183,0)),"")</f>
        <v/>
      </c>
      <c r="E1399" s="29">
        <f>IFERROR(INDEX($R$4:$R$3183,MATCH(SMALL($V$4:$V$3183,1396),$V$4:$V$3183,0)),"")</f>
        <v/>
      </c>
      <c r="F1399">
        <f>IFERROR(INDEX($S$4:$S$3183,MATCH(SMALL($V$4:$V$3183,1396),$V$4:$V$3183,0)),"")</f>
        <v/>
      </c>
      <c r="I1399" s="29">
        <f>IF($B1399="","",IFERROR(INDEX($U$4:$U$3183,MATCH(SMALL($V$4:$V$3183,1396),$V$4:$V$3183,0)),""))</f>
        <v/>
      </c>
      <c r="J1399">
        <f>IF($B1399="","",IF($D1399&gt;$F$2,"À venir",IF($E1399&lt;$D$2,"Passé","Dans la période")))</f>
        <v/>
      </c>
      <c r="K1399">
        <f>IF(OR($B1399="",NOT(ISNUMBER($D1399))),"",IF(AND($E1399&lt;$D$2,$G1399&lt;&gt;"X",$F1399&lt;&gt;"Réalisé",$F1399&lt;&gt;"Clôturé"),"RETARD",""))</f>
        <v/>
      </c>
      <c r="L1399">
        <f>IF(OR($B1399="",NOT(ISNUMBER($D1399))),"",IF(AND($D1399&gt;=$D$2,$D1399&lt;=$H$2,$G1399&lt;&gt;"X",$F1399&lt;&gt;"Réalisé",$F1399&lt;&gt;"Clôturé"),"≤ 7 j",""))</f>
        <v/>
      </c>
      <c r="M1399" s="29">
        <f>IF($B1399="","",IFERROR(INDEX($T$4:$T$3183,MATCH(SMALL($V$4:$V$3183,1396),$V$4:$V$3183,0)),""))</f>
        <v/>
      </c>
      <c r="O1399">
        <f>IF(INDEX(Suivi!$B:$B,1426)="","",INDEX(Suivi!$B:$B,1426))</f>
        <v/>
      </c>
      <c r="P1399">
        <f>IF($O1399="","",IF(INDEX(Suivi!$D:$D,1426)="",INDEX(Suivi!$C:$C,1426),INDEX(Suivi!$D:$D,1426)))</f>
        <v/>
      </c>
      <c r="Q1399">
        <f>IF($O1399="","",INDEX(Suivi!$E:$E,1426))</f>
        <v/>
      </c>
      <c r="R1399">
        <f>IF($O1399="","",INDEX(Suivi!$F:$F,1426))</f>
        <v/>
      </c>
      <c r="S1399">
        <f>IF($O1399="","",INDEX(Suivi!$G:$G,1426))</f>
        <v/>
      </c>
      <c r="T1399">
        <f>IF($O1399="","",IF(INDEX(Dossiers!$F$4:$F$63,27)="","",INDEX(Dossiers!$F$4:$F$63,27)))</f>
        <v/>
      </c>
      <c r="U1399">
        <f>IF($O1399="","",IF(INDEX(Dossiers!$G$4:$G$63,27)="","",INDEX(Dossiers!$G$4:$G$63,27)))</f>
        <v/>
      </c>
      <c r="V1399">
        <f>IF(OR($O1399="",NOT(ISNUMBER($Q1399))),"",$Q1399*1000000+1399)</f>
        <v/>
      </c>
      <c r="W1399" s="29">
        <f>IF($B1399="","",IFERROR(INDEX($U$4:$U$3183,MATCH(SMALL($V$4:$V$3183,1396),$V$4:$V$3183,0)),""))</f>
        <v/>
      </c>
    </row>
    <row r="1400">
      <c r="A1400">
        <f>IFERROR(INDEX($N$4:$N$3183,MATCH(SMALL($V$4:$V$3183,1397),$V$4:$V$3183,0)),"")</f>
        <v/>
      </c>
      <c r="B1400">
        <f>IFERROR(INDEX($O$4:$O$3183,MATCH(SMALL($V$4:$V$3183,1397),$V$4:$V$3183,0)),"")</f>
        <v/>
      </c>
      <c r="C1400">
        <f>IFERROR(INDEX($P$4:$P$3183,MATCH(SMALL($V$4:$V$3183,1397),$V$4:$V$3183,0)),"")</f>
        <v/>
      </c>
      <c r="D1400" s="29">
        <f>IFERROR(INDEX($Q$4:$Q$3183,MATCH(SMALL($V$4:$V$3183,1397),$V$4:$V$3183,0)),"")</f>
        <v/>
      </c>
      <c r="E1400" s="29">
        <f>IFERROR(INDEX($R$4:$R$3183,MATCH(SMALL($V$4:$V$3183,1397),$V$4:$V$3183,0)),"")</f>
        <v/>
      </c>
      <c r="F1400">
        <f>IFERROR(INDEX($S$4:$S$3183,MATCH(SMALL($V$4:$V$3183,1397),$V$4:$V$3183,0)),"")</f>
        <v/>
      </c>
      <c r="I1400" s="29">
        <f>IF($B1400="","",IFERROR(INDEX($U$4:$U$3183,MATCH(SMALL($V$4:$V$3183,1397),$V$4:$V$3183,0)),""))</f>
        <v/>
      </c>
      <c r="J1400">
        <f>IF($B1400="","",IF($D1400&gt;$F$2,"À venir",IF($E1400&lt;$D$2,"Passé","Dans la période")))</f>
        <v/>
      </c>
      <c r="K1400">
        <f>IF(OR($B1400="",NOT(ISNUMBER($D1400))),"",IF(AND($E1400&lt;$D$2,$G1400&lt;&gt;"X",$F1400&lt;&gt;"Réalisé",$F1400&lt;&gt;"Clôturé"),"RETARD",""))</f>
        <v/>
      </c>
      <c r="L1400">
        <f>IF(OR($B1400="",NOT(ISNUMBER($D1400))),"",IF(AND($D1400&gt;=$D$2,$D1400&lt;=$H$2,$G1400&lt;&gt;"X",$F1400&lt;&gt;"Réalisé",$F1400&lt;&gt;"Clôturé"),"≤ 7 j",""))</f>
        <v/>
      </c>
      <c r="M1400" s="29">
        <f>IF($B1400="","",IFERROR(INDEX($T$4:$T$3183,MATCH(SMALL($V$4:$V$3183,1397),$V$4:$V$3183,0)),""))</f>
        <v/>
      </c>
      <c r="O1400">
        <f>IF(INDEX(Suivi!$B:$B,1427)="","",INDEX(Suivi!$B:$B,1427))</f>
        <v/>
      </c>
      <c r="P1400">
        <f>IF($O1400="","",IF(INDEX(Suivi!$D:$D,1427)="",INDEX(Suivi!$C:$C,1427),INDEX(Suivi!$D:$D,1427)))</f>
        <v/>
      </c>
      <c r="Q1400">
        <f>IF($O1400="","",INDEX(Suivi!$E:$E,1427))</f>
        <v/>
      </c>
      <c r="R1400">
        <f>IF($O1400="","",INDEX(Suivi!$F:$F,1427))</f>
        <v/>
      </c>
      <c r="S1400">
        <f>IF($O1400="","",INDEX(Suivi!$G:$G,1427))</f>
        <v/>
      </c>
      <c r="T1400">
        <f>IF($O1400="","",IF(INDEX(Dossiers!$F$4:$F$63,27)="","",INDEX(Dossiers!$F$4:$F$63,27)))</f>
        <v/>
      </c>
      <c r="U1400">
        <f>IF($O1400="","",IF(INDEX(Dossiers!$G$4:$G$63,27)="","",INDEX(Dossiers!$G$4:$G$63,27)))</f>
        <v/>
      </c>
      <c r="V1400">
        <f>IF(OR($O1400="",NOT(ISNUMBER($Q1400))),"",$Q1400*1000000+1400)</f>
        <v/>
      </c>
      <c r="W1400" s="29">
        <f>IF($B1400="","",IFERROR(INDEX($U$4:$U$3183,MATCH(SMALL($V$4:$V$3183,1397),$V$4:$V$3183,0)),""))</f>
        <v/>
      </c>
    </row>
    <row r="1401">
      <c r="A1401">
        <f>IFERROR(INDEX($N$4:$N$3183,MATCH(SMALL($V$4:$V$3183,1398),$V$4:$V$3183,0)),"")</f>
        <v/>
      </c>
      <c r="B1401">
        <f>IFERROR(INDEX($O$4:$O$3183,MATCH(SMALL($V$4:$V$3183,1398),$V$4:$V$3183,0)),"")</f>
        <v/>
      </c>
      <c r="C1401">
        <f>IFERROR(INDEX($P$4:$P$3183,MATCH(SMALL($V$4:$V$3183,1398),$V$4:$V$3183,0)),"")</f>
        <v/>
      </c>
      <c r="D1401" s="29">
        <f>IFERROR(INDEX($Q$4:$Q$3183,MATCH(SMALL($V$4:$V$3183,1398),$V$4:$V$3183,0)),"")</f>
        <v/>
      </c>
      <c r="E1401" s="29">
        <f>IFERROR(INDEX($R$4:$R$3183,MATCH(SMALL($V$4:$V$3183,1398),$V$4:$V$3183,0)),"")</f>
        <v/>
      </c>
      <c r="F1401">
        <f>IFERROR(INDEX($S$4:$S$3183,MATCH(SMALL($V$4:$V$3183,1398),$V$4:$V$3183,0)),"")</f>
        <v/>
      </c>
      <c r="I1401" s="29">
        <f>IF($B1401="","",IFERROR(INDEX($U$4:$U$3183,MATCH(SMALL($V$4:$V$3183,1398),$V$4:$V$3183,0)),""))</f>
        <v/>
      </c>
      <c r="J1401">
        <f>IF($B1401="","",IF($D1401&gt;$F$2,"À venir",IF($E1401&lt;$D$2,"Passé","Dans la période")))</f>
        <v/>
      </c>
      <c r="K1401">
        <f>IF(OR($B1401="",NOT(ISNUMBER($D1401))),"",IF(AND($E1401&lt;$D$2,$G1401&lt;&gt;"X",$F1401&lt;&gt;"Réalisé",$F1401&lt;&gt;"Clôturé"),"RETARD",""))</f>
        <v/>
      </c>
      <c r="L1401">
        <f>IF(OR($B1401="",NOT(ISNUMBER($D1401))),"",IF(AND($D1401&gt;=$D$2,$D1401&lt;=$H$2,$G1401&lt;&gt;"X",$F1401&lt;&gt;"Réalisé",$F1401&lt;&gt;"Clôturé"),"≤ 7 j",""))</f>
        <v/>
      </c>
      <c r="M1401" s="29">
        <f>IF($B1401="","",IFERROR(INDEX($T$4:$T$3183,MATCH(SMALL($V$4:$V$3183,1398),$V$4:$V$3183,0)),""))</f>
        <v/>
      </c>
      <c r="O1401">
        <f>IF(INDEX(Suivi!$B:$B,1428)="","",INDEX(Suivi!$B:$B,1428))</f>
        <v/>
      </c>
      <c r="P1401">
        <f>IF($O1401="","",IF(INDEX(Suivi!$D:$D,1428)="",INDEX(Suivi!$C:$C,1428),INDEX(Suivi!$D:$D,1428)))</f>
        <v/>
      </c>
      <c r="Q1401">
        <f>IF($O1401="","",INDEX(Suivi!$E:$E,1428))</f>
        <v/>
      </c>
      <c r="R1401">
        <f>IF($O1401="","",INDEX(Suivi!$F:$F,1428))</f>
        <v/>
      </c>
      <c r="S1401">
        <f>IF($O1401="","",INDEX(Suivi!$G:$G,1428))</f>
        <v/>
      </c>
      <c r="T1401">
        <f>IF($O1401="","",IF(INDEX(Dossiers!$F$4:$F$63,27)="","",INDEX(Dossiers!$F$4:$F$63,27)))</f>
        <v/>
      </c>
      <c r="U1401">
        <f>IF($O1401="","",IF(INDEX(Dossiers!$G$4:$G$63,27)="","",INDEX(Dossiers!$G$4:$G$63,27)))</f>
        <v/>
      </c>
      <c r="V1401">
        <f>IF(OR($O1401="",NOT(ISNUMBER($Q1401))),"",$Q1401*1000000+1401)</f>
        <v/>
      </c>
      <c r="W1401" s="29">
        <f>IF($B1401="","",IFERROR(INDEX($U$4:$U$3183,MATCH(SMALL($V$4:$V$3183,1398),$V$4:$V$3183,0)),""))</f>
        <v/>
      </c>
    </row>
    <row r="1402">
      <c r="A1402">
        <f>IFERROR(INDEX($N$4:$N$3183,MATCH(SMALL($V$4:$V$3183,1399),$V$4:$V$3183,0)),"")</f>
        <v/>
      </c>
      <c r="B1402">
        <f>IFERROR(INDEX($O$4:$O$3183,MATCH(SMALL($V$4:$V$3183,1399),$V$4:$V$3183,0)),"")</f>
        <v/>
      </c>
      <c r="C1402">
        <f>IFERROR(INDEX($P$4:$P$3183,MATCH(SMALL($V$4:$V$3183,1399),$V$4:$V$3183,0)),"")</f>
        <v/>
      </c>
      <c r="D1402" s="29">
        <f>IFERROR(INDEX($Q$4:$Q$3183,MATCH(SMALL($V$4:$V$3183,1399),$V$4:$V$3183,0)),"")</f>
        <v/>
      </c>
      <c r="E1402" s="29">
        <f>IFERROR(INDEX($R$4:$R$3183,MATCH(SMALL($V$4:$V$3183,1399),$V$4:$V$3183,0)),"")</f>
        <v/>
      </c>
      <c r="F1402">
        <f>IFERROR(INDEX($S$4:$S$3183,MATCH(SMALL($V$4:$V$3183,1399),$V$4:$V$3183,0)),"")</f>
        <v/>
      </c>
      <c r="I1402" s="29">
        <f>IF($B1402="","",IFERROR(INDEX($U$4:$U$3183,MATCH(SMALL($V$4:$V$3183,1399),$V$4:$V$3183,0)),""))</f>
        <v/>
      </c>
      <c r="J1402">
        <f>IF($B1402="","",IF($D1402&gt;$F$2,"À venir",IF($E1402&lt;$D$2,"Passé","Dans la période")))</f>
        <v/>
      </c>
      <c r="K1402">
        <f>IF(OR($B1402="",NOT(ISNUMBER($D1402))),"",IF(AND($E1402&lt;$D$2,$G1402&lt;&gt;"X",$F1402&lt;&gt;"Réalisé",$F1402&lt;&gt;"Clôturé"),"RETARD",""))</f>
        <v/>
      </c>
      <c r="L1402">
        <f>IF(OR($B1402="",NOT(ISNUMBER($D1402))),"",IF(AND($D1402&gt;=$D$2,$D1402&lt;=$H$2,$G1402&lt;&gt;"X",$F1402&lt;&gt;"Réalisé",$F1402&lt;&gt;"Clôturé"),"≤ 7 j",""))</f>
        <v/>
      </c>
      <c r="M1402" s="29">
        <f>IF($B1402="","",IFERROR(INDEX($T$4:$T$3183,MATCH(SMALL($V$4:$V$3183,1399),$V$4:$V$3183,0)),""))</f>
        <v/>
      </c>
      <c r="O1402">
        <f>IF(INDEX(Suivi!$B:$B,1429)="","",INDEX(Suivi!$B:$B,1429))</f>
        <v/>
      </c>
      <c r="P1402">
        <f>IF($O1402="","",IF(INDEX(Suivi!$D:$D,1429)="",INDEX(Suivi!$C:$C,1429),INDEX(Suivi!$D:$D,1429)))</f>
        <v/>
      </c>
      <c r="Q1402">
        <f>IF($O1402="","",INDEX(Suivi!$E:$E,1429))</f>
        <v/>
      </c>
      <c r="R1402">
        <f>IF($O1402="","",INDEX(Suivi!$F:$F,1429))</f>
        <v/>
      </c>
      <c r="S1402">
        <f>IF($O1402="","",INDEX(Suivi!$G:$G,1429))</f>
        <v/>
      </c>
      <c r="T1402">
        <f>IF($O1402="","",IF(INDEX(Dossiers!$F$4:$F$63,27)="","",INDEX(Dossiers!$F$4:$F$63,27)))</f>
        <v/>
      </c>
      <c r="U1402">
        <f>IF($O1402="","",IF(INDEX(Dossiers!$G$4:$G$63,27)="","",INDEX(Dossiers!$G$4:$G$63,27)))</f>
        <v/>
      </c>
      <c r="V1402">
        <f>IF(OR($O1402="",NOT(ISNUMBER($Q1402))),"",$Q1402*1000000+1402)</f>
        <v/>
      </c>
      <c r="W1402" s="29">
        <f>IF($B1402="","",IFERROR(INDEX($U$4:$U$3183,MATCH(SMALL($V$4:$V$3183,1399),$V$4:$V$3183,0)),""))</f>
        <v/>
      </c>
    </row>
    <row r="1403">
      <c r="A1403">
        <f>IFERROR(INDEX($N$4:$N$3183,MATCH(SMALL($V$4:$V$3183,1400),$V$4:$V$3183,0)),"")</f>
        <v/>
      </c>
      <c r="B1403">
        <f>IFERROR(INDEX($O$4:$O$3183,MATCH(SMALL($V$4:$V$3183,1400),$V$4:$V$3183,0)),"")</f>
        <v/>
      </c>
      <c r="C1403">
        <f>IFERROR(INDEX($P$4:$P$3183,MATCH(SMALL($V$4:$V$3183,1400),$V$4:$V$3183,0)),"")</f>
        <v/>
      </c>
      <c r="D1403" s="29">
        <f>IFERROR(INDEX($Q$4:$Q$3183,MATCH(SMALL($V$4:$V$3183,1400),$V$4:$V$3183,0)),"")</f>
        <v/>
      </c>
      <c r="E1403" s="29">
        <f>IFERROR(INDEX($R$4:$R$3183,MATCH(SMALL($V$4:$V$3183,1400),$V$4:$V$3183,0)),"")</f>
        <v/>
      </c>
      <c r="F1403">
        <f>IFERROR(INDEX($S$4:$S$3183,MATCH(SMALL($V$4:$V$3183,1400),$V$4:$V$3183,0)),"")</f>
        <v/>
      </c>
      <c r="I1403" s="29">
        <f>IF($B1403="","",IFERROR(INDEX($U$4:$U$3183,MATCH(SMALL($V$4:$V$3183,1400),$V$4:$V$3183,0)),""))</f>
        <v/>
      </c>
      <c r="J1403">
        <f>IF($B1403="","",IF($D1403&gt;$F$2,"À venir",IF($E1403&lt;$D$2,"Passé","Dans la période")))</f>
        <v/>
      </c>
      <c r="K1403">
        <f>IF(OR($B1403="",NOT(ISNUMBER($D1403))),"",IF(AND($E1403&lt;$D$2,$G1403&lt;&gt;"X",$F1403&lt;&gt;"Réalisé",$F1403&lt;&gt;"Clôturé"),"RETARD",""))</f>
        <v/>
      </c>
      <c r="L1403">
        <f>IF(OR($B1403="",NOT(ISNUMBER($D1403))),"",IF(AND($D1403&gt;=$D$2,$D1403&lt;=$H$2,$G1403&lt;&gt;"X",$F1403&lt;&gt;"Réalisé",$F1403&lt;&gt;"Clôturé"),"≤ 7 j",""))</f>
        <v/>
      </c>
      <c r="M1403" s="29">
        <f>IF($B1403="","",IFERROR(INDEX($T$4:$T$3183,MATCH(SMALL($V$4:$V$3183,1400),$V$4:$V$3183,0)),""))</f>
        <v/>
      </c>
      <c r="O1403">
        <f>IF(INDEX(Suivi!$B:$B,1430)="","",INDEX(Suivi!$B:$B,1430))</f>
        <v/>
      </c>
      <c r="P1403">
        <f>IF($O1403="","",IF(INDEX(Suivi!$D:$D,1430)="",INDEX(Suivi!$C:$C,1430),INDEX(Suivi!$D:$D,1430)))</f>
        <v/>
      </c>
      <c r="Q1403">
        <f>IF($O1403="","",INDEX(Suivi!$E:$E,1430))</f>
        <v/>
      </c>
      <c r="R1403">
        <f>IF($O1403="","",INDEX(Suivi!$F:$F,1430))</f>
        <v/>
      </c>
      <c r="S1403">
        <f>IF($O1403="","",INDEX(Suivi!$G:$G,1430))</f>
        <v/>
      </c>
      <c r="T1403">
        <f>IF($O1403="","",IF(INDEX(Dossiers!$F$4:$F$63,27)="","",INDEX(Dossiers!$F$4:$F$63,27)))</f>
        <v/>
      </c>
      <c r="U1403">
        <f>IF($O1403="","",IF(INDEX(Dossiers!$G$4:$G$63,27)="","",INDEX(Dossiers!$G$4:$G$63,27)))</f>
        <v/>
      </c>
      <c r="V1403">
        <f>IF(OR($O1403="",NOT(ISNUMBER($Q1403))),"",$Q1403*1000000+1403)</f>
        <v/>
      </c>
      <c r="W1403" s="29">
        <f>IF($B1403="","",IFERROR(INDEX($U$4:$U$3183,MATCH(SMALL($V$4:$V$3183,1400),$V$4:$V$3183,0)),""))</f>
        <v/>
      </c>
    </row>
    <row r="1404">
      <c r="A1404">
        <f>IFERROR(INDEX($N$4:$N$3183,MATCH(SMALL($V$4:$V$3183,1401),$V$4:$V$3183,0)),"")</f>
        <v/>
      </c>
      <c r="B1404">
        <f>IFERROR(INDEX($O$4:$O$3183,MATCH(SMALL($V$4:$V$3183,1401),$V$4:$V$3183,0)),"")</f>
        <v/>
      </c>
      <c r="C1404">
        <f>IFERROR(INDEX($P$4:$P$3183,MATCH(SMALL($V$4:$V$3183,1401),$V$4:$V$3183,0)),"")</f>
        <v/>
      </c>
      <c r="D1404" s="29">
        <f>IFERROR(INDEX($Q$4:$Q$3183,MATCH(SMALL($V$4:$V$3183,1401),$V$4:$V$3183,0)),"")</f>
        <v/>
      </c>
      <c r="E1404" s="29">
        <f>IFERROR(INDEX($R$4:$R$3183,MATCH(SMALL($V$4:$V$3183,1401),$V$4:$V$3183,0)),"")</f>
        <v/>
      </c>
      <c r="F1404">
        <f>IFERROR(INDEX($S$4:$S$3183,MATCH(SMALL($V$4:$V$3183,1401),$V$4:$V$3183,0)),"")</f>
        <v/>
      </c>
      <c r="I1404" s="29">
        <f>IF($B1404="","",IFERROR(INDEX($U$4:$U$3183,MATCH(SMALL($V$4:$V$3183,1401),$V$4:$V$3183,0)),""))</f>
        <v/>
      </c>
      <c r="J1404">
        <f>IF($B1404="","",IF($D1404&gt;$F$2,"À venir",IF($E1404&lt;$D$2,"Passé","Dans la période")))</f>
        <v/>
      </c>
      <c r="K1404">
        <f>IF(OR($B1404="",NOT(ISNUMBER($D1404))),"",IF(AND($E1404&lt;$D$2,$G1404&lt;&gt;"X",$F1404&lt;&gt;"Réalisé",$F1404&lt;&gt;"Clôturé"),"RETARD",""))</f>
        <v/>
      </c>
      <c r="L1404">
        <f>IF(OR($B1404="",NOT(ISNUMBER($D1404))),"",IF(AND($D1404&gt;=$D$2,$D1404&lt;=$H$2,$G1404&lt;&gt;"X",$F1404&lt;&gt;"Réalisé",$F1404&lt;&gt;"Clôturé"),"≤ 7 j",""))</f>
        <v/>
      </c>
      <c r="M1404" s="29">
        <f>IF($B1404="","",IFERROR(INDEX($T$4:$T$3183,MATCH(SMALL($V$4:$V$3183,1401),$V$4:$V$3183,0)),""))</f>
        <v/>
      </c>
      <c r="O1404">
        <f>IF(INDEX(Suivi!$B:$B,1431)="","",INDEX(Suivi!$B:$B,1431))</f>
        <v/>
      </c>
      <c r="P1404">
        <f>IF($O1404="","",IF(INDEX(Suivi!$D:$D,1431)="",INDEX(Suivi!$C:$C,1431),INDEX(Suivi!$D:$D,1431)))</f>
        <v/>
      </c>
      <c r="Q1404">
        <f>IF($O1404="","",INDEX(Suivi!$E:$E,1431))</f>
        <v/>
      </c>
      <c r="R1404">
        <f>IF($O1404="","",INDEX(Suivi!$F:$F,1431))</f>
        <v/>
      </c>
      <c r="S1404">
        <f>IF($O1404="","",INDEX(Suivi!$G:$G,1431))</f>
        <v/>
      </c>
      <c r="T1404">
        <f>IF($O1404="","",IF(INDEX(Dossiers!$F$4:$F$63,27)="","",INDEX(Dossiers!$F$4:$F$63,27)))</f>
        <v/>
      </c>
      <c r="U1404">
        <f>IF($O1404="","",IF(INDEX(Dossiers!$G$4:$G$63,27)="","",INDEX(Dossiers!$G$4:$G$63,27)))</f>
        <v/>
      </c>
      <c r="V1404">
        <f>IF(OR($O1404="",NOT(ISNUMBER($Q1404))),"",$Q1404*1000000+1404)</f>
        <v/>
      </c>
      <c r="W1404" s="29">
        <f>IF($B1404="","",IFERROR(INDEX($U$4:$U$3183,MATCH(SMALL($V$4:$V$3183,1401),$V$4:$V$3183,0)),""))</f>
        <v/>
      </c>
    </row>
    <row r="1405">
      <c r="A1405">
        <f>IFERROR(INDEX($N$4:$N$3183,MATCH(SMALL($V$4:$V$3183,1402),$V$4:$V$3183,0)),"")</f>
        <v/>
      </c>
      <c r="B1405">
        <f>IFERROR(INDEX($O$4:$O$3183,MATCH(SMALL($V$4:$V$3183,1402),$V$4:$V$3183,0)),"")</f>
        <v/>
      </c>
      <c r="C1405">
        <f>IFERROR(INDEX($P$4:$P$3183,MATCH(SMALL($V$4:$V$3183,1402),$V$4:$V$3183,0)),"")</f>
        <v/>
      </c>
      <c r="D1405" s="29">
        <f>IFERROR(INDEX($Q$4:$Q$3183,MATCH(SMALL($V$4:$V$3183,1402),$V$4:$V$3183,0)),"")</f>
        <v/>
      </c>
      <c r="E1405" s="29">
        <f>IFERROR(INDEX($R$4:$R$3183,MATCH(SMALL($V$4:$V$3183,1402),$V$4:$V$3183,0)),"")</f>
        <v/>
      </c>
      <c r="F1405">
        <f>IFERROR(INDEX($S$4:$S$3183,MATCH(SMALL($V$4:$V$3183,1402),$V$4:$V$3183,0)),"")</f>
        <v/>
      </c>
      <c r="I1405" s="29">
        <f>IF($B1405="","",IFERROR(INDEX($U$4:$U$3183,MATCH(SMALL($V$4:$V$3183,1402),$V$4:$V$3183,0)),""))</f>
        <v/>
      </c>
      <c r="J1405">
        <f>IF($B1405="","",IF($D1405&gt;$F$2,"À venir",IF($E1405&lt;$D$2,"Passé","Dans la période")))</f>
        <v/>
      </c>
      <c r="K1405">
        <f>IF(OR($B1405="",NOT(ISNUMBER($D1405))),"",IF(AND($E1405&lt;$D$2,$G1405&lt;&gt;"X",$F1405&lt;&gt;"Réalisé",$F1405&lt;&gt;"Clôturé"),"RETARD",""))</f>
        <v/>
      </c>
      <c r="L1405">
        <f>IF(OR($B1405="",NOT(ISNUMBER($D1405))),"",IF(AND($D1405&gt;=$D$2,$D1405&lt;=$H$2,$G1405&lt;&gt;"X",$F1405&lt;&gt;"Réalisé",$F1405&lt;&gt;"Clôturé"),"≤ 7 j",""))</f>
        <v/>
      </c>
      <c r="M1405" s="29">
        <f>IF($B1405="","",IFERROR(INDEX($T$4:$T$3183,MATCH(SMALL($V$4:$V$3183,1402),$V$4:$V$3183,0)),""))</f>
        <v/>
      </c>
      <c r="O1405">
        <f>IF(INDEX(Suivi!$B:$B,1432)="","",INDEX(Suivi!$B:$B,1432))</f>
        <v/>
      </c>
      <c r="P1405">
        <f>IF($O1405="","",IF(INDEX(Suivi!$D:$D,1432)="",INDEX(Suivi!$C:$C,1432),INDEX(Suivi!$D:$D,1432)))</f>
        <v/>
      </c>
      <c r="Q1405">
        <f>IF($O1405="","",INDEX(Suivi!$E:$E,1432))</f>
        <v/>
      </c>
      <c r="R1405">
        <f>IF($O1405="","",INDEX(Suivi!$F:$F,1432))</f>
        <v/>
      </c>
      <c r="S1405">
        <f>IF($O1405="","",INDEX(Suivi!$G:$G,1432))</f>
        <v/>
      </c>
      <c r="T1405">
        <f>IF($O1405="","",IF(INDEX(Dossiers!$F$4:$F$63,27)="","",INDEX(Dossiers!$F$4:$F$63,27)))</f>
        <v/>
      </c>
      <c r="U1405">
        <f>IF($O1405="","",IF(INDEX(Dossiers!$G$4:$G$63,27)="","",INDEX(Dossiers!$G$4:$G$63,27)))</f>
        <v/>
      </c>
      <c r="V1405">
        <f>IF(OR($O1405="",NOT(ISNUMBER($Q1405))),"",$Q1405*1000000+1405)</f>
        <v/>
      </c>
      <c r="W1405" s="29">
        <f>IF($B1405="","",IFERROR(INDEX($U$4:$U$3183,MATCH(SMALL($V$4:$V$3183,1402),$V$4:$V$3183,0)),""))</f>
        <v/>
      </c>
    </row>
    <row r="1406">
      <c r="A1406">
        <f>IFERROR(INDEX($N$4:$N$3183,MATCH(SMALL($V$4:$V$3183,1403),$V$4:$V$3183,0)),"")</f>
        <v/>
      </c>
      <c r="B1406">
        <f>IFERROR(INDEX($O$4:$O$3183,MATCH(SMALL($V$4:$V$3183,1403),$V$4:$V$3183,0)),"")</f>
        <v/>
      </c>
      <c r="C1406">
        <f>IFERROR(INDEX($P$4:$P$3183,MATCH(SMALL($V$4:$V$3183,1403),$V$4:$V$3183,0)),"")</f>
        <v/>
      </c>
      <c r="D1406" s="29">
        <f>IFERROR(INDEX($Q$4:$Q$3183,MATCH(SMALL($V$4:$V$3183,1403),$V$4:$V$3183,0)),"")</f>
        <v/>
      </c>
      <c r="E1406" s="29">
        <f>IFERROR(INDEX($R$4:$R$3183,MATCH(SMALL($V$4:$V$3183,1403),$V$4:$V$3183,0)),"")</f>
        <v/>
      </c>
      <c r="F1406">
        <f>IFERROR(INDEX($S$4:$S$3183,MATCH(SMALL($V$4:$V$3183,1403),$V$4:$V$3183,0)),"")</f>
        <v/>
      </c>
      <c r="I1406" s="29">
        <f>IF($B1406="","",IFERROR(INDEX($U$4:$U$3183,MATCH(SMALL($V$4:$V$3183,1403),$V$4:$V$3183,0)),""))</f>
        <v/>
      </c>
      <c r="J1406">
        <f>IF($B1406="","",IF($D1406&gt;$F$2,"À venir",IF($E1406&lt;$D$2,"Passé","Dans la période")))</f>
        <v/>
      </c>
      <c r="K1406">
        <f>IF(OR($B1406="",NOT(ISNUMBER($D1406))),"",IF(AND($E1406&lt;$D$2,$G1406&lt;&gt;"X",$F1406&lt;&gt;"Réalisé",$F1406&lt;&gt;"Clôturé"),"RETARD",""))</f>
        <v/>
      </c>
      <c r="L1406">
        <f>IF(OR($B1406="",NOT(ISNUMBER($D1406))),"",IF(AND($D1406&gt;=$D$2,$D1406&lt;=$H$2,$G1406&lt;&gt;"X",$F1406&lt;&gt;"Réalisé",$F1406&lt;&gt;"Clôturé"),"≤ 7 j",""))</f>
        <v/>
      </c>
      <c r="M1406" s="29">
        <f>IF($B1406="","",IFERROR(INDEX($T$4:$T$3183,MATCH(SMALL($V$4:$V$3183,1403),$V$4:$V$3183,0)),""))</f>
        <v/>
      </c>
      <c r="O1406">
        <f>IF(INDEX(Suivi!$B:$B,1433)="","",INDEX(Suivi!$B:$B,1433))</f>
        <v/>
      </c>
      <c r="P1406">
        <f>IF($O1406="","",IF(INDEX(Suivi!$D:$D,1433)="",INDEX(Suivi!$C:$C,1433),INDEX(Suivi!$D:$D,1433)))</f>
        <v/>
      </c>
      <c r="Q1406">
        <f>IF($O1406="","",INDEX(Suivi!$E:$E,1433))</f>
        <v/>
      </c>
      <c r="R1406">
        <f>IF($O1406="","",INDEX(Suivi!$F:$F,1433))</f>
        <v/>
      </c>
      <c r="S1406">
        <f>IF($O1406="","",INDEX(Suivi!$G:$G,1433))</f>
        <v/>
      </c>
      <c r="T1406">
        <f>IF($O1406="","",IF(INDEX(Dossiers!$F$4:$F$63,27)="","",INDEX(Dossiers!$F$4:$F$63,27)))</f>
        <v/>
      </c>
      <c r="U1406">
        <f>IF($O1406="","",IF(INDEX(Dossiers!$G$4:$G$63,27)="","",INDEX(Dossiers!$G$4:$G$63,27)))</f>
        <v/>
      </c>
      <c r="V1406">
        <f>IF(OR($O1406="",NOT(ISNUMBER($Q1406))),"",$Q1406*1000000+1406)</f>
        <v/>
      </c>
      <c r="W1406" s="29">
        <f>IF($B1406="","",IFERROR(INDEX($U$4:$U$3183,MATCH(SMALL($V$4:$V$3183,1403),$V$4:$V$3183,0)),""))</f>
        <v/>
      </c>
    </row>
    <row r="1407">
      <c r="A1407">
        <f>IFERROR(INDEX($N$4:$N$3183,MATCH(SMALL($V$4:$V$3183,1404),$V$4:$V$3183,0)),"")</f>
        <v/>
      </c>
      <c r="B1407">
        <f>IFERROR(INDEX($O$4:$O$3183,MATCH(SMALL($V$4:$V$3183,1404),$V$4:$V$3183,0)),"")</f>
        <v/>
      </c>
      <c r="C1407">
        <f>IFERROR(INDEX($P$4:$P$3183,MATCH(SMALL($V$4:$V$3183,1404),$V$4:$V$3183,0)),"")</f>
        <v/>
      </c>
      <c r="D1407" s="29">
        <f>IFERROR(INDEX($Q$4:$Q$3183,MATCH(SMALL($V$4:$V$3183,1404),$V$4:$V$3183,0)),"")</f>
        <v/>
      </c>
      <c r="E1407" s="29">
        <f>IFERROR(INDEX($R$4:$R$3183,MATCH(SMALL($V$4:$V$3183,1404),$V$4:$V$3183,0)),"")</f>
        <v/>
      </c>
      <c r="F1407">
        <f>IFERROR(INDEX($S$4:$S$3183,MATCH(SMALL($V$4:$V$3183,1404),$V$4:$V$3183,0)),"")</f>
        <v/>
      </c>
      <c r="I1407" s="29">
        <f>IF($B1407="","",IFERROR(INDEX($U$4:$U$3183,MATCH(SMALL($V$4:$V$3183,1404),$V$4:$V$3183,0)),""))</f>
        <v/>
      </c>
      <c r="J1407">
        <f>IF($B1407="","",IF($D1407&gt;$F$2,"À venir",IF($E1407&lt;$D$2,"Passé","Dans la période")))</f>
        <v/>
      </c>
      <c r="K1407">
        <f>IF(OR($B1407="",NOT(ISNUMBER($D1407))),"",IF(AND($E1407&lt;$D$2,$G1407&lt;&gt;"X",$F1407&lt;&gt;"Réalisé",$F1407&lt;&gt;"Clôturé"),"RETARD",""))</f>
        <v/>
      </c>
      <c r="L1407">
        <f>IF(OR($B1407="",NOT(ISNUMBER($D1407))),"",IF(AND($D1407&gt;=$D$2,$D1407&lt;=$H$2,$G1407&lt;&gt;"X",$F1407&lt;&gt;"Réalisé",$F1407&lt;&gt;"Clôturé"),"≤ 7 j",""))</f>
        <v/>
      </c>
      <c r="M1407" s="29">
        <f>IF($B1407="","",IFERROR(INDEX($T$4:$T$3183,MATCH(SMALL($V$4:$V$3183,1404),$V$4:$V$3183,0)),""))</f>
        <v/>
      </c>
      <c r="O1407">
        <f>IF(INDEX(Suivi!$B:$B,1434)="","",INDEX(Suivi!$B:$B,1434))</f>
        <v/>
      </c>
      <c r="P1407">
        <f>IF($O1407="","",IF(INDEX(Suivi!$D:$D,1434)="",INDEX(Suivi!$C:$C,1434),INDEX(Suivi!$D:$D,1434)))</f>
        <v/>
      </c>
      <c r="Q1407">
        <f>IF($O1407="","",INDEX(Suivi!$E:$E,1434))</f>
        <v/>
      </c>
      <c r="R1407">
        <f>IF($O1407="","",INDEX(Suivi!$F:$F,1434))</f>
        <v/>
      </c>
      <c r="S1407">
        <f>IF($O1407="","",INDEX(Suivi!$G:$G,1434))</f>
        <v/>
      </c>
      <c r="T1407">
        <f>IF($O1407="","",IF(INDEX(Dossiers!$F$4:$F$63,27)="","",INDEX(Dossiers!$F$4:$F$63,27)))</f>
        <v/>
      </c>
      <c r="U1407">
        <f>IF($O1407="","",IF(INDEX(Dossiers!$G$4:$G$63,27)="","",INDEX(Dossiers!$G$4:$G$63,27)))</f>
        <v/>
      </c>
      <c r="V1407">
        <f>IF(OR($O1407="",NOT(ISNUMBER($Q1407))),"",$Q1407*1000000+1407)</f>
        <v/>
      </c>
      <c r="W1407" s="29">
        <f>IF($B1407="","",IFERROR(INDEX($U$4:$U$3183,MATCH(SMALL($V$4:$V$3183,1404),$V$4:$V$3183,0)),""))</f>
        <v/>
      </c>
    </row>
    <row r="1408">
      <c r="A1408">
        <f>IFERROR(INDEX($N$4:$N$3183,MATCH(SMALL($V$4:$V$3183,1405),$V$4:$V$3183,0)),"")</f>
        <v/>
      </c>
      <c r="B1408">
        <f>IFERROR(INDEX($O$4:$O$3183,MATCH(SMALL($V$4:$V$3183,1405),$V$4:$V$3183,0)),"")</f>
        <v/>
      </c>
      <c r="C1408">
        <f>IFERROR(INDEX($P$4:$P$3183,MATCH(SMALL($V$4:$V$3183,1405),$V$4:$V$3183,0)),"")</f>
        <v/>
      </c>
      <c r="D1408" s="29">
        <f>IFERROR(INDEX($Q$4:$Q$3183,MATCH(SMALL($V$4:$V$3183,1405),$V$4:$V$3183,0)),"")</f>
        <v/>
      </c>
      <c r="E1408" s="29">
        <f>IFERROR(INDEX($R$4:$R$3183,MATCH(SMALL($V$4:$V$3183,1405),$V$4:$V$3183,0)),"")</f>
        <v/>
      </c>
      <c r="F1408">
        <f>IFERROR(INDEX($S$4:$S$3183,MATCH(SMALL($V$4:$V$3183,1405),$V$4:$V$3183,0)),"")</f>
        <v/>
      </c>
      <c r="I1408" s="29">
        <f>IF($B1408="","",IFERROR(INDEX($U$4:$U$3183,MATCH(SMALL($V$4:$V$3183,1405),$V$4:$V$3183,0)),""))</f>
        <v/>
      </c>
      <c r="J1408">
        <f>IF($B1408="","",IF($D1408&gt;$F$2,"À venir",IF($E1408&lt;$D$2,"Passé","Dans la période")))</f>
        <v/>
      </c>
      <c r="K1408">
        <f>IF(OR($B1408="",NOT(ISNUMBER($D1408))),"",IF(AND($E1408&lt;$D$2,$G1408&lt;&gt;"X",$F1408&lt;&gt;"Réalisé",$F1408&lt;&gt;"Clôturé"),"RETARD",""))</f>
        <v/>
      </c>
      <c r="L1408">
        <f>IF(OR($B1408="",NOT(ISNUMBER($D1408))),"",IF(AND($D1408&gt;=$D$2,$D1408&lt;=$H$2,$G1408&lt;&gt;"X",$F1408&lt;&gt;"Réalisé",$F1408&lt;&gt;"Clôturé"),"≤ 7 j",""))</f>
        <v/>
      </c>
      <c r="M1408" s="29">
        <f>IF($B1408="","",IFERROR(INDEX($T$4:$T$3183,MATCH(SMALL($V$4:$V$3183,1405),$V$4:$V$3183,0)),""))</f>
        <v/>
      </c>
      <c r="O1408">
        <f>IF(INDEX(Suivi!$B:$B,1435)="","",INDEX(Suivi!$B:$B,1435))</f>
        <v/>
      </c>
      <c r="P1408">
        <f>IF($O1408="","",IF(INDEX(Suivi!$D:$D,1435)="",INDEX(Suivi!$C:$C,1435),INDEX(Suivi!$D:$D,1435)))</f>
        <v/>
      </c>
      <c r="Q1408">
        <f>IF($O1408="","",INDEX(Suivi!$E:$E,1435))</f>
        <v/>
      </c>
      <c r="R1408">
        <f>IF($O1408="","",INDEX(Suivi!$F:$F,1435))</f>
        <v/>
      </c>
      <c r="S1408">
        <f>IF($O1408="","",INDEX(Suivi!$G:$G,1435))</f>
        <v/>
      </c>
      <c r="T1408">
        <f>IF($O1408="","",IF(INDEX(Dossiers!$F$4:$F$63,27)="","",INDEX(Dossiers!$F$4:$F$63,27)))</f>
        <v/>
      </c>
      <c r="U1408">
        <f>IF($O1408="","",IF(INDEX(Dossiers!$G$4:$G$63,27)="","",INDEX(Dossiers!$G$4:$G$63,27)))</f>
        <v/>
      </c>
      <c r="V1408">
        <f>IF(OR($O1408="",NOT(ISNUMBER($Q1408))),"",$Q1408*1000000+1408)</f>
        <v/>
      </c>
      <c r="W1408" s="29">
        <f>IF($B1408="","",IFERROR(INDEX($U$4:$U$3183,MATCH(SMALL($V$4:$V$3183,1405),$V$4:$V$3183,0)),""))</f>
        <v/>
      </c>
    </row>
    <row r="1409">
      <c r="A1409">
        <f>IFERROR(INDEX($N$4:$N$3183,MATCH(SMALL($V$4:$V$3183,1406),$V$4:$V$3183,0)),"")</f>
        <v/>
      </c>
      <c r="B1409">
        <f>IFERROR(INDEX($O$4:$O$3183,MATCH(SMALL($V$4:$V$3183,1406),$V$4:$V$3183,0)),"")</f>
        <v/>
      </c>
      <c r="C1409">
        <f>IFERROR(INDEX($P$4:$P$3183,MATCH(SMALL($V$4:$V$3183,1406),$V$4:$V$3183,0)),"")</f>
        <v/>
      </c>
      <c r="D1409" s="29">
        <f>IFERROR(INDEX($Q$4:$Q$3183,MATCH(SMALL($V$4:$V$3183,1406),$V$4:$V$3183,0)),"")</f>
        <v/>
      </c>
      <c r="E1409" s="29">
        <f>IFERROR(INDEX($R$4:$R$3183,MATCH(SMALL($V$4:$V$3183,1406),$V$4:$V$3183,0)),"")</f>
        <v/>
      </c>
      <c r="F1409">
        <f>IFERROR(INDEX($S$4:$S$3183,MATCH(SMALL($V$4:$V$3183,1406),$V$4:$V$3183,0)),"")</f>
        <v/>
      </c>
      <c r="I1409" s="29">
        <f>IF($B1409="","",IFERROR(INDEX($U$4:$U$3183,MATCH(SMALL($V$4:$V$3183,1406),$V$4:$V$3183,0)),""))</f>
        <v/>
      </c>
      <c r="J1409">
        <f>IF($B1409="","",IF($D1409&gt;$F$2,"À venir",IF($E1409&lt;$D$2,"Passé","Dans la période")))</f>
        <v/>
      </c>
      <c r="K1409">
        <f>IF(OR($B1409="",NOT(ISNUMBER($D1409))),"",IF(AND($E1409&lt;$D$2,$G1409&lt;&gt;"X",$F1409&lt;&gt;"Réalisé",$F1409&lt;&gt;"Clôturé"),"RETARD",""))</f>
        <v/>
      </c>
      <c r="L1409">
        <f>IF(OR($B1409="",NOT(ISNUMBER($D1409))),"",IF(AND($D1409&gt;=$D$2,$D1409&lt;=$H$2,$G1409&lt;&gt;"X",$F1409&lt;&gt;"Réalisé",$F1409&lt;&gt;"Clôturé"),"≤ 7 j",""))</f>
        <v/>
      </c>
      <c r="M1409" s="29">
        <f>IF($B1409="","",IFERROR(INDEX($T$4:$T$3183,MATCH(SMALL($V$4:$V$3183,1406),$V$4:$V$3183,0)),""))</f>
        <v/>
      </c>
      <c r="O1409">
        <f>IF(INDEX(Suivi!$B:$B,1436)="","",INDEX(Suivi!$B:$B,1436))</f>
        <v/>
      </c>
      <c r="P1409">
        <f>IF($O1409="","",IF(INDEX(Suivi!$D:$D,1436)="",INDEX(Suivi!$C:$C,1436),INDEX(Suivi!$D:$D,1436)))</f>
        <v/>
      </c>
      <c r="Q1409">
        <f>IF($O1409="","",INDEX(Suivi!$E:$E,1436))</f>
        <v/>
      </c>
      <c r="R1409">
        <f>IF($O1409="","",INDEX(Suivi!$F:$F,1436))</f>
        <v/>
      </c>
      <c r="S1409">
        <f>IF($O1409="","",INDEX(Suivi!$G:$G,1436))</f>
        <v/>
      </c>
      <c r="T1409">
        <f>IF($O1409="","",IF(INDEX(Dossiers!$F$4:$F$63,27)="","",INDEX(Dossiers!$F$4:$F$63,27)))</f>
        <v/>
      </c>
      <c r="U1409">
        <f>IF($O1409="","",IF(INDEX(Dossiers!$G$4:$G$63,27)="","",INDEX(Dossiers!$G$4:$G$63,27)))</f>
        <v/>
      </c>
      <c r="V1409">
        <f>IF(OR($O1409="",NOT(ISNUMBER($Q1409))),"",$Q1409*1000000+1409)</f>
        <v/>
      </c>
      <c r="W1409" s="29">
        <f>IF($B1409="","",IFERROR(INDEX($U$4:$U$3183,MATCH(SMALL($V$4:$V$3183,1406),$V$4:$V$3183,0)),""))</f>
        <v/>
      </c>
    </row>
    <row r="1410">
      <c r="A1410">
        <f>IFERROR(INDEX($N$4:$N$3183,MATCH(SMALL($V$4:$V$3183,1407),$V$4:$V$3183,0)),"")</f>
        <v/>
      </c>
      <c r="B1410">
        <f>IFERROR(INDEX($O$4:$O$3183,MATCH(SMALL($V$4:$V$3183,1407),$V$4:$V$3183,0)),"")</f>
        <v/>
      </c>
      <c r="C1410">
        <f>IFERROR(INDEX($P$4:$P$3183,MATCH(SMALL($V$4:$V$3183,1407),$V$4:$V$3183,0)),"")</f>
        <v/>
      </c>
      <c r="D1410" s="29">
        <f>IFERROR(INDEX($Q$4:$Q$3183,MATCH(SMALL($V$4:$V$3183,1407),$V$4:$V$3183,0)),"")</f>
        <v/>
      </c>
      <c r="E1410" s="29">
        <f>IFERROR(INDEX($R$4:$R$3183,MATCH(SMALL($V$4:$V$3183,1407),$V$4:$V$3183,0)),"")</f>
        <v/>
      </c>
      <c r="F1410">
        <f>IFERROR(INDEX($S$4:$S$3183,MATCH(SMALL($V$4:$V$3183,1407),$V$4:$V$3183,0)),"")</f>
        <v/>
      </c>
      <c r="I1410" s="29">
        <f>IF($B1410="","",IFERROR(INDEX($U$4:$U$3183,MATCH(SMALL($V$4:$V$3183,1407),$V$4:$V$3183,0)),""))</f>
        <v/>
      </c>
      <c r="J1410">
        <f>IF($B1410="","",IF($D1410&gt;$F$2,"À venir",IF($E1410&lt;$D$2,"Passé","Dans la période")))</f>
        <v/>
      </c>
      <c r="K1410">
        <f>IF(OR($B1410="",NOT(ISNUMBER($D1410))),"",IF(AND($E1410&lt;$D$2,$G1410&lt;&gt;"X",$F1410&lt;&gt;"Réalisé",$F1410&lt;&gt;"Clôturé"),"RETARD",""))</f>
        <v/>
      </c>
      <c r="L1410">
        <f>IF(OR($B1410="",NOT(ISNUMBER($D1410))),"",IF(AND($D1410&gt;=$D$2,$D1410&lt;=$H$2,$G1410&lt;&gt;"X",$F1410&lt;&gt;"Réalisé",$F1410&lt;&gt;"Clôturé"),"≤ 7 j",""))</f>
        <v/>
      </c>
      <c r="M1410" s="29">
        <f>IF($B1410="","",IFERROR(INDEX($T$4:$T$3183,MATCH(SMALL($V$4:$V$3183,1407),$V$4:$V$3183,0)),""))</f>
        <v/>
      </c>
      <c r="O1410">
        <f>IF(INDEX(Suivi!$B:$B,1437)="","",INDEX(Suivi!$B:$B,1437))</f>
        <v/>
      </c>
      <c r="P1410">
        <f>IF($O1410="","",IF(INDEX(Suivi!$D:$D,1437)="",INDEX(Suivi!$C:$C,1437),INDEX(Suivi!$D:$D,1437)))</f>
        <v/>
      </c>
      <c r="Q1410">
        <f>IF($O1410="","",INDEX(Suivi!$E:$E,1437))</f>
        <v/>
      </c>
      <c r="R1410">
        <f>IF($O1410="","",INDEX(Suivi!$F:$F,1437))</f>
        <v/>
      </c>
      <c r="S1410">
        <f>IF($O1410="","",INDEX(Suivi!$G:$G,1437))</f>
        <v/>
      </c>
      <c r="T1410">
        <f>IF($O1410="","",IF(INDEX(Dossiers!$F$4:$F$63,27)="","",INDEX(Dossiers!$F$4:$F$63,27)))</f>
        <v/>
      </c>
      <c r="U1410">
        <f>IF($O1410="","",IF(INDEX(Dossiers!$G$4:$G$63,27)="","",INDEX(Dossiers!$G$4:$G$63,27)))</f>
        <v/>
      </c>
      <c r="V1410">
        <f>IF(OR($O1410="",NOT(ISNUMBER($Q1410))),"",$Q1410*1000000+1410)</f>
        <v/>
      </c>
      <c r="W1410" s="29">
        <f>IF($B1410="","",IFERROR(INDEX($U$4:$U$3183,MATCH(SMALL($V$4:$V$3183,1407),$V$4:$V$3183,0)),""))</f>
        <v/>
      </c>
    </row>
    <row r="1411">
      <c r="A1411">
        <f>IFERROR(INDEX($N$4:$N$3183,MATCH(SMALL($V$4:$V$3183,1408),$V$4:$V$3183,0)),"")</f>
        <v/>
      </c>
      <c r="B1411">
        <f>IFERROR(INDEX($O$4:$O$3183,MATCH(SMALL($V$4:$V$3183,1408),$V$4:$V$3183,0)),"")</f>
        <v/>
      </c>
      <c r="C1411">
        <f>IFERROR(INDEX($P$4:$P$3183,MATCH(SMALL($V$4:$V$3183,1408),$V$4:$V$3183,0)),"")</f>
        <v/>
      </c>
      <c r="D1411" s="29">
        <f>IFERROR(INDEX($Q$4:$Q$3183,MATCH(SMALL($V$4:$V$3183,1408),$V$4:$V$3183,0)),"")</f>
        <v/>
      </c>
      <c r="E1411" s="29">
        <f>IFERROR(INDEX($R$4:$R$3183,MATCH(SMALL($V$4:$V$3183,1408),$V$4:$V$3183,0)),"")</f>
        <v/>
      </c>
      <c r="F1411">
        <f>IFERROR(INDEX($S$4:$S$3183,MATCH(SMALL($V$4:$V$3183,1408),$V$4:$V$3183,0)),"")</f>
        <v/>
      </c>
      <c r="I1411" s="29">
        <f>IF($B1411="","",IFERROR(INDEX($U$4:$U$3183,MATCH(SMALL($V$4:$V$3183,1408),$V$4:$V$3183,0)),""))</f>
        <v/>
      </c>
      <c r="J1411">
        <f>IF($B1411="","",IF($D1411&gt;$F$2,"À venir",IF($E1411&lt;$D$2,"Passé","Dans la période")))</f>
        <v/>
      </c>
      <c r="K1411">
        <f>IF(OR($B1411="",NOT(ISNUMBER($D1411))),"",IF(AND($E1411&lt;$D$2,$G1411&lt;&gt;"X",$F1411&lt;&gt;"Réalisé",$F1411&lt;&gt;"Clôturé"),"RETARD",""))</f>
        <v/>
      </c>
      <c r="L1411">
        <f>IF(OR($B1411="",NOT(ISNUMBER($D1411))),"",IF(AND($D1411&gt;=$D$2,$D1411&lt;=$H$2,$G1411&lt;&gt;"X",$F1411&lt;&gt;"Réalisé",$F1411&lt;&gt;"Clôturé"),"≤ 7 j",""))</f>
        <v/>
      </c>
      <c r="M1411" s="29">
        <f>IF($B1411="","",IFERROR(INDEX($T$4:$T$3183,MATCH(SMALL($V$4:$V$3183,1408),$V$4:$V$3183,0)),""))</f>
        <v/>
      </c>
      <c r="O1411">
        <f>IF(INDEX(Suivi!$B:$B,1438)="","",INDEX(Suivi!$B:$B,1438))</f>
        <v/>
      </c>
      <c r="P1411">
        <f>IF($O1411="","",IF(INDEX(Suivi!$D:$D,1438)="",INDEX(Suivi!$C:$C,1438),INDEX(Suivi!$D:$D,1438)))</f>
        <v/>
      </c>
      <c r="Q1411">
        <f>IF($O1411="","",INDEX(Suivi!$E:$E,1438))</f>
        <v/>
      </c>
      <c r="R1411">
        <f>IF($O1411="","",INDEX(Suivi!$F:$F,1438))</f>
        <v/>
      </c>
      <c r="S1411">
        <f>IF($O1411="","",INDEX(Suivi!$G:$G,1438))</f>
        <v/>
      </c>
      <c r="T1411">
        <f>IF($O1411="","",IF(INDEX(Dossiers!$F$4:$F$63,27)="","",INDEX(Dossiers!$F$4:$F$63,27)))</f>
        <v/>
      </c>
      <c r="U1411">
        <f>IF($O1411="","",IF(INDEX(Dossiers!$G$4:$G$63,27)="","",INDEX(Dossiers!$G$4:$G$63,27)))</f>
        <v/>
      </c>
      <c r="V1411">
        <f>IF(OR($O1411="",NOT(ISNUMBER($Q1411))),"",$Q1411*1000000+1411)</f>
        <v/>
      </c>
      <c r="W1411" s="29">
        <f>IF($B1411="","",IFERROR(INDEX($U$4:$U$3183,MATCH(SMALL($V$4:$V$3183,1408),$V$4:$V$3183,0)),""))</f>
        <v/>
      </c>
    </row>
    <row r="1412">
      <c r="A1412">
        <f>IFERROR(INDEX($N$4:$N$3183,MATCH(SMALL($V$4:$V$3183,1409),$V$4:$V$3183,0)),"")</f>
        <v/>
      </c>
      <c r="B1412">
        <f>IFERROR(INDEX($O$4:$O$3183,MATCH(SMALL($V$4:$V$3183,1409),$V$4:$V$3183,0)),"")</f>
        <v/>
      </c>
      <c r="C1412">
        <f>IFERROR(INDEX($P$4:$P$3183,MATCH(SMALL($V$4:$V$3183,1409),$V$4:$V$3183,0)),"")</f>
        <v/>
      </c>
      <c r="D1412" s="29">
        <f>IFERROR(INDEX($Q$4:$Q$3183,MATCH(SMALL($V$4:$V$3183,1409),$V$4:$V$3183,0)),"")</f>
        <v/>
      </c>
      <c r="E1412" s="29">
        <f>IFERROR(INDEX($R$4:$R$3183,MATCH(SMALL($V$4:$V$3183,1409),$V$4:$V$3183,0)),"")</f>
        <v/>
      </c>
      <c r="F1412">
        <f>IFERROR(INDEX($S$4:$S$3183,MATCH(SMALL($V$4:$V$3183,1409),$V$4:$V$3183,0)),"")</f>
        <v/>
      </c>
      <c r="I1412" s="29">
        <f>IF($B1412="","",IFERROR(INDEX($U$4:$U$3183,MATCH(SMALL($V$4:$V$3183,1409),$V$4:$V$3183,0)),""))</f>
        <v/>
      </c>
      <c r="J1412">
        <f>IF($B1412="","",IF($D1412&gt;$F$2,"À venir",IF($E1412&lt;$D$2,"Passé","Dans la période")))</f>
        <v/>
      </c>
      <c r="K1412">
        <f>IF(OR($B1412="",NOT(ISNUMBER($D1412))),"",IF(AND($E1412&lt;$D$2,$G1412&lt;&gt;"X",$F1412&lt;&gt;"Réalisé",$F1412&lt;&gt;"Clôturé"),"RETARD",""))</f>
        <v/>
      </c>
      <c r="L1412">
        <f>IF(OR($B1412="",NOT(ISNUMBER($D1412))),"",IF(AND($D1412&gt;=$D$2,$D1412&lt;=$H$2,$G1412&lt;&gt;"X",$F1412&lt;&gt;"Réalisé",$F1412&lt;&gt;"Clôturé"),"≤ 7 j",""))</f>
        <v/>
      </c>
      <c r="M1412" s="29">
        <f>IF($B1412="","",IFERROR(INDEX($T$4:$T$3183,MATCH(SMALL($V$4:$V$3183,1409),$V$4:$V$3183,0)),""))</f>
        <v/>
      </c>
      <c r="O1412">
        <f>IF(INDEX(Suivi!$B:$B,1439)="","",INDEX(Suivi!$B:$B,1439))</f>
        <v/>
      </c>
      <c r="P1412">
        <f>IF($O1412="","",IF(INDEX(Suivi!$D:$D,1439)="",INDEX(Suivi!$C:$C,1439),INDEX(Suivi!$D:$D,1439)))</f>
        <v/>
      </c>
      <c r="Q1412">
        <f>IF($O1412="","",INDEX(Suivi!$E:$E,1439))</f>
        <v/>
      </c>
      <c r="R1412">
        <f>IF($O1412="","",INDEX(Suivi!$F:$F,1439))</f>
        <v/>
      </c>
      <c r="S1412">
        <f>IF($O1412="","",INDEX(Suivi!$G:$G,1439))</f>
        <v/>
      </c>
      <c r="T1412">
        <f>IF($O1412="","",IF(INDEX(Dossiers!$F$4:$F$63,27)="","",INDEX(Dossiers!$F$4:$F$63,27)))</f>
        <v/>
      </c>
      <c r="U1412">
        <f>IF($O1412="","",IF(INDEX(Dossiers!$G$4:$G$63,27)="","",INDEX(Dossiers!$G$4:$G$63,27)))</f>
        <v/>
      </c>
      <c r="V1412">
        <f>IF(OR($O1412="",NOT(ISNUMBER($Q1412))),"",$Q1412*1000000+1412)</f>
        <v/>
      </c>
      <c r="W1412" s="29">
        <f>IF($B1412="","",IFERROR(INDEX($U$4:$U$3183,MATCH(SMALL($V$4:$V$3183,1409),$V$4:$V$3183,0)),""))</f>
        <v/>
      </c>
    </row>
    <row r="1413">
      <c r="A1413">
        <f>IFERROR(INDEX($N$4:$N$3183,MATCH(SMALL($V$4:$V$3183,1410),$V$4:$V$3183,0)),"")</f>
        <v/>
      </c>
      <c r="B1413">
        <f>IFERROR(INDEX($O$4:$O$3183,MATCH(SMALL($V$4:$V$3183,1410),$V$4:$V$3183,0)),"")</f>
        <v/>
      </c>
      <c r="C1413">
        <f>IFERROR(INDEX($P$4:$P$3183,MATCH(SMALL($V$4:$V$3183,1410),$V$4:$V$3183,0)),"")</f>
        <v/>
      </c>
      <c r="D1413" s="29">
        <f>IFERROR(INDEX($Q$4:$Q$3183,MATCH(SMALL($V$4:$V$3183,1410),$V$4:$V$3183,0)),"")</f>
        <v/>
      </c>
      <c r="E1413" s="29">
        <f>IFERROR(INDEX($R$4:$R$3183,MATCH(SMALL($V$4:$V$3183,1410),$V$4:$V$3183,0)),"")</f>
        <v/>
      </c>
      <c r="F1413">
        <f>IFERROR(INDEX($S$4:$S$3183,MATCH(SMALL($V$4:$V$3183,1410),$V$4:$V$3183,0)),"")</f>
        <v/>
      </c>
      <c r="I1413" s="29">
        <f>IF($B1413="","",IFERROR(INDEX($U$4:$U$3183,MATCH(SMALL($V$4:$V$3183,1410),$V$4:$V$3183,0)),""))</f>
        <v/>
      </c>
      <c r="J1413">
        <f>IF($B1413="","",IF($D1413&gt;$F$2,"À venir",IF($E1413&lt;$D$2,"Passé","Dans la période")))</f>
        <v/>
      </c>
      <c r="K1413">
        <f>IF(OR($B1413="",NOT(ISNUMBER($D1413))),"",IF(AND($E1413&lt;$D$2,$G1413&lt;&gt;"X",$F1413&lt;&gt;"Réalisé",$F1413&lt;&gt;"Clôturé"),"RETARD",""))</f>
        <v/>
      </c>
      <c r="L1413">
        <f>IF(OR($B1413="",NOT(ISNUMBER($D1413))),"",IF(AND($D1413&gt;=$D$2,$D1413&lt;=$H$2,$G1413&lt;&gt;"X",$F1413&lt;&gt;"Réalisé",$F1413&lt;&gt;"Clôturé"),"≤ 7 j",""))</f>
        <v/>
      </c>
      <c r="M1413" s="29">
        <f>IF($B1413="","",IFERROR(INDEX($T$4:$T$3183,MATCH(SMALL($V$4:$V$3183,1410),$V$4:$V$3183,0)),""))</f>
        <v/>
      </c>
      <c r="O1413">
        <f>IF(INDEX(Suivi!$B:$B,1440)="","",INDEX(Suivi!$B:$B,1440))</f>
        <v/>
      </c>
      <c r="P1413">
        <f>IF($O1413="","",IF(INDEX(Suivi!$D:$D,1440)="",INDEX(Suivi!$C:$C,1440),INDEX(Suivi!$D:$D,1440)))</f>
        <v/>
      </c>
      <c r="Q1413">
        <f>IF($O1413="","",INDEX(Suivi!$E:$E,1440))</f>
        <v/>
      </c>
      <c r="R1413">
        <f>IF($O1413="","",INDEX(Suivi!$F:$F,1440))</f>
        <v/>
      </c>
      <c r="S1413">
        <f>IF($O1413="","",INDEX(Suivi!$G:$G,1440))</f>
        <v/>
      </c>
      <c r="T1413">
        <f>IF($O1413="","",IF(INDEX(Dossiers!$F$4:$F$63,27)="","",INDEX(Dossiers!$F$4:$F$63,27)))</f>
        <v/>
      </c>
      <c r="U1413">
        <f>IF($O1413="","",IF(INDEX(Dossiers!$G$4:$G$63,27)="","",INDEX(Dossiers!$G$4:$G$63,27)))</f>
        <v/>
      </c>
      <c r="V1413">
        <f>IF(OR($O1413="",NOT(ISNUMBER($Q1413))),"",$Q1413*1000000+1413)</f>
        <v/>
      </c>
      <c r="W1413" s="29">
        <f>IF($B1413="","",IFERROR(INDEX($U$4:$U$3183,MATCH(SMALL($V$4:$V$3183,1410),$V$4:$V$3183,0)),""))</f>
        <v/>
      </c>
    </row>
    <row r="1414">
      <c r="A1414">
        <f>IFERROR(INDEX($N$4:$N$3183,MATCH(SMALL($V$4:$V$3183,1411),$V$4:$V$3183,0)),"")</f>
        <v/>
      </c>
      <c r="B1414">
        <f>IFERROR(INDEX($O$4:$O$3183,MATCH(SMALL($V$4:$V$3183,1411),$V$4:$V$3183,0)),"")</f>
        <v/>
      </c>
      <c r="C1414">
        <f>IFERROR(INDEX($P$4:$P$3183,MATCH(SMALL($V$4:$V$3183,1411),$V$4:$V$3183,0)),"")</f>
        <v/>
      </c>
      <c r="D1414" s="29">
        <f>IFERROR(INDEX($Q$4:$Q$3183,MATCH(SMALL($V$4:$V$3183,1411),$V$4:$V$3183,0)),"")</f>
        <v/>
      </c>
      <c r="E1414" s="29">
        <f>IFERROR(INDEX($R$4:$R$3183,MATCH(SMALL($V$4:$V$3183,1411),$V$4:$V$3183,0)),"")</f>
        <v/>
      </c>
      <c r="F1414">
        <f>IFERROR(INDEX($S$4:$S$3183,MATCH(SMALL($V$4:$V$3183,1411),$V$4:$V$3183,0)),"")</f>
        <v/>
      </c>
      <c r="I1414" s="29">
        <f>IF($B1414="","",IFERROR(INDEX($U$4:$U$3183,MATCH(SMALL($V$4:$V$3183,1411),$V$4:$V$3183,0)),""))</f>
        <v/>
      </c>
      <c r="J1414">
        <f>IF($B1414="","",IF($D1414&gt;$F$2,"À venir",IF($E1414&lt;$D$2,"Passé","Dans la période")))</f>
        <v/>
      </c>
      <c r="K1414">
        <f>IF(OR($B1414="",NOT(ISNUMBER($D1414))),"",IF(AND($E1414&lt;$D$2,$G1414&lt;&gt;"X",$F1414&lt;&gt;"Réalisé",$F1414&lt;&gt;"Clôturé"),"RETARD",""))</f>
        <v/>
      </c>
      <c r="L1414">
        <f>IF(OR($B1414="",NOT(ISNUMBER($D1414))),"",IF(AND($D1414&gt;=$D$2,$D1414&lt;=$H$2,$G1414&lt;&gt;"X",$F1414&lt;&gt;"Réalisé",$F1414&lt;&gt;"Clôturé"),"≤ 7 j",""))</f>
        <v/>
      </c>
      <c r="M1414" s="29">
        <f>IF($B1414="","",IFERROR(INDEX($T$4:$T$3183,MATCH(SMALL($V$4:$V$3183,1411),$V$4:$V$3183,0)),""))</f>
        <v/>
      </c>
      <c r="O1414">
        <f>IF(INDEX(Suivi!$B:$B,1441)="","",INDEX(Suivi!$B:$B,1441))</f>
        <v/>
      </c>
      <c r="P1414">
        <f>IF($O1414="","",IF(INDEX(Suivi!$D:$D,1441)="",INDEX(Suivi!$C:$C,1441),INDEX(Suivi!$D:$D,1441)))</f>
        <v/>
      </c>
      <c r="Q1414">
        <f>IF($O1414="","",INDEX(Suivi!$E:$E,1441))</f>
        <v/>
      </c>
      <c r="R1414">
        <f>IF($O1414="","",INDEX(Suivi!$F:$F,1441))</f>
        <v/>
      </c>
      <c r="S1414">
        <f>IF($O1414="","",INDEX(Suivi!$G:$G,1441))</f>
        <v/>
      </c>
      <c r="T1414">
        <f>IF($O1414="","",IF(INDEX(Dossiers!$F$4:$F$63,27)="","",INDEX(Dossiers!$F$4:$F$63,27)))</f>
        <v/>
      </c>
      <c r="U1414">
        <f>IF($O1414="","",IF(INDEX(Dossiers!$G$4:$G$63,27)="","",INDEX(Dossiers!$G$4:$G$63,27)))</f>
        <v/>
      </c>
      <c r="V1414">
        <f>IF(OR($O1414="",NOT(ISNUMBER($Q1414))),"",$Q1414*1000000+1414)</f>
        <v/>
      </c>
      <c r="W1414" s="29">
        <f>IF($B1414="","",IFERROR(INDEX($U$4:$U$3183,MATCH(SMALL($V$4:$V$3183,1411),$V$4:$V$3183,0)),""))</f>
        <v/>
      </c>
    </row>
    <row r="1415">
      <c r="A1415">
        <f>IFERROR(INDEX($N$4:$N$3183,MATCH(SMALL($V$4:$V$3183,1412),$V$4:$V$3183,0)),"")</f>
        <v/>
      </c>
      <c r="B1415">
        <f>IFERROR(INDEX($O$4:$O$3183,MATCH(SMALL($V$4:$V$3183,1412),$V$4:$V$3183,0)),"")</f>
        <v/>
      </c>
      <c r="C1415">
        <f>IFERROR(INDEX($P$4:$P$3183,MATCH(SMALL($V$4:$V$3183,1412),$V$4:$V$3183,0)),"")</f>
        <v/>
      </c>
      <c r="D1415" s="29">
        <f>IFERROR(INDEX($Q$4:$Q$3183,MATCH(SMALL($V$4:$V$3183,1412),$V$4:$V$3183,0)),"")</f>
        <v/>
      </c>
      <c r="E1415" s="29">
        <f>IFERROR(INDEX($R$4:$R$3183,MATCH(SMALL($V$4:$V$3183,1412),$V$4:$V$3183,0)),"")</f>
        <v/>
      </c>
      <c r="F1415">
        <f>IFERROR(INDEX($S$4:$S$3183,MATCH(SMALL($V$4:$V$3183,1412),$V$4:$V$3183,0)),"")</f>
        <v/>
      </c>
      <c r="I1415" s="29">
        <f>IF($B1415="","",IFERROR(INDEX($U$4:$U$3183,MATCH(SMALL($V$4:$V$3183,1412),$V$4:$V$3183,0)),""))</f>
        <v/>
      </c>
      <c r="J1415">
        <f>IF($B1415="","",IF($D1415&gt;$F$2,"À venir",IF($E1415&lt;$D$2,"Passé","Dans la période")))</f>
        <v/>
      </c>
      <c r="K1415">
        <f>IF(OR($B1415="",NOT(ISNUMBER($D1415))),"",IF(AND($E1415&lt;$D$2,$G1415&lt;&gt;"X",$F1415&lt;&gt;"Réalisé",$F1415&lt;&gt;"Clôturé"),"RETARD",""))</f>
        <v/>
      </c>
      <c r="L1415">
        <f>IF(OR($B1415="",NOT(ISNUMBER($D1415))),"",IF(AND($D1415&gt;=$D$2,$D1415&lt;=$H$2,$G1415&lt;&gt;"X",$F1415&lt;&gt;"Réalisé",$F1415&lt;&gt;"Clôturé"),"≤ 7 j",""))</f>
        <v/>
      </c>
      <c r="M1415" s="29">
        <f>IF($B1415="","",IFERROR(INDEX($T$4:$T$3183,MATCH(SMALL($V$4:$V$3183,1412),$V$4:$V$3183,0)),""))</f>
        <v/>
      </c>
      <c r="O1415">
        <f>IF(INDEX(Suivi!$B:$B,1442)="","",INDEX(Suivi!$B:$B,1442))</f>
        <v/>
      </c>
      <c r="P1415">
        <f>IF($O1415="","",IF(INDEX(Suivi!$D:$D,1442)="",INDEX(Suivi!$C:$C,1442),INDEX(Suivi!$D:$D,1442)))</f>
        <v/>
      </c>
      <c r="Q1415">
        <f>IF($O1415="","",INDEX(Suivi!$E:$E,1442))</f>
        <v/>
      </c>
      <c r="R1415">
        <f>IF($O1415="","",INDEX(Suivi!$F:$F,1442))</f>
        <v/>
      </c>
      <c r="S1415">
        <f>IF($O1415="","",INDEX(Suivi!$G:$G,1442))</f>
        <v/>
      </c>
      <c r="T1415">
        <f>IF($O1415="","",IF(INDEX(Dossiers!$F$4:$F$63,27)="","",INDEX(Dossiers!$F$4:$F$63,27)))</f>
        <v/>
      </c>
      <c r="U1415">
        <f>IF($O1415="","",IF(INDEX(Dossiers!$G$4:$G$63,27)="","",INDEX(Dossiers!$G$4:$G$63,27)))</f>
        <v/>
      </c>
      <c r="V1415">
        <f>IF(OR($O1415="",NOT(ISNUMBER($Q1415))),"",$Q1415*1000000+1415)</f>
        <v/>
      </c>
      <c r="W1415" s="29">
        <f>IF($B1415="","",IFERROR(INDEX($U$4:$U$3183,MATCH(SMALL($V$4:$V$3183,1412),$V$4:$V$3183,0)),""))</f>
        <v/>
      </c>
    </row>
    <row r="1416">
      <c r="A1416">
        <f>IFERROR(INDEX($N$4:$N$3183,MATCH(SMALL($V$4:$V$3183,1413),$V$4:$V$3183,0)),"")</f>
        <v/>
      </c>
      <c r="B1416">
        <f>IFERROR(INDEX($O$4:$O$3183,MATCH(SMALL($V$4:$V$3183,1413),$V$4:$V$3183,0)),"")</f>
        <v/>
      </c>
      <c r="C1416">
        <f>IFERROR(INDEX($P$4:$P$3183,MATCH(SMALL($V$4:$V$3183,1413),$V$4:$V$3183,0)),"")</f>
        <v/>
      </c>
      <c r="D1416" s="29">
        <f>IFERROR(INDEX($Q$4:$Q$3183,MATCH(SMALL($V$4:$V$3183,1413),$V$4:$V$3183,0)),"")</f>
        <v/>
      </c>
      <c r="E1416" s="29">
        <f>IFERROR(INDEX($R$4:$R$3183,MATCH(SMALL($V$4:$V$3183,1413),$V$4:$V$3183,0)),"")</f>
        <v/>
      </c>
      <c r="F1416">
        <f>IFERROR(INDEX($S$4:$S$3183,MATCH(SMALL($V$4:$V$3183,1413),$V$4:$V$3183,0)),"")</f>
        <v/>
      </c>
      <c r="I1416" s="29">
        <f>IF($B1416="","",IFERROR(INDEX($U$4:$U$3183,MATCH(SMALL($V$4:$V$3183,1413),$V$4:$V$3183,0)),""))</f>
        <v/>
      </c>
      <c r="J1416">
        <f>IF($B1416="","",IF($D1416&gt;$F$2,"À venir",IF($E1416&lt;$D$2,"Passé","Dans la période")))</f>
        <v/>
      </c>
      <c r="K1416">
        <f>IF(OR($B1416="",NOT(ISNUMBER($D1416))),"",IF(AND($E1416&lt;$D$2,$G1416&lt;&gt;"X",$F1416&lt;&gt;"Réalisé",$F1416&lt;&gt;"Clôturé"),"RETARD",""))</f>
        <v/>
      </c>
      <c r="L1416">
        <f>IF(OR($B1416="",NOT(ISNUMBER($D1416))),"",IF(AND($D1416&gt;=$D$2,$D1416&lt;=$H$2,$G1416&lt;&gt;"X",$F1416&lt;&gt;"Réalisé",$F1416&lt;&gt;"Clôturé"),"≤ 7 j",""))</f>
        <v/>
      </c>
      <c r="M1416" s="29">
        <f>IF($B1416="","",IFERROR(INDEX($T$4:$T$3183,MATCH(SMALL($V$4:$V$3183,1413),$V$4:$V$3183,0)),""))</f>
        <v/>
      </c>
      <c r="O1416">
        <f>IF(INDEX(Suivi!$B:$B,1443)="","",INDEX(Suivi!$B:$B,1443))</f>
        <v/>
      </c>
      <c r="P1416">
        <f>IF($O1416="","",IF(INDEX(Suivi!$D:$D,1443)="",INDEX(Suivi!$C:$C,1443),INDEX(Suivi!$D:$D,1443)))</f>
        <v/>
      </c>
      <c r="Q1416">
        <f>IF($O1416="","",INDEX(Suivi!$E:$E,1443))</f>
        <v/>
      </c>
      <c r="R1416">
        <f>IF($O1416="","",INDEX(Suivi!$F:$F,1443))</f>
        <v/>
      </c>
      <c r="S1416">
        <f>IF($O1416="","",INDEX(Suivi!$G:$G,1443))</f>
        <v/>
      </c>
      <c r="T1416">
        <f>IF($O1416="","",IF(INDEX(Dossiers!$F$4:$F$63,27)="","",INDEX(Dossiers!$F$4:$F$63,27)))</f>
        <v/>
      </c>
      <c r="U1416">
        <f>IF($O1416="","",IF(INDEX(Dossiers!$G$4:$G$63,27)="","",INDEX(Dossiers!$G$4:$G$63,27)))</f>
        <v/>
      </c>
      <c r="V1416">
        <f>IF(OR($O1416="",NOT(ISNUMBER($Q1416))),"",$Q1416*1000000+1416)</f>
        <v/>
      </c>
      <c r="W1416" s="29">
        <f>IF($B1416="","",IFERROR(INDEX($U$4:$U$3183,MATCH(SMALL($V$4:$V$3183,1413),$V$4:$V$3183,0)),""))</f>
        <v/>
      </c>
    </row>
    <row r="1417">
      <c r="A1417">
        <f>IFERROR(INDEX($N$4:$N$3183,MATCH(SMALL($V$4:$V$3183,1414),$V$4:$V$3183,0)),"")</f>
        <v/>
      </c>
      <c r="B1417">
        <f>IFERROR(INDEX($O$4:$O$3183,MATCH(SMALL($V$4:$V$3183,1414),$V$4:$V$3183,0)),"")</f>
        <v/>
      </c>
      <c r="C1417">
        <f>IFERROR(INDEX($P$4:$P$3183,MATCH(SMALL($V$4:$V$3183,1414),$V$4:$V$3183,0)),"")</f>
        <v/>
      </c>
      <c r="D1417" s="29">
        <f>IFERROR(INDEX($Q$4:$Q$3183,MATCH(SMALL($V$4:$V$3183,1414),$V$4:$V$3183,0)),"")</f>
        <v/>
      </c>
      <c r="E1417" s="29">
        <f>IFERROR(INDEX($R$4:$R$3183,MATCH(SMALL($V$4:$V$3183,1414),$V$4:$V$3183,0)),"")</f>
        <v/>
      </c>
      <c r="F1417">
        <f>IFERROR(INDEX($S$4:$S$3183,MATCH(SMALL($V$4:$V$3183,1414),$V$4:$V$3183,0)),"")</f>
        <v/>
      </c>
      <c r="I1417" s="29">
        <f>IF($B1417="","",IFERROR(INDEX($U$4:$U$3183,MATCH(SMALL($V$4:$V$3183,1414),$V$4:$V$3183,0)),""))</f>
        <v/>
      </c>
      <c r="J1417">
        <f>IF($B1417="","",IF($D1417&gt;$F$2,"À venir",IF($E1417&lt;$D$2,"Passé","Dans la période")))</f>
        <v/>
      </c>
      <c r="K1417">
        <f>IF(OR($B1417="",NOT(ISNUMBER($D1417))),"",IF(AND($E1417&lt;$D$2,$G1417&lt;&gt;"X",$F1417&lt;&gt;"Réalisé",$F1417&lt;&gt;"Clôturé"),"RETARD",""))</f>
        <v/>
      </c>
      <c r="L1417">
        <f>IF(OR($B1417="",NOT(ISNUMBER($D1417))),"",IF(AND($D1417&gt;=$D$2,$D1417&lt;=$H$2,$G1417&lt;&gt;"X",$F1417&lt;&gt;"Réalisé",$F1417&lt;&gt;"Clôturé"),"≤ 7 j",""))</f>
        <v/>
      </c>
      <c r="M1417" s="29">
        <f>IF($B1417="","",IFERROR(INDEX($T$4:$T$3183,MATCH(SMALL($V$4:$V$3183,1414),$V$4:$V$3183,0)),""))</f>
        <v/>
      </c>
      <c r="O1417">
        <f>IF(INDEX(Suivi!$B:$B,1444)="","",INDEX(Suivi!$B:$B,1444))</f>
        <v/>
      </c>
      <c r="P1417">
        <f>IF($O1417="","",IF(INDEX(Suivi!$D:$D,1444)="",INDEX(Suivi!$C:$C,1444),INDEX(Suivi!$D:$D,1444)))</f>
        <v/>
      </c>
      <c r="Q1417">
        <f>IF($O1417="","",INDEX(Suivi!$E:$E,1444))</f>
        <v/>
      </c>
      <c r="R1417">
        <f>IF($O1417="","",INDEX(Suivi!$F:$F,1444))</f>
        <v/>
      </c>
      <c r="S1417">
        <f>IF($O1417="","",INDEX(Suivi!$G:$G,1444))</f>
        <v/>
      </c>
      <c r="T1417">
        <f>IF($O1417="","",IF(INDEX(Dossiers!$F$4:$F$63,27)="","",INDEX(Dossiers!$F$4:$F$63,27)))</f>
        <v/>
      </c>
      <c r="U1417">
        <f>IF($O1417="","",IF(INDEX(Dossiers!$G$4:$G$63,27)="","",INDEX(Dossiers!$G$4:$G$63,27)))</f>
        <v/>
      </c>
      <c r="V1417">
        <f>IF(OR($O1417="",NOT(ISNUMBER($Q1417))),"",$Q1417*1000000+1417)</f>
        <v/>
      </c>
      <c r="W1417" s="29">
        <f>IF($B1417="","",IFERROR(INDEX($U$4:$U$3183,MATCH(SMALL($V$4:$V$3183,1414),$V$4:$V$3183,0)),""))</f>
        <v/>
      </c>
    </row>
    <row r="1418">
      <c r="A1418">
        <f>IFERROR(INDEX($N$4:$N$3183,MATCH(SMALL($V$4:$V$3183,1415),$V$4:$V$3183,0)),"")</f>
        <v/>
      </c>
      <c r="B1418">
        <f>IFERROR(INDEX($O$4:$O$3183,MATCH(SMALL($V$4:$V$3183,1415),$V$4:$V$3183,0)),"")</f>
        <v/>
      </c>
      <c r="C1418">
        <f>IFERROR(INDEX($P$4:$P$3183,MATCH(SMALL($V$4:$V$3183,1415),$V$4:$V$3183,0)),"")</f>
        <v/>
      </c>
      <c r="D1418" s="29">
        <f>IFERROR(INDEX($Q$4:$Q$3183,MATCH(SMALL($V$4:$V$3183,1415),$V$4:$V$3183,0)),"")</f>
        <v/>
      </c>
      <c r="E1418" s="29">
        <f>IFERROR(INDEX($R$4:$R$3183,MATCH(SMALL($V$4:$V$3183,1415),$V$4:$V$3183,0)),"")</f>
        <v/>
      </c>
      <c r="F1418">
        <f>IFERROR(INDEX($S$4:$S$3183,MATCH(SMALL($V$4:$V$3183,1415),$V$4:$V$3183,0)),"")</f>
        <v/>
      </c>
      <c r="I1418" s="29">
        <f>IF($B1418="","",IFERROR(INDEX($U$4:$U$3183,MATCH(SMALL($V$4:$V$3183,1415),$V$4:$V$3183,0)),""))</f>
        <v/>
      </c>
      <c r="J1418">
        <f>IF($B1418="","",IF($D1418&gt;$F$2,"À venir",IF($E1418&lt;$D$2,"Passé","Dans la période")))</f>
        <v/>
      </c>
      <c r="K1418">
        <f>IF(OR($B1418="",NOT(ISNUMBER($D1418))),"",IF(AND($E1418&lt;$D$2,$G1418&lt;&gt;"X",$F1418&lt;&gt;"Réalisé",$F1418&lt;&gt;"Clôturé"),"RETARD",""))</f>
        <v/>
      </c>
      <c r="L1418">
        <f>IF(OR($B1418="",NOT(ISNUMBER($D1418))),"",IF(AND($D1418&gt;=$D$2,$D1418&lt;=$H$2,$G1418&lt;&gt;"X",$F1418&lt;&gt;"Réalisé",$F1418&lt;&gt;"Clôturé"),"≤ 7 j",""))</f>
        <v/>
      </c>
      <c r="M1418" s="29">
        <f>IF($B1418="","",IFERROR(INDEX($T$4:$T$3183,MATCH(SMALL($V$4:$V$3183,1415),$V$4:$V$3183,0)),""))</f>
        <v/>
      </c>
      <c r="O1418">
        <f>IF(INDEX(Suivi!$B:$B,1445)="","",INDEX(Suivi!$B:$B,1445))</f>
        <v/>
      </c>
      <c r="P1418">
        <f>IF($O1418="","",IF(INDEX(Suivi!$D:$D,1445)="",INDEX(Suivi!$C:$C,1445),INDEX(Suivi!$D:$D,1445)))</f>
        <v/>
      </c>
      <c r="Q1418">
        <f>IF($O1418="","",INDEX(Suivi!$E:$E,1445))</f>
        <v/>
      </c>
      <c r="R1418">
        <f>IF($O1418="","",INDEX(Suivi!$F:$F,1445))</f>
        <v/>
      </c>
      <c r="S1418">
        <f>IF($O1418="","",INDEX(Suivi!$G:$G,1445))</f>
        <v/>
      </c>
      <c r="T1418">
        <f>IF($O1418="","",IF(INDEX(Dossiers!$F$4:$F$63,27)="","",INDEX(Dossiers!$F$4:$F$63,27)))</f>
        <v/>
      </c>
      <c r="U1418">
        <f>IF($O1418="","",IF(INDEX(Dossiers!$G$4:$G$63,27)="","",INDEX(Dossiers!$G$4:$G$63,27)))</f>
        <v/>
      </c>
      <c r="V1418">
        <f>IF(OR($O1418="",NOT(ISNUMBER($Q1418))),"",$Q1418*1000000+1418)</f>
        <v/>
      </c>
      <c r="W1418" s="29">
        <f>IF($B1418="","",IFERROR(INDEX($U$4:$U$3183,MATCH(SMALL($V$4:$V$3183,1415),$V$4:$V$3183,0)),""))</f>
        <v/>
      </c>
    </row>
    <row r="1419">
      <c r="A1419">
        <f>IFERROR(INDEX($N$4:$N$3183,MATCH(SMALL($V$4:$V$3183,1416),$V$4:$V$3183,0)),"")</f>
        <v/>
      </c>
      <c r="B1419">
        <f>IFERROR(INDEX($O$4:$O$3183,MATCH(SMALL($V$4:$V$3183,1416),$V$4:$V$3183,0)),"")</f>
        <v/>
      </c>
      <c r="C1419">
        <f>IFERROR(INDEX($P$4:$P$3183,MATCH(SMALL($V$4:$V$3183,1416),$V$4:$V$3183,0)),"")</f>
        <v/>
      </c>
      <c r="D1419" s="29">
        <f>IFERROR(INDEX($Q$4:$Q$3183,MATCH(SMALL($V$4:$V$3183,1416),$V$4:$V$3183,0)),"")</f>
        <v/>
      </c>
      <c r="E1419" s="29">
        <f>IFERROR(INDEX($R$4:$R$3183,MATCH(SMALL($V$4:$V$3183,1416),$V$4:$V$3183,0)),"")</f>
        <v/>
      </c>
      <c r="F1419">
        <f>IFERROR(INDEX($S$4:$S$3183,MATCH(SMALL($V$4:$V$3183,1416),$V$4:$V$3183,0)),"")</f>
        <v/>
      </c>
      <c r="I1419" s="29">
        <f>IF($B1419="","",IFERROR(INDEX($U$4:$U$3183,MATCH(SMALL($V$4:$V$3183,1416),$V$4:$V$3183,0)),""))</f>
        <v/>
      </c>
      <c r="J1419">
        <f>IF($B1419="","",IF($D1419&gt;$F$2,"À venir",IF($E1419&lt;$D$2,"Passé","Dans la période")))</f>
        <v/>
      </c>
      <c r="K1419">
        <f>IF(OR($B1419="",NOT(ISNUMBER($D1419))),"",IF(AND($E1419&lt;$D$2,$G1419&lt;&gt;"X",$F1419&lt;&gt;"Réalisé",$F1419&lt;&gt;"Clôturé"),"RETARD",""))</f>
        <v/>
      </c>
      <c r="L1419">
        <f>IF(OR($B1419="",NOT(ISNUMBER($D1419))),"",IF(AND($D1419&gt;=$D$2,$D1419&lt;=$H$2,$G1419&lt;&gt;"X",$F1419&lt;&gt;"Réalisé",$F1419&lt;&gt;"Clôturé"),"≤ 7 j",""))</f>
        <v/>
      </c>
      <c r="M1419" s="29">
        <f>IF($B1419="","",IFERROR(INDEX($T$4:$T$3183,MATCH(SMALL($V$4:$V$3183,1416),$V$4:$V$3183,0)),""))</f>
        <v/>
      </c>
      <c r="O1419">
        <f>IF(INDEX(Suivi!$B:$B,1446)="","",INDEX(Suivi!$B:$B,1446))</f>
        <v/>
      </c>
      <c r="P1419">
        <f>IF($O1419="","",IF(INDEX(Suivi!$D:$D,1446)="",INDEX(Suivi!$C:$C,1446),INDEX(Suivi!$D:$D,1446)))</f>
        <v/>
      </c>
      <c r="Q1419">
        <f>IF($O1419="","",INDEX(Suivi!$E:$E,1446))</f>
        <v/>
      </c>
      <c r="R1419">
        <f>IF($O1419="","",INDEX(Suivi!$F:$F,1446))</f>
        <v/>
      </c>
      <c r="S1419">
        <f>IF($O1419="","",INDEX(Suivi!$G:$G,1446))</f>
        <v/>
      </c>
      <c r="T1419">
        <f>IF($O1419="","",IF(INDEX(Dossiers!$F$4:$F$63,27)="","",INDEX(Dossiers!$F$4:$F$63,27)))</f>
        <v/>
      </c>
      <c r="U1419">
        <f>IF($O1419="","",IF(INDEX(Dossiers!$G$4:$G$63,27)="","",INDEX(Dossiers!$G$4:$G$63,27)))</f>
        <v/>
      </c>
      <c r="V1419">
        <f>IF(OR($O1419="",NOT(ISNUMBER($Q1419))),"",$Q1419*1000000+1419)</f>
        <v/>
      </c>
      <c r="W1419" s="29">
        <f>IF($B1419="","",IFERROR(INDEX($U$4:$U$3183,MATCH(SMALL($V$4:$V$3183,1416),$V$4:$V$3183,0)),""))</f>
        <v/>
      </c>
    </row>
    <row r="1420">
      <c r="A1420">
        <f>IFERROR(INDEX($N$4:$N$3183,MATCH(SMALL($V$4:$V$3183,1417),$V$4:$V$3183,0)),"")</f>
        <v/>
      </c>
      <c r="B1420">
        <f>IFERROR(INDEX($O$4:$O$3183,MATCH(SMALL($V$4:$V$3183,1417),$V$4:$V$3183,0)),"")</f>
        <v/>
      </c>
      <c r="C1420">
        <f>IFERROR(INDEX($P$4:$P$3183,MATCH(SMALL($V$4:$V$3183,1417),$V$4:$V$3183,0)),"")</f>
        <v/>
      </c>
      <c r="D1420" s="29">
        <f>IFERROR(INDEX($Q$4:$Q$3183,MATCH(SMALL($V$4:$V$3183,1417),$V$4:$V$3183,0)),"")</f>
        <v/>
      </c>
      <c r="E1420" s="29">
        <f>IFERROR(INDEX($R$4:$R$3183,MATCH(SMALL($V$4:$V$3183,1417),$V$4:$V$3183,0)),"")</f>
        <v/>
      </c>
      <c r="F1420">
        <f>IFERROR(INDEX($S$4:$S$3183,MATCH(SMALL($V$4:$V$3183,1417),$V$4:$V$3183,0)),"")</f>
        <v/>
      </c>
      <c r="I1420" s="29">
        <f>IF($B1420="","",IFERROR(INDEX($U$4:$U$3183,MATCH(SMALL($V$4:$V$3183,1417),$V$4:$V$3183,0)),""))</f>
        <v/>
      </c>
      <c r="J1420">
        <f>IF($B1420="","",IF($D1420&gt;$F$2,"À venir",IF($E1420&lt;$D$2,"Passé","Dans la période")))</f>
        <v/>
      </c>
      <c r="K1420">
        <f>IF(OR($B1420="",NOT(ISNUMBER($D1420))),"",IF(AND($E1420&lt;$D$2,$G1420&lt;&gt;"X",$F1420&lt;&gt;"Réalisé",$F1420&lt;&gt;"Clôturé"),"RETARD",""))</f>
        <v/>
      </c>
      <c r="L1420">
        <f>IF(OR($B1420="",NOT(ISNUMBER($D1420))),"",IF(AND($D1420&gt;=$D$2,$D1420&lt;=$H$2,$G1420&lt;&gt;"X",$F1420&lt;&gt;"Réalisé",$F1420&lt;&gt;"Clôturé"),"≤ 7 j",""))</f>
        <v/>
      </c>
      <c r="M1420" s="29">
        <f>IF($B1420="","",IFERROR(INDEX($T$4:$T$3183,MATCH(SMALL($V$4:$V$3183,1417),$V$4:$V$3183,0)),""))</f>
        <v/>
      </c>
      <c r="O1420">
        <f>IF(INDEX(Suivi!$B:$B,1447)="","",INDEX(Suivi!$B:$B,1447))</f>
        <v/>
      </c>
      <c r="P1420">
        <f>IF($O1420="","",IF(INDEX(Suivi!$D:$D,1447)="",INDEX(Suivi!$C:$C,1447),INDEX(Suivi!$D:$D,1447)))</f>
        <v/>
      </c>
      <c r="Q1420">
        <f>IF($O1420="","",INDEX(Suivi!$E:$E,1447))</f>
        <v/>
      </c>
      <c r="R1420">
        <f>IF($O1420="","",INDEX(Suivi!$F:$F,1447))</f>
        <v/>
      </c>
      <c r="S1420">
        <f>IF($O1420="","",INDEX(Suivi!$G:$G,1447))</f>
        <v/>
      </c>
      <c r="T1420">
        <f>IF($O1420="","",IF(INDEX(Dossiers!$F$4:$F$63,27)="","",INDEX(Dossiers!$F$4:$F$63,27)))</f>
        <v/>
      </c>
      <c r="U1420">
        <f>IF($O1420="","",IF(INDEX(Dossiers!$G$4:$G$63,27)="","",INDEX(Dossiers!$G$4:$G$63,27)))</f>
        <v/>
      </c>
      <c r="V1420">
        <f>IF(OR($O1420="",NOT(ISNUMBER($Q1420))),"",$Q1420*1000000+1420)</f>
        <v/>
      </c>
      <c r="W1420" s="29">
        <f>IF($B1420="","",IFERROR(INDEX($U$4:$U$3183,MATCH(SMALL($V$4:$V$3183,1417),$V$4:$V$3183,0)),""))</f>
        <v/>
      </c>
    </row>
    <row r="1421">
      <c r="A1421">
        <f>IFERROR(INDEX($N$4:$N$3183,MATCH(SMALL($V$4:$V$3183,1418),$V$4:$V$3183,0)),"")</f>
        <v/>
      </c>
      <c r="B1421">
        <f>IFERROR(INDEX($O$4:$O$3183,MATCH(SMALL($V$4:$V$3183,1418),$V$4:$V$3183,0)),"")</f>
        <v/>
      </c>
      <c r="C1421">
        <f>IFERROR(INDEX($P$4:$P$3183,MATCH(SMALL($V$4:$V$3183,1418),$V$4:$V$3183,0)),"")</f>
        <v/>
      </c>
      <c r="D1421" s="29">
        <f>IFERROR(INDEX($Q$4:$Q$3183,MATCH(SMALL($V$4:$V$3183,1418),$V$4:$V$3183,0)),"")</f>
        <v/>
      </c>
      <c r="E1421" s="29">
        <f>IFERROR(INDEX($R$4:$R$3183,MATCH(SMALL($V$4:$V$3183,1418),$V$4:$V$3183,0)),"")</f>
        <v/>
      </c>
      <c r="F1421">
        <f>IFERROR(INDEX($S$4:$S$3183,MATCH(SMALL($V$4:$V$3183,1418),$V$4:$V$3183,0)),"")</f>
        <v/>
      </c>
      <c r="I1421" s="29">
        <f>IF($B1421="","",IFERROR(INDEX($U$4:$U$3183,MATCH(SMALL($V$4:$V$3183,1418),$V$4:$V$3183,0)),""))</f>
        <v/>
      </c>
      <c r="J1421">
        <f>IF($B1421="","",IF($D1421&gt;$F$2,"À venir",IF($E1421&lt;$D$2,"Passé","Dans la période")))</f>
        <v/>
      </c>
      <c r="K1421">
        <f>IF(OR($B1421="",NOT(ISNUMBER($D1421))),"",IF(AND($E1421&lt;$D$2,$G1421&lt;&gt;"X",$F1421&lt;&gt;"Réalisé",$F1421&lt;&gt;"Clôturé"),"RETARD",""))</f>
        <v/>
      </c>
      <c r="L1421">
        <f>IF(OR($B1421="",NOT(ISNUMBER($D1421))),"",IF(AND($D1421&gt;=$D$2,$D1421&lt;=$H$2,$G1421&lt;&gt;"X",$F1421&lt;&gt;"Réalisé",$F1421&lt;&gt;"Clôturé"),"≤ 7 j",""))</f>
        <v/>
      </c>
      <c r="M1421" s="29">
        <f>IF($B1421="","",IFERROR(INDEX($T$4:$T$3183,MATCH(SMALL($V$4:$V$3183,1418),$V$4:$V$3183,0)),""))</f>
        <v/>
      </c>
      <c r="O1421">
        <f>IF(INDEX(Suivi!$B:$B,1448)="","",INDEX(Suivi!$B:$B,1448))</f>
        <v/>
      </c>
      <c r="P1421">
        <f>IF($O1421="","",IF(INDEX(Suivi!$D:$D,1448)="",INDEX(Suivi!$C:$C,1448),INDEX(Suivi!$D:$D,1448)))</f>
        <v/>
      </c>
      <c r="Q1421">
        <f>IF($O1421="","",INDEX(Suivi!$E:$E,1448))</f>
        <v/>
      </c>
      <c r="R1421">
        <f>IF($O1421="","",INDEX(Suivi!$F:$F,1448))</f>
        <v/>
      </c>
      <c r="S1421">
        <f>IF($O1421="","",INDEX(Suivi!$G:$G,1448))</f>
        <v/>
      </c>
      <c r="T1421">
        <f>IF($O1421="","",IF(INDEX(Dossiers!$F$4:$F$63,27)="","",INDEX(Dossiers!$F$4:$F$63,27)))</f>
        <v/>
      </c>
      <c r="U1421">
        <f>IF($O1421="","",IF(INDEX(Dossiers!$G$4:$G$63,27)="","",INDEX(Dossiers!$G$4:$G$63,27)))</f>
        <v/>
      </c>
      <c r="V1421">
        <f>IF(OR($O1421="",NOT(ISNUMBER($Q1421))),"",$Q1421*1000000+1421)</f>
        <v/>
      </c>
      <c r="W1421" s="29">
        <f>IF($B1421="","",IFERROR(INDEX($U$4:$U$3183,MATCH(SMALL($V$4:$V$3183,1418),$V$4:$V$3183,0)),""))</f>
        <v/>
      </c>
    </row>
    <row r="1422">
      <c r="A1422">
        <f>IFERROR(INDEX($N$4:$N$3183,MATCH(SMALL($V$4:$V$3183,1419),$V$4:$V$3183,0)),"")</f>
        <v/>
      </c>
      <c r="B1422">
        <f>IFERROR(INDEX($O$4:$O$3183,MATCH(SMALL($V$4:$V$3183,1419),$V$4:$V$3183,0)),"")</f>
        <v/>
      </c>
      <c r="C1422">
        <f>IFERROR(INDEX($P$4:$P$3183,MATCH(SMALL($V$4:$V$3183,1419),$V$4:$V$3183,0)),"")</f>
        <v/>
      </c>
      <c r="D1422" s="29">
        <f>IFERROR(INDEX($Q$4:$Q$3183,MATCH(SMALL($V$4:$V$3183,1419),$V$4:$V$3183,0)),"")</f>
        <v/>
      </c>
      <c r="E1422" s="29">
        <f>IFERROR(INDEX($R$4:$R$3183,MATCH(SMALL($V$4:$V$3183,1419),$V$4:$V$3183,0)),"")</f>
        <v/>
      </c>
      <c r="F1422">
        <f>IFERROR(INDEX($S$4:$S$3183,MATCH(SMALL($V$4:$V$3183,1419),$V$4:$V$3183,0)),"")</f>
        <v/>
      </c>
      <c r="I1422" s="29">
        <f>IF($B1422="","",IFERROR(INDEX($U$4:$U$3183,MATCH(SMALL($V$4:$V$3183,1419),$V$4:$V$3183,0)),""))</f>
        <v/>
      </c>
      <c r="J1422">
        <f>IF($B1422="","",IF($D1422&gt;$F$2,"À venir",IF($E1422&lt;$D$2,"Passé","Dans la période")))</f>
        <v/>
      </c>
      <c r="K1422">
        <f>IF(OR($B1422="",NOT(ISNUMBER($D1422))),"",IF(AND($E1422&lt;$D$2,$G1422&lt;&gt;"X",$F1422&lt;&gt;"Réalisé",$F1422&lt;&gt;"Clôturé"),"RETARD",""))</f>
        <v/>
      </c>
      <c r="L1422">
        <f>IF(OR($B1422="",NOT(ISNUMBER($D1422))),"",IF(AND($D1422&gt;=$D$2,$D1422&lt;=$H$2,$G1422&lt;&gt;"X",$F1422&lt;&gt;"Réalisé",$F1422&lt;&gt;"Clôturé"),"≤ 7 j",""))</f>
        <v/>
      </c>
      <c r="M1422" s="29">
        <f>IF($B1422="","",IFERROR(INDEX($T$4:$T$3183,MATCH(SMALL($V$4:$V$3183,1419),$V$4:$V$3183,0)),""))</f>
        <v/>
      </c>
      <c r="O1422">
        <f>IF(INDEX(Suivi!$B:$B,1449)="","",INDEX(Suivi!$B:$B,1449))</f>
        <v/>
      </c>
      <c r="P1422">
        <f>IF($O1422="","",IF(INDEX(Suivi!$D:$D,1449)="",INDEX(Suivi!$C:$C,1449),INDEX(Suivi!$D:$D,1449)))</f>
        <v/>
      </c>
      <c r="Q1422">
        <f>IF($O1422="","",INDEX(Suivi!$E:$E,1449))</f>
        <v/>
      </c>
      <c r="R1422">
        <f>IF($O1422="","",INDEX(Suivi!$F:$F,1449))</f>
        <v/>
      </c>
      <c r="S1422">
        <f>IF($O1422="","",INDEX(Suivi!$G:$G,1449))</f>
        <v/>
      </c>
      <c r="T1422">
        <f>IF($O1422="","",IF(INDEX(Dossiers!$F$4:$F$63,27)="","",INDEX(Dossiers!$F$4:$F$63,27)))</f>
        <v/>
      </c>
      <c r="U1422">
        <f>IF($O1422="","",IF(INDEX(Dossiers!$G$4:$G$63,27)="","",INDEX(Dossiers!$G$4:$G$63,27)))</f>
        <v/>
      </c>
      <c r="V1422">
        <f>IF(OR($O1422="",NOT(ISNUMBER($Q1422))),"",$Q1422*1000000+1422)</f>
        <v/>
      </c>
      <c r="W1422" s="29">
        <f>IF($B1422="","",IFERROR(INDEX($U$4:$U$3183,MATCH(SMALL($V$4:$V$3183,1419),$V$4:$V$3183,0)),""))</f>
        <v/>
      </c>
    </row>
    <row r="1423">
      <c r="A1423">
        <f>IFERROR(INDEX($N$4:$N$3183,MATCH(SMALL($V$4:$V$3183,1420),$V$4:$V$3183,0)),"")</f>
        <v/>
      </c>
      <c r="B1423">
        <f>IFERROR(INDEX($O$4:$O$3183,MATCH(SMALL($V$4:$V$3183,1420),$V$4:$V$3183,0)),"")</f>
        <v/>
      </c>
      <c r="C1423">
        <f>IFERROR(INDEX($P$4:$P$3183,MATCH(SMALL($V$4:$V$3183,1420),$V$4:$V$3183,0)),"")</f>
        <v/>
      </c>
      <c r="D1423" s="29">
        <f>IFERROR(INDEX($Q$4:$Q$3183,MATCH(SMALL($V$4:$V$3183,1420),$V$4:$V$3183,0)),"")</f>
        <v/>
      </c>
      <c r="E1423" s="29">
        <f>IFERROR(INDEX($R$4:$R$3183,MATCH(SMALL($V$4:$V$3183,1420),$V$4:$V$3183,0)),"")</f>
        <v/>
      </c>
      <c r="F1423">
        <f>IFERROR(INDEX($S$4:$S$3183,MATCH(SMALL($V$4:$V$3183,1420),$V$4:$V$3183,0)),"")</f>
        <v/>
      </c>
      <c r="I1423" s="29">
        <f>IF($B1423="","",IFERROR(INDEX($U$4:$U$3183,MATCH(SMALL($V$4:$V$3183,1420),$V$4:$V$3183,0)),""))</f>
        <v/>
      </c>
      <c r="J1423">
        <f>IF($B1423="","",IF($D1423&gt;$F$2,"À venir",IF($E1423&lt;$D$2,"Passé","Dans la période")))</f>
        <v/>
      </c>
      <c r="K1423">
        <f>IF(OR($B1423="",NOT(ISNUMBER($D1423))),"",IF(AND($E1423&lt;$D$2,$G1423&lt;&gt;"X",$F1423&lt;&gt;"Réalisé",$F1423&lt;&gt;"Clôturé"),"RETARD",""))</f>
        <v/>
      </c>
      <c r="L1423">
        <f>IF(OR($B1423="",NOT(ISNUMBER($D1423))),"",IF(AND($D1423&gt;=$D$2,$D1423&lt;=$H$2,$G1423&lt;&gt;"X",$F1423&lt;&gt;"Réalisé",$F1423&lt;&gt;"Clôturé"),"≤ 7 j",""))</f>
        <v/>
      </c>
      <c r="M1423" s="29">
        <f>IF($B1423="","",IFERROR(INDEX($T$4:$T$3183,MATCH(SMALL($V$4:$V$3183,1420),$V$4:$V$3183,0)),""))</f>
        <v/>
      </c>
      <c r="O1423">
        <f>IF(INDEX(Suivi!$B:$B,1450)="","",INDEX(Suivi!$B:$B,1450))</f>
        <v/>
      </c>
      <c r="P1423">
        <f>IF($O1423="","",IF(INDEX(Suivi!$D:$D,1450)="",INDEX(Suivi!$C:$C,1450),INDEX(Suivi!$D:$D,1450)))</f>
        <v/>
      </c>
      <c r="Q1423">
        <f>IF($O1423="","",INDEX(Suivi!$E:$E,1450))</f>
        <v/>
      </c>
      <c r="R1423">
        <f>IF($O1423="","",INDEX(Suivi!$F:$F,1450))</f>
        <v/>
      </c>
      <c r="S1423">
        <f>IF($O1423="","",INDEX(Suivi!$G:$G,1450))</f>
        <v/>
      </c>
      <c r="T1423">
        <f>IF($O1423="","",IF(INDEX(Dossiers!$F$4:$F$63,27)="","",INDEX(Dossiers!$F$4:$F$63,27)))</f>
        <v/>
      </c>
      <c r="U1423">
        <f>IF($O1423="","",IF(INDEX(Dossiers!$G$4:$G$63,27)="","",INDEX(Dossiers!$G$4:$G$63,27)))</f>
        <v/>
      </c>
      <c r="V1423">
        <f>IF(OR($O1423="",NOT(ISNUMBER($Q1423))),"",$Q1423*1000000+1423)</f>
        <v/>
      </c>
      <c r="W1423" s="29">
        <f>IF($B1423="","",IFERROR(INDEX($U$4:$U$3183,MATCH(SMALL($V$4:$V$3183,1420),$V$4:$V$3183,0)),""))</f>
        <v/>
      </c>
    </row>
    <row r="1424">
      <c r="A1424">
        <f>IFERROR(INDEX($N$4:$N$3183,MATCH(SMALL($V$4:$V$3183,1421),$V$4:$V$3183,0)),"")</f>
        <v/>
      </c>
      <c r="B1424">
        <f>IFERROR(INDEX($O$4:$O$3183,MATCH(SMALL($V$4:$V$3183,1421),$V$4:$V$3183,0)),"")</f>
        <v/>
      </c>
      <c r="C1424">
        <f>IFERROR(INDEX($P$4:$P$3183,MATCH(SMALL($V$4:$V$3183,1421),$V$4:$V$3183,0)),"")</f>
        <v/>
      </c>
      <c r="D1424" s="29">
        <f>IFERROR(INDEX($Q$4:$Q$3183,MATCH(SMALL($V$4:$V$3183,1421),$V$4:$V$3183,0)),"")</f>
        <v/>
      </c>
      <c r="E1424" s="29">
        <f>IFERROR(INDEX($R$4:$R$3183,MATCH(SMALL($V$4:$V$3183,1421),$V$4:$V$3183,0)),"")</f>
        <v/>
      </c>
      <c r="F1424">
        <f>IFERROR(INDEX($S$4:$S$3183,MATCH(SMALL($V$4:$V$3183,1421),$V$4:$V$3183,0)),"")</f>
        <v/>
      </c>
      <c r="I1424" s="29">
        <f>IF($B1424="","",IFERROR(INDEX($U$4:$U$3183,MATCH(SMALL($V$4:$V$3183,1421),$V$4:$V$3183,0)),""))</f>
        <v/>
      </c>
      <c r="J1424">
        <f>IF($B1424="","",IF($D1424&gt;$F$2,"À venir",IF($E1424&lt;$D$2,"Passé","Dans la période")))</f>
        <v/>
      </c>
      <c r="K1424">
        <f>IF(OR($B1424="",NOT(ISNUMBER($D1424))),"",IF(AND($E1424&lt;$D$2,$G1424&lt;&gt;"X",$F1424&lt;&gt;"Réalisé",$F1424&lt;&gt;"Clôturé"),"RETARD",""))</f>
        <v/>
      </c>
      <c r="L1424">
        <f>IF(OR($B1424="",NOT(ISNUMBER($D1424))),"",IF(AND($D1424&gt;=$D$2,$D1424&lt;=$H$2,$G1424&lt;&gt;"X",$F1424&lt;&gt;"Réalisé",$F1424&lt;&gt;"Clôturé"),"≤ 7 j",""))</f>
        <v/>
      </c>
      <c r="M1424" s="29">
        <f>IF($B1424="","",IFERROR(INDEX($T$4:$T$3183,MATCH(SMALL($V$4:$V$3183,1421),$V$4:$V$3183,0)),""))</f>
        <v/>
      </c>
      <c r="O1424">
        <f>IF(INDEX(Suivi!$B:$B,1451)="","",INDEX(Suivi!$B:$B,1451))</f>
        <v/>
      </c>
      <c r="P1424">
        <f>IF($O1424="","",IF(INDEX(Suivi!$D:$D,1451)="",INDEX(Suivi!$C:$C,1451),INDEX(Suivi!$D:$D,1451)))</f>
        <v/>
      </c>
      <c r="Q1424">
        <f>IF($O1424="","",INDEX(Suivi!$E:$E,1451))</f>
        <v/>
      </c>
      <c r="R1424">
        <f>IF($O1424="","",INDEX(Suivi!$F:$F,1451))</f>
        <v/>
      </c>
      <c r="S1424">
        <f>IF($O1424="","",INDEX(Suivi!$G:$G,1451))</f>
        <v/>
      </c>
      <c r="T1424">
        <f>IF($O1424="","",IF(INDEX(Dossiers!$F$4:$F$63,27)="","",INDEX(Dossiers!$F$4:$F$63,27)))</f>
        <v/>
      </c>
      <c r="U1424">
        <f>IF($O1424="","",IF(INDEX(Dossiers!$G$4:$G$63,27)="","",INDEX(Dossiers!$G$4:$G$63,27)))</f>
        <v/>
      </c>
      <c r="V1424">
        <f>IF(OR($O1424="",NOT(ISNUMBER($Q1424))),"",$Q1424*1000000+1424)</f>
        <v/>
      </c>
      <c r="W1424" s="29">
        <f>IF($B1424="","",IFERROR(INDEX($U$4:$U$3183,MATCH(SMALL($V$4:$V$3183,1421),$V$4:$V$3183,0)),""))</f>
        <v/>
      </c>
    </row>
    <row r="1425">
      <c r="A1425">
        <f>IFERROR(INDEX($N$4:$N$3183,MATCH(SMALL($V$4:$V$3183,1422),$V$4:$V$3183,0)),"")</f>
        <v/>
      </c>
      <c r="B1425">
        <f>IFERROR(INDEX($O$4:$O$3183,MATCH(SMALL($V$4:$V$3183,1422),$V$4:$V$3183,0)),"")</f>
        <v/>
      </c>
      <c r="C1425">
        <f>IFERROR(INDEX($P$4:$P$3183,MATCH(SMALL($V$4:$V$3183,1422),$V$4:$V$3183,0)),"")</f>
        <v/>
      </c>
      <c r="D1425" s="29">
        <f>IFERROR(INDEX($Q$4:$Q$3183,MATCH(SMALL($V$4:$V$3183,1422),$V$4:$V$3183,0)),"")</f>
        <v/>
      </c>
      <c r="E1425" s="29">
        <f>IFERROR(INDEX($R$4:$R$3183,MATCH(SMALL($V$4:$V$3183,1422),$V$4:$V$3183,0)),"")</f>
        <v/>
      </c>
      <c r="F1425">
        <f>IFERROR(INDEX($S$4:$S$3183,MATCH(SMALL($V$4:$V$3183,1422),$V$4:$V$3183,0)),"")</f>
        <v/>
      </c>
      <c r="I1425" s="29">
        <f>IF($B1425="","",IFERROR(INDEX($U$4:$U$3183,MATCH(SMALL($V$4:$V$3183,1422),$V$4:$V$3183,0)),""))</f>
        <v/>
      </c>
      <c r="J1425">
        <f>IF($B1425="","",IF($D1425&gt;$F$2,"À venir",IF($E1425&lt;$D$2,"Passé","Dans la période")))</f>
        <v/>
      </c>
      <c r="K1425">
        <f>IF(OR($B1425="",NOT(ISNUMBER($D1425))),"",IF(AND($E1425&lt;$D$2,$G1425&lt;&gt;"X",$F1425&lt;&gt;"Réalisé",$F1425&lt;&gt;"Clôturé"),"RETARD",""))</f>
        <v/>
      </c>
      <c r="L1425">
        <f>IF(OR($B1425="",NOT(ISNUMBER($D1425))),"",IF(AND($D1425&gt;=$D$2,$D1425&lt;=$H$2,$G1425&lt;&gt;"X",$F1425&lt;&gt;"Réalisé",$F1425&lt;&gt;"Clôturé"),"≤ 7 j",""))</f>
        <v/>
      </c>
      <c r="M1425" s="29">
        <f>IF($B1425="","",IFERROR(INDEX($T$4:$T$3183,MATCH(SMALL($V$4:$V$3183,1422),$V$4:$V$3183,0)),""))</f>
        <v/>
      </c>
      <c r="O1425">
        <f>IF(INDEX(Suivi!$B:$B,1452)="","",INDEX(Suivi!$B:$B,1452))</f>
        <v/>
      </c>
      <c r="P1425">
        <f>IF($O1425="","",IF(INDEX(Suivi!$D:$D,1452)="",INDEX(Suivi!$C:$C,1452),INDEX(Suivi!$D:$D,1452)))</f>
        <v/>
      </c>
      <c r="Q1425">
        <f>IF($O1425="","",INDEX(Suivi!$E:$E,1452))</f>
        <v/>
      </c>
      <c r="R1425">
        <f>IF($O1425="","",INDEX(Suivi!$F:$F,1452))</f>
        <v/>
      </c>
      <c r="S1425">
        <f>IF($O1425="","",INDEX(Suivi!$G:$G,1452))</f>
        <v/>
      </c>
      <c r="T1425">
        <f>IF($O1425="","",IF(INDEX(Dossiers!$F$4:$F$63,27)="","",INDEX(Dossiers!$F$4:$F$63,27)))</f>
        <v/>
      </c>
      <c r="U1425">
        <f>IF($O1425="","",IF(INDEX(Dossiers!$G$4:$G$63,27)="","",INDEX(Dossiers!$G$4:$G$63,27)))</f>
        <v/>
      </c>
      <c r="V1425">
        <f>IF(OR($O1425="",NOT(ISNUMBER($Q1425))),"",$Q1425*1000000+1425)</f>
        <v/>
      </c>
      <c r="W1425" s="29">
        <f>IF($B1425="","",IFERROR(INDEX($U$4:$U$3183,MATCH(SMALL($V$4:$V$3183,1422),$V$4:$V$3183,0)),""))</f>
        <v/>
      </c>
    </row>
    <row r="1426">
      <c r="A1426">
        <f>IFERROR(INDEX($N$4:$N$3183,MATCH(SMALL($V$4:$V$3183,1423),$V$4:$V$3183,0)),"")</f>
        <v/>
      </c>
      <c r="B1426">
        <f>IFERROR(INDEX($O$4:$O$3183,MATCH(SMALL($V$4:$V$3183,1423),$V$4:$V$3183,0)),"")</f>
        <v/>
      </c>
      <c r="C1426">
        <f>IFERROR(INDEX($P$4:$P$3183,MATCH(SMALL($V$4:$V$3183,1423),$V$4:$V$3183,0)),"")</f>
        <v/>
      </c>
      <c r="D1426" s="29">
        <f>IFERROR(INDEX($Q$4:$Q$3183,MATCH(SMALL($V$4:$V$3183,1423),$V$4:$V$3183,0)),"")</f>
        <v/>
      </c>
      <c r="E1426" s="29">
        <f>IFERROR(INDEX($R$4:$R$3183,MATCH(SMALL($V$4:$V$3183,1423),$V$4:$V$3183,0)),"")</f>
        <v/>
      </c>
      <c r="F1426">
        <f>IFERROR(INDEX($S$4:$S$3183,MATCH(SMALL($V$4:$V$3183,1423),$V$4:$V$3183,0)),"")</f>
        <v/>
      </c>
      <c r="I1426" s="29">
        <f>IF($B1426="","",IFERROR(INDEX($U$4:$U$3183,MATCH(SMALL($V$4:$V$3183,1423),$V$4:$V$3183,0)),""))</f>
        <v/>
      </c>
      <c r="J1426">
        <f>IF($B1426="","",IF($D1426&gt;$F$2,"À venir",IF($E1426&lt;$D$2,"Passé","Dans la période")))</f>
        <v/>
      </c>
      <c r="K1426">
        <f>IF(OR($B1426="",NOT(ISNUMBER($D1426))),"",IF(AND($E1426&lt;$D$2,$G1426&lt;&gt;"X",$F1426&lt;&gt;"Réalisé",$F1426&lt;&gt;"Clôturé"),"RETARD",""))</f>
        <v/>
      </c>
      <c r="L1426">
        <f>IF(OR($B1426="",NOT(ISNUMBER($D1426))),"",IF(AND($D1426&gt;=$D$2,$D1426&lt;=$H$2,$G1426&lt;&gt;"X",$F1426&lt;&gt;"Réalisé",$F1426&lt;&gt;"Clôturé"),"≤ 7 j",""))</f>
        <v/>
      </c>
      <c r="M1426" s="29">
        <f>IF($B1426="","",IFERROR(INDEX($T$4:$T$3183,MATCH(SMALL($V$4:$V$3183,1423),$V$4:$V$3183,0)),""))</f>
        <v/>
      </c>
      <c r="O1426">
        <f>IF(INDEX(Suivi!$B:$B,1453)="","",INDEX(Suivi!$B:$B,1453))</f>
        <v/>
      </c>
      <c r="P1426">
        <f>IF($O1426="","",IF(INDEX(Suivi!$D:$D,1453)="",INDEX(Suivi!$C:$C,1453),INDEX(Suivi!$D:$D,1453)))</f>
        <v/>
      </c>
      <c r="Q1426">
        <f>IF($O1426="","",INDEX(Suivi!$E:$E,1453))</f>
        <v/>
      </c>
      <c r="R1426">
        <f>IF($O1426="","",INDEX(Suivi!$F:$F,1453))</f>
        <v/>
      </c>
      <c r="S1426">
        <f>IF($O1426="","",INDEX(Suivi!$G:$G,1453))</f>
        <v/>
      </c>
      <c r="T1426">
        <f>IF($O1426="","",IF(INDEX(Dossiers!$F$4:$F$63,27)="","",INDEX(Dossiers!$F$4:$F$63,27)))</f>
        <v/>
      </c>
      <c r="U1426">
        <f>IF($O1426="","",IF(INDEX(Dossiers!$G$4:$G$63,27)="","",INDEX(Dossiers!$G$4:$G$63,27)))</f>
        <v/>
      </c>
      <c r="V1426">
        <f>IF(OR($O1426="",NOT(ISNUMBER($Q1426))),"",$Q1426*1000000+1426)</f>
        <v/>
      </c>
      <c r="W1426" s="29">
        <f>IF($B1426="","",IFERROR(INDEX($U$4:$U$3183,MATCH(SMALL($V$4:$V$3183,1423),$V$4:$V$3183,0)),""))</f>
        <v/>
      </c>
    </row>
    <row r="1427">
      <c r="A1427">
        <f>IFERROR(INDEX($N$4:$N$3183,MATCH(SMALL($V$4:$V$3183,1424),$V$4:$V$3183,0)),"")</f>
        <v/>
      </c>
      <c r="B1427">
        <f>IFERROR(INDEX($O$4:$O$3183,MATCH(SMALL($V$4:$V$3183,1424),$V$4:$V$3183,0)),"")</f>
        <v/>
      </c>
      <c r="C1427">
        <f>IFERROR(INDEX($P$4:$P$3183,MATCH(SMALL($V$4:$V$3183,1424),$V$4:$V$3183,0)),"")</f>
        <v/>
      </c>
      <c r="D1427" s="29">
        <f>IFERROR(INDEX($Q$4:$Q$3183,MATCH(SMALL($V$4:$V$3183,1424),$V$4:$V$3183,0)),"")</f>
        <v/>
      </c>
      <c r="E1427" s="29">
        <f>IFERROR(INDEX($R$4:$R$3183,MATCH(SMALL($V$4:$V$3183,1424),$V$4:$V$3183,0)),"")</f>
        <v/>
      </c>
      <c r="F1427">
        <f>IFERROR(INDEX($S$4:$S$3183,MATCH(SMALL($V$4:$V$3183,1424),$V$4:$V$3183,0)),"")</f>
        <v/>
      </c>
      <c r="I1427" s="29">
        <f>IF($B1427="","",IFERROR(INDEX($U$4:$U$3183,MATCH(SMALL($V$4:$V$3183,1424),$V$4:$V$3183,0)),""))</f>
        <v/>
      </c>
      <c r="J1427">
        <f>IF($B1427="","",IF($D1427&gt;$F$2,"À venir",IF($E1427&lt;$D$2,"Passé","Dans la période")))</f>
        <v/>
      </c>
      <c r="K1427">
        <f>IF(OR($B1427="",NOT(ISNUMBER($D1427))),"",IF(AND($E1427&lt;$D$2,$G1427&lt;&gt;"X",$F1427&lt;&gt;"Réalisé",$F1427&lt;&gt;"Clôturé"),"RETARD",""))</f>
        <v/>
      </c>
      <c r="L1427">
        <f>IF(OR($B1427="",NOT(ISNUMBER($D1427))),"",IF(AND($D1427&gt;=$D$2,$D1427&lt;=$H$2,$G1427&lt;&gt;"X",$F1427&lt;&gt;"Réalisé",$F1427&lt;&gt;"Clôturé"),"≤ 7 j",""))</f>
        <v/>
      </c>
      <c r="M1427" s="29">
        <f>IF($B1427="","",IFERROR(INDEX($T$4:$T$3183,MATCH(SMALL($V$4:$V$3183,1424),$V$4:$V$3183,0)),""))</f>
        <v/>
      </c>
      <c r="O1427">
        <f>IF(INDEX(Suivi!$B:$B,1454)="","",INDEX(Suivi!$B:$B,1454))</f>
        <v/>
      </c>
      <c r="P1427">
        <f>IF($O1427="","",IF(INDEX(Suivi!$D:$D,1454)="",INDEX(Suivi!$C:$C,1454),INDEX(Suivi!$D:$D,1454)))</f>
        <v/>
      </c>
      <c r="Q1427">
        <f>IF($O1427="","",INDEX(Suivi!$E:$E,1454))</f>
        <v/>
      </c>
      <c r="R1427">
        <f>IF($O1427="","",INDEX(Suivi!$F:$F,1454))</f>
        <v/>
      </c>
      <c r="S1427">
        <f>IF($O1427="","",INDEX(Suivi!$G:$G,1454))</f>
        <v/>
      </c>
      <c r="T1427">
        <f>IF($O1427="","",IF(INDEX(Dossiers!$F$4:$F$63,27)="","",INDEX(Dossiers!$F$4:$F$63,27)))</f>
        <v/>
      </c>
      <c r="U1427">
        <f>IF($O1427="","",IF(INDEX(Dossiers!$G$4:$G$63,27)="","",INDEX(Dossiers!$G$4:$G$63,27)))</f>
        <v/>
      </c>
      <c r="V1427">
        <f>IF(OR($O1427="",NOT(ISNUMBER($Q1427))),"",$Q1427*1000000+1427)</f>
        <v/>
      </c>
      <c r="W1427" s="29">
        <f>IF($B1427="","",IFERROR(INDEX($U$4:$U$3183,MATCH(SMALL($V$4:$V$3183,1424),$V$4:$V$3183,0)),""))</f>
        <v/>
      </c>
    </row>
    <row r="1428">
      <c r="A1428">
        <f>IFERROR(INDEX($N$4:$N$3183,MATCH(SMALL($V$4:$V$3183,1425),$V$4:$V$3183,0)),"")</f>
        <v/>
      </c>
      <c r="B1428">
        <f>IFERROR(INDEX($O$4:$O$3183,MATCH(SMALL($V$4:$V$3183,1425),$V$4:$V$3183,0)),"")</f>
        <v/>
      </c>
      <c r="C1428">
        <f>IFERROR(INDEX($P$4:$P$3183,MATCH(SMALL($V$4:$V$3183,1425),$V$4:$V$3183,0)),"")</f>
        <v/>
      </c>
      <c r="D1428" s="29">
        <f>IFERROR(INDEX($Q$4:$Q$3183,MATCH(SMALL($V$4:$V$3183,1425),$V$4:$V$3183,0)),"")</f>
        <v/>
      </c>
      <c r="E1428" s="29">
        <f>IFERROR(INDEX($R$4:$R$3183,MATCH(SMALL($V$4:$V$3183,1425),$V$4:$V$3183,0)),"")</f>
        <v/>
      </c>
      <c r="F1428">
        <f>IFERROR(INDEX($S$4:$S$3183,MATCH(SMALL($V$4:$V$3183,1425),$V$4:$V$3183,0)),"")</f>
        <v/>
      </c>
      <c r="I1428" s="29">
        <f>IF($B1428="","",IFERROR(INDEX($U$4:$U$3183,MATCH(SMALL($V$4:$V$3183,1425),$V$4:$V$3183,0)),""))</f>
        <v/>
      </c>
      <c r="J1428">
        <f>IF($B1428="","",IF($D1428&gt;$F$2,"À venir",IF($E1428&lt;$D$2,"Passé","Dans la période")))</f>
        <v/>
      </c>
      <c r="K1428">
        <f>IF(OR($B1428="",NOT(ISNUMBER($D1428))),"",IF(AND($E1428&lt;$D$2,$G1428&lt;&gt;"X",$F1428&lt;&gt;"Réalisé",$F1428&lt;&gt;"Clôturé"),"RETARD",""))</f>
        <v/>
      </c>
      <c r="L1428">
        <f>IF(OR($B1428="",NOT(ISNUMBER($D1428))),"",IF(AND($D1428&gt;=$D$2,$D1428&lt;=$H$2,$G1428&lt;&gt;"X",$F1428&lt;&gt;"Réalisé",$F1428&lt;&gt;"Clôturé"),"≤ 7 j",""))</f>
        <v/>
      </c>
      <c r="M1428" s="29">
        <f>IF($B1428="","",IFERROR(INDEX($T$4:$T$3183,MATCH(SMALL($V$4:$V$3183,1425),$V$4:$V$3183,0)),""))</f>
        <v/>
      </c>
      <c r="O1428">
        <f>IF(INDEX(Suivi!$B:$B,1455)="","",INDEX(Suivi!$B:$B,1455))</f>
        <v/>
      </c>
      <c r="P1428">
        <f>IF($O1428="","",IF(INDEX(Suivi!$D:$D,1455)="",INDEX(Suivi!$C:$C,1455),INDEX(Suivi!$D:$D,1455)))</f>
        <v/>
      </c>
      <c r="Q1428">
        <f>IF($O1428="","",INDEX(Suivi!$E:$E,1455))</f>
        <v/>
      </c>
      <c r="R1428">
        <f>IF($O1428="","",INDEX(Suivi!$F:$F,1455))</f>
        <v/>
      </c>
      <c r="S1428">
        <f>IF($O1428="","",INDEX(Suivi!$G:$G,1455))</f>
        <v/>
      </c>
      <c r="T1428">
        <f>IF($O1428="","",IF(INDEX(Dossiers!$F$4:$F$63,27)="","",INDEX(Dossiers!$F$4:$F$63,27)))</f>
        <v/>
      </c>
      <c r="U1428">
        <f>IF($O1428="","",IF(INDEX(Dossiers!$G$4:$G$63,27)="","",INDEX(Dossiers!$G$4:$G$63,27)))</f>
        <v/>
      </c>
      <c r="V1428">
        <f>IF(OR($O1428="",NOT(ISNUMBER($Q1428))),"",$Q1428*1000000+1428)</f>
        <v/>
      </c>
      <c r="W1428" s="29">
        <f>IF($B1428="","",IFERROR(INDEX($U$4:$U$3183,MATCH(SMALL($V$4:$V$3183,1425),$V$4:$V$3183,0)),""))</f>
        <v/>
      </c>
    </row>
    <row r="1429">
      <c r="A1429">
        <f>IFERROR(INDEX($N$4:$N$3183,MATCH(SMALL($V$4:$V$3183,1426),$V$4:$V$3183,0)),"")</f>
        <v/>
      </c>
      <c r="B1429">
        <f>IFERROR(INDEX($O$4:$O$3183,MATCH(SMALL($V$4:$V$3183,1426),$V$4:$V$3183,0)),"")</f>
        <v/>
      </c>
      <c r="C1429">
        <f>IFERROR(INDEX($P$4:$P$3183,MATCH(SMALL($V$4:$V$3183,1426),$V$4:$V$3183,0)),"")</f>
        <v/>
      </c>
      <c r="D1429" s="29">
        <f>IFERROR(INDEX($Q$4:$Q$3183,MATCH(SMALL($V$4:$V$3183,1426),$V$4:$V$3183,0)),"")</f>
        <v/>
      </c>
      <c r="E1429" s="29">
        <f>IFERROR(INDEX($R$4:$R$3183,MATCH(SMALL($V$4:$V$3183,1426),$V$4:$V$3183,0)),"")</f>
        <v/>
      </c>
      <c r="F1429">
        <f>IFERROR(INDEX($S$4:$S$3183,MATCH(SMALL($V$4:$V$3183,1426),$V$4:$V$3183,0)),"")</f>
        <v/>
      </c>
      <c r="I1429" s="29">
        <f>IF($B1429="","",IFERROR(INDEX($U$4:$U$3183,MATCH(SMALL($V$4:$V$3183,1426),$V$4:$V$3183,0)),""))</f>
        <v/>
      </c>
      <c r="J1429">
        <f>IF($B1429="","",IF($D1429&gt;$F$2,"À venir",IF($E1429&lt;$D$2,"Passé","Dans la période")))</f>
        <v/>
      </c>
      <c r="K1429">
        <f>IF(OR($B1429="",NOT(ISNUMBER($D1429))),"",IF(AND($E1429&lt;$D$2,$G1429&lt;&gt;"X",$F1429&lt;&gt;"Réalisé",$F1429&lt;&gt;"Clôturé"),"RETARD",""))</f>
        <v/>
      </c>
      <c r="L1429">
        <f>IF(OR($B1429="",NOT(ISNUMBER($D1429))),"",IF(AND($D1429&gt;=$D$2,$D1429&lt;=$H$2,$G1429&lt;&gt;"X",$F1429&lt;&gt;"Réalisé",$F1429&lt;&gt;"Clôturé"),"≤ 7 j",""))</f>
        <v/>
      </c>
      <c r="M1429" s="29">
        <f>IF($B1429="","",IFERROR(INDEX($T$4:$T$3183,MATCH(SMALL($V$4:$V$3183,1426),$V$4:$V$3183,0)),""))</f>
        <v/>
      </c>
      <c r="O1429">
        <f>IF(INDEX(Suivi!$B:$B,1456)="","",INDEX(Suivi!$B:$B,1456))</f>
        <v/>
      </c>
      <c r="P1429">
        <f>IF($O1429="","",IF(INDEX(Suivi!$D:$D,1456)="",INDEX(Suivi!$C:$C,1456),INDEX(Suivi!$D:$D,1456)))</f>
        <v/>
      </c>
      <c r="Q1429">
        <f>IF($O1429="","",INDEX(Suivi!$E:$E,1456))</f>
        <v/>
      </c>
      <c r="R1429">
        <f>IF($O1429="","",INDEX(Suivi!$F:$F,1456))</f>
        <v/>
      </c>
      <c r="S1429">
        <f>IF($O1429="","",INDEX(Suivi!$G:$G,1456))</f>
        <v/>
      </c>
      <c r="T1429">
        <f>IF($O1429="","",IF(INDEX(Dossiers!$F$4:$F$63,27)="","",INDEX(Dossiers!$F$4:$F$63,27)))</f>
        <v/>
      </c>
      <c r="U1429">
        <f>IF($O1429="","",IF(INDEX(Dossiers!$G$4:$G$63,27)="","",INDEX(Dossiers!$G$4:$G$63,27)))</f>
        <v/>
      </c>
      <c r="V1429">
        <f>IF(OR($O1429="",NOT(ISNUMBER($Q1429))),"",$Q1429*1000000+1429)</f>
        <v/>
      </c>
      <c r="W1429" s="29">
        <f>IF($B1429="","",IFERROR(INDEX($U$4:$U$3183,MATCH(SMALL($V$4:$V$3183,1426),$V$4:$V$3183,0)),""))</f>
        <v/>
      </c>
    </row>
    <row r="1430">
      <c r="A1430">
        <f>IFERROR(INDEX($N$4:$N$3183,MATCH(SMALL($V$4:$V$3183,1427),$V$4:$V$3183,0)),"")</f>
        <v/>
      </c>
      <c r="B1430">
        <f>IFERROR(INDEX($O$4:$O$3183,MATCH(SMALL($V$4:$V$3183,1427),$V$4:$V$3183,0)),"")</f>
        <v/>
      </c>
      <c r="C1430">
        <f>IFERROR(INDEX($P$4:$P$3183,MATCH(SMALL($V$4:$V$3183,1427),$V$4:$V$3183,0)),"")</f>
        <v/>
      </c>
      <c r="D1430" s="29">
        <f>IFERROR(INDEX($Q$4:$Q$3183,MATCH(SMALL($V$4:$V$3183,1427),$V$4:$V$3183,0)),"")</f>
        <v/>
      </c>
      <c r="E1430" s="29">
        <f>IFERROR(INDEX($R$4:$R$3183,MATCH(SMALL($V$4:$V$3183,1427),$V$4:$V$3183,0)),"")</f>
        <v/>
      </c>
      <c r="F1430">
        <f>IFERROR(INDEX($S$4:$S$3183,MATCH(SMALL($V$4:$V$3183,1427),$V$4:$V$3183,0)),"")</f>
        <v/>
      </c>
      <c r="I1430" s="29">
        <f>IF($B1430="","",IFERROR(INDEX($U$4:$U$3183,MATCH(SMALL($V$4:$V$3183,1427),$V$4:$V$3183,0)),""))</f>
        <v/>
      </c>
      <c r="J1430">
        <f>IF($B1430="","",IF($D1430&gt;$F$2,"À venir",IF($E1430&lt;$D$2,"Passé","Dans la période")))</f>
        <v/>
      </c>
      <c r="K1430">
        <f>IF(OR($B1430="",NOT(ISNUMBER($D1430))),"",IF(AND($E1430&lt;$D$2,$G1430&lt;&gt;"X",$F1430&lt;&gt;"Réalisé",$F1430&lt;&gt;"Clôturé"),"RETARD",""))</f>
        <v/>
      </c>
      <c r="L1430">
        <f>IF(OR($B1430="",NOT(ISNUMBER($D1430))),"",IF(AND($D1430&gt;=$D$2,$D1430&lt;=$H$2,$G1430&lt;&gt;"X",$F1430&lt;&gt;"Réalisé",$F1430&lt;&gt;"Clôturé"),"≤ 7 j",""))</f>
        <v/>
      </c>
      <c r="M1430" s="29">
        <f>IF($B1430="","",IFERROR(INDEX($T$4:$T$3183,MATCH(SMALL($V$4:$V$3183,1427),$V$4:$V$3183,0)),""))</f>
        <v/>
      </c>
      <c r="O1430">
        <f>IF(INDEX(Suivi!$B:$B,1457)="","",INDEX(Suivi!$B:$B,1457))</f>
        <v/>
      </c>
      <c r="P1430">
        <f>IF($O1430="","",IF(INDEX(Suivi!$D:$D,1457)="",INDEX(Suivi!$C:$C,1457),INDEX(Suivi!$D:$D,1457)))</f>
        <v/>
      </c>
      <c r="Q1430">
        <f>IF($O1430="","",INDEX(Suivi!$E:$E,1457))</f>
        <v/>
      </c>
      <c r="R1430">
        <f>IF($O1430="","",INDEX(Suivi!$F:$F,1457))</f>
        <v/>
      </c>
      <c r="S1430">
        <f>IF($O1430="","",INDEX(Suivi!$G:$G,1457))</f>
        <v/>
      </c>
      <c r="T1430">
        <f>IF($O1430="","",IF(INDEX(Dossiers!$F$4:$F$63,27)="","",INDEX(Dossiers!$F$4:$F$63,27)))</f>
        <v/>
      </c>
      <c r="U1430">
        <f>IF($O1430="","",IF(INDEX(Dossiers!$G$4:$G$63,27)="","",INDEX(Dossiers!$G$4:$G$63,27)))</f>
        <v/>
      </c>
      <c r="V1430">
        <f>IF(OR($O1430="",NOT(ISNUMBER($Q1430))),"",$Q1430*1000000+1430)</f>
        <v/>
      </c>
      <c r="W1430" s="29">
        <f>IF($B1430="","",IFERROR(INDEX($U$4:$U$3183,MATCH(SMALL($V$4:$V$3183,1427),$V$4:$V$3183,0)),""))</f>
        <v/>
      </c>
    </row>
    <row r="1431">
      <c r="A1431">
        <f>IFERROR(INDEX($N$4:$N$3183,MATCH(SMALL($V$4:$V$3183,1428),$V$4:$V$3183,0)),"")</f>
        <v/>
      </c>
      <c r="B1431">
        <f>IFERROR(INDEX($O$4:$O$3183,MATCH(SMALL($V$4:$V$3183,1428),$V$4:$V$3183,0)),"")</f>
        <v/>
      </c>
      <c r="C1431">
        <f>IFERROR(INDEX($P$4:$P$3183,MATCH(SMALL($V$4:$V$3183,1428),$V$4:$V$3183,0)),"")</f>
        <v/>
      </c>
      <c r="D1431" s="29">
        <f>IFERROR(INDEX($Q$4:$Q$3183,MATCH(SMALL($V$4:$V$3183,1428),$V$4:$V$3183,0)),"")</f>
        <v/>
      </c>
      <c r="E1431" s="29">
        <f>IFERROR(INDEX($R$4:$R$3183,MATCH(SMALL($V$4:$V$3183,1428),$V$4:$V$3183,0)),"")</f>
        <v/>
      </c>
      <c r="F1431">
        <f>IFERROR(INDEX($S$4:$S$3183,MATCH(SMALL($V$4:$V$3183,1428),$V$4:$V$3183,0)),"")</f>
        <v/>
      </c>
      <c r="I1431" s="29">
        <f>IF($B1431="","",IFERROR(INDEX($U$4:$U$3183,MATCH(SMALL($V$4:$V$3183,1428),$V$4:$V$3183,0)),""))</f>
        <v/>
      </c>
      <c r="J1431">
        <f>IF($B1431="","",IF($D1431&gt;$F$2,"À venir",IF($E1431&lt;$D$2,"Passé","Dans la période")))</f>
        <v/>
      </c>
      <c r="K1431">
        <f>IF(OR($B1431="",NOT(ISNUMBER($D1431))),"",IF(AND($E1431&lt;$D$2,$G1431&lt;&gt;"X",$F1431&lt;&gt;"Réalisé",$F1431&lt;&gt;"Clôturé"),"RETARD",""))</f>
        <v/>
      </c>
      <c r="L1431">
        <f>IF(OR($B1431="",NOT(ISNUMBER($D1431))),"",IF(AND($D1431&gt;=$D$2,$D1431&lt;=$H$2,$G1431&lt;&gt;"X",$F1431&lt;&gt;"Réalisé",$F1431&lt;&gt;"Clôturé"),"≤ 7 j",""))</f>
        <v/>
      </c>
      <c r="M1431" s="29">
        <f>IF($B1431="","",IFERROR(INDEX($T$4:$T$3183,MATCH(SMALL($V$4:$V$3183,1428),$V$4:$V$3183,0)),""))</f>
        <v/>
      </c>
      <c r="O1431">
        <f>IF(INDEX(Suivi!$B:$B,1458)="","",INDEX(Suivi!$B:$B,1458))</f>
        <v/>
      </c>
      <c r="P1431">
        <f>IF($O1431="","",IF(INDEX(Suivi!$D:$D,1458)="",INDEX(Suivi!$C:$C,1458),INDEX(Suivi!$D:$D,1458)))</f>
        <v/>
      </c>
      <c r="Q1431">
        <f>IF($O1431="","",INDEX(Suivi!$E:$E,1458))</f>
        <v/>
      </c>
      <c r="R1431">
        <f>IF($O1431="","",INDEX(Suivi!$F:$F,1458))</f>
        <v/>
      </c>
      <c r="S1431">
        <f>IF($O1431="","",INDEX(Suivi!$G:$G,1458))</f>
        <v/>
      </c>
      <c r="T1431">
        <f>IF($O1431="","",IF(INDEX(Dossiers!$F$4:$F$63,27)="","",INDEX(Dossiers!$F$4:$F$63,27)))</f>
        <v/>
      </c>
      <c r="U1431">
        <f>IF($O1431="","",IF(INDEX(Dossiers!$G$4:$G$63,27)="","",INDEX(Dossiers!$G$4:$G$63,27)))</f>
        <v/>
      </c>
      <c r="V1431">
        <f>IF(OR($O1431="",NOT(ISNUMBER($Q1431))),"",$Q1431*1000000+1431)</f>
        <v/>
      </c>
      <c r="W1431" s="29">
        <f>IF($B1431="","",IFERROR(INDEX($U$4:$U$3183,MATCH(SMALL($V$4:$V$3183,1428),$V$4:$V$3183,0)),""))</f>
        <v/>
      </c>
    </row>
    <row r="1432">
      <c r="A1432">
        <f>IFERROR(INDEX($N$4:$N$3183,MATCH(SMALL($V$4:$V$3183,1429),$V$4:$V$3183,0)),"")</f>
        <v/>
      </c>
      <c r="B1432">
        <f>IFERROR(INDEX($O$4:$O$3183,MATCH(SMALL($V$4:$V$3183,1429),$V$4:$V$3183,0)),"")</f>
        <v/>
      </c>
      <c r="C1432">
        <f>IFERROR(INDEX($P$4:$P$3183,MATCH(SMALL($V$4:$V$3183,1429),$V$4:$V$3183,0)),"")</f>
        <v/>
      </c>
      <c r="D1432" s="29">
        <f>IFERROR(INDEX($Q$4:$Q$3183,MATCH(SMALL($V$4:$V$3183,1429),$V$4:$V$3183,0)),"")</f>
        <v/>
      </c>
      <c r="E1432" s="29">
        <f>IFERROR(INDEX($R$4:$R$3183,MATCH(SMALL($V$4:$V$3183,1429),$V$4:$V$3183,0)),"")</f>
        <v/>
      </c>
      <c r="F1432">
        <f>IFERROR(INDEX($S$4:$S$3183,MATCH(SMALL($V$4:$V$3183,1429),$V$4:$V$3183,0)),"")</f>
        <v/>
      </c>
      <c r="I1432" s="29">
        <f>IF($B1432="","",IFERROR(INDEX($U$4:$U$3183,MATCH(SMALL($V$4:$V$3183,1429),$V$4:$V$3183,0)),""))</f>
        <v/>
      </c>
      <c r="J1432">
        <f>IF($B1432="","",IF($D1432&gt;$F$2,"À venir",IF($E1432&lt;$D$2,"Passé","Dans la période")))</f>
        <v/>
      </c>
      <c r="K1432">
        <f>IF(OR($B1432="",NOT(ISNUMBER($D1432))),"",IF(AND($E1432&lt;$D$2,$G1432&lt;&gt;"X",$F1432&lt;&gt;"Réalisé",$F1432&lt;&gt;"Clôturé"),"RETARD",""))</f>
        <v/>
      </c>
      <c r="L1432">
        <f>IF(OR($B1432="",NOT(ISNUMBER($D1432))),"",IF(AND($D1432&gt;=$D$2,$D1432&lt;=$H$2,$G1432&lt;&gt;"X",$F1432&lt;&gt;"Réalisé",$F1432&lt;&gt;"Clôturé"),"≤ 7 j",""))</f>
        <v/>
      </c>
      <c r="M1432" s="29">
        <f>IF($B1432="","",IFERROR(INDEX($T$4:$T$3183,MATCH(SMALL($V$4:$V$3183,1429),$V$4:$V$3183,0)),""))</f>
        <v/>
      </c>
      <c r="O1432">
        <f>IF(INDEX(Suivi!$B:$B,1459)="","",INDEX(Suivi!$B:$B,1459))</f>
        <v/>
      </c>
      <c r="P1432">
        <f>IF($O1432="","",IF(INDEX(Suivi!$D:$D,1459)="",INDEX(Suivi!$C:$C,1459),INDEX(Suivi!$D:$D,1459)))</f>
        <v/>
      </c>
      <c r="Q1432">
        <f>IF($O1432="","",INDEX(Suivi!$E:$E,1459))</f>
        <v/>
      </c>
      <c r="R1432">
        <f>IF($O1432="","",INDEX(Suivi!$F:$F,1459))</f>
        <v/>
      </c>
      <c r="S1432">
        <f>IF($O1432="","",INDEX(Suivi!$G:$G,1459))</f>
        <v/>
      </c>
      <c r="T1432">
        <f>IF($O1432="","",IF(INDEX(Dossiers!$F$4:$F$63,27)="","",INDEX(Dossiers!$F$4:$F$63,27)))</f>
        <v/>
      </c>
      <c r="U1432">
        <f>IF($O1432="","",IF(INDEX(Dossiers!$G$4:$G$63,27)="","",INDEX(Dossiers!$G$4:$G$63,27)))</f>
        <v/>
      </c>
      <c r="V1432">
        <f>IF(OR($O1432="",NOT(ISNUMBER($Q1432))),"",$Q1432*1000000+1432)</f>
        <v/>
      </c>
      <c r="W1432" s="29">
        <f>IF($B1432="","",IFERROR(INDEX($U$4:$U$3183,MATCH(SMALL($V$4:$V$3183,1429),$V$4:$V$3183,0)),""))</f>
        <v/>
      </c>
    </row>
    <row r="1433">
      <c r="A1433">
        <f>IFERROR(INDEX($N$4:$N$3183,MATCH(SMALL($V$4:$V$3183,1430),$V$4:$V$3183,0)),"")</f>
        <v/>
      </c>
      <c r="B1433">
        <f>IFERROR(INDEX($O$4:$O$3183,MATCH(SMALL($V$4:$V$3183,1430),$V$4:$V$3183,0)),"")</f>
        <v/>
      </c>
      <c r="C1433">
        <f>IFERROR(INDEX($P$4:$P$3183,MATCH(SMALL($V$4:$V$3183,1430),$V$4:$V$3183,0)),"")</f>
        <v/>
      </c>
      <c r="D1433" s="29">
        <f>IFERROR(INDEX($Q$4:$Q$3183,MATCH(SMALL($V$4:$V$3183,1430),$V$4:$V$3183,0)),"")</f>
        <v/>
      </c>
      <c r="E1433" s="29">
        <f>IFERROR(INDEX($R$4:$R$3183,MATCH(SMALL($V$4:$V$3183,1430),$V$4:$V$3183,0)),"")</f>
        <v/>
      </c>
      <c r="F1433">
        <f>IFERROR(INDEX($S$4:$S$3183,MATCH(SMALL($V$4:$V$3183,1430),$V$4:$V$3183,0)),"")</f>
        <v/>
      </c>
      <c r="I1433" s="29">
        <f>IF($B1433="","",IFERROR(INDEX($U$4:$U$3183,MATCH(SMALL($V$4:$V$3183,1430),$V$4:$V$3183,0)),""))</f>
        <v/>
      </c>
      <c r="J1433">
        <f>IF($B1433="","",IF($D1433&gt;$F$2,"À venir",IF($E1433&lt;$D$2,"Passé","Dans la période")))</f>
        <v/>
      </c>
      <c r="K1433">
        <f>IF(OR($B1433="",NOT(ISNUMBER($D1433))),"",IF(AND($E1433&lt;$D$2,$G1433&lt;&gt;"X",$F1433&lt;&gt;"Réalisé",$F1433&lt;&gt;"Clôturé"),"RETARD",""))</f>
        <v/>
      </c>
      <c r="L1433">
        <f>IF(OR($B1433="",NOT(ISNUMBER($D1433))),"",IF(AND($D1433&gt;=$D$2,$D1433&lt;=$H$2,$G1433&lt;&gt;"X",$F1433&lt;&gt;"Réalisé",$F1433&lt;&gt;"Clôturé"),"≤ 7 j",""))</f>
        <v/>
      </c>
      <c r="M1433" s="29">
        <f>IF($B1433="","",IFERROR(INDEX($T$4:$T$3183,MATCH(SMALL($V$4:$V$3183,1430),$V$4:$V$3183,0)),""))</f>
        <v/>
      </c>
      <c r="O1433">
        <f>IF(INDEX(Suivi!$B:$B,1460)="","",INDEX(Suivi!$B:$B,1460))</f>
        <v/>
      </c>
      <c r="P1433">
        <f>IF($O1433="","",IF(INDEX(Suivi!$D:$D,1460)="",INDEX(Suivi!$C:$C,1460),INDEX(Suivi!$D:$D,1460)))</f>
        <v/>
      </c>
      <c r="Q1433">
        <f>IF($O1433="","",INDEX(Suivi!$E:$E,1460))</f>
        <v/>
      </c>
      <c r="R1433">
        <f>IF($O1433="","",INDEX(Suivi!$F:$F,1460))</f>
        <v/>
      </c>
      <c r="S1433">
        <f>IF($O1433="","",INDEX(Suivi!$G:$G,1460))</f>
        <v/>
      </c>
      <c r="T1433">
        <f>IF($O1433="","",IF(INDEX(Dossiers!$F$4:$F$63,27)="","",INDEX(Dossiers!$F$4:$F$63,27)))</f>
        <v/>
      </c>
      <c r="U1433">
        <f>IF($O1433="","",IF(INDEX(Dossiers!$G$4:$G$63,27)="","",INDEX(Dossiers!$G$4:$G$63,27)))</f>
        <v/>
      </c>
      <c r="V1433">
        <f>IF(OR($O1433="",NOT(ISNUMBER($Q1433))),"",$Q1433*1000000+1433)</f>
        <v/>
      </c>
      <c r="W1433" s="29">
        <f>IF($B1433="","",IFERROR(INDEX($U$4:$U$3183,MATCH(SMALL($V$4:$V$3183,1430),$V$4:$V$3183,0)),""))</f>
        <v/>
      </c>
    </row>
    <row r="1434">
      <c r="A1434">
        <f>IFERROR(INDEX($N$4:$N$3183,MATCH(SMALL($V$4:$V$3183,1431),$V$4:$V$3183,0)),"")</f>
        <v/>
      </c>
      <c r="B1434">
        <f>IFERROR(INDEX($O$4:$O$3183,MATCH(SMALL($V$4:$V$3183,1431),$V$4:$V$3183,0)),"")</f>
        <v/>
      </c>
      <c r="C1434">
        <f>IFERROR(INDEX($P$4:$P$3183,MATCH(SMALL($V$4:$V$3183,1431),$V$4:$V$3183,0)),"")</f>
        <v/>
      </c>
      <c r="D1434" s="29">
        <f>IFERROR(INDEX($Q$4:$Q$3183,MATCH(SMALL($V$4:$V$3183,1431),$V$4:$V$3183,0)),"")</f>
        <v/>
      </c>
      <c r="E1434" s="29">
        <f>IFERROR(INDEX($R$4:$R$3183,MATCH(SMALL($V$4:$V$3183,1431),$V$4:$V$3183,0)),"")</f>
        <v/>
      </c>
      <c r="F1434">
        <f>IFERROR(INDEX($S$4:$S$3183,MATCH(SMALL($V$4:$V$3183,1431),$V$4:$V$3183,0)),"")</f>
        <v/>
      </c>
      <c r="I1434" s="29">
        <f>IF($B1434="","",IFERROR(INDEX($U$4:$U$3183,MATCH(SMALL($V$4:$V$3183,1431),$V$4:$V$3183,0)),""))</f>
        <v/>
      </c>
      <c r="J1434">
        <f>IF($B1434="","",IF($D1434&gt;$F$2,"À venir",IF($E1434&lt;$D$2,"Passé","Dans la période")))</f>
        <v/>
      </c>
      <c r="K1434">
        <f>IF(OR($B1434="",NOT(ISNUMBER($D1434))),"",IF(AND($E1434&lt;$D$2,$G1434&lt;&gt;"X",$F1434&lt;&gt;"Réalisé",$F1434&lt;&gt;"Clôturé"),"RETARD",""))</f>
        <v/>
      </c>
      <c r="L1434">
        <f>IF(OR($B1434="",NOT(ISNUMBER($D1434))),"",IF(AND($D1434&gt;=$D$2,$D1434&lt;=$H$2,$G1434&lt;&gt;"X",$F1434&lt;&gt;"Réalisé",$F1434&lt;&gt;"Clôturé"),"≤ 7 j",""))</f>
        <v/>
      </c>
      <c r="M1434" s="29">
        <f>IF($B1434="","",IFERROR(INDEX($T$4:$T$3183,MATCH(SMALL($V$4:$V$3183,1431),$V$4:$V$3183,0)),""))</f>
        <v/>
      </c>
      <c r="O1434">
        <f>IF(INDEX(Suivi!$B:$B,1461)="","",INDEX(Suivi!$B:$B,1461))</f>
        <v/>
      </c>
      <c r="P1434">
        <f>IF($O1434="","",IF(INDEX(Suivi!$D:$D,1461)="",INDEX(Suivi!$C:$C,1461),INDEX(Suivi!$D:$D,1461)))</f>
        <v/>
      </c>
      <c r="Q1434">
        <f>IF($O1434="","",INDEX(Suivi!$E:$E,1461))</f>
        <v/>
      </c>
      <c r="R1434">
        <f>IF($O1434="","",INDEX(Suivi!$F:$F,1461))</f>
        <v/>
      </c>
      <c r="S1434">
        <f>IF($O1434="","",INDEX(Suivi!$G:$G,1461))</f>
        <v/>
      </c>
      <c r="T1434">
        <f>IF($O1434="","",IF(INDEX(Dossiers!$F$4:$F$63,27)="","",INDEX(Dossiers!$F$4:$F$63,27)))</f>
        <v/>
      </c>
      <c r="U1434">
        <f>IF($O1434="","",IF(INDEX(Dossiers!$G$4:$G$63,27)="","",INDEX(Dossiers!$G$4:$G$63,27)))</f>
        <v/>
      </c>
      <c r="V1434">
        <f>IF(OR($O1434="",NOT(ISNUMBER($Q1434))),"",$Q1434*1000000+1434)</f>
        <v/>
      </c>
      <c r="W1434" s="29">
        <f>IF($B1434="","",IFERROR(INDEX($U$4:$U$3183,MATCH(SMALL($V$4:$V$3183,1431),$V$4:$V$3183,0)),""))</f>
        <v/>
      </c>
    </row>
    <row r="1435">
      <c r="A1435">
        <f>IFERROR(INDEX($N$4:$N$3183,MATCH(SMALL($V$4:$V$3183,1432),$V$4:$V$3183,0)),"")</f>
        <v/>
      </c>
      <c r="B1435">
        <f>IFERROR(INDEX($O$4:$O$3183,MATCH(SMALL($V$4:$V$3183,1432),$V$4:$V$3183,0)),"")</f>
        <v/>
      </c>
      <c r="C1435">
        <f>IFERROR(INDEX($P$4:$P$3183,MATCH(SMALL($V$4:$V$3183,1432),$V$4:$V$3183,0)),"")</f>
        <v/>
      </c>
      <c r="D1435" s="29">
        <f>IFERROR(INDEX($Q$4:$Q$3183,MATCH(SMALL($V$4:$V$3183,1432),$V$4:$V$3183,0)),"")</f>
        <v/>
      </c>
      <c r="E1435" s="29">
        <f>IFERROR(INDEX($R$4:$R$3183,MATCH(SMALL($V$4:$V$3183,1432),$V$4:$V$3183,0)),"")</f>
        <v/>
      </c>
      <c r="F1435">
        <f>IFERROR(INDEX($S$4:$S$3183,MATCH(SMALL($V$4:$V$3183,1432),$V$4:$V$3183,0)),"")</f>
        <v/>
      </c>
      <c r="I1435" s="29">
        <f>IF($B1435="","",IFERROR(INDEX($U$4:$U$3183,MATCH(SMALL($V$4:$V$3183,1432),$V$4:$V$3183,0)),""))</f>
        <v/>
      </c>
      <c r="J1435">
        <f>IF($B1435="","",IF($D1435&gt;$F$2,"À venir",IF($E1435&lt;$D$2,"Passé","Dans la période")))</f>
        <v/>
      </c>
      <c r="K1435">
        <f>IF(OR($B1435="",NOT(ISNUMBER($D1435))),"",IF(AND($E1435&lt;$D$2,$G1435&lt;&gt;"X",$F1435&lt;&gt;"Réalisé",$F1435&lt;&gt;"Clôturé"),"RETARD",""))</f>
        <v/>
      </c>
      <c r="L1435">
        <f>IF(OR($B1435="",NOT(ISNUMBER($D1435))),"",IF(AND($D1435&gt;=$D$2,$D1435&lt;=$H$2,$G1435&lt;&gt;"X",$F1435&lt;&gt;"Réalisé",$F1435&lt;&gt;"Clôturé"),"≤ 7 j",""))</f>
        <v/>
      </c>
      <c r="M1435" s="29">
        <f>IF($B1435="","",IFERROR(INDEX($T$4:$T$3183,MATCH(SMALL($V$4:$V$3183,1432),$V$4:$V$3183,0)),""))</f>
        <v/>
      </c>
      <c r="O1435">
        <f>IF(INDEX(Suivi!$B:$B,1463)="","",INDEX(Suivi!$B:$B,1463))</f>
        <v/>
      </c>
      <c r="P1435">
        <f>IF($O1435="","",IF(INDEX(Suivi!$D:$D,1463)="",INDEX(Suivi!$C:$C,1463),INDEX(Suivi!$D:$D,1463)))</f>
        <v/>
      </c>
      <c r="Q1435">
        <f>IF($O1435="","",INDEX(Suivi!$E:$E,1463))</f>
        <v/>
      </c>
      <c r="R1435">
        <f>IF($O1435="","",INDEX(Suivi!$F:$F,1463))</f>
        <v/>
      </c>
      <c r="S1435">
        <f>IF($O1435="","",INDEX(Suivi!$G:$G,1463))</f>
        <v/>
      </c>
      <c r="T1435">
        <f>IF($O1435="","",IF(INDEX(Dossiers!$F$4:$F$63,28)="","",INDEX(Dossiers!$F$4:$F$63,28)))</f>
        <v/>
      </c>
      <c r="U1435">
        <f>IF($O1435="","",IF(INDEX(Dossiers!$G$4:$G$63,28)="","",INDEX(Dossiers!$G$4:$G$63,28)))</f>
        <v/>
      </c>
      <c r="V1435">
        <f>IF(OR($O1435="",NOT(ISNUMBER($Q1435))),"",$Q1435*1000000+1435)</f>
        <v/>
      </c>
      <c r="W1435" s="29">
        <f>IF($B1435="","",IFERROR(INDEX($U$4:$U$3183,MATCH(SMALL($V$4:$V$3183,1432),$V$4:$V$3183,0)),""))</f>
        <v/>
      </c>
    </row>
    <row r="1436">
      <c r="A1436">
        <f>IFERROR(INDEX($N$4:$N$3183,MATCH(SMALL($V$4:$V$3183,1433),$V$4:$V$3183,0)),"")</f>
        <v/>
      </c>
      <c r="B1436">
        <f>IFERROR(INDEX($O$4:$O$3183,MATCH(SMALL($V$4:$V$3183,1433),$V$4:$V$3183,0)),"")</f>
        <v/>
      </c>
      <c r="C1436">
        <f>IFERROR(INDEX($P$4:$P$3183,MATCH(SMALL($V$4:$V$3183,1433),$V$4:$V$3183,0)),"")</f>
        <v/>
      </c>
      <c r="D1436" s="29">
        <f>IFERROR(INDEX($Q$4:$Q$3183,MATCH(SMALL($V$4:$V$3183,1433),$V$4:$V$3183,0)),"")</f>
        <v/>
      </c>
      <c r="E1436" s="29">
        <f>IFERROR(INDEX($R$4:$R$3183,MATCH(SMALL($V$4:$V$3183,1433),$V$4:$V$3183,0)),"")</f>
        <v/>
      </c>
      <c r="F1436">
        <f>IFERROR(INDEX($S$4:$S$3183,MATCH(SMALL($V$4:$V$3183,1433),$V$4:$V$3183,0)),"")</f>
        <v/>
      </c>
      <c r="I1436" s="29">
        <f>IF($B1436="","",IFERROR(INDEX($U$4:$U$3183,MATCH(SMALL($V$4:$V$3183,1433),$V$4:$V$3183,0)),""))</f>
        <v/>
      </c>
      <c r="J1436">
        <f>IF($B1436="","",IF($D1436&gt;$F$2,"À venir",IF($E1436&lt;$D$2,"Passé","Dans la période")))</f>
        <v/>
      </c>
      <c r="K1436">
        <f>IF(OR($B1436="",NOT(ISNUMBER($D1436))),"",IF(AND($E1436&lt;$D$2,$G1436&lt;&gt;"X",$F1436&lt;&gt;"Réalisé",$F1436&lt;&gt;"Clôturé"),"RETARD",""))</f>
        <v/>
      </c>
      <c r="L1436">
        <f>IF(OR($B1436="",NOT(ISNUMBER($D1436))),"",IF(AND($D1436&gt;=$D$2,$D1436&lt;=$H$2,$G1436&lt;&gt;"X",$F1436&lt;&gt;"Réalisé",$F1436&lt;&gt;"Clôturé"),"≤ 7 j",""))</f>
        <v/>
      </c>
      <c r="M1436" s="29">
        <f>IF($B1436="","",IFERROR(INDEX($T$4:$T$3183,MATCH(SMALL($V$4:$V$3183,1433),$V$4:$V$3183,0)),""))</f>
        <v/>
      </c>
      <c r="O1436">
        <f>IF(INDEX(Suivi!$B:$B,1464)="","",INDEX(Suivi!$B:$B,1464))</f>
        <v/>
      </c>
      <c r="P1436">
        <f>IF($O1436="","",IF(INDEX(Suivi!$D:$D,1464)="",INDEX(Suivi!$C:$C,1464),INDEX(Suivi!$D:$D,1464)))</f>
        <v/>
      </c>
      <c r="Q1436">
        <f>IF($O1436="","",INDEX(Suivi!$E:$E,1464))</f>
        <v/>
      </c>
      <c r="R1436">
        <f>IF($O1436="","",INDEX(Suivi!$F:$F,1464))</f>
        <v/>
      </c>
      <c r="S1436">
        <f>IF($O1436="","",INDEX(Suivi!$G:$G,1464))</f>
        <v/>
      </c>
      <c r="T1436">
        <f>IF($O1436="","",IF(INDEX(Dossiers!$F$4:$F$63,28)="","",INDEX(Dossiers!$F$4:$F$63,28)))</f>
        <v/>
      </c>
      <c r="U1436">
        <f>IF($O1436="","",IF(INDEX(Dossiers!$G$4:$G$63,28)="","",INDEX(Dossiers!$G$4:$G$63,28)))</f>
        <v/>
      </c>
      <c r="V1436">
        <f>IF(OR($O1436="",NOT(ISNUMBER($Q1436))),"",$Q1436*1000000+1436)</f>
        <v/>
      </c>
      <c r="W1436" s="29">
        <f>IF($B1436="","",IFERROR(INDEX($U$4:$U$3183,MATCH(SMALL($V$4:$V$3183,1433),$V$4:$V$3183,0)),""))</f>
        <v/>
      </c>
    </row>
    <row r="1437">
      <c r="A1437">
        <f>IFERROR(INDEX($N$4:$N$3183,MATCH(SMALL($V$4:$V$3183,1434),$V$4:$V$3183,0)),"")</f>
        <v/>
      </c>
      <c r="B1437">
        <f>IFERROR(INDEX($O$4:$O$3183,MATCH(SMALL($V$4:$V$3183,1434),$V$4:$V$3183,0)),"")</f>
        <v/>
      </c>
      <c r="C1437">
        <f>IFERROR(INDEX($P$4:$P$3183,MATCH(SMALL($V$4:$V$3183,1434),$V$4:$V$3183,0)),"")</f>
        <v/>
      </c>
      <c r="D1437" s="29">
        <f>IFERROR(INDEX($Q$4:$Q$3183,MATCH(SMALL($V$4:$V$3183,1434),$V$4:$V$3183,0)),"")</f>
        <v/>
      </c>
      <c r="E1437" s="29">
        <f>IFERROR(INDEX($R$4:$R$3183,MATCH(SMALL($V$4:$V$3183,1434),$V$4:$V$3183,0)),"")</f>
        <v/>
      </c>
      <c r="F1437">
        <f>IFERROR(INDEX($S$4:$S$3183,MATCH(SMALL($V$4:$V$3183,1434),$V$4:$V$3183,0)),"")</f>
        <v/>
      </c>
      <c r="I1437" s="29">
        <f>IF($B1437="","",IFERROR(INDEX($U$4:$U$3183,MATCH(SMALL($V$4:$V$3183,1434),$V$4:$V$3183,0)),""))</f>
        <v/>
      </c>
      <c r="J1437">
        <f>IF($B1437="","",IF($D1437&gt;$F$2,"À venir",IF($E1437&lt;$D$2,"Passé","Dans la période")))</f>
        <v/>
      </c>
      <c r="K1437">
        <f>IF(OR($B1437="",NOT(ISNUMBER($D1437))),"",IF(AND($E1437&lt;$D$2,$G1437&lt;&gt;"X",$F1437&lt;&gt;"Réalisé",$F1437&lt;&gt;"Clôturé"),"RETARD",""))</f>
        <v/>
      </c>
      <c r="L1437">
        <f>IF(OR($B1437="",NOT(ISNUMBER($D1437))),"",IF(AND($D1437&gt;=$D$2,$D1437&lt;=$H$2,$G1437&lt;&gt;"X",$F1437&lt;&gt;"Réalisé",$F1437&lt;&gt;"Clôturé"),"≤ 7 j",""))</f>
        <v/>
      </c>
      <c r="M1437" s="29">
        <f>IF($B1437="","",IFERROR(INDEX($T$4:$T$3183,MATCH(SMALL($V$4:$V$3183,1434),$V$4:$V$3183,0)),""))</f>
        <v/>
      </c>
      <c r="O1437">
        <f>IF(INDEX(Suivi!$B:$B,1465)="","",INDEX(Suivi!$B:$B,1465))</f>
        <v/>
      </c>
      <c r="P1437">
        <f>IF($O1437="","",IF(INDEX(Suivi!$D:$D,1465)="",INDEX(Suivi!$C:$C,1465),INDEX(Suivi!$D:$D,1465)))</f>
        <v/>
      </c>
      <c r="Q1437">
        <f>IF($O1437="","",INDEX(Suivi!$E:$E,1465))</f>
        <v/>
      </c>
      <c r="R1437">
        <f>IF($O1437="","",INDEX(Suivi!$F:$F,1465))</f>
        <v/>
      </c>
      <c r="S1437">
        <f>IF($O1437="","",INDEX(Suivi!$G:$G,1465))</f>
        <v/>
      </c>
      <c r="T1437">
        <f>IF($O1437="","",IF(INDEX(Dossiers!$F$4:$F$63,28)="","",INDEX(Dossiers!$F$4:$F$63,28)))</f>
        <v/>
      </c>
      <c r="U1437">
        <f>IF($O1437="","",IF(INDEX(Dossiers!$G$4:$G$63,28)="","",INDEX(Dossiers!$G$4:$G$63,28)))</f>
        <v/>
      </c>
      <c r="V1437">
        <f>IF(OR($O1437="",NOT(ISNUMBER($Q1437))),"",$Q1437*1000000+1437)</f>
        <v/>
      </c>
      <c r="W1437" s="29">
        <f>IF($B1437="","",IFERROR(INDEX($U$4:$U$3183,MATCH(SMALL($V$4:$V$3183,1434),$V$4:$V$3183,0)),""))</f>
        <v/>
      </c>
    </row>
    <row r="1438">
      <c r="A1438">
        <f>IFERROR(INDEX($N$4:$N$3183,MATCH(SMALL($V$4:$V$3183,1435),$V$4:$V$3183,0)),"")</f>
        <v/>
      </c>
      <c r="B1438">
        <f>IFERROR(INDEX($O$4:$O$3183,MATCH(SMALL($V$4:$V$3183,1435),$V$4:$V$3183,0)),"")</f>
        <v/>
      </c>
      <c r="C1438">
        <f>IFERROR(INDEX($P$4:$P$3183,MATCH(SMALL($V$4:$V$3183,1435),$V$4:$V$3183,0)),"")</f>
        <v/>
      </c>
      <c r="D1438" s="29">
        <f>IFERROR(INDEX($Q$4:$Q$3183,MATCH(SMALL($V$4:$V$3183,1435),$V$4:$V$3183,0)),"")</f>
        <v/>
      </c>
      <c r="E1438" s="29">
        <f>IFERROR(INDEX($R$4:$R$3183,MATCH(SMALL($V$4:$V$3183,1435),$V$4:$V$3183,0)),"")</f>
        <v/>
      </c>
      <c r="F1438">
        <f>IFERROR(INDEX($S$4:$S$3183,MATCH(SMALL($V$4:$V$3183,1435),$V$4:$V$3183,0)),"")</f>
        <v/>
      </c>
      <c r="I1438" s="29">
        <f>IF($B1438="","",IFERROR(INDEX($U$4:$U$3183,MATCH(SMALL($V$4:$V$3183,1435),$V$4:$V$3183,0)),""))</f>
        <v/>
      </c>
      <c r="J1438">
        <f>IF($B1438="","",IF($D1438&gt;$F$2,"À venir",IF($E1438&lt;$D$2,"Passé","Dans la période")))</f>
        <v/>
      </c>
      <c r="K1438">
        <f>IF(OR($B1438="",NOT(ISNUMBER($D1438))),"",IF(AND($E1438&lt;$D$2,$G1438&lt;&gt;"X",$F1438&lt;&gt;"Réalisé",$F1438&lt;&gt;"Clôturé"),"RETARD",""))</f>
        <v/>
      </c>
      <c r="L1438">
        <f>IF(OR($B1438="",NOT(ISNUMBER($D1438))),"",IF(AND($D1438&gt;=$D$2,$D1438&lt;=$H$2,$G1438&lt;&gt;"X",$F1438&lt;&gt;"Réalisé",$F1438&lt;&gt;"Clôturé"),"≤ 7 j",""))</f>
        <v/>
      </c>
      <c r="M1438" s="29">
        <f>IF($B1438="","",IFERROR(INDEX($T$4:$T$3183,MATCH(SMALL($V$4:$V$3183,1435),$V$4:$V$3183,0)),""))</f>
        <v/>
      </c>
      <c r="O1438">
        <f>IF(INDEX(Suivi!$B:$B,1466)="","",INDEX(Suivi!$B:$B,1466))</f>
        <v/>
      </c>
      <c r="P1438">
        <f>IF($O1438="","",IF(INDEX(Suivi!$D:$D,1466)="",INDEX(Suivi!$C:$C,1466),INDEX(Suivi!$D:$D,1466)))</f>
        <v/>
      </c>
      <c r="Q1438">
        <f>IF($O1438="","",INDEX(Suivi!$E:$E,1466))</f>
        <v/>
      </c>
      <c r="R1438">
        <f>IF($O1438="","",INDEX(Suivi!$F:$F,1466))</f>
        <v/>
      </c>
      <c r="S1438">
        <f>IF($O1438="","",INDEX(Suivi!$G:$G,1466))</f>
        <v/>
      </c>
      <c r="T1438">
        <f>IF($O1438="","",IF(INDEX(Dossiers!$F$4:$F$63,28)="","",INDEX(Dossiers!$F$4:$F$63,28)))</f>
        <v/>
      </c>
      <c r="U1438">
        <f>IF($O1438="","",IF(INDEX(Dossiers!$G$4:$G$63,28)="","",INDEX(Dossiers!$G$4:$G$63,28)))</f>
        <v/>
      </c>
      <c r="V1438">
        <f>IF(OR($O1438="",NOT(ISNUMBER($Q1438))),"",$Q1438*1000000+1438)</f>
        <v/>
      </c>
      <c r="W1438" s="29">
        <f>IF($B1438="","",IFERROR(INDEX($U$4:$U$3183,MATCH(SMALL($V$4:$V$3183,1435),$V$4:$V$3183,0)),""))</f>
        <v/>
      </c>
    </row>
    <row r="1439">
      <c r="A1439">
        <f>IFERROR(INDEX($N$4:$N$3183,MATCH(SMALL($V$4:$V$3183,1436),$V$4:$V$3183,0)),"")</f>
        <v/>
      </c>
      <c r="B1439">
        <f>IFERROR(INDEX($O$4:$O$3183,MATCH(SMALL($V$4:$V$3183,1436),$V$4:$V$3183,0)),"")</f>
        <v/>
      </c>
      <c r="C1439">
        <f>IFERROR(INDEX($P$4:$P$3183,MATCH(SMALL($V$4:$V$3183,1436),$V$4:$V$3183,0)),"")</f>
        <v/>
      </c>
      <c r="D1439" s="29">
        <f>IFERROR(INDEX($Q$4:$Q$3183,MATCH(SMALL($V$4:$V$3183,1436),$V$4:$V$3183,0)),"")</f>
        <v/>
      </c>
      <c r="E1439" s="29">
        <f>IFERROR(INDEX($R$4:$R$3183,MATCH(SMALL($V$4:$V$3183,1436),$V$4:$V$3183,0)),"")</f>
        <v/>
      </c>
      <c r="F1439">
        <f>IFERROR(INDEX($S$4:$S$3183,MATCH(SMALL($V$4:$V$3183,1436),$V$4:$V$3183,0)),"")</f>
        <v/>
      </c>
      <c r="I1439" s="29">
        <f>IF($B1439="","",IFERROR(INDEX($U$4:$U$3183,MATCH(SMALL($V$4:$V$3183,1436),$V$4:$V$3183,0)),""))</f>
        <v/>
      </c>
      <c r="J1439">
        <f>IF($B1439="","",IF($D1439&gt;$F$2,"À venir",IF($E1439&lt;$D$2,"Passé","Dans la période")))</f>
        <v/>
      </c>
      <c r="K1439">
        <f>IF(OR($B1439="",NOT(ISNUMBER($D1439))),"",IF(AND($E1439&lt;$D$2,$G1439&lt;&gt;"X",$F1439&lt;&gt;"Réalisé",$F1439&lt;&gt;"Clôturé"),"RETARD",""))</f>
        <v/>
      </c>
      <c r="L1439">
        <f>IF(OR($B1439="",NOT(ISNUMBER($D1439))),"",IF(AND($D1439&gt;=$D$2,$D1439&lt;=$H$2,$G1439&lt;&gt;"X",$F1439&lt;&gt;"Réalisé",$F1439&lt;&gt;"Clôturé"),"≤ 7 j",""))</f>
        <v/>
      </c>
      <c r="M1439" s="29">
        <f>IF($B1439="","",IFERROR(INDEX($T$4:$T$3183,MATCH(SMALL($V$4:$V$3183,1436),$V$4:$V$3183,0)),""))</f>
        <v/>
      </c>
      <c r="O1439">
        <f>IF(INDEX(Suivi!$B:$B,1467)="","",INDEX(Suivi!$B:$B,1467))</f>
        <v/>
      </c>
      <c r="P1439">
        <f>IF($O1439="","",IF(INDEX(Suivi!$D:$D,1467)="",INDEX(Suivi!$C:$C,1467),INDEX(Suivi!$D:$D,1467)))</f>
        <v/>
      </c>
      <c r="Q1439">
        <f>IF($O1439="","",INDEX(Suivi!$E:$E,1467))</f>
        <v/>
      </c>
      <c r="R1439">
        <f>IF($O1439="","",INDEX(Suivi!$F:$F,1467))</f>
        <v/>
      </c>
      <c r="S1439">
        <f>IF($O1439="","",INDEX(Suivi!$G:$G,1467))</f>
        <v/>
      </c>
      <c r="T1439">
        <f>IF($O1439="","",IF(INDEX(Dossiers!$F$4:$F$63,28)="","",INDEX(Dossiers!$F$4:$F$63,28)))</f>
        <v/>
      </c>
      <c r="U1439">
        <f>IF($O1439="","",IF(INDEX(Dossiers!$G$4:$G$63,28)="","",INDEX(Dossiers!$G$4:$G$63,28)))</f>
        <v/>
      </c>
      <c r="V1439">
        <f>IF(OR($O1439="",NOT(ISNUMBER($Q1439))),"",$Q1439*1000000+1439)</f>
        <v/>
      </c>
      <c r="W1439" s="29">
        <f>IF($B1439="","",IFERROR(INDEX($U$4:$U$3183,MATCH(SMALL($V$4:$V$3183,1436),$V$4:$V$3183,0)),""))</f>
        <v/>
      </c>
    </row>
    <row r="1440">
      <c r="A1440">
        <f>IFERROR(INDEX($N$4:$N$3183,MATCH(SMALL($V$4:$V$3183,1437),$V$4:$V$3183,0)),"")</f>
        <v/>
      </c>
      <c r="B1440">
        <f>IFERROR(INDEX($O$4:$O$3183,MATCH(SMALL($V$4:$V$3183,1437),$V$4:$V$3183,0)),"")</f>
        <v/>
      </c>
      <c r="C1440">
        <f>IFERROR(INDEX($P$4:$P$3183,MATCH(SMALL($V$4:$V$3183,1437),$V$4:$V$3183,0)),"")</f>
        <v/>
      </c>
      <c r="D1440" s="29">
        <f>IFERROR(INDEX($Q$4:$Q$3183,MATCH(SMALL($V$4:$V$3183,1437),$V$4:$V$3183,0)),"")</f>
        <v/>
      </c>
      <c r="E1440" s="29">
        <f>IFERROR(INDEX($R$4:$R$3183,MATCH(SMALL($V$4:$V$3183,1437),$V$4:$V$3183,0)),"")</f>
        <v/>
      </c>
      <c r="F1440">
        <f>IFERROR(INDEX($S$4:$S$3183,MATCH(SMALL($V$4:$V$3183,1437),$V$4:$V$3183,0)),"")</f>
        <v/>
      </c>
      <c r="I1440" s="29">
        <f>IF($B1440="","",IFERROR(INDEX($U$4:$U$3183,MATCH(SMALL($V$4:$V$3183,1437),$V$4:$V$3183,0)),""))</f>
        <v/>
      </c>
      <c r="J1440">
        <f>IF($B1440="","",IF($D1440&gt;$F$2,"À venir",IF($E1440&lt;$D$2,"Passé","Dans la période")))</f>
        <v/>
      </c>
      <c r="K1440">
        <f>IF(OR($B1440="",NOT(ISNUMBER($D1440))),"",IF(AND($E1440&lt;$D$2,$G1440&lt;&gt;"X",$F1440&lt;&gt;"Réalisé",$F1440&lt;&gt;"Clôturé"),"RETARD",""))</f>
        <v/>
      </c>
      <c r="L1440">
        <f>IF(OR($B1440="",NOT(ISNUMBER($D1440))),"",IF(AND($D1440&gt;=$D$2,$D1440&lt;=$H$2,$G1440&lt;&gt;"X",$F1440&lt;&gt;"Réalisé",$F1440&lt;&gt;"Clôturé"),"≤ 7 j",""))</f>
        <v/>
      </c>
      <c r="M1440" s="29">
        <f>IF($B1440="","",IFERROR(INDEX($T$4:$T$3183,MATCH(SMALL($V$4:$V$3183,1437),$V$4:$V$3183,0)),""))</f>
        <v/>
      </c>
      <c r="O1440">
        <f>IF(INDEX(Suivi!$B:$B,1468)="","",INDEX(Suivi!$B:$B,1468))</f>
        <v/>
      </c>
      <c r="P1440">
        <f>IF($O1440="","",IF(INDEX(Suivi!$D:$D,1468)="",INDEX(Suivi!$C:$C,1468),INDEX(Suivi!$D:$D,1468)))</f>
        <v/>
      </c>
      <c r="Q1440">
        <f>IF($O1440="","",INDEX(Suivi!$E:$E,1468))</f>
        <v/>
      </c>
      <c r="R1440">
        <f>IF($O1440="","",INDEX(Suivi!$F:$F,1468))</f>
        <v/>
      </c>
      <c r="S1440">
        <f>IF($O1440="","",INDEX(Suivi!$G:$G,1468))</f>
        <v/>
      </c>
      <c r="T1440">
        <f>IF($O1440="","",IF(INDEX(Dossiers!$F$4:$F$63,28)="","",INDEX(Dossiers!$F$4:$F$63,28)))</f>
        <v/>
      </c>
      <c r="U1440">
        <f>IF($O1440="","",IF(INDEX(Dossiers!$G$4:$G$63,28)="","",INDEX(Dossiers!$G$4:$G$63,28)))</f>
        <v/>
      </c>
      <c r="V1440">
        <f>IF(OR($O1440="",NOT(ISNUMBER($Q1440))),"",$Q1440*1000000+1440)</f>
        <v/>
      </c>
      <c r="W1440" s="29">
        <f>IF($B1440="","",IFERROR(INDEX($U$4:$U$3183,MATCH(SMALL($V$4:$V$3183,1437),$V$4:$V$3183,0)),""))</f>
        <v/>
      </c>
    </row>
    <row r="1441">
      <c r="A1441">
        <f>IFERROR(INDEX($N$4:$N$3183,MATCH(SMALL($V$4:$V$3183,1438),$V$4:$V$3183,0)),"")</f>
        <v/>
      </c>
      <c r="B1441">
        <f>IFERROR(INDEX($O$4:$O$3183,MATCH(SMALL($V$4:$V$3183,1438),$V$4:$V$3183,0)),"")</f>
        <v/>
      </c>
      <c r="C1441">
        <f>IFERROR(INDEX($P$4:$P$3183,MATCH(SMALL($V$4:$V$3183,1438),$V$4:$V$3183,0)),"")</f>
        <v/>
      </c>
      <c r="D1441" s="29">
        <f>IFERROR(INDEX($Q$4:$Q$3183,MATCH(SMALL($V$4:$V$3183,1438),$V$4:$V$3183,0)),"")</f>
        <v/>
      </c>
      <c r="E1441" s="29">
        <f>IFERROR(INDEX($R$4:$R$3183,MATCH(SMALL($V$4:$V$3183,1438),$V$4:$V$3183,0)),"")</f>
        <v/>
      </c>
      <c r="F1441">
        <f>IFERROR(INDEX($S$4:$S$3183,MATCH(SMALL($V$4:$V$3183,1438),$V$4:$V$3183,0)),"")</f>
        <v/>
      </c>
      <c r="I1441" s="29">
        <f>IF($B1441="","",IFERROR(INDEX($U$4:$U$3183,MATCH(SMALL($V$4:$V$3183,1438),$V$4:$V$3183,0)),""))</f>
        <v/>
      </c>
      <c r="J1441">
        <f>IF($B1441="","",IF($D1441&gt;$F$2,"À venir",IF($E1441&lt;$D$2,"Passé","Dans la période")))</f>
        <v/>
      </c>
      <c r="K1441">
        <f>IF(OR($B1441="",NOT(ISNUMBER($D1441))),"",IF(AND($E1441&lt;$D$2,$G1441&lt;&gt;"X",$F1441&lt;&gt;"Réalisé",$F1441&lt;&gt;"Clôturé"),"RETARD",""))</f>
        <v/>
      </c>
      <c r="L1441">
        <f>IF(OR($B1441="",NOT(ISNUMBER($D1441))),"",IF(AND($D1441&gt;=$D$2,$D1441&lt;=$H$2,$G1441&lt;&gt;"X",$F1441&lt;&gt;"Réalisé",$F1441&lt;&gt;"Clôturé"),"≤ 7 j",""))</f>
        <v/>
      </c>
      <c r="M1441" s="29">
        <f>IF($B1441="","",IFERROR(INDEX($T$4:$T$3183,MATCH(SMALL($V$4:$V$3183,1438),$V$4:$V$3183,0)),""))</f>
        <v/>
      </c>
      <c r="O1441">
        <f>IF(INDEX(Suivi!$B:$B,1469)="","",INDEX(Suivi!$B:$B,1469))</f>
        <v/>
      </c>
      <c r="P1441">
        <f>IF($O1441="","",IF(INDEX(Suivi!$D:$D,1469)="",INDEX(Suivi!$C:$C,1469),INDEX(Suivi!$D:$D,1469)))</f>
        <v/>
      </c>
      <c r="Q1441">
        <f>IF($O1441="","",INDEX(Suivi!$E:$E,1469))</f>
        <v/>
      </c>
      <c r="R1441">
        <f>IF($O1441="","",INDEX(Suivi!$F:$F,1469))</f>
        <v/>
      </c>
      <c r="S1441">
        <f>IF($O1441="","",INDEX(Suivi!$G:$G,1469))</f>
        <v/>
      </c>
      <c r="T1441">
        <f>IF($O1441="","",IF(INDEX(Dossiers!$F$4:$F$63,28)="","",INDEX(Dossiers!$F$4:$F$63,28)))</f>
        <v/>
      </c>
      <c r="U1441">
        <f>IF($O1441="","",IF(INDEX(Dossiers!$G$4:$G$63,28)="","",INDEX(Dossiers!$G$4:$G$63,28)))</f>
        <v/>
      </c>
      <c r="V1441">
        <f>IF(OR($O1441="",NOT(ISNUMBER($Q1441))),"",$Q1441*1000000+1441)</f>
        <v/>
      </c>
      <c r="W1441" s="29">
        <f>IF($B1441="","",IFERROR(INDEX($U$4:$U$3183,MATCH(SMALL($V$4:$V$3183,1438),$V$4:$V$3183,0)),""))</f>
        <v/>
      </c>
    </row>
    <row r="1442">
      <c r="A1442">
        <f>IFERROR(INDEX($N$4:$N$3183,MATCH(SMALL($V$4:$V$3183,1439),$V$4:$V$3183,0)),"")</f>
        <v/>
      </c>
      <c r="B1442">
        <f>IFERROR(INDEX($O$4:$O$3183,MATCH(SMALL($V$4:$V$3183,1439),$V$4:$V$3183,0)),"")</f>
        <v/>
      </c>
      <c r="C1442">
        <f>IFERROR(INDEX($P$4:$P$3183,MATCH(SMALL($V$4:$V$3183,1439),$V$4:$V$3183,0)),"")</f>
        <v/>
      </c>
      <c r="D1442" s="29">
        <f>IFERROR(INDEX($Q$4:$Q$3183,MATCH(SMALL($V$4:$V$3183,1439),$V$4:$V$3183,0)),"")</f>
        <v/>
      </c>
      <c r="E1442" s="29">
        <f>IFERROR(INDEX($R$4:$R$3183,MATCH(SMALL($V$4:$V$3183,1439),$V$4:$V$3183,0)),"")</f>
        <v/>
      </c>
      <c r="F1442">
        <f>IFERROR(INDEX($S$4:$S$3183,MATCH(SMALL($V$4:$V$3183,1439),$V$4:$V$3183,0)),"")</f>
        <v/>
      </c>
      <c r="I1442" s="29">
        <f>IF($B1442="","",IFERROR(INDEX($U$4:$U$3183,MATCH(SMALL($V$4:$V$3183,1439),$V$4:$V$3183,0)),""))</f>
        <v/>
      </c>
      <c r="J1442">
        <f>IF($B1442="","",IF($D1442&gt;$F$2,"À venir",IF($E1442&lt;$D$2,"Passé","Dans la période")))</f>
        <v/>
      </c>
      <c r="K1442">
        <f>IF(OR($B1442="",NOT(ISNUMBER($D1442))),"",IF(AND($E1442&lt;$D$2,$G1442&lt;&gt;"X",$F1442&lt;&gt;"Réalisé",$F1442&lt;&gt;"Clôturé"),"RETARD",""))</f>
        <v/>
      </c>
      <c r="L1442">
        <f>IF(OR($B1442="",NOT(ISNUMBER($D1442))),"",IF(AND($D1442&gt;=$D$2,$D1442&lt;=$H$2,$G1442&lt;&gt;"X",$F1442&lt;&gt;"Réalisé",$F1442&lt;&gt;"Clôturé"),"≤ 7 j",""))</f>
        <v/>
      </c>
      <c r="M1442" s="29">
        <f>IF($B1442="","",IFERROR(INDEX($T$4:$T$3183,MATCH(SMALL($V$4:$V$3183,1439),$V$4:$V$3183,0)),""))</f>
        <v/>
      </c>
      <c r="O1442">
        <f>IF(INDEX(Suivi!$B:$B,1470)="","",INDEX(Suivi!$B:$B,1470))</f>
        <v/>
      </c>
      <c r="P1442">
        <f>IF($O1442="","",IF(INDEX(Suivi!$D:$D,1470)="",INDEX(Suivi!$C:$C,1470),INDEX(Suivi!$D:$D,1470)))</f>
        <v/>
      </c>
      <c r="Q1442">
        <f>IF($O1442="","",INDEX(Suivi!$E:$E,1470))</f>
        <v/>
      </c>
      <c r="R1442">
        <f>IF($O1442="","",INDEX(Suivi!$F:$F,1470))</f>
        <v/>
      </c>
      <c r="S1442">
        <f>IF($O1442="","",INDEX(Suivi!$G:$G,1470))</f>
        <v/>
      </c>
      <c r="T1442">
        <f>IF($O1442="","",IF(INDEX(Dossiers!$F$4:$F$63,28)="","",INDEX(Dossiers!$F$4:$F$63,28)))</f>
        <v/>
      </c>
      <c r="U1442">
        <f>IF($O1442="","",IF(INDEX(Dossiers!$G$4:$G$63,28)="","",INDEX(Dossiers!$G$4:$G$63,28)))</f>
        <v/>
      </c>
      <c r="V1442">
        <f>IF(OR($O1442="",NOT(ISNUMBER($Q1442))),"",$Q1442*1000000+1442)</f>
        <v/>
      </c>
      <c r="W1442" s="29">
        <f>IF($B1442="","",IFERROR(INDEX($U$4:$U$3183,MATCH(SMALL($V$4:$V$3183,1439),$V$4:$V$3183,0)),""))</f>
        <v/>
      </c>
    </row>
    <row r="1443">
      <c r="A1443">
        <f>IFERROR(INDEX($N$4:$N$3183,MATCH(SMALL($V$4:$V$3183,1440),$V$4:$V$3183,0)),"")</f>
        <v/>
      </c>
      <c r="B1443">
        <f>IFERROR(INDEX($O$4:$O$3183,MATCH(SMALL($V$4:$V$3183,1440),$V$4:$V$3183,0)),"")</f>
        <v/>
      </c>
      <c r="C1443">
        <f>IFERROR(INDEX($P$4:$P$3183,MATCH(SMALL($V$4:$V$3183,1440),$V$4:$V$3183,0)),"")</f>
        <v/>
      </c>
      <c r="D1443" s="29">
        <f>IFERROR(INDEX($Q$4:$Q$3183,MATCH(SMALL($V$4:$V$3183,1440),$V$4:$V$3183,0)),"")</f>
        <v/>
      </c>
      <c r="E1443" s="29">
        <f>IFERROR(INDEX($R$4:$R$3183,MATCH(SMALL($V$4:$V$3183,1440),$V$4:$V$3183,0)),"")</f>
        <v/>
      </c>
      <c r="F1443">
        <f>IFERROR(INDEX($S$4:$S$3183,MATCH(SMALL($V$4:$V$3183,1440),$V$4:$V$3183,0)),"")</f>
        <v/>
      </c>
      <c r="I1443" s="29">
        <f>IF($B1443="","",IFERROR(INDEX($U$4:$U$3183,MATCH(SMALL($V$4:$V$3183,1440),$V$4:$V$3183,0)),""))</f>
        <v/>
      </c>
      <c r="J1443">
        <f>IF($B1443="","",IF($D1443&gt;$F$2,"À venir",IF($E1443&lt;$D$2,"Passé","Dans la période")))</f>
        <v/>
      </c>
      <c r="K1443">
        <f>IF(OR($B1443="",NOT(ISNUMBER($D1443))),"",IF(AND($E1443&lt;$D$2,$G1443&lt;&gt;"X",$F1443&lt;&gt;"Réalisé",$F1443&lt;&gt;"Clôturé"),"RETARD",""))</f>
        <v/>
      </c>
      <c r="L1443">
        <f>IF(OR($B1443="",NOT(ISNUMBER($D1443))),"",IF(AND($D1443&gt;=$D$2,$D1443&lt;=$H$2,$G1443&lt;&gt;"X",$F1443&lt;&gt;"Réalisé",$F1443&lt;&gt;"Clôturé"),"≤ 7 j",""))</f>
        <v/>
      </c>
      <c r="M1443" s="29">
        <f>IF($B1443="","",IFERROR(INDEX($T$4:$T$3183,MATCH(SMALL($V$4:$V$3183,1440),$V$4:$V$3183,0)),""))</f>
        <v/>
      </c>
      <c r="O1443">
        <f>IF(INDEX(Suivi!$B:$B,1471)="","",INDEX(Suivi!$B:$B,1471))</f>
        <v/>
      </c>
      <c r="P1443">
        <f>IF($O1443="","",IF(INDEX(Suivi!$D:$D,1471)="",INDEX(Suivi!$C:$C,1471),INDEX(Suivi!$D:$D,1471)))</f>
        <v/>
      </c>
      <c r="Q1443">
        <f>IF($O1443="","",INDEX(Suivi!$E:$E,1471))</f>
        <v/>
      </c>
      <c r="R1443">
        <f>IF($O1443="","",INDEX(Suivi!$F:$F,1471))</f>
        <v/>
      </c>
      <c r="S1443">
        <f>IF($O1443="","",INDEX(Suivi!$G:$G,1471))</f>
        <v/>
      </c>
      <c r="T1443">
        <f>IF($O1443="","",IF(INDEX(Dossiers!$F$4:$F$63,28)="","",INDEX(Dossiers!$F$4:$F$63,28)))</f>
        <v/>
      </c>
      <c r="U1443">
        <f>IF($O1443="","",IF(INDEX(Dossiers!$G$4:$G$63,28)="","",INDEX(Dossiers!$G$4:$G$63,28)))</f>
        <v/>
      </c>
      <c r="V1443">
        <f>IF(OR($O1443="",NOT(ISNUMBER($Q1443))),"",$Q1443*1000000+1443)</f>
        <v/>
      </c>
      <c r="W1443" s="29">
        <f>IF($B1443="","",IFERROR(INDEX($U$4:$U$3183,MATCH(SMALL($V$4:$V$3183,1440),$V$4:$V$3183,0)),""))</f>
        <v/>
      </c>
    </row>
    <row r="1444">
      <c r="A1444">
        <f>IFERROR(INDEX($N$4:$N$3183,MATCH(SMALL($V$4:$V$3183,1441),$V$4:$V$3183,0)),"")</f>
        <v/>
      </c>
      <c r="B1444">
        <f>IFERROR(INDEX($O$4:$O$3183,MATCH(SMALL($V$4:$V$3183,1441),$V$4:$V$3183,0)),"")</f>
        <v/>
      </c>
      <c r="C1444">
        <f>IFERROR(INDEX($P$4:$P$3183,MATCH(SMALL($V$4:$V$3183,1441),$V$4:$V$3183,0)),"")</f>
        <v/>
      </c>
      <c r="D1444" s="29">
        <f>IFERROR(INDEX($Q$4:$Q$3183,MATCH(SMALL($V$4:$V$3183,1441),$V$4:$V$3183,0)),"")</f>
        <v/>
      </c>
      <c r="E1444" s="29">
        <f>IFERROR(INDEX($R$4:$R$3183,MATCH(SMALL($V$4:$V$3183,1441),$V$4:$V$3183,0)),"")</f>
        <v/>
      </c>
      <c r="F1444">
        <f>IFERROR(INDEX($S$4:$S$3183,MATCH(SMALL($V$4:$V$3183,1441),$V$4:$V$3183,0)),"")</f>
        <v/>
      </c>
      <c r="I1444" s="29">
        <f>IF($B1444="","",IFERROR(INDEX($U$4:$U$3183,MATCH(SMALL($V$4:$V$3183,1441),$V$4:$V$3183,0)),""))</f>
        <v/>
      </c>
      <c r="J1444">
        <f>IF($B1444="","",IF($D1444&gt;$F$2,"À venir",IF($E1444&lt;$D$2,"Passé","Dans la période")))</f>
        <v/>
      </c>
      <c r="K1444">
        <f>IF(OR($B1444="",NOT(ISNUMBER($D1444))),"",IF(AND($E1444&lt;$D$2,$G1444&lt;&gt;"X",$F1444&lt;&gt;"Réalisé",$F1444&lt;&gt;"Clôturé"),"RETARD",""))</f>
        <v/>
      </c>
      <c r="L1444">
        <f>IF(OR($B1444="",NOT(ISNUMBER($D1444))),"",IF(AND($D1444&gt;=$D$2,$D1444&lt;=$H$2,$G1444&lt;&gt;"X",$F1444&lt;&gt;"Réalisé",$F1444&lt;&gt;"Clôturé"),"≤ 7 j",""))</f>
        <v/>
      </c>
      <c r="M1444" s="29">
        <f>IF($B1444="","",IFERROR(INDEX($T$4:$T$3183,MATCH(SMALL($V$4:$V$3183,1441),$V$4:$V$3183,0)),""))</f>
        <v/>
      </c>
      <c r="O1444">
        <f>IF(INDEX(Suivi!$B:$B,1472)="","",INDEX(Suivi!$B:$B,1472))</f>
        <v/>
      </c>
      <c r="P1444">
        <f>IF($O1444="","",IF(INDEX(Suivi!$D:$D,1472)="",INDEX(Suivi!$C:$C,1472),INDEX(Suivi!$D:$D,1472)))</f>
        <v/>
      </c>
      <c r="Q1444">
        <f>IF($O1444="","",INDEX(Suivi!$E:$E,1472))</f>
        <v/>
      </c>
      <c r="R1444">
        <f>IF($O1444="","",INDEX(Suivi!$F:$F,1472))</f>
        <v/>
      </c>
      <c r="S1444">
        <f>IF($O1444="","",INDEX(Suivi!$G:$G,1472))</f>
        <v/>
      </c>
      <c r="T1444">
        <f>IF($O1444="","",IF(INDEX(Dossiers!$F$4:$F$63,28)="","",INDEX(Dossiers!$F$4:$F$63,28)))</f>
        <v/>
      </c>
      <c r="U1444">
        <f>IF($O1444="","",IF(INDEX(Dossiers!$G$4:$G$63,28)="","",INDEX(Dossiers!$G$4:$G$63,28)))</f>
        <v/>
      </c>
      <c r="V1444">
        <f>IF(OR($O1444="",NOT(ISNUMBER($Q1444))),"",$Q1444*1000000+1444)</f>
        <v/>
      </c>
      <c r="W1444" s="29">
        <f>IF($B1444="","",IFERROR(INDEX($U$4:$U$3183,MATCH(SMALL($V$4:$V$3183,1441),$V$4:$V$3183,0)),""))</f>
        <v/>
      </c>
    </row>
    <row r="1445">
      <c r="A1445">
        <f>IFERROR(INDEX($N$4:$N$3183,MATCH(SMALL($V$4:$V$3183,1442),$V$4:$V$3183,0)),"")</f>
        <v/>
      </c>
      <c r="B1445">
        <f>IFERROR(INDEX($O$4:$O$3183,MATCH(SMALL($V$4:$V$3183,1442),$V$4:$V$3183,0)),"")</f>
        <v/>
      </c>
      <c r="C1445">
        <f>IFERROR(INDEX($P$4:$P$3183,MATCH(SMALL($V$4:$V$3183,1442),$V$4:$V$3183,0)),"")</f>
        <v/>
      </c>
      <c r="D1445" s="29">
        <f>IFERROR(INDEX($Q$4:$Q$3183,MATCH(SMALL($V$4:$V$3183,1442),$V$4:$V$3183,0)),"")</f>
        <v/>
      </c>
      <c r="E1445" s="29">
        <f>IFERROR(INDEX($R$4:$R$3183,MATCH(SMALL($V$4:$V$3183,1442),$V$4:$V$3183,0)),"")</f>
        <v/>
      </c>
      <c r="F1445">
        <f>IFERROR(INDEX($S$4:$S$3183,MATCH(SMALL($V$4:$V$3183,1442),$V$4:$V$3183,0)),"")</f>
        <v/>
      </c>
      <c r="I1445" s="29">
        <f>IF($B1445="","",IFERROR(INDEX($U$4:$U$3183,MATCH(SMALL($V$4:$V$3183,1442),$V$4:$V$3183,0)),""))</f>
        <v/>
      </c>
      <c r="J1445">
        <f>IF($B1445="","",IF($D1445&gt;$F$2,"À venir",IF($E1445&lt;$D$2,"Passé","Dans la période")))</f>
        <v/>
      </c>
      <c r="K1445">
        <f>IF(OR($B1445="",NOT(ISNUMBER($D1445))),"",IF(AND($E1445&lt;$D$2,$G1445&lt;&gt;"X",$F1445&lt;&gt;"Réalisé",$F1445&lt;&gt;"Clôturé"),"RETARD",""))</f>
        <v/>
      </c>
      <c r="L1445">
        <f>IF(OR($B1445="",NOT(ISNUMBER($D1445))),"",IF(AND($D1445&gt;=$D$2,$D1445&lt;=$H$2,$G1445&lt;&gt;"X",$F1445&lt;&gt;"Réalisé",$F1445&lt;&gt;"Clôturé"),"≤ 7 j",""))</f>
        <v/>
      </c>
      <c r="M1445" s="29">
        <f>IF($B1445="","",IFERROR(INDEX($T$4:$T$3183,MATCH(SMALL($V$4:$V$3183,1442),$V$4:$V$3183,0)),""))</f>
        <v/>
      </c>
      <c r="O1445">
        <f>IF(INDEX(Suivi!$B:$B,1473)="","",INDEX(Suivi!$B:$B,1473))</f>
        <v/>
      </c>
      <c r="P1445">
        <f>IF($O1445="","",IF(INDEX(Suivi!$D:$D,1473)="",INDEX(Suivi!$C:$C,1473),INDEX(Suivi!$D:$D,1473)))</f>
        <v/>
      </c>
      <c r="Q1445">
        <f>IF($O1445="","",INDEX(Suivi!$E:$E,1473))</f>
        <v/>
      </c>
      <c r="R1445">
        <f>IF($O1445="","",INDEX(Suivi!$F:$F,1473))</f>
        <v/>
      </c>
      <c r="S1445">
        <f>IF($O1445="","",INDEX(Suivi!$G:$G,1473))</f>
        <v/>
      </c>
      <c r="T1445">
        <f>IF($O1445="","",IF(INDEX(Dossiers!$F$4:$F$63,28)="","",INDEX(Dossiers!$F$4:$F$63,28)))</f>
        <v/>
      </c>
      <c r="U1445">
        <f>IF($O1445="","",IF(INDEX(Dossiers!$G$4:$G$63,28)="","",INDEX(Dossiers!$G$4:$G$63,28)))</f>
        <v/>
      </c>
      <c r="V1445">
        <f>IF(OR($O1445="",NOT(ISNUMBER($Q1445))),"",$Q1445*1000000+1445)</f>
        <v/>
      </c>
      <c r="W1445" s="29">
        <f>IF($B1445="","",IFERROR(INDEX($U$4:$U$3183,MATCH(SMALL($V$4:$V$3183,1442),$V$4:$V$3183,0)),""))</f>
        <v/>
      </c>
    </row>
    <row r="1446">
      <c r="A1446">
        <f>IFERROR(INDEX($N$4:$N$3183,MATCH(SMALL($V$4:$V$3183,1443),$V$4:$V$3183,0)),"")</f>
        <v/>
      </c>
      <c r="B1446">
        <f>IFERROR(INDEX($O$4:$O$3183,MATCH(SMALL($V$4:$V$3183,1443),$V$4:$V$3183,0)),"")</f>
        <v/>
      </c>
      <c r="C1446">
        <f>IFERROR(INDEX($P$4:$P$3183,MATCH(SMALL($V$4:$V$3183,1443),$V$4:$V$3183,0)),"")</f>
        <v/>
      </c>
      <c r="D1446" s="29">
        <f>IFERROR(INDEX($Q$4:$Q$3183,MATCH(SMALL($V$4:$V$3183,1443),$V$4:$V$3183,0)),"")</f>
        <v/>
      </c>
      <c r="E1446" s="29">
        <f>IFERROR(INDEX($R$4:$R$3183,MATCH(SMALL($V$4:$V$3183,1443),$V$4:$V$3183,0)),"")</f>
        <v/>
      </c>
      <c r="F1446">
        <f>IFERROR(INDEX($S$4:$S$3183,MATCH(SMALL($V$4:$V$3183,1443),$V$4:$V$3183,0)),"")</f>
        <v/>
      </c>
      <c r="I1446" s="29">
        <f>IF($B1446="","",IFERROR(INDEX($U$4:$U$3183,MATCH(SMALL($V$4:$V$3183,1443),$V$4:$V$3183,0)),""))</f>
        <v/>
      </c>
      <c r="J1446">
        <f>IF($B1446="","",IF($D1446&gt;$F$2,"À venir",IF($E1446&lt;$D$2,"Passé","Dans la période")))</f>
        <v/>
      </c>
      <c r="K1446">
        <f>IF(OR($B1446="",NOT(ISNUMBER($D1446))),"",IF(AND($E1446&lt;$D$2,$G1446&lt;&gt;"X",$F1446&lt;&gt;"Réalisé",$F1446&lt;&gt;"Clôturé"),"RETARD",""))</f>
        <v/>
      </c>
      <c r="L1446">
        <f>IF(OR($B1446="",NOT(ISNUMBER($D1446))),"",IF(AND($D1446&gt;=$D$2,$D1446&lt;=$H$2,$G1446&lt;&gt;"X",$F1446&lt;&gt;"Réalisé",$F1446&lt;&gt;"Clôturé"),"≤ 7 j",""))</f>
        <v/>
      </c>
      <c r="M1446" s="29">
        <f>IF($B1446="","",IFERROR(INDEX($T$4:$T$3183,MATCH(SMALL($V$4:$V$3183,1443),$V$4:$V$3183,0)),""))</f>
        <v/>
      </c>
      <c r="O1446">
        <f>IF(INDEX(Suivi!$B:$B,1474)="","",INDEX(Suivi!$B:$B,1474))</f>
        <v/>
      </c>
      <c r="P1446">
        <f>IF($O1446="","",IF(INDEX(Suivi!$D:$D,1474)="",INDEX(Suivi!$C:$C,1474),INDEX(Suivi!$D:$D,1474)))</f>
        <v/>
      </c>
      <c r="Q1446">
        <f>IF($O1446="","",INDEX(Suivi!$E:$E,1474))</f>
        <v/>
      </c>
      <c r="R1446">
        <f>IF($O1446="","",INDEX(Suivi!$F:$F,1474))</f>
        <v/>
      </c>
      <c r="S1446">
        <f>IF($O1446="","",INDEX(Suivi!$G:$G,1474))</f>
        <v/>
      </c>
      <c r="T1446">
        <f>IF($O1446="","",IF(INDEX(Dossiers!$F$4:$F$63,28)="","",INDEX(Dossiers!$F$4:$F$63,28)))</f>
        <v/>
      </c>
      <c r="U1446">
        <f>IF($O1446="","",IF(INDEX(Dossiers!$G$4:$G$63,28)="","",INDEX(Dossiers!$G$4:$G$63,28)))</f>
        <v/>
      </c>
      <c r="V1446">
        <f>IF(OR($O1446="",NOT(ISNUMBER($Q1446))),"",$Q1446*1000000+1446)</f>
        <v/>
      </c>
      <c r="W1446" s="29">
        <f>IF($B1446="","",IFERROR(INDEX($U$4:$U$3183,MATCH(SMALL($V$4:$V$3183,1443),$V$4:$V$3183,0)),""))</f>
        <v/>
      </c>
    </row>
    <row r="1447">
      <c r="A1447">
        <f>IFERROR(INDEX($N$4:$N$3183,MATCH(SMALL($V$4:$V$3183,1444),$V$4:$V$3183,0)),"")</f>
        <v/>
      </c>
      <c r="B1447">
        <f>IFERROR(INDEX($O$4:$O$3183,MATCH(SMALL($V$4:$V$3183,1444),$V$4:$V$3183,0)),"")</f>
        <v/>
      </c>
      <c r="C1447">
        <f>IFERROR(INDEX($P$4:$P$3183,MATCH(SMALL($V$4:$V$3183,1444),$V$4:$V$3183,0)),"")</f>
        <v/>
      </c>
      <c r="D1447" s="29">
        <f>IFERROR(INDEX($Q$4:$Q$3183,MATCH(SMALL($V$4:$V$3183,1444),$V$4:$V$3183,0)),"")</f>
        <v/>
      </c>
      <c r="E1447" s="29">
        <f>IFERROR(INDEX($R$4:$R$3183,MATCH(SMALL($V$4:$V$3183,1444),$V$4:$V$3183,0)),"")</f>
        <v/>
      </c>
      <c r="F1447">
        <f>IFERROR(INDEX($S$4:$S$3183,MATCH(SMALL($V$4:$V$3183,1444),$V$4:$V$3183,0)),"")</f>
        <v/>
      </c>
      <c r="I1447" s="29">
        <f>IF($B1447="","",IFERROR(INDEX($U$4:$U$3183,MATCH(SMALL($V$4:$V$3183,1444),$V$4:$V$3183,0)),""))</f>
        <v/>
      </c>
      <c r="J1447">
        <f>IF($B1447="","",IF($D1447&gt;$F$2,"À venir",IF($E1447&lt;$D$2,"Passé","Dans la période")))</f>
        <v/>
      </c>
      <c r="K1447">
        <f>IF(OR($B1447="",NOT(ISNUMBER($D1447))),"",IF(AND($E1447&lt;$D$2,$G1447&lt;&gt;"X",$F1447&lt;&gt;"Réalisé",$F1447&lt;&gt;"Clôturé"),"RETARD",""))</f>
        <v/>
      </c>
      <c r="L1447">
        <f>IF(OR($B1447="",NOT(ISNUMBER($D1447))),"",IF(AND($D1447&gt;=$D$2,$D1447&lt;=$H$2,$G1447&lt;&gt;"X",$F1447&lt;&gt;"Réalisé",$F1447&lt;&gt;"Clôturé"),"≤ 7 j",""))</f>
        <v/>
      </c>
      <c r="M1447" s="29">
        <f>IF($B1447="","",IFERROR(INDEX($T$4:$T$3183,MATCH(SMALL($V$4:$V$3183,1444),$V$4:$V$3183,0)),""))</f>
        <v/>
      </c>
      <c r="O1447">
        <f>IF(INDEX(Suivi!$B:$B,1475)="","",INDEX(Suivi!$B:$B,1475))</f>
        <v/>
      </c>
      <c r="P1447">
        <f>IF($O1447="","",IF(INDEX(Suivi!$D:$D,1475)="",INDEX(Suivi!$C:$C,1475),INDEX(Suivi!$D:$D,1475)))</f>
        <v/>
      </c>
      <c r="Q1447">
        <f>IF($O1447="","",INDEX(Suivi!$E:$E,1475))</f>
        <v/>
      </c>
      <c r="R1447">
        <f>IF($O1447="","",INDEX(Suivi!$F:$F,1475))</f>
        <v/>
      </c>
      <c r="S1447">
        <f>IF($O1447="","",INDEX(Suivi!$G:$G,1475))</f>
        <v/>
      </c>
      <c r="T1447">
        <f>IF($O1447="","",IF(INDEX(Dossiers!$F$4:$F$63,28)="","",INDEX(Dossiers!$F$4:$F$63,28)))</f>
        <v/>
      </c>
      <c r="U1447">
        <f>IF($O1447="","",IF(INDEX(Dossiers!$G$4:$G$63,28)="","",INDEX(Dossiers!$G$4:$G$63,28)))</f>
        <v/>
      </c>
      <c r="V1447">
        <f>IF(OR($O1447="",NOT(ISNUMBER($Q1447))),"",$Q1447*1000000+1447)</f>
        <v/>
      </c>
      <c r="W1447" s="29">
        <f>IF($B1447="","",IFERROR(INDEX($U$4:$U$3183,MATCH(SMALL($V$4:$V$3183,1444),$V$4:$V$3183,0)),""))</f>
        <v/>
      </c>
    </row>
    <row r="1448">
      <c r="A1448">
        <f>IFERROR(INDEX($N$4:$N$3183,MATCH(SMALL($V$4:$V$3183,1445),$V$4:$V$3183,0)),"")</f>
        <v/>
      </c>
      <c r="B1448">
        <f>IFERROR(INDEX($O$4:$O$3183,MATCH(SMALL($V$4:$V$3183,1445),$V$4:$V$3183,0)),"")</f>
        <v/>
      </c>
      <c r="C1448">
        <f>IFERROR(INDEX($P$4:$P$3183,MATCH(SMALL($V$4:$V$3183,1445),$V$4:$V$3183,0)),"")</f>
        <v/>
      </c>
      <c r="D1448" s="29">
        <f>IFERROR(INDEX($Q$4:$Q$3183,MATCH(SMALL($V$4:$V$3183,1445),$V$4:$V$3183,0)),"")</f>
        <v/>
      </c>
      <c r="E1448" s="29">
        <f>IFERROR(INDEX($R$4:$R$3183,MATCH(SMALL($V$4:$V$3183,1445),$V$4:$V$3183,0)),"")</f>
        <v/>
      </c>
      <c r="F1448">
        <f>IFERROR(INDEX($S$4:$S$3183,MATCH(SMALL($V$4:$V$3183,1445),$V$4:$V$3183,0)),"")</f>
        <v/>
      </c>
      <c r="I1448" s="29">
        <f>IF($B1448="","",IFERROR(INDEX($U$4:$U$3183,MATCH(SMALL($V$4:$V$3183,1445),$V$4:$V$3183,0)),""))</f>
        <v/>
      </c>
      <c r="J1448">
        <f>IF($B1448="","",IF($D1448&gt;$F$2,"À venir",IF($E1448&lt;$D$2,"Passé","Dans la période")))</f>
        <v/>
      </c>
      <c r="K1448">
        <f>IF(OR($B1448="",NOT(ISNUMBER($D1448))),"",IF(AND($E1448&lt;$D$2,$G1448&lt;&gt;"X",$F1448&lt;&gt;"Réalisé",$F1448&lt;&gt;"Clôturé"),"RETARD",""))</f>
        <v/>
      </c>
      <c r="L1448">
        <f>IF(OR($B1448="",NOT(ISNUMBER($D1448))),"",IF(AND($D1448&gt;=$D$2,$D1448&lt;=$H$2,$G1448&lt;&gt;"X",$F1448&lt;&gt;"Réalisé",$F1448&lt;&gt;"Clôturé"),"≤ 7 j",""))</f>
        <v/>
      </c>
      <c r="M1448" s="29">
        <f>IF($B1448="","",IFERROR(INDEX($T$4:$T$3183,MATCH(SMALL($V$4:$V$3183,1445),$V$4:$V$3183,0)),""))</f>
        <v/>
      </c>
      <c r="O1448">
        <f>IF(INDEX(Suivi!$B:$B,1476)="","",INDEX(Suivi!$B:$B,1476))</f>
        <v/>
      </c>
      <c r="P1448">
        <f>IF($O1448="","",IF(INDEX(Suivi!$D:$D,1476)="",INDEX(Suivi!$C:$C,1476),INDEX(Suivi!$D:$D,1476)))</f>
        <v/>
      </c>
      <c r="Q1448">
        <f>IF($O1448="","",INDEX(Suivi!$E:$E,1476))</f>
        <v/>
      </c>
      <c r="R1448">
        <f>IF($O1448="","",INDEX(Suivi!$F:$F,1476))</f>
        <v/>
      </c>
      <c r="S1448">
        <f>IF($O1448="","",INDEX(Suivi!$G:$G,1476))</f>
        <v/>
      </c>
      <c r="T1448">
        <f>IF($O1448="","",IF(INDEX(Dossiers!$F$4:$F$63,28)="","",INDEX(Dossiers!$F$4:$F$63,28)))</f>
        <v/>
      </c>
      <c r="U1448">
        <f>IF($O1448="","",IF(INDEX(Dossiers!$G$4:$G$63,28)="","",INDEX(Dossiers!$G$4:$G$63,28)))</f>
        <v/>
      </c>
      <c r="V1448">
        <f>IF(OR($O1448="",NOT(ISNUMBER($Q1448))),"",$Q1448*1000000+1448)</f>
        <v/>
      </c>
      <c r="W1448" s="29">
        <f>IF($B1448="","",IFERROR(INDEX($U$4:$U$3183,MATCH(SMALL($V$4:$V$3183,1445),$V$4:$V$3183,0)),""))</f>
        <v/>
      </c>
    </row>
    <row r="1449">
      <c r="A1449">
        <f>IFERROR(INDEX($N$4:$N$3183,MATCH(SMALL($V$4:$V$3183,1446),$V$4:$V$3183,0)),"")</f>
        <v/>
      </c>
      <c r="B1449">
        <f>IFERROR(INDEX($O$4:$O$3183,MATCH(SMALL($V$4:$V$3183,1446),$V$4:$V$3183,0)),"")</f>
        <v/>
      </c>
      <c r="C1449">
        <f>IFERROR(INDEX($P$4:$P$3183,MATCH(SMALL($V$4:$V$3183,1446),$V$4:$V$3183,0)),"")</f>
        <v/>
      </c>
      <c r="D1449" s="29">
        <f>IFERROR(INDEX($Q$4:$Q$3183,MATCH(SMALL($V$4:$V$3183,1446),$V$4:$V$3183,0)),"")</f>
        <v/>
      </c>
      <c r="E1449" s="29">
        <f>IFERROR(INDEX($R$4:$R$3183,MATCH(SMALL($V$4:$V$3183,1446),$V$4:$V$3183,0)),"")</f>
        <v/>
      </c>
      <c r="F1449">
        <f>IFERROR(INDEX($S$4:$S$3183,MATCH(SMALL($V$4:$V$3183,1446),$V$4:$V$3183,0)),"")</f>
        <v/>
      </c>
      <c r="I1449" s="29">
        <f>IF($B1449="","",IFERROR(INDEX($U$4:$U$3183,MATCH(SMALL($V$4:$V$3183,1446),$V$4:$V$3183,0)),""))</f>
        <v/>
      </c>
      <c r="J1449">
        <f>IF($B1449="","",IF($D1449&gt;$F$2,"À venir",IF($E1449&lt;$D$2,"Passé","Dans la période")))</f>
        <v/>
      </c>
      <c r="K1449">
        <f>IF(OR($B1449="",NOT(ISNUMBER($D1449))),"",IF(AND($E1449&lt;$D$2,$G1449&lt;&gt;"X",$F1449&lt;&gt;"Réalisé",$F1449&lt;&gt;"Clôturé"),"RETARD",""))</f>
        <v/>
      </c>
      <c r="L1449">
        <f>IF(OR($B1449="",NOT(ISNUMBER($D1449))),"",IF(AND($D1449&gt;=$D$2,$D1449&lt;=$H$2,$G1449&lt;&gt;"X",$F1449&lt;&gt;"Réalisé",$F1449&lt;&gt;"Clôturé"),"≤ 7 j",""))</f>
        <v/>
      </c>
      <c r="M1449" s="29">
        <f>IF($B1449="","",IFERROR(INDEX($T$4:$T$3183,MATCH(SMALL($V$4:$V$3183,1446),$V$4:$V$3183,0)),""))</f>
        <v/>
      </c>
      <c r="O1449">
        <f>IF(INDEX(Suivi!$B:$B,1477)="","",INDEX(Suivi!$B:$B,1477))</f>
        <v/>
      </c>
      <c r="P1449">
        <f>IF($O1449="","",IF(INDEX(Suivi!$D:$D,1477)="",INDEX(Suivi!$C:$C,1477),INDEX(Suivi!$D:$D,1477)))</f>
        <v/>
      </c>
      <c r="Q1449">
        <f>IF($O1449="","",INDEX(Suivi!$E:$E,1477))</f>
        <v/>
      </c>
      <c r="R1449">
        <f>IF($O1449="","",INDEX(Suivi!$F:$F,1477))</f>
        <v/>
      </c>
      <c r="S1449">
        <f>IF($O1449="","",INDEX(Suivi!$G:$G,1477))</f>
        <v/>
      </c>
      <c r="T1449">
        <f>IF($O1449="","",IF(INDEX(Dossiers!$F$4:$F$63,28)="","",INDEX(Dossiers!$F$4:$F$63,28)))</f>
        <v/>
      </c>
      <c r="U1449">
        <f>IF($O1449="","",IF(INDEX(Dossiers!$G$4:$G$63,28)="","",INDEX(Dossiers!$G$4:$G$63,28)))</f>
        <v/>
      </c>
      <c r="V1449">
        <f>IF(OR($O1449="",NOT(ISNUMBER($Q1449))),"",$Q1449*1000000+1449)</f>
        <v/>
      </c>
      <c r="W1449" s="29">
        <f>IF($B1449="","",IFERROR(INDEX($U$4:$U$3183,MATCH(SMALL($V$4:$V$3183,1446),$V$4:$V$3183,0)),""))</f>
        <v/>
      </c>
    </row>
    <row r="1450">
      <c r="A1450">
        <f>IFERROR(INDEX($N$4:$N$3183,MATCH(SMALL($V$4:$V$3183,1447),$V$4:$V$3183,0)),"")</f>
        <v/>
      </c>
      <c r="B1450">
        <f>IFERROR(INDEX($O$4:$O$3183,MATCH(SMALL($V$4:$V$3183,1447),$V$4:$V$3183,0)),"")</f>
        <v/>
      </c>
      <c r="C1450">
        <f>IFERROR(INDEX($P$4:$P$3183,MATCH(SMALL($V$4:$V$3183,1447),$V$4:$V$3183,0)),"")</f>
        <v/>
      </c>
      <c r="D1450" s="29">
        <f>IFERROR(INDEX($Q$4:$Q$3183,MATCH(SMALL($V$4:$V$3183,1447),$V$4:$V$3183,0)),"")</f>
        <v/>
      </c>
      <c r="E1450" s="29">
        <f>IFERROR(INDEX($R$4:$R$3183,MATCH(SMALL($V$4:$V$3183,1447),$V$4:$V$3183,0)),"")</f>
        <v/>
      </c>
      <c r="F1450">
        <f>IFERROR(INDEX($S$4:$S$3183,MATCH(SMALL($V$4:$V$3183,1447),$V$4:$V$3183,0)),"")</f>
        <v/>
      </c>
      <c r="I1450" s="29">
        <f>IF($B1450="","",IFERROR(INDEX($U$4:$U$3183,MATCH(SMALL($V$4:$V$3183,1447),$V$4:$V$3183,0)),""))</f>
        <v/>
      </c>
      <c r="J1450">
        <f>IF($B1450="","",IF($D1450&gt;$F$2,"À venir",IF($E1450&lt;$D$2,"Passé","Dans la période")))</f>
        <v/>
      </c>
      <c r="K1450">
        <f>IF(OR($B1450="",NOT(ISNUMBER($D1450))),"",IF(AND($E1450&lt;$D$2,$G1450&lt;&gt;"X",$F1450&lt;&gt;"Réalisé",$F1450&lt;&gt;"Clôturé"),"RETARD",""))</f>
        <v/>
      </c>
      <c r="L1450">
        <f>IF(OR($B1450="",NOT(ISNUMBER($D1450))),"",IF(AND($D1450&gt;=$D$2,$D1450&lt;=$H$2,$G1450&lt;&gt;"X",$F1450&lt;&gt;"Réalisé",$F1450&lt;&gt;"Clôturé"),"≤ 7 j",""))</f>
        <v/>
      </c>
      <c r="M1450" s="29">
        <f>IF($B1450="","",IFERROR(INDEX($T$4:$T$3183,MATCH(SMALL($V$4:$V$3183,1447),$V$4:$V$3183,0)),""))</f>
        <v/>
      </c>
      <c r="O1450">
        <f>IF(INDEX(Suivi!$B:$B,1478)="","",INDEX(Suivi!$B:$B,1478))</f>
        <v/>
      </c>
      <c r="P1450">
        <f>IF($O1450="","",IF(INDEX(Suivi!$D:$D,1478)="",INDEX(Suivi!$C:$C,1478),INDEX(Suivi!$D:$D,1478)))</f>
        <v/>
      </c>
      <c r="Q1450">
        <f>IF($O1450="","",INDEX(Suivi!$E:$E,1478))</f>
        <v/>
      </c>
      <c r="R1450">
        <f>IF($O1450="","",INDEX(Suivi!$F:$F,1478))</f>
        <v/>
      </c>
      <c r="S1450">
        <f>IF($O1450="","",INDEX(Suivi!$G:$G,1478))</f>
        <v/>
      </c>
      <c r="T1450">
        <f>IF($O1450="","",IF(INDEX(Dossiers!$F$4:$F$63,28)="","",INDEX(Dossiers!$F$4:$F$63,28)))</f>
        <v/>
      </c>
      <c r="U1450">
        <f>IF($O1450="","",IF(INDEX(Dossiers!$G$4:$G$63,28)="","",INDEX(Dossiers!$G$4:$G$63,28)))</f>
        <v/>
      </c>
      <c r="V1450">
        <f>IF(OR($O1450="",NOT(ISNUMBER($Q1450))),"",$Q1450*1000000+1450)</f>
        <v/>
      </c>
      <c r="W1450" s="29">
        <f>IF($B1450="","",IFERROR(INDEX($U$4:$U$3183,MATCH(SMALL($V$4:$V$3183,1447),$V$4:$V$3183,0)),""))</f>
        <v/>
      </c>
    </row>
    <row r="1451">
      <c r="A1451">
        <f>IFERROR(INDEX($N$4:$N$3183,MATCH(SMALL($V$4:$V$3183,1448),$V$4:$V$3183,0)),"")</f>
        <v/>
      </c>
      <c r="B1451">
        <f>IFERROR(INDEX($O$4:$O$3183,MATCH(SMALL($V$4:$V$3183,1448),$V$4:$V$3183,0)),"")</f>
        <v/>
      </c>
      <c r="C1451">
        <f>IFERROR(INDEX($P$4:$P$3183,MATCH(SMALL($V$4:$V$3183,1448),$V$4:$V$3183,0)),"")</f>
        <v/>
      </c>
      <c r="D1451" s="29">
        <f>IFERROR(INDEX($Q$4:$Q$3183,MATCH(SMALL($V$4:$V$3183,1448),$V$4:$V$3183,0)),"")</f>
        <v/>
      </c>
      <c r="E1451" s="29">
        <f>IFERROR(INDEX($R$4:$R$3183,MATCH(SMALL($V$4:$V$3183,1448),$V$4:$V$3183,0)),"")</f>
        <v/>
      </c>
      <c r="F1451">
        <f>IFERROR(INDEX($S$4:$S$3183,MATCH(SMALL($V$4:$V$3183,1448),$V$4:$V$3183,0)),"")</f>
        <v/>
      </c>
      <c r="I1451" s="29">
        <f>IF($B1451="","",IFERROR(INDEX($U$4:$U$3183,MATCH(SMALL($V$4:$V$3183,1448),$V$4:$V$3183,0)),""))</f>
        <v/>
      </c>
      <c r="J1451">
        <f>IF($B1451="","",IF($D1451&gt;$F$2,"À venir",IF($E1451&lt;$D$2,"Passé","Dans la période")))</f>
        <v/>
      </c>
      <c r="K1451">
        <f>IF(OR($B1451="",NOT(ISNUMBER($D1451))),"",IF(AND($E1451&lt;$D$2,$G1451&lt;&gt;"X",$F1451&lt;&gt;"Réalisé",$F1451&lt;&gt;"Clôturé"),"RETARD",""))</f>
        <v/>
      </c>
      <c r="L1451">
        <f>IF(OR($B1451="",NOT(ISNUMBER($D1451))),"",IF(AND($D1451&gt;=$D$2,$D1451&lt;=$H$2,$G1451&lt;&gt;"X",$F1451&lt;&gt;"Réalisé",$F1451&lt;&gt;"Clôturé"),"≤ 7 j",""))</f>
        <v/>
      </c>
      <c r="M1451" s="29">
        <f>IF($B1451="","",IFERROR(INDEX($T$4:$T$3183,MATCH(SMALL($V$4:$V$3183,1448),$V$4:$V$3183,0)),""))</f>
        <v/>
      </c>
      <c r="O1451">
        <f>IF(INDEX(Suivi!$B:$B,1479)="","",INDEX(Suivi!$B:$B,1479))</f>
        <v/>
      </c>
      <c r="P1451">
        <f>IF($O1451="","",IF(INDEX(Suivi!$D:$D,1479)="",INDEX(Suivi!$C:$C,1479),INDEX(Suivi!$D:$D,1479)))</f>
        <v/>
      </c>
      <c r="Q1451">
        <f>IF($O1451="","",INDEX(Suivi!$E:$E,1479))</f>
        <v/>
      </c>
      <c r="R1451">
        <f>IF($O1451="","",INDEX(Suivi!$F:$F,1479))</f>
        <v/>
      </c>
      <c r="S1451">
        <f>IF($O1451="","",INDEX(Suivi!$G:$G,1479))</f>
        <v/>
      </c>
      <c r="T1451">
        <f>IF($O1451="","",IF(INDEX(Dossiers!$F$4:$F$63,28)="","",INDEX(Dossiers!$F$4:$F$63,28)))</f>
        <v/>
      </c>
      <c r="U1451">
        <f>IF($O1451="","",IF(INDEX(Dossiers!$G$4:$G$63,28)="","",INDEX(Dossiers!$G$4:$G$63,28)))</f>
        <v/>
      </c>
      <c r="V1451">
        <f>IF(OR($O1451="",NOT(ISNUMBER($Q1451))),"",$Q1451*1000000+1451)</f>
        <v/>
      </c>
      <c r="W1451" s="29">
        <f>IF($B1451="","",IFERROR(INDEX($U$4:$U$3183,MATCH(SMALL($V$4:$V$3183,1448),$V$4:$V$3183,0)),""))</f>
        <v/>
      </c>
    </row>
    <row r="1452">
      <c r="A1452">
        <f>IFERROR(INDEX($N$4:$N$3183,MATCH(SMALL($V$4:$V$3183,1449),$V$4:$V$3183,0)),"")</f>
        <v/>
      </c>
      <c r="B1452">
        <f>IFERROR(INDEX($O$4:$O$3183,MATCH(SMALL($V$4:$V$3183,1449),$V$4:$V$3183,0)),"")</f>
        <v/>
      </c>
      <c r="C1452">
        <f>IFERROR(INDEX($P$4:$P$3183,MATCH(SMALL($V$4:$V$3183,1449),$V$4:$V$3183,0)),"")</f>
        <v/>
      </c>
      <c r="D1452" s="29">
        <f>IFERROR(INDEX($Q$4:$Q$3183,MATCH(SMALL($V$4:$V$3183,1449),$V$4:$V$3183,0)),"")</f>
        <v/>
      </c>
      <c r="E1452" s="29">
        <f>IFERROR(INDEX($R$4:$R$3183,MATCH(SMALL($V$4:$V$3183,1449),$V$4:$V$3183,0)),"")</f>
        <v/>
      </c>
      <c r="F1452">
        <f>IFERROR(INDEX($S$4:$S$3183,MATCH(SMALL($V$4:$V$3183,1449),$V$4:$V$3183,0)),"")</f>
        <v/>
      </c>
      <c r="I1452" s="29">
        <f>IF($B1452="","",IFERROR(INDEX($U$4:$U$3183,MATCH(SMALL($V$4:$V$3183,1449),$V$4:$V$3183,0)),""))</f>
        <v/>
      </c>
      <c r="J1452">
        <f>IF($B1452="","",IF($D1452&gt;$F$2,"À venir",IF($E1452&lt;$D$2,"Passé","Dans la période")))</f>
        <v/>
      </c>
      <c r="K1452">
        <f>IF(OR($B1452="",NOT(ISNUMBER($D1452))),"",IF(AND($E1452&lt;$D$2,$G1452&lt;&gt;"X",$F1452&lt;&gt;"Réalisé",$F1452&lt;&gt;"Clôturé"),"RETARD",""))</f>
        <v/>
      </c>
      <c r="L1452">
        <f>IF(OR($B1452="",NOT(ISNUMBER($D1452))),"",IF(AND($D1452&gt;=$D$2,$D1452&lt;=$H$2,$G1452&lt;&gt;"X",$F1452&lt;&gt;"Réalisé",$F1452&lt;&gt;"Clôturé"),"≤ 7 j",""))</f>
        <v/>
      </c>
      <c r="M1452" s="29">
        <f>IF($B1452="","",IFERROR(INDEX($T$4:$T$3183,MATCH(SMALL($V$4:$V$3183,1449),$V$4:$V$3183,0)),""))</f>
        <v/>
      </c>
      <c r="O1452">
        <f>IF(INDEX(Suivi!$B:$B,1480)="","",INDEX(Suivi!$B:$B,1480))</f>
        <v/>
      </c>
      <c r="P1452">
        <f>IF($O1452="","",IF(INDEX(Suivi!$D:$D,1480)="",INDEX(Suivi!$C:$C,1480),INDEX(Suivi!$D:$D,1480)))</f>
        <v/>
      </c>
      <c r="Q1452">
        <f>IF($O1452="","",INDEX(Suivi!$E:$E,1480))</f>
        <v/>
      </c>
      <c r="R1452">
        <f>IF($O1452="","",INDEX(Suivi!$F:$F,1480))</f>
        <v/>
      </c>
      <c r="S1452">
        <f>IF($O1452="","",INDEX(Suivi!$G:$G,1480))</f>
        <v/>
      </c>
      <c r="T1452">
        <f>IF($O1452="","",IF(INDEX(Dossiers!$F$4:$F$63,28)="","",INDEX(Dossiers!$F$4:$F$63,28)))</f>
        <v/>
      </c>
      <c r="U1452">
        <f>IF($O1452="","",IF(INDEX(Dossiers!$G$4:$G$63,28)="","",INDEX(Dossiers!$G$4:$G$63,28)))</f>
        <v/>
      </c>
      <c r="V1452">
        <f>IF(OR($O1452="",NOT(ISNUMBER($Q1452))),"",$Q1452*1000000+1452)</f>
        <v/>
      </c>
      <c r="W1452" s="29">
        <f>IF($B1452="","",IFERROR(INDEX($U$4:$U$3183,MATCH(SMALL($V$4:$V$3183,1449),$V$4:$V$3183,0)),""))</f>
        <v/>
      </c>
    </row>
    <row r="1453">
      <c r="A1453">
        <f>IFERROR(INDEX($N$4:$N$3183,MATCH(SMALL($V$4:$V$3183,1450),$V$4:$V$3183,0)),"")</f>
        <v/>
      </c>
      <c r="B1453">
        <f>IFERROR(INDEX($O$4:$O$3183,MATCH(SMALL($V$4:$V$3183,1450),$V$4:$V$3183,0)),"")</f>
        <v/>
      </c>
      <c r="C1453">
        <f>IFERROR(INDEX($P$4:$P$3183,MATCH(SMALL($V$4:$V$3183,1450),$V$4:$V$3183,0)),"")</f>
        <v/>
      </c>
      <c r="D1453" s="29">
        <f>IFERROR(INDEX($Q$4:$Q$3183,MATCH(SMALL($V$4:$V$3183,1450),$V$4:$V$3183,0)),"")</f>
        <v/>
      </c>
      <c r="E1453" s="29">
        <f>IFERROR(INDEX($R$4:$R$3183,MATCH(SMALL($V$4:$V$3183,1450),$V$4:$V$3183,0)),"")</f>
        <v/>
      </c>
      <c r="F1453">
        <f>IFERROR(INDEX($S$4:$S$3183,MATCH(SMALL($V$4:$V$3183,1450),$V$4:$V$3183,0)),"")</f>
        <v/>
      </c>
      <c r="I1453" s="29">
        <f>IF($B1453="","",IFERROR(INDEX($U$4:$U$3183,MATCH(SMALL($V$4:$V$3183,1450),$V$4:$V$3183,0)),""))</f>
        <v/>
      </c>
      <c r="J1453">
        <f>IF($B1453="","",IF($D1453&gt;$F$2,"À venir",IF($E1453&lt;$D$2,"Passé","Dans la période")))</f>
        <v/>
      </c>
      <c r="K1453">
        <f>IF(OR($B1453="",NOT(ISNUMBER($D1453))),"",IF(AND($E1453&lt;$D$2,$G1453&lt;&gt;"X",$F1453&lt;&gt;"Réalisé",$F1453&lt;&gt;"Clôturé"),"RETARD",""))</f>
        <v/>
      </c>
      <c r="L1453">
        <f>IF(OR($B1453="",NOT(ISNUMBER($D1453))),"",IF(AND($D1453&gt;=$D$2,$D1453&lt;=$H$2,$G1453&lt;&gt;"X",$F1453&lt;&gt;"Réalisé",$F1453&lt;&gt;"Clôturé"),"≤ 7 j",""))</f>
        <v/>
      </c>
      <c r="M1453" s="29">
        <f>IF($B1453="","",IFERROR(INDEX($T$4:$T$3183,MATCH(SMALL($V$4:$V$3183,1450),$V$4:$V$3183,0)),""))</f>
        <v/>
      </c>
      <c r="O1453">
        <f>IF(INDEX(Suivi!$B:$B,1481)="","",INDEX(Suivi!$B:$B,1481))</f>
        <v/>
      </c>
      <c r="P1453">
        <f>IF($O1453="","",IF(INDEX(Suivi!$D:$D,1481)="",INDEX(Suivi!$C:$C,1481),INDEX(Suivi!$D:$D,1481)))</f>
        <v/>
      </c>
      <c r="Q1453">
        <f>IF($O1453="","",INDEX(Suivi!$E:$E,1481))</f>
        <v/>
      </c>
      <c r="R1453">
        <f>IF($O1453="","",INDEX(Suivi!$F:$F,1481))</f>
        <v/>
      </c>
      <c r="S1453">
        <f>IF($O1453="","",INDEX(Suivi!$G:$G,1481))</f>
        <v/>
      </c>
      <c r="T1453">
        <f>IF($O1453="","",IF(INDEX(Dossiers!$F$4:$F$63,28)="","",INDEX(Dossiers!$F$4:$F$63,28)))</f>
        <v/>
      </c>
      <c r="U1453">
        <f>IF($O1453="","",IF(INDEX(Dossiers!$G$4:$G$63,28)="","",INDEX(Dossiers!$G$4:$G$63,28)))</f>
        <v/>
      </c>
      <c r="V1453">
        <f>IF(OR($O1453="",NOT(ISNUMBER($Q1453))),"",$Q1453*1000000+1453)</f>
        <v/>
      </c>
      <c r="W1453" s="29">
        <f>IF($B1453="","",IFERROR(INDEX($U$4:$U$3183,MATCH(SMALL($V$4:$V$3183,1450),$V$4:$V$3183,0)),""))</f>
        <v/>
      </c>
    </row>
    <row r="1454">
      <c r="A1454">
        <f>IFERROR(INDEX($N$4:$N$3183,MATCH(SMALL($V$4:$V$3183,1451),$V$4:$V$3183,0)),"")</f>
        <v/>
      </c>
      <c r="B1454">
        <f>IFERROR(INDEX($O$4:$O$3183,MATCH(SMALL($V$4:$V$3183,1451),$V$4:$V$3183,0)),"")</f>
        <v/>
      </c>
      <c r="C1454">
        <f>IFERROR(INDEX($P$4:$P$3183,MATCH(SMALL($V$4:$V$3183,1451),$V$4:$V$3183,0)),"")</f>
        <v/>
      </c>
      <c r="D1454" s="29">
        <f>IFERROR(INDEX($Q$4:$Q$3183,MATCH(SMALL($V$4:$V$3183,1451),$V$4:$V$3183,0)),"")</f>
        <v/>
      </c>
      <c r="E1454" s="29">
        <f>IFERROR(INDEX($R$4:$R$3183,MATCH(SMALL($V$4:$V$3183,1451),$V$4:$V$3183,0)),"")</f>
        <v/>
      </c>
      <c r="F1454">
        <f>IFERROR(INDEX($S$4:$S$3183,MATCH(SMALL($V$4:$V$3183,1451),$V$4:$V$3183,0)),"")</f>
        <v/>
      </c>
      <c r="I1454" s="29">
        <f>IF($B1454="","",IFERROR(INDEX($U$4:$U$3183,MATCH(SMALL($V$4:$V$3183,1451),$V$4:$V$3183,0)),""))</f>
        <v/>
      </c>
      <c r="J1454">
        <f>IF($B1454="","",IF($D1454&gt;$F$2,"À venir",IF($E1454&lt;$D$2,"Passé","Dans la période")))</f>
        <v/>
      </c>
      <c r="K1454">
        <f>IF(OR($B1454="",NOT(ISNUMBER($D1454))),"",IF(AND($E1454&lt;$D$2,$G1454&lt;&gt;"X",$F1454&lt;&gt;"Réalisé",$F1454&lt;&gt;"Clôturé"),"RETARD",""))</f>
        <v/>
      </c>
      <c r="L1454">
        <f>IF(OR($B1454="",NOT(ISNUMBER($D1454))),"",IF(AND($D1454&gt;=$D$2,$D1454&lt;=$H$2,$G1454&lt;&gt;"X",$F1454&lt;&gt;"Réalisé",$F1454&lt;&gt;"Clôturé"),"≤ 7 j",""))</f>
        <v/>
      </c>
      <c r="M1454" s="29">
        <f>IF($B1454="","",IFERROR(INDEX($T$4:$T$3183,MATCH(SMALL($V$4:$V$3183,1451),$V$4:$V$3183,0)),""))</f>
        <v/>
      </c>
      <c r="O1454">
        <f>IF(INDEX(Suivi!$B:$B,1482)="","",INDEX(Suivi!$B:$B,1482))</f>
        <v/>
      </c>
      <c r="P1454">
        <f>IF($O1454="","",IF(INDEX(Suivi!$D:$D,1482)="",INDEX(Suivi!$C:$C,1482),INDEX(Suivi!$D:$D,1482)))</f>
        <v/>
      </c>
      <c r="Q1454">
        <f>IF($O1454="","",INDEX(Suivi!$E:$E,1482))</f>
        <v/>
      </c>
      <c r="R1454">
        <f>IF($O1454="","",INDEX(Suivi!$F:$F,1482))</f>
        <v/>
      </c>
      <c r="S1454">
        <f>IF($O1454="","",INDEX(Suivi!$G:$G,1482))</f>
        <v/>
      </c>
      <c r="T1454">
        <f>IF($O1454="","",IF(INDEX(Dossiers!$F$4:$F$63,28)="","",INDEX(Dossiers!$F$4:$F$63,28)))</f>
        <v/>
      </c>
      <c r="U1454">
        <f>IF($O1454="","",IF(INDEX(Dossiers!$G$4:$G$63,28)="","",INDEX(Dossiers!$G$4:$G$63,28)))</f>
        <v/>
      </c>
      <c r="V1454">
        <f>IF(OR($O1454="",NOT(ISNUMBER($Q1454))),"",$Q1454*1000000+1454)</f>
        <v/>
      </c>
      <c r="W1454" s="29">
        <f>IF($B1454="","",IFERROR(INDEX($U$4:$U$3183,MATCH(SMALL($V$4:$V$3183,1451),$V$4:$V$3183,0)),""))</f>
        <v/>
      </c>
    </row>
    <row r="1455">
      <c r="A1455">
        <f>IFERROR(INDEX($N$4:$N$3183,MATCH(SMALL($V$4:$V$3183,1452),$V$4:$V$3183,0)),"")</f>
        <v/>
      </c>
      <c r="B1455">
        <f>IFERROR(INDEX($O$4:$O$3183,MATCH(SMALL($V$4:$V$3183,1452),$V$4:$V$3183,0)),"")</f>
        <v/>
      </c>
      <c r="C1455">
        <f>IFERROR(INDEX($P$4:$P$3183,MATCH(SMALL($V$4:$V$3183,1452),$V$4:$V$3183,0)),"")</f>
        <v/>
      </c>
      <c r="D1455" s="29">
        <f>IFERROR(INDEX($Q$4:$Q$3183,MATCH(SMALL($V$4:$V$3183,1452),$V$4:$V$3183,0)),"")</f>
        <v/>
      </c>
      <c r="E1455" s="29">
        <f>IFERROR(INDEX($R$4:$R$3183,MATCH(SMALL($V$4:$V$3183,1452),$V$4:$V$3183,0)),"")</f>
        <v/>
      </c>
      <c r="F1455">
        <f>IFERROR(INDEX($S$4:$S$3183,MATCH(SMALL($V$4:$V$3183,1452),$V$4:$V$3183,0)),"")</f>
        <v/>
      </c>
      <c r="I1455" s="29">
        <f>IF($B1455="","",IFERROR(INDEX($U$4:$U$3183,MATCH(SMALL($V$4:$V$3183,1452),$V$4:$V$3183,0)),""))</f>
        <v/>
      </c>
      <c r="J1455">
        <f>IF($B1455="","",IF($D1455&gt;$F$2,"À venir",IF($E1455&lt;$D$2,"Passé","Dans la période")))</f>
        <v/>
      </c>
      <c r="K1455">
        <f>IF(OR($B1455="",NOT(ISNUMBER($D1455))),"",IF(AND($E1455&lt;$D$2,$G1455&lt;&gt;"X",$F1455&lt;&gt;"Réalisé",$F1455&lt;&gt;"Clôturé"),"RETARD",""))</f>
        <v/>
      </c>
      <c r="L1455">
        <f>IF(OR($B1455="",NOT(ISNUMBER($D1455))),"",IF(AND($D1455&gt;=$D$2,$D1455&lt;=$H$2,$G1455&lt;&gt;"X",$F1455&lt;&gt;"Réalisé",$F1455&lt;&gt;"Clôturé"),"≤ 7 j",""))</f>
        <v/>
      </c>
      <c r="M1455" s="29">
        <f>IF($B1455="","",IFERROR(INDEX($T$4:$T$3183,MATCH(SMALL($V$4:$V$3183,1452),$V$4:$V$3183,0)),""))</f>
        <v/>
      </c>
      <c r="O1455">
        <f>IF(INDEX(Suivi!$B:$B,1483)="","",INDEX(Suivi!$B:$B,1483))</f>
        <v/>
      </c>
      <c r="P1455">
        <f>IF($O1455="","",IF(INDEX(Suivi!$D:$D,1483)="",INDEX(Suivi!$C:$C,1483),INDEX(Suivi!$D:$D,1483)))</f>
        <v/>
      </c>
      <c r="Q1455">
        <f>IF($O1455="","",INDEX(Suivi!$E:$E,1483))</f>
        <v/>
      </c>
      <c r="R1455">
        <f>IF($O1455="","",INDEX(Suivi!$F:$F,1483))</f>
        <v/>
      </c>
      <c r="S1455">
        <f>IF($O1455="","",INDEX(Suivi!$G:$G,1483))</f>
        <v/>
      </c>
      <c r="T1455">
        <f>IF($O1455="","",IF(INDEX(Dossiers!$F$4:$F$63,28)="","",INDEX(Dossiers!$F$4:$F$63,28)))</f>
        <v/>
      </c>
      <c r="U1455">
        <f>IF($O1455="","",IF(INDEX(Dossiers!$G$4:$G$63,28)="","",INDEX(Dossiers!$G$4:$G$63,28)))</f>
        <v/>
      </c>
      <c r="V1455">
        <f>IF(OR($O1455="",NOT(ISNUMBER($Q1455))),"",$Q1455*1000000+1455)</f>
        <v/>
      </c>
      <c r="W1455" s="29">
        <f>IF($B1455="","",IFERROR(INDEX($U$4:$U$3183,MATCH(SMALL($V$4:$V$3183,1452),$V$4:$V$3183,0)),""))</f>
        <v/>
      </c>
    </row>
    <row r="1456">
      <c r="A1456">
        <f>IFERROR(INDEX($N$4:$N$3183,MATCH(SMALL($V$4:$V$3183,1453),$V$4:$V$3183,0)),"")</f>
        <v/>
      </c>
      <c r="B1456">
        <f>IFERROR(INDEX($O$4:$O$3183,MATCH(SMALL($V$4:$V$3183,1453),$V$4:$V$3183,0)),"")</f>
        <v/>
      </c>
      <c r="C1456">
        <f>IFERROR(INDEX($P$4:$P$3183,MATCH(SMALL($V$4:$V$3183,1453),$V$4:$V$3183,0)),"")</f>
        <v/>
      </c>
      <c r="D1456" s="29">
        <f>IFERROR(INDEX($Q$4:$Q$3183,MATCH(SMALL($V$4:$V$3183,1453),$V$4:$V$3183,0)),"")</f>
        <v/>
      </c>
      <c r="E1456" s="29">
        <f>IFERROR(INDEX($R$4:$R$3183,MATCH(SMALL($V$4:$V$3183,1453),$V$4:$V$3183,0)),"")</f>
        <v/>
      </c>
      <c r="F1456">
        <f>IFERROR(INDEX($S$4:$S$3183,MATCH(SMALL($V$4:$V$3183,1453),$V$4:$V$3183,0)),"")</f>
        <v/>
      </c>
      <c r="I1456" s="29">
        <f>IF($B1456="","",IFERROR(INDEX($U$4:$U$3183,MATCH(SMALL($V$4:$V$3183,1453),$V$4:$V$3183,0)),""))</f>
        <v/>
      </c>
      <c r="J1456">
        <f>IF($B1456="","",IF($D1456&gt;$F$2,"À venir",IF($E1456&lt;$D$2,"Passé","Dans la période")))</f>
        <v/>
      </c>
      <c r="K1456">
        <f>IF(OR($B1456="",NOT(ISNUMBER($D1456))),"",IF(AND($E1456&lt;$D$2,$G1456&lt;&gt;"X",$F1456&lt;&gt;"Réalisé",$F1456&lt;&gt;"Clôturé"),"RETARD",""))</f>
        <v/>
      </c>
      <c r="L1456">
        <f>IF(OR($B1456="",NOT(ISNUMBER($D1456))),"",IF(AND($D1456&gt;=$D$2,$D1456&lt;=$H$2,$G1456&lt;&gt;"X",$F1456&lt;&gt;"Réalisé",$F1456&lt;&gt;"Clôturé"),"≤ 7 j",""))</f>
        <v/>
      </c>
      <c r="M1456" s="29">
        <f>IF($B1456="","",IFERROR(INDEX($T$4:$T$3183,MATCH(SMALL($V$4:$V$3183,1453),$V$4:$V$3183,0)),""))</f>
        <v/>
      </c>
      <c r="O1456">
        <f>IF(INDEX(Suivi!$B:$B,1484)="","",INDEX(Suivi!$B:$B,1484))</f>
        <v/>
      </c>
      <c r="P1456">
        <f>IF($O1456="","",IF(INDEX(Suivi!$D:$D,1484)="",INDEX(Suivi!$C:$C,1484),INDEX(Suivi!$D:$D,1484)))</f>
        <v/>
      </c>
      <c r="Q1456">
        <f>IF($O1456="","",INDEX(Suivi!$E:$E,1484))</f>
        <v/>
      </c>
      <c r="R1456">
        <f>IF($O1456="","",INDEX(Suivi!$F:$F,1484))</f>
        <v/>
      </c>
      <c r="S1456">
        <f>IF($O1456="","",INDEX(Suivi!$G:$G,1484))</f>
        <v/>
      </c>
      <c r="T1456">
        <f>IF($O1456="","",IF(INDEX(Dossiers!$F$4:$F$63,28)="","",INDEX(Dossiers!$F$4:$F$63,28)))</f>
        <v/>
      </c>
      <c r="U1456">
        <f>IF($O1456="","",IF(INDEX(Dossiers!$G$4:$G$63,28)="","",INDEX(Dossiers!$G$4:$G$63,28)))</f>
        <v/>
      </c>
      <c r="V1456">
        <f>IF(OR($O1456="",NOT(ISNUMBER($Q1456))),"",$Q1456*1000000+1456)</f>
        <v/>
      </c>
      <c r="W1456" s="29">
        <f>IF($B1456="","",IFERROR(INDEX($U$4:$U$3183,MATCH(SMALL($V$4:$V$3183,1453),$V$4:$V$3183,0)),""))</f>
        <v/>
      </c>
    </row>
    <row r="1457">
      <c r="A1457">
        <f>IFERROR(INDEX($N$4:$N$3183,MATCH(SMALL($V$4:$V$3183,1454),$V$4:$V$3183,0)),"")</f>
        <v/>
      </c>
      <c r="B1457">
        <f>IFERROR(INDEX($O$4:$O$3183,MATCH(SMALL($V$4:$V$3183,1454),$V$4:$V$3183,0)),"")</f>
        <v/>
      </c>
      <c r="C1457">
        <f>IFERROR(INDEX($P$4:$P$3183,MATCH(SMALL($V$4:$V$3183,1454),$V$4:$V$3183,0)),"")</f>
        <v/>
      </c>
      <c r="D1457" s="29">
        <f>IFERROR(INDEX($Q$4:$Q$3183,MATCH(SMALL($V$4:$V$3183,1454),$V$4:$V$3183,0)),"")</f>
        <v/>
      </c>
      <c r="E1457" s="29">
        <f>IFERROR(INDEX($R$4:$R$3183,MATCH(SMALL($V$4:$V$3183,1454),$V$4:$V$3183,0)),"")</f>
        <v/>
      </c>
      <c r="F1457">
        <f>IFERROR(INDEX($S$4:$S$3183,MATCH(SMALL($V$4:$V$3183,1454),$V$4:$V$3183,0)),"")</f>
        <v/>
      </c>
      <c r="I1457" s="29">
        <f>IF($B1457="","",IFERROR(INDEX($U$4:$U$3183,MATCH(SMALL($V$4:$V$3183,1454),$V$4:$V$3183,0)),""))</f>
        <v/>
      </c>
      <c r="J1457">
        <f>IF($B1457="","",IF($D1457&gt;$F$2,"À venir",IF($E1457&lt;$D$2,"Passé","Dans la période")))</f>
        <v/>
      </c>
      <c r="K1457">
        <f>IF(OR($B1457="",NOT(ISNUMBER($D1457))),"",IF(AND($E1457&lt;$D$2,$G1457&lt;&gt;"X",$F1457&lt;&gt;"Réalisé",$F1457&lt;&gt;"Clôturé"),"RETARD",""))</f>
        <v/>
      </c>
      <c r="L1457">
        <f>IF(OR($B1457="",NOT(ISNUMBER($D1457))),"",IF(AND($D1457&gt;=$D$2,$D1457&lt;=$H$2,$G1457&lt;&gt;"X",$F1457&lt;&gt;"Réalisé",$F1457&lt;&gt;"Clôturé"),"≤ 7 j",""))</f>
        <v/>
      </c>
      <c r="M1457" s="29">
        <f>IF($B1457="","",IFERROR(INDEX($T$4:$T$3183,MATCH(SMALL($V$4:$V$3183,1454),$V$4:$V$3183,0)),""))</f>
        <v/>
      </c>
      <c r="O1457">
        <f>IF(INDEX(Suivi!$B:$B,1485)="","",INDEX(Suivi!$B:$B,1485))</f>
        <v/>
      </c>
      <c r="P1457">
        <f>IF($O1457="","",IF(INDEX(Suivi!$D:$D,1485)="",INDEX(Suivi!$C:$C,1485),INDEX(Suivi!$D:$D,1485)))</f>
        <v/>
      </c>
      <c r="Q1457">
        <f>IF($O1457="","",INDEX(Suivi!$E:$E,1485))</f>
        <v/>
      </c>
      <c r="R1457">
        <f>IF($O1457="","",INDEX(Suivi!$F:$F,1485))</f>
        <v/>
      </c>
      <c r="S1457">
        <f>IF($O1457="","",INDEX(Suivi!$G:$G,1485))</f>
        <v/>
      </c>
      <c r="T1457">
        <f>IF($O1457="","",IF(INDEX(Dossiers!$F$4:$F$63,28)="","",INDEX(Dossiers!$F$4:$F$63,28)))</f>
        <v/>
      </c>
      <c r="U1457">
        <f>IF($O1457="","",IF(INDEX(Dossiers!$G$4:$G$63,28)="","",INDEX(Dossiers!$G$4:$G$63,28)))</f>
        <v/>
      </c>
      <c r="V1457">
        <f>IF(OR($O1457="",NOT(ISNUMBER($Q1457))),"",$Q1457*1000000+1457)</f>
        <v/>
      </c>
      <c r="W1457" s="29">
        <f>IF($B1457="","",IFERROR(INDEX($U$4:$U$3183,MATCH(SMALL($V$4:$V$3183,1454),$V$4:$V$3183,0)),""))</f>
        <v/>
      </c>
    </row>
    <row r="1458">
      <c r="A1458">
        <f>IFERROR(INDEX($N$4:$N$3183,MATCH(SMALL($V$4:$V$3183,1455),$V$4:$V$3183,0)),"")</f>
        <v/>
      </c>
      <c r="B1458">
        <f>IFERROR(INDEX($O$4:$O$3183,MATCH(SMALL($V$4:$V$3183,1455),$V$4:$V$3183,0)),"")</f>
        <v/>
      </c>
      <c r="C1458">
        <f>IFERROR(INDEX($P$4:$P$3183,MATCH(SMALL($V$4:$V$3183,1455),$V$4:$V$3183,0)),"")</f>
        <v/>
      </c>
      <c r="D1458" s="29">
        <f>IFERROR(INDEX($Q$4:$Q$3183,MATCH(SMALL($V$4:$V$3183,1455),$V$4:$V$3183,0)),"")</f>
        <v/>
      </c>
      <c r="E1458" s="29">
        <f>IFERROR(INDEX($R$4:$R$3183,MATCH(SMALL($V$4:$V$3183,1455),$V$4:$V$3183,0)),"")</f>
        <v/>
      </c>
      <c r="F1458">
        <f>IFERROR(INDEX($S$4:$S$3183,MATCH(SMALL($V$4:$V$3183,1455),$V$4:$V$3183,0)),"")</f>
        <v/>
      </c>
      <c r="I1458" s="29">
        <f>IF($B1458="","",IFERROR(INDEX($U$4:$U$3183,MATCH(SMALL($V$4:$V$3183,1455),$V$4:$V$3183,0)),""))</f>
        <v/>
      </c>
      <c r="J1458">
        <f>IF($B1458="","",IF($D1458&gt;$F$2,"À venir",IF($E1458&lt;$D$2,"Passé","Dans la période")))</f>
        <v/>
      </c>
      <c r="K1458">
        <f>IF(OR($B1458="",NOT(ISNUMBER($D1458))),"",IF(AND($E1458&lt;$D$2,$G1458&lt;&gt;"X",$F1458&lt;&gt;"Réalisé",$F1458&lt;&gt;"Clôturé"),"RETARD",""))</f>
        <v/>
      </c>
      <c r="L1458">
        <f>IF(OR($B1458="",NOT(ISNUMBER($D1458))),"",IF(AND($D1458&gt;=$D$2,$D1458&lt;=$H$2,$G1458&lt;&gt;"X",$F1458&lt;&gt;"Réalisé",$F1458&lt;&gt;"Clôturé"),"≤ 7 j",""))</f>
        <v/>
      </c>
      <c r="M1458" s="29">
        <f>IF($B1458="","",IFERROR(INDEX($T$4:$T$3183,MATCH(SMALL($V$4:$V$3183,1455),$V$4:$V$3183,0)),""))</f>
        <v/>
      </c>
      <c r="O1458">
        <f>IF(INDEX(Suivi!$B:$B,1486)="","",INDEX(Suivi!$B:$B,1486))</f>
        <v/>
      </c>
      <c r="P1458">
        <f>IF($O1458="","",IF(INDEX(Suivi!$D:$D,1486)="",INDEX(Suivi!$C:$C,1486),INDEX(Suivi!$D:$D,1486)))</f>
        <v/>
      </c>
      <c r="Q1458">
        <f>IF($O1458="","",INDEX(Suivi!$E:$E,1486))</f>
        <v/>
      </c>
      <c r="R1458">
        <f>IF($O1458="","",INDEX(Suivi!$F:$F,1486))</f>
        <v/>
      </c>
      <c r="S1458">
        <f>IF($O1458="","",INDEX(Suivi!$G:$G,1486))</f>
        <v/>
      </c>
      <c r="T1458">
        <f>IF($O1458="","",IF(INDEX(Dossiers!$F$4:$F$63,28)="","",INDEX(Dossiers!$F$4:$F$63,28)))</f>
        <v/>
      </c>
      <c r="U1458">
        <f>IF($O1458="","",IF(INDEX(Dossiers!$G$4:$G$63,28)="","",INDEX(Dossiers!$G$4:$G$63,28)))</f>
        <v/>
      </c>
      <c r="V1458">
        <f>IF(OR($O1458="",NOT(ISNUMBER($Q1458))),"",$Q1458*1000000+1458)</f>
        <v/>
      </c>
      <c r="W1458" s="29">
        <f>IF($B1458="","",IFERROR(INDEX($U$4:$U$3183,MATCH(SMALL($V$4:$V$3183,1455),$V$4:$V$3183,0)),""))</f>
        <v/>
      </c>
    </row>
    <row r="1459">
      <c r="A1459">
        <f>IFERROR(INDEX($N$4:$N$3183,MATCH(SMALL($V$4:$V$3183,1456),$V$4:$V$3183,0)),"")</f>
        <v/>
      </c>
      <c r="B1459">
        <f>IFERROR(INDEX($O$4:$O$3183,MATCH(SMALL($V$4:$V$3183,1456),$V$4:$V$3183,0)),"")</f>
        <v/>
      </c>
      <c r="C1459">
        <f>IFERROR(INDEX($P$4:$P$3183,MATCH(SMALL($V$4:$V$3183,1456),$V$4:$V$3183,0)),"")</f>
        <v/>
      </c>
      <c r="D1459" s="29">
        <f>IFERROR(INDEX($Q$4:$Q$3183,MATCH(SMALL($V$4:$V$3183,1456),$V$4:$V$3183,0)),"")</f>
        <v/>
      </c>
      <c r="E1459" s="29">
        <f>IFERROR(INDEX($R$4:$R$3183,MATCH(SMALL($V$4:$V$3183,1456),$V$4:$V$3183,0)),"")</f>
        <v/>
      </c>
      <c r="F1459">
        <f>IFERROR(INDEX($S$4:$S$3183,MATCH(SMALL($V$4:$V$3183,1456),$V$4:$V$3183,0)),"")</f>
        <v/>
      </c>
      <c r="I1459" s="29">
        <f>IF($B1459="","",IFERROR(INDEX($U$4:$U$3183,MATCH(SMALL($V$4:$V$3183,1456),$V$4:$V$3183,0)),""))</f>
        <v/>
      </c>
      <c r="J1459">
        <f>IF($B1459="","",IF($D1459&gt;$F$2,"À venir",IF($E1459&lt;$D$2,"Passé","Dans la période")))</f>
        <v/>
      </c>
      <c r="K1459">
        <f>IF(OR($B1459="",NOT(ISNUMBER($D1459))),"",IF(AND($E1459&lt;$D$2,$G1459&lt;&gt;"X",$F1459&lt;&gt;"Réalisé",$F1459&lt;&gt;"Clôturé"),"RETARD",""))</f>
        <v/>
      </c>
      <c r="L1459">
        <f>IF(OR($B1459="",NOT(ISNUMBER($D1459))),"",IF(AND($D1459&gt;=$D$2,$D1459&lt;=$H$2,$G1459&lt;&gt;"X",$F1459&lt;&gt;"Réalisé",$F1459&lt;&gt;"Clôturé"),"≤ 7 j",""))</f>
        <v/>
      </c>
      <c r="M1459" s="29">
        <f>IF($B1459="","",IFERROR(INDEX($T$4:$T$3183,MATCH(SMALL($V$4:$V$3183,1456),$V$4:$V$3183,0)),""))</f>
        <v/>
      </c>
      <c r="O1459">
        <f>IF(INDEX(Suivi!$B:$B,1487)="","",INDEX(Suivi!$B:$B,1487))</f>
        <v/>
      </c>
      <c r="P1459">
        <f>IF($O1459="","",IF(INDEX(Suivi!$D:$D,1487)="",INDEX(Suivi!$C:$C,1487),INDEX(Suivi!$D:$D,1487)))</f>
        <v/>
      </c>
      <c r="Q1459">
        <f>IF($O1459="","",INDEX(Suivi!$E:$E,1487))</f>
        <v/>
      </c>
      <c r="R1459">
        <f>IF($O1459="","",INDEX(Suivi!$F:$F,1487))</f>
        <v/>
      </c>
      <c r="S1459">
        <f>IF($O1459="","",INDEX(Suivi!$G:$G,1487))</f>
        <v/>
      </c>
      <c r="T1459">
        <f>IF($O1459="","",IF(INDEX(Dossiers!$F$4:$F$63,28)="","",INDEX(Dossiers!$F$4:$F$63,28)))</f>
        <v/>
      </c>
      <c r="U1459">
        <f>IF($O1459="","",IF(INDEX(Dossiers!$G$4:$G$63,28)="","",INDEX(Dossiers!$G$4:$G$63,28)))</f>
        <v/>
      </c>
      <c r="V1459">
        <f>IF(OR($O1459="",NOT(ISNUMBER($Q1459))),"",$Q1459*1000000+1459)</f>
        <v/>
      </c>
      <c r="W1459" s="29">
        <f>IF($B1459="","",IFERROR(INDEX($U$4:$U$3183,MATCH(SMALL($V$4:$V$3183,1456),$V$4:$V$3183,0)),""))</f>
        <v/>
      </c>
    </row>
    <row r="1460">
      <c r="A1460">
        <f>IFERROR(INDEX($N$4:$N$3183,MATCH(SMALL($V$4:$V$3183,1457),$V$4:$V$3183,0)),"")</f>
        <v/>
      </c>
      <c r="B1460">
        <f>IFERROR(INDEX($O$4:$O$3183,MATCH(SMALL($V$4:$V$3183,1457),$V$4:$V$3183,0)),"")</f>
        <v/>
      </c>
      <c r="C1460">
        <f>IFERROR(INDEX($P$4:$P$3183,MATCH(SMALL($V$4:$V$3183,1457),$V$4:$V$3183,0)),"")</f>
        <v/>
      </c>
      <c r="D1460" s="29">
        <f>IFERROR(INDEX($Q$4:$Q$3183,MATCH(SMALL($V$4:$V$3183,1457),$V$4:$V$3183,0)),"")</f>
        <v/>
      </c>
      <c r="E1460" s="29">
        <f>IFERROR(INDEX($R$4:$R$3183,MATCH(SMALL($V$4:$V$3183,1457),$V$4:$V$3183,0)),"")</f>
        <v/>
      </c>
      <c r="F1460">
        <f>IFERROR(INDEX($S$4:$S$3183,MATCH(SMALL($V$4:$V$3183,1457),$V$4:$V$3183,0)),"")</f>
        <v/>
      </c>
      <c r="I1460" s="29">
        <f>IF($B1460="","",IFERROR(INDEX($U$4:$U$3183,MATCH(SMALL($V$4:$V$3183,1457),$V$4:$V$3183,0)),""))</f>
        <v/>
      </c>
      <c r="J1460">
        <f>IF($B1460="","",IF($D1460&gt;$F$2,"À venir",IF($E1460&lt;$D$2,"Passé","Dans la période")))</f>
        <v/>
      </c>
      <c r="K1460">
        <f>IF(OR($B1460="",NOT(ISNUMBER($D1460))),"",IF(AND($E1460&lt;$D$2,$G1460&lt;&gt;"X",$F1460&lt;&gt;"Réalisé",$F1460&lt;&gt;"Clôturé"),"RETARD",""))</f>
        <v/>
      </c>
      <c r="L1460">
        <f>IF(OR($B1460="",NOT(ISNUMBER($D1460))),"",IF(AND($D1460&gt;=$D$2,$D1460&lt;=$H$2,$G1460&lt;&gt;"X",$F1460&lt;&gt;"Réalisé",$F1460&lt;&gt;"Clôturé"),"≤ 7 j",""))</f>
        <v/>
      </c>
      <c r="M1460" s="29">
        <f>IF($B1460="","",IFERROR(INDEX($T$4:$T$3183,MATCH(SMALL($V$4:$V$3183,1457),$V$4:$V$3183,0)),""))</f>
        <v/>
      </c>
      <c r="O1460">
        <f>IF(INDEX(Suivi!$B:$B,1488)="","",INDEX(Suivi!$B:$B,1488))</f>
        <v/>
      </c>
      <c r="P1460">
        <f>IF($O1460="","",IF(INDEX(Suivi!$D:$D,1488)="",INDEX(Suivi!$C:$C,1488),INDEX(Suivi!$D:$D,1488)))</f>
        <v/>
      </c>
      <c r="Q1460">
        <f>IF($O1460="","",INDEX(Suivi!$E:$E,1488))</f>
        <v/>
      </c>
      <c r="R1460">
        <f>IF($O1460="","",INDEX(Suivi!$F:$F,1488))</f>
        <v/>
      </c>
      <c r="S1460">
        <f>IF($O1460="","",INDEX(Suivi!$G:$G,1488))</f>
        <v/>
      </c>
      <c r="T1460">
        <f>IF($O1460="","",IF(INDEX(Dossiers!$F$4:$F$63,28)="","",INDEX(Dossiers!$F$4:$F$63,28)))</f>
        <v/>
      </c>
      <c r="U1460">
        <f>IF($O1460="","",IF(INDEX(Dossiers!$G$4:$G$63,28)="","",INDEX(Dossiers!$G$4:$G$63,28)))</f>
        <v/>
      </c>
      <c r="V1460">
        <f>IF(OR($O1460="",NOT(ISNUMBER($Q1460))),"",$Q1460*1000000+1460)</f>
        <v/>
      </c>
      <c r="W1460" s="29">
        <f>IF($B1460="","",IFERROR(INDEX($U$4:$U$3183,MATCH(SMALL($V$4:$V$3183,1457),$V$4:$V$3183,0)),""))</f>
        <v/>
      </c>
    </row>
    <row r="1461">
      <c r="A1461">
        <f>IFERROR(INDEX($N$4:$N$3183,MATCH(SMALL($V$4:$V$3183,1458),$V$4:$V$3183,0)),"")</f>
        <v/>
      </c>
      <c r="B1461">
        <f>IFERROR(INDEX($O$4:$O$3183,MATCH(SMALL($V$4:$V$3183,1458),$V$4:$V$3183,0)),"")</f>
        <v/>
      </c>
      <c r="C1461">
        <f>IFERROR(INDEX($P$4:$P$3183,MATCH(SMALL($V$4:$V$3183,1458),$V$4:$V$3183,0)),"")</f>
        <v/>
      </c>
      <c r="D1461" s="29">
        <f>IFERROR(INDEX($Q$4:$Q$3183,MATCH(SMALL($V$4:$V$3183,1458),$V$4:$V$3183,0)),"")</f>
        <v/>
      </c>
      <c r="E1461" s="29">
        <f>IFERROR(INDEX($R$4:$R$3183,MATCH(SMALL($V$4:$V$3183,1458),$V$4:$V$3183,0)),"")</f>
        <v/>
      </c>
      <c r="F1461">
        <f>IFERROR(INDEX($S$4:$S$3183,MATCH(SMALL($V$4:$V$3183,1458),$V$4:$V$3183,0)),"")</f>
        <v/>
      </c>
      <c r="I1461" s="29">
        <f>IF($B1461="","",IFERROR(INDEX($U$4:$U$3183,MATCH(SMALL($V$4:$V$3183,1458),$V$4:$V$3183,0)),""))</f>
        <v/>
      </c>
      <c r="J1461">
        <f>IF($B1461="","",IF($D1461&gt;$F$2,"À venir",IF($E1461&lt;$D$2,"Passé","Dans la période")))</f>
        <v/>
      </c>
      <c r="K1461">
        <f>IF(OR($B1461="",NOT(ISNUMBER($D1461))),"",IF(AND($E1461&lt;$D$2,$G1461&lt;&gt;"X",$F1461&lt;&gt;"Réalisé",$F1461&lt;&gt;"Clôturé"),"RETARD",""))</f>
        <v/>
      </c>
      <c r="L1461">
        <f>IF(OR($B1461="",NOT(ISNUMBER($D1461))),"",IF(AND($D1461&gt;=$D$2,$D1461&lt;=$H$2,$G1461&lt;&gt;"X",$F1461&lt;&gt;"Réalisé",$F1461&lt;&gt;"Clôturé"),"≤ 7 j",""))</f>
        <v/>
      </c>
      <c r="M1461" s="29">
        <f>IF($B1461="","",IFERROR(INDEX($T$4:$T$3183,MATCH(SMALL($V$4:$V$3183,1458),$V$4:$V$3183,0)),""))</f>
        <v/>
      </c>
      <c r="O1461">
        <f>IF(INDEX(Suivi!$B:$B,1489)="","",INDEX(Suivi!$B:$B,1489))</f>
        <v/>
      </c>
      <c r="P1461">
        <f>IF($O1461="","",IF(INDEX(Suivi!$D:$D,1489)="",INDEX(Suivi!$C:$C,1489),INDEX(Suivi!$D:$D,1489)))</f>
        <v/>
      </c>
      <c r="Q1461">
        <f>IF($O1461="","",INDEX(Suivi!$E:$E,1489))</f>
        <v/>
      </c>
      <c r="R1461">
        <f>IF($O1461="","",INDEX(Suivi!$F:$F,1489))</f>
        <v/>
      </c>
      <c r="S1461">
        <f>IF($O1461="","",INDEX(Suivi!$G:$G,1489))</f>
        <v/>
      </c>
      <c r="T1461">
        <f>IF($O1461="","",IF(INDEX(Dossiers!$F$4:$F$63,28)="","",INDEX(Dossiers!$F$4:$F$63,28)))</f>
        <v/>
      </c>
      <c r="U1461">
        <f>IF($O1461="","",IF(INDEX(Dossiers!$G$4:$G$63,28)="","",INDEX(Dossiers!$G$4:$G$63,28)))</f>
        <v/>
      </c>
      <c r="V1461">
        <f>IF(OR($O1461="",NOT(ISNUMBER($Q1461))),"",$Q1461*1000000+1461)</f>
        <v/>
      </c>
      <c r="W1461" s="29">
        <f>IF($B1461="","",IFERROR(INDEX($U$4:$U$3183,MATCH(SMALL($V$4:$V$3183,1458),$V$4:$V$3183,0)),""))</f>
        <v/>
      </c>
    </row>
    <row r="1462">
      <c r="A1462">
        <f>IFERROR(INDEX($N$4:$N$3183,MATCH(SMALL($V$4:$V$3183,1459),$V$4:$V$3183,0)),"")</f>
        <v/>
      </c>
      <c r="B1462">
        <f>IFERROR(INDEX($O$4:$O$3183,MATCH(SMALL($V$4:$V$3183,1459),$V$4:$V$3183,0)),"")</f>
        <v/>
      </c>
      <c r="C1462">
        <f>IFERROR(INDEX($P$4:$P$3183,MATCH(SMALL($V$4:$V$3183,1459),$V$4:$V$3183,0)),"")</f>
        <v/>
      </c>
      <c r="D1462" s="29">
        <f>IFERROR(INDEX($Q$4:$Q$3183,MATCH(SMALL($V$4:$V$3183,1459),$V$4:$V$3183,0)),"")</f>
        <v/>
      </c>
      <c r="E1462" s="29">
        <f>IFERROR(INDEX($R$4:$R$3183,MATCH(SMALL($V$4:$V$3183,1459),$V$4:$V$3183,0)),"")</f>
        <v/>
      </c>
      <c r="F1462">
        <f>IFERROR(INDEX($S$4:$S$3183,MATCH(SMALL($V$4:$V$3183,1459),$V$4:$V$3183,0)),"")</f>
        <v/>
      </c>
      <c r="I1462" s="29">
        <f>IF($B1462="","",IFERROR(INDEX($U$4:$U$3183,MATCH(SMALL($V$4:$V$3183,1459),$V$4:$V$3183,0)),""))</f>
        <v/>
      </c>
      <c r="J1462">
        <f>IF($B1462="","",IF($D1462&gt;$F$2,"À venir",IF($E1462&lt;$D$2,"Passé","Dans la période")))</f>
        <v/>
      </c>
      <c r="K1462">
        <f>IF(OR($B1462="",NOT(ISNUMBER($D1462))),"",IF(AND($E1462&lt;$D$2,$G1462&lt;&gt;"X",$F1462&lt;&gt;"Réalisé",$F1462&lt;&gt;"Clôturé"),"RETARD",""))</f>
        <v/>
      </c>
      <c r="L1462">
        <f>IF(OR($B1462="",NOT(ISNUMBER($D1462))),"",IF(AND($D1462&gt;=$D$2,$D1462&lt;=$H$2,$G1462&lt;&gt;"X",$F1462&lt;&gt;"Réalisé",$F1462&lt;&gt;"Clôturé"),"≤ 7 j",""))</f>
        <v/>
      </c>
      <c r="M1462" s="29">
        <f>IF($B1462="","",IFERROR(INDEX($T$4:$T$3183,MATCH(SMALL($V$4:$V$3183,1459),$V$4:$V$3183,0)),""))</f>
        <v/>
      </c>
      <c r="O1462">
        <f>IF(INDEX(Suivi!$B:$B,1490)="","",INDEX(Suivi!$B:$B,1490))</f>
        <v/>
      </c>
      <c r="P1462">
        <f>IF($O1462="","",IF(INDEX(Suivi!$D:$D,1490)="",INDEX(Suivi!$C:$C,1490),INDEX(Suivi!$D:$D,1490)))</f>
        <v/>
      </c>
      <c r="Q1462">
        <f>IF($O1462="","",INDEX(Suivi!$E:$E,1490))</f>
        <v/>
      </c>
      <c r="R1462">
        <f>IF($O1462="","",INDEX(Suivi!$F:$F,1490))</f>
        <v/>
      </c>
      <c r="S1462">
        <f>IF($O1462="","",INDEX(Suivi!$G:$G,1490))</f>
        <v/>
      </c>
      <c r="T1462">
        <f>IF($O1462="","",IF(INDEX(Dossiers!$F$4:$F$63,28)="","",INDEX(Dossiers!$F$4:$F$63,28)))</f>
        <v/>
      </c>
      <c r="U1462">
        <f>IF($O1462="","",IF(INDEX(Dossiers!$G$4:$G$63,28)="","",INDEX(Dossiers!$G$4:$G$63,28)))</f>
        <v/>
      </c>
      <c r="V1462">
        <f>IF(OR($O1462="",NOT(ISNUMBER($Q1462))),"",$Q1462*1000000+1462)</f>
        <v/>
      </c>
      <c r="W1462" s="29">
        <f>IF($B1462="","",IFERROR(INDEX($U$4:$U$3183,MATCH(SMALL($V$4:$V$3183,1459),$V$4:$V$3183,0)),""))</f>
        <v/>
      </c>
    </row>
    <row r="1463">
      <c r="A1463">
        <f>IFERROR(INDEX($N$4:$N$3183,MATCH(SMALL($V$4:$V$3183,1460),$V$4:$V$3183,0)),"")</f>
        <v/>
      </c>
      <c r="B1463">
        <f>IFERROR(INDEX($O$4:$O$3183,MATCH(SMALL($V$4:$V$3183,1460),$V$4:$V$3183,0)),"")</f>
        <v/>
      </c>
      <c r="C1463">
        <f>IFERROR(INDEX($P$4:$P$3183,MATCH(SMALL($V$4:$V$3183,1460),$V$4:$V$3183,0)),"")</f>
        <v/>
      </c>
      <c r="D1463" s="29">
        <f>IFERROR(INDEX($Q$4:$Q$3183,MATCH(SMALL($V$4:$V$3183,1460),$V$4:$V$3183,0)),"")</f>
        <v/>
      </c>
      <c r="E1463" s="29">
        <f>IFERROR(INDEX($R$4:$R$3183,MATCH(SMALL($V$4:$V$3183,1460),$V$4:$V$3183,0)),"")</f>
        <v/>
      </c>
      <c r="F1463">
        <f>IFERROR(INDEX($S$4:$S$3183,MATCH(SMALL($V$4:$V$3183,1460),$V$4:$V$3183,0)),"")</f>
        <v/>
      </c>
      <c r="I1463" s="29">
        <f>IF($B1463="","",IFERROR(INDEX($U$4:$U$3183,MATCH(SMALL($V$4:$V$3183,1460),$V$4:$V$3183,0)),""))</f>
        <v/>
      </c>
      <c r="J1463">
        <f>IF($B1463="","",IF($D1463&gt;$F$2,"À venir",IF($E1463&lt;$D$2,"Passé","Dans la période")))</f>
        <v/>
      </c>
      <c r="K1463">
        <f>IF(OR($B1463="",NOT(ISNUMBER($D1463))),"",IF(AND($E1463&lt;$D$2,$G1463&lt;&gt;"X",$F1463&lt;&gt;"Réalisé",$F1463&lt;&gt;"Clôturé"),"RETARD",""))</f>
        <v/>
      </c>
      <c r="L1463">
        <f>IF(OR($B1463="",NOT(ISNUMBER($D1463))),"",IF(AND($D1463&gt;=$D$2,$D1463&lt;=$H$2,$G1463&lt;&gt;"X",$F1463&lt;&gt;"Réalisé",$F1463&lt;&gt;"Clôturé"),"≤ 7 j",""))</f>
        <v/>
      </c>
      <c r="M1463" s="29">
        <f>IF($B1463="","",IFERROR(INDEX($T$4:$T$3183,MATCH(SMALL($V$4:$V$3183,1460),$V$4:$V$3183,0)),""))</f>
        <v/>
      </c>
      <c r="O1463">
        <f>IF(INDEX(Suivi!$B:$B,1491)="","",INDEX(Suivi!$B:$B,1491))</f>
        <v/>
      </c>
      <c r="P1463">
        <f>IF($O1463="","",IF(INDEX(Suivi!$D:$D,1491)="",INDEX(Suivi!$C:$C,1491),INDEX(Suivi!$D:$D,1491)))</f>
        <v/>
      </c>
      <c r="Q1463">
        <f>IF($O1463="","",INDEX(Suivi!$E:$E,1491))</f>
        <v/>
      </c>
      <c r="R1463">
        <f>IF($O1463="","",INDEX(Suivi!$F:$F,1491))</f>
        <v/>
      </c>
      <c r="S1463">
        <f>IF($O1463="","",INDEX(Suivi!$G:$G,1491))</f>
        <v/>
      </c>
      <c r="T1463">
        <f>IF($O1463="","",IF(INDEX(Dossiers!$F$4:$F$63,28)="","",INDEX(Dossiers!$F$4:$F$63,28)))</f>
        <v/>
      </c>
      <c r="U1463">
        <f>IF($O1463="","",IF(INDEX(Dossiers!$G$4:$G$63,28)="","",INDEX(Dossiers!$G$4:$G$63,28)))</f>
        <v/>
      </c>
      <c r="V1463">
        <f>IF(OR($O1463="",NOT(ISNUMBER($Q1463))),"",$Q1463*1000000+1463)</f>
        <v/>
      </c>
      <c r="W1463" s="29">
        <f>IF($B1463="","",IFERROR(INDEX($U$4:$U$3183,MATCH(SMALL($V$4:$V$3183,1460),$V$4:$V$3183,0)),""))</f>
        <v/>
      </c>
    </row>
    <row r="1464">
      <c r="A1464">
        <f>IFERROR(INDEX($N$4:$N$3183,MATCH(SMALL($V$4:$V$3183,1461),$V$4:$V$3183,0)),"")</f>
        <v/>
      </c>
      <c r="B1464">
        <f>IFERROR(INDEX($O$4:$O$3183,MATCH(SMALL($V$4:$V$3183,1461),$V$4:$V$3183,0)),"")</f>
        <v/>
      </c>
      <c r="C1464">
        <f>IFERROR(INDEX($P$4:$P$3183,MATCH(SMALL($V$4:$V$3183,1461),$V$4:$V$3183,0)),"")</f>
        <v/>
      </c>
      <c r="D1464" s="29">
        <f>IFERROR(INDEX($Q$4:$Q$3183,MATCH(SMALL($V$4:$V$3183,1461),$V$4:$V$3183,0)),"")</f>
        <v/>
      </c>
      <c r="E1464" s="29">
        <f>IFERROR(INDEX($R$4:$R$3183,MATCH(SMALL($V$4:$V$3183,1461),$V$4:$V$3183,0)),"")</f>
        <v/>
      </c>
      <c r="F1464">
        <f>IFERROR(INDEX($S$4:$S$3183,MATCH(SMALL($V$4:$V$3183,1461),$V$4:$V$3183,0)),"")</f>
        <v/>
      </c>
      <c r="I1464" s="29">
        <f>IF($B1464="","",IFERROR(INDEX($U$4:$U$3183,MATCH(SMALL($V$4:$V$3183,1461),$V$4:$V$3183,0)),""))</f>
        <v/>
      </c>
      <c r="J1464">
        <f>IF($B1464="","",IF($D1464&gt;$F$2,"À venir",IF($E1464&lt;$D$2,"Passé","Dans la période")))</f>
        <v/>
      </c>
      <c r="K1464">
        <f>IF(OR($B1464="",NOT(ISNUMBER($D1464))),"",IF(AND($E1464&lt;$D$2,$G1464&lt;&gt;"X",$F1464&lt;&gt;"Réalisé",$F1464&lt;&gt;"Clôturé"),"RETARD",""))</f>
        <v/>
      </c>
      <c r="L1464">
        <f>IF(OR($B1464="",NOT(ISNUMBER($D1464))),"",IF(AND($D1464&gt;=$D$2,$D1464&lt;=$H$2,$G1464&lt;&gt;"X",$F1464&lt;&gt;"Réalisé",$F1464&lt;&gt;"Clôturé"),"≤ 7 j",""))</f>
        <v/>
      </c>
      <c r="M1464" s="29">
        <f>IF($B1464="","",IFERROR(INDEX($T$4:$T$3183,MATCH(SMALL($V$4:$V$3183,1461),$V$4:$V$3183,0)),""))</f>
        <v/>
      </c>
      <c r="O1464">
        <f>IF(INDEX(Suivi!$B:$B,1492)="","",INDEX(Suivi!$B:$B,1492))</f>
        <v/>
      </c>
      <c r="P1464">
        <f>IF($O1464="","",IF(INDEX(Suivi!$D:$D,1492)="",INDEX(Suivi!$C:$C,1492),INDEX(Suivi!$D:$D,1492)))</f>
        <v/>
      </c>
      <c r="Q1464">
        <f>IF($O1464="","",INDEX(Suivi!$E:$E,1492))</f>
        <v/>
      </c>
      <c r="R1464">
        <f>IF($O1464="","",INDEX(Suivi!$F:$F,1492))</f>
        <v/>
      </c>
      <c r="S1464">
        <f>IF($O1464="","",INDEX(Suivi!$G:$G,1492))</f>
        <v/>
      </c>
      <c r="T1464">
        <f>IF($O1464="","",IF(INDEX(Dossiers!$F$4:$F$63,28)="","",INDEX(Dossiers!$F$4:$F$63,28)))</f>
        <v/>
      </c>
      <c r="U1464">
        <f>IF($O1464="","",IF(INDEX(Dossiers!$G$4:$G$63,28)="","",INDEX(Dossiers!$G$4:$G$63,28)))</f>
        <v/>
      </c>
      <c r="V1464">
        <f>IF(OR($O1464="",NOT(ISNUMBER($Q1464))),"",$Q1464*1000000+1464)</f>
        <v/>
      </c>
      <c r="W1464" s="29">
        <f>IF($B1464="","",IFERROR(INDEX($U$4:$U$3183,MATCH(SMALL($V$4:$V$3183,1461),$V$4:$V$3183,0)),""))</f>
        <v/>
      </c>
    </row>
    <row r="1465">
      <c r="A1465">
        <f>IFERROR(INDEX($N$4:$N$3183,MATCH(SMALL($V$4:$V$3183,1462),$V$4:$V$3183,0)),"")</f>
        <v/>
      </c>
      <c r="B1465">
        <f>IFERROR(INDEX($O$4:$O$3183,MATCH(SMALL($V$4:$V$3183,1462),$V$4:$V$3183,0)),"")</f>
        <v/>
      </c>
      <c r="C1465">
        <f>IFERROR(INDEX($P$4:$P$3183,MATCH(SMALL($V$4:$V$3183,1462),$V$4:$V$3183,0)),"")</f>
        <v/>
      </c>
      <c r="D1465" s="29">
        <f>IFERROR(INDEX($Q$4:$Q$3183,MATCH(SMALL($V$4:$V$3183,1462),$V$4:$V$3183,0)),"")</f>
        <v/>
      </c>
      <c r="E1465" s="29">
        <f>IFERROR(INDEX($R$4:$R$3183,MATCH(SMALL($V$4:$V$3183,1462),$V$4:$V$3183,0)),"")</f>
        <v/>
      </c>
      <c r="F1465">
        <f>IFERROR(INDEX($S$4:$S$3183,MATCH(SMALL($V$4:$V$3183,1462),$V$4:$V$3183,0)),"")</f>
        <v/>
      </c>
      <c r="I1465" s="29">
        <f>IF($B1465="","",IFERROR(INDEX($U$4:$U$3183,MATCH(SMALL($V$4:$V$3183,1462),$V$4:$V$3183,0)),""))</f>
        <v/>
      </c>
      <c r="J1465">
        <f>IF($B1465="","",IF($D1465&gt;$F$2,"À venir",IF($E1465&lt;$D$2,"Passé","Dans la période")))</f>
        <v/>
      </c>
      <c r="K1465">
        <f>IF(OR($B1465="",NOT(ISNUMBER($D1465))),"",IF(AND($E1465&lt;$D$2,$G1465&lt;&gt;"X",$F1465&lt;&gt;"Réalisé",$F1465&lt;&gt;"Clôturé"),"RETARD",""))</f>
        <v/>
      </c>
      <c r="L1465">
        <f>IF(OR($B1465="",NOT(ISNUMBER($D1465))),"",IF(AND($D1465&gt;=$D$2,$D1465&lt;=$H$2,$G1465&lt;&gt;"X",$F1465&lt;&gt;"Réalisé",$F1465&lt;&gt;"Clôturé"),"≤ 7 j",""))</f>
        <v/>
      </c>
      <c r="M1465" s="29">
        <f>IF($B1465="","",IFERROR(INDEX($T$4:$T$3183,MATCH(SMALL($V$4:$V$3183,1462),$V$4:$V$3183,0)),""))</f>
        <v/>
      </c>
      <c r="O1465">
        <f>IF(INDEX(Suivi!$B:$B,1493)="","",INDEX(Suivi!$B:$B,1493))</f>
        <v/>
      </c>
      <c r="P1465">
        <f>IF($O1465="","",IF(INDEX(Suivi!$D:$D,1493)="",INDEX(Suivi!$C:$C,1493),INDEX(Suivi!$D:$D,1493)))</f>
        <v/>
      </c>
      <c r="Q1465">
        <f>IF($O1465="","",INDEX(Suivi!$E:$E,1493))</f>
        <v/>
      </c>
      <c r="R1465">
        <f>IF($O1465="","",INDEX(Suivi!$F:$F,1493))</f>
        <v/>
      </c>
      <c r="S1465">
        <f>IF($O1465="","",INDEX(Suivi!$G:$G,1493))</f>
        <v/>
      </c>
      <c r="T1465">
        <f>IF($O1465="","",IF(INDEX(Dossiers!$F$4:$F$63,28)="","",INDEX(Dossiers!$F$4:$F$63,28)))</f>
        <v/>
      </c>
      <c r="U1465">
        <f>IF($O1465="","",IF(INDEX(Dossiers!$G$4:$G$63,28)="","",INDEX(Dossiers!$G$4:$G$63,28)))</f>
        <v/>
      </c>
      <c r="V1465">
        <f>IF(OR($O1465="",NOT(ISNUMBER($Q1465))),"",$Q1465*1000000+1465)</f>
        <v/>
      </c>
      <c r="W1465" s="29">
        <f>IF($B1465="","",IFERROR(INDEX($U$4:$U$3183,MATCH(SMALL($V$4:$V$3183,1462),$V$4:$V$3183,0)),""))</f>
        <v/>
      </c>
    </row>
    <row r="1466">
      <c r="A1466">
        <f>IFERROR(INDEX($N$4:$N$3183,MATCH(SMALL($V$4:$V$3183,1463),$V$4:$V$3183,0)),"")</f>
        <v/>
      </c>
      <c r="B1466">
        <f>IFERROR(INDEX($O$4:$O$3183,MATCH(SMALL($V$4:$V$3183,1463),$V$4:$V$3183,0)),"")</f>
        <v/>
      </c>
      <c r="C1466">
        <f>IFERROR(INDEX($P$4:$P$3183,MATCH(SMALL($V$4:$V$3183,1463),$V$4:$V$3183,0)),"")</f>
        <v/>
      </c>
      <c r="D1466" s="29">
        <f>IFERROR(INDEX($Q$4:$Q$3183,MATCH(SMALL($V$4:$V$3183,1463),$V$4:$V$3183,0)),"")</f>
        <v/>
      </c>
      <c r="E1466" s="29">
        <f>IFERROR(INDEX($R$4:$R$3183,MATCH(SMALL($V$4:$V$3183,1463),$V$4:$V$3183,0)),"")</f>
        <v/>
      </c>
      <c r="F1466">
        <f>IFERROR(INDEX($S$4:$S$3183,MATCH(SMALL($V$4:$V$3183,1463),$V$4:$V$3183,0)),"")</f>
        <v/>
      </c>
      <c r="I1466" s="29">
        <f>IF($B1466="","",IFERROR(INDEX($U$4:$U$3183,MATCH(SMALL($V$4:$V$3183,1463),$V$4:$V$3183,0)),""))</f>
        <v/>
      </c>
      <c r="J1466">
        <f>IF($B1466="","",IF($D1466&gt;$F$2,"À venir",IF($E1466&lt;$D$2,"Passé","Dans la période")))</f>
        <v/>
      </c>
      <c r="K1466">
        <f>IF(OR($B1466="",NOT(ISNUMBER($D1466))),"",IF(AND($E1466&lt;$D$2,$G1466&lt;&gt;"X",$F1466&lt;&gt;"Réalisé",$F1466&lt;&gt;"Clôturé"),"RETARD",""))</f>
        <v/>
      </c>
      <c r="L1466">
        <f>IF(OR($B1466="",NOT(ISNUMBER($D1466))),"",IF(AND($D1466&gt;=$D$2,$D1466&lt;=$H$2,$G1466&lt;&gt;"X",$F1466&lt;&gt;"Réalisé",$F1466&lt;&gt;"Clôturé"),"≤ 7 j",""))</f>
        <v/>
      </c>
      <c r="M1466" s="29">
        <f>IF($B1466="","",IFERROR(INDEX($T$4:$T$3183,MATCH(SMALL($V$4:$V$3183,1463),$V$4:$V$3183,0)),""))</f>
        <v/>
      </c>
      <c r="O1466">
        <f>IF(INDEX(Suivi!$B:$B,1494)="","",INDEX(Suivi!$B:$B,1494))</f>
        <v/>
      </c>
      <c r="P1466">
        <f>IF($O1466="","",IF(INDEX(Suivi!$D:$D,1494)="",INDEX(Suivi!$C:$C,1494),INDEX(Suivi!$D:$D,1494)))</f>
        <v/>
      </c>
      <c r="Q1466">
        <f>IF($O1466="","",INDEX(Suivi!$E:$E,1494))</f>
        <v/>
      </c>
      <c r="R1466">
        <f>IF($O1466="","",INDEX(Suivi!$F:$F,1494))</f>
        <v/>
      </c>
      <c r="S1466">
        <f>IF($O1466="","",INDEX(Suivi!$G:$G,1494))</f>
        <v/>
      </c>
      <c r="T1466">
        <f>IF($O1466="","",IF(INDEX(Dossiers!$F$4:$F$63,28)="","",INDEX(Dossiers!$F$4:$F$63,28)))</f>
        <v/>
      </c>
      <c r="U1466">
        <f>IF($O1466="","",IF(INDEX(Dossiers!$G$4:$G$63,28)="","",INDEX(Dossiers!$G$4:$G$63,28)))</f>
        <v/>
      </c>
      <c r="V1466">
        <f>IF(OR($O1466="",NOT(ISNUMBER($Q1466))),"",$Q1466*1000000+1466)</f>
        <v/>
      </c>
      <c r="W1466" s="29">
        <f>IF($B1466="","",IFERROR(INDEX($U$4:$U$3183,MATCH(SMALL($V$4:$V$3183,1463),$V$4:$V$3183,0)),""))</f>
        <v/>
      </c>
    </row>
    <row r="1467">
      <c r="A1467">
        <f>IFERROR(INDEX($N$4:$N$3183,MATCH(SMALL($V$4:$V$3183,1464),$V$4:$V$3183,0)),"")</f>
        <v/>
      </c>
      <c r="B1467">
        <f>IFERROR(INDEX($O$4:$O$3183,MATCH(SMALL($V$4:$V$3183,1464),$V$4:$V$3183,0)),"")</f>
        <v/>
      </c>
      <c r="C1467">
        <f>IFERROR(INDEX($P$4:$P$3183,MATCH(SMALL($V$4:$V$3183,1464),$V$4:$V$3183,0)),"")</f>
        <v/>
      </c>
      <c r="D1467" s="29">
        <f>IFERROR(INDEX($Q$4:$Q$3183,MATCH(SMALL($V$4:$V$3183,1464),$V$4:$V$3183,0)),"")</f>
        <v/>
      </c>
      <c r="E1467" s="29">
        <f>IFERROR(INDEX($R$4:$R$3183,MATCH(SMALL($V$4:$V$3183,1464),$V$4:$V$3183,0)),"")</f>
        <v/>
      </c>
      <c r="F1467">
        <f>IFERROR(INDEX($S$4:$S$3183,MATCH(SMALL($V$4:$V$3183,1464),$V$4:$V$3183,0)),"")</f>
        <v/>
      </c>
      <c r="I1467" s="29">
        <f>IF($B1467="","",IFERROR(INDEX($U$4:$U$3183,MATCH(SMALL($V$4:$V$3183,1464),$V$4:$V$3183,0)),""))</f>
        <v/>
      </c>
      <c r="J1467">
        <f>IF($B1467="","",IF($D1467&gt;$F$2,"À venir",IF($E1467&lt;$D$2,"Passé","Dans la période")))</f>
        <v/>
      </c>
      <c r="K1467">
        <f>IF(OR($B1467="",NOT(ISNUMBER($D1467))),"",IF(AND($E1467&lt;$D$2,$G1467&lt;&gt;"X",$F1467&lt;&gt;"Réalisé",$F1467&lt;&gt;"Clôturé"),"RETARD",""))</f>
        <v/>
      </c>
      <c r="L1467">
        <f>IF(OR($B1467="",NOT(ISNUMBER($D1467))),"",IF(AND($D1467&gt;=$D$2,$D1467&lt;=$H$2,$G1467&lt;&gt;"X",$F1467&lt;&gt;"Réalisé",$F1467&lt;&gt;"Clôturé"),"≤ 7 j",""))</f>
        <v/>
      </c>
      <c r="M1467" s="29">
        <f>IF($B1467="","",IFERROR(INDEX($T$4:$T$3183,MATCH(SMALL($V$4:$V$3183,1464),$V$4:$V$3183,0)),""))</f>
        <v/>
      </c>
      <c r="O1467">
        <f>IF(INDEX(Suivi!$B:$B,1495)="","",INDEX(Suivi!$B:$B,1495))</f>
        <v/>
      </c>
      <c r="P1467">
        <f>IF($O1467="","",IF(INDEX(Suivi!$D:$D,1495)="",INDEX(Suivi!$C:$C,1495),INDEX(Suivi!$D:$D,1495)))</f>
        <v/>
      </c>
      <c r="Q1467">
        <f>IF($O1467="","",INDEX(Suivi!$E:$E,1495))</f>
        <v/>
      </c>
      <c r="R1467">
        <f>IF($O1467="","",INDEX(Suivi!$F:$F,1495))</f>
        <v/>
      </c>
      <c r="S1467">
        <f>IF($O1467="","",INDEX(Suivi!$G:$G,1495))</f>
        <v/>
      </c>
      <c r="T1467">
        <f>IF($O1467="","",IF(INDEX(Dossiers!$F$4:$F$63,28)="","",INDEX(Dossiers!$F$4:$F$63,28)))</f>
        <v/>
      </c>
      <c r="U1467">
        <f>IF($O1467="","",IF(INDEX(Dossiers!$G$4:$G$63,28)="","",INDEX(Dossiers!$G$4:$G$63,28)))</f>
        <v/>
      </c>
      <c r="V1467">
        <f>IF(OR($O1467="",NOT(ISNUMBER($Q1467))),"",$Q1467*1000000+1467)</f>
        <v/>
      </c>
      <c r="W1467" s="29">
        <f>IF($B1467="","",IFERROR(INDEX($U$4:$U$3183,MATCH(SMALL($V$4:$V$3183,1464),$V$4:$V$3183,0)),""))</f>
        <v/>
      </c>
    </row>
    <row r="1468">
      <c r="A1468">
        <f>IFERROR(INDEX($N$4:$N$3183,MATCH(SMALL($V$4:$V$3183,1465),$V$4:$V$3183,0)),"")</f>
        <v/>
      </c>
      <c r="B1468">
        <f>IFERROR(INDEX($O$4:$O$3183,MATCH(SMALL($V$4:$V$3183,1465),$V$4:$V$3183,0)),"")</f>
        <v/>
      </c>
      <c r="C1468">
        <f>IFERROR(INDEX($P$4:$P$3183,MATCH(SMALL($V$4:$V$3183,1465),$V$4:$V$3183,0)),"")</f>
        <v/>
      </c>
      <c r="D1468" s="29">
        <f>IFERROR(INDEX($Q$4:$Q$3183,MATCH(SMALL($V$4:$V$3183,1465),$V$4:$V$3183,0)),"")</f>
        <v/>
      </c>
      <c r="E1468" s="29">
        <f>IFERROR(INDEX($R$4:$R$3183,MATCH(SMALL($V$4:$V$3183,1465),$V$4:$V$3183,0)),"")</f>
        <v/>
      </c>
      <c r="F1468">
        <f>IFERROR(INDEX($S$4:$S$3183,MATCH(SMALL($V$4:$V$3183,1465),$V$4:$V$3183,0)),"")</f>
        <v/>
      </c>
      <c r="I1468" s="29">
        <f>IF($B1468="","",IFERROR(INDEX($U$4:$U$3183,MATCH(SMALL($V$4:$V$3183,1465),$V$4:$V$3183,0)),""))</f>
        <v/>
      </c>
      <c r="J1468">
        <f>IF($B1468="","",IF($D1468&gt;$F$2,"À venir",IF($E1468&lt;$D$2,"Passé","Dans la période")))</f>
        <v/>
      </c>
      <c r="K1468">
        <f>IF(OR($B1468="",NOT(ISNUMBER($D1468))),"",IF(AND($E1468&lt;$D$2,$G1468&lt;&gt;"X",$F1468&lt;&gt;"Réalisé",$F1468&lt;&gt;"Clôturé"),"RETARD",""))</f>
        <v/>
      </c>
      <c r="L1468">
        <f>IF(OR($B1468="",NOT(ISNUMBER($D1468))),"",IF(AND($D1468&gt;=$D$2,$D1468&lt;=$H$2,$G1468&lt;&gt;"X",$F1468&lt;&gt;"Réalisé",$F1468&lt;&gt;"Clôturé"),"≤ 7 j",""))</f>
        <v/>
      </c>
      <c r="M1468" s="29">
        <f>IF($B1468="","",IFERROR(INDEX($T$4:$T$3183,MATCH(SMALL($V$4:$V$3183,1465),$V$4:$V$3183,0)),""))</f>
        <v/>
      </c>
      <c r="O1468">
        <f>IF(INDEX(Suivi!$B:$B,1496)="","",INDEX(Suivi!$B:$B,1496))</f>
        <v/>
      </c>
      <c r="P1468">
        <f>IF($O1468="","",IF(INDEX(Suivi!$D:$D,1496)="",INDEX(Suivi!$C:$C,1496),INDEX(Suivi!$D:$D,1496)))</f>
        <v/>
      </c>
      <c r="Q1468">
        <f>IF($O1468="","",INDEX(Suivi!$E:$E,1496))</f>
        <v/>
      </c>
      <c r="R1468">
        <f>IF($O1468="","",INDEX(Suivi!$F:$F,1496))</f>
        <v/>
      </c>
      <c r="S1468">
        <f>IF($O1468="","",INDEX(Suivi!$G:$G,1496))</f>
        <v/>
      </c>
      <c r="T1468">
        <f>IF($O1468="","",IF(INDEX(Dossiers!$F$4:$F$63,28)="","",INDEX(Dossiers!$F$4:$F$63,28)))</f>
        <v/>
      </c>
      <c r="U1468">
        <f>IF($O1468="","",IF(INDEX(Dossiers!$G$4:$G$63,28)="","",INDEX(Dossiers!$G$4:$G$63,28)))</f>
        <v/>
      </c>
      <c r="V1468">
        <f>IF(OR($O1468="",NOT(ISNUMBER($Q1468))),"",$Q1468*1000000+1468)</f>
        <v/>
      </c>
      <c r="W1468" s="29">
        <f>IF($B1468="","",IFERROR(INDEX($U$4:$U$3183,MATCH(SMALL($V$4:$V$3183,1465),$V$4:$V$3183,0)),""))</f>
        <v/>
      </c>
    </row>
    <row r="1469">
      <c r="A1469">
        <f>IFERROR(INDEX($N$4:$N$3183,MATCH(SMALL($V$4:$V$3183,1466),$V$4:$V$3183,0)),"")</f>
        <v/>
      </c>
      <c r="B1469">
        <f>IFERROR(INDEX($O$4:$O$3183,MATCH(SMALL($V$4:$V$3183,1466),$V$4:$V$3183,0)),"")</f>
        <v/>
      </c>
      <c r="C1469">
        <f>IFERROR(INDEX($P$4:$P$3183,MATCH(SMALL($V$4:$V$3183,1466),$V$4:$V$3183,0)),"")</f>
        <v/>
      </c>
      <c r="D1469" s="29">
        <f>IFERROR(INDEX($Q$4:$Q$3183,MATCH(SMALL($V$4:$V$3183,1466),$V$4:$V$3183,0)),"")</f>
        <v/>
      </c>
      <c r="E1469" s="29">
        <f>IFERROR(INDEX($R$4:$R$3183,MATCH(SMALL($V$4:$V$3183,1466),$V$4:$V$3183,0)),"")</f>
        <v/>
      </c>
      <c r="F1469">
        <f>IFERROR(INDEX($S$4:$S$3183,MATCH(SMALL($V$4:$V$3183,1466),$V$4:$V$3183,0)),"")</f>
        <v/>
      </c>
      <c r="I1469" s="29">
        <f>IF($B1469="","",IFERROR(INDEX($U$4:$U$3183,MATCH(SMALL($V$4:$V$3183,1466),$V$4:$V$3183,0)),""))</f>
        <v/>
      </c>
      <c r="J1469">
        <f>IF($B1469="","",IF($D1469&gt;$F$2,"À venir",IF($E1469&lt;$D$2,"Passé","Dans la période")))</f>
        <v/>
      </c>
      <c r="K1469">
        <f>IF(OR($B1469="",NOT(ISNUMBER($D1469))),"",IF(AND($E1469&lt;$D$2,$G1469&lt;&gt;"X",$F1469&lt;&gt;"Réalisé",$F1469&lt;&gt;"Clôturé"),"RETARD",""))</f>
        <v/>
      </c>
      <c r="L1469">
        <f>IF(OR($B1469="",NOT(ISNUMBER($D1469))),"",IF(AND($D1469&gt;=$D$2,$D1469&lt;=$H$2,$G1469&lt;&gt;"X",$F1469&lt;&gt;"Réalisé",$F1469&lt;&gt;"Clôturé"),"≤ 7 j",""))</f>
        <v/>
      </c>
      <c r="M1469" s="29">
        <f>IF($B1469="","",IFERROR(INDEX($T$4:$T$3183,MATCH(SMALL($V$4:$V$3183,1466),$V$4:$V$3183,0)),""))</f>
        <v/>
      </c>
      <c r="O1469">
        <f>IF(INDEX(Suivi!$B:$B,1497)="","",INDEX(Suivi!$B:$B,1497))</f>
        <v/>
      </c>
      <c r="P1469">
        <f>IF($O1469="","",IF(INDEX(Suivi!$D:$D,1497)="",INDEX(Suivi!$C:$C,1497),INDEX(Suivi!$D:$D,1497)))</f>
        <v/>
      </c>
      <c r="Q1469">
        <f>IF($O1469="","",INDEX(Suivi!$E:$E,1497))</f>
        <v/>
      </c>
      <c r="R1469">
        <f>IF($O1469="","",INDEX(Suivi!$F:$F,1497))</f>
        <v/>
      </c>
      <c r="S1469">
        <f>IF($O1469="","",INDEX(Suivi!$G:$G,1497))</f>
        <v/>
      </c>
      <c r="T1469">
        <f>IF($O1469="","",IF(INDEX(Dossiers!$F$4:$F$63,28)="","",INDEX(Dossiers!$F$4:$F$63,28)))</f>
        <v/>
      </c>
      <c r="U1469">
        <f>IF($O1469="","",IF(INDEX(Dossiers!$G$4:$G$63,28)="","",INDEX(Dossiers!$G$4:$G$63,28)))</f>
        <v/>
      </c>
      <c r="V1469">
        <f>IF(OR($O1469="",NOT(ISNUMBER($Q1469))),"",$Q1469*1000000+1469)</f>
        <v/>
      </c>
      <c r="W1469" s="29">
        <f>IF($B1469="","",IFERROR(INDEX($U$4:$U$3183,MATCH(SMALL($V$4:$V$3183,1466),$V$4:$V$3183,0)),""))</f>
        <v/>
      </c>
    </row>
    <row r="1470">
      <c r="A1470">
        <f>IFERROR(INDEX($N$4:$N$3183,MATCH(SMALL($V$4:$V$3183,1467),$V$4:$V$3183,0)),"")</f>
        <v/>
      </c>
      <c r="B1470">
        <f>IFERROR(INDEX($O$4:$O$3183,MATCH(SMALL($V$4:$V$3183,1467),$V$4:$V$3183,0)),"")</f>
        <v/>
      </c>
      <c r="C1470">
        <f>IFERROR(INDEX($P$4:$P$3183,MATCH(SMALL($V$4:$V$3183,1467),$V$4:$V$3183,0)),"")</f>
        <v/>
      </c>
      <c r="D1470" s="29">
        <f>IFERROR(INDEX($Q$4:$Q$3183,MATCH(SMALL($V$4:$V$3183,1467),$V$4:$V$3183,0)),"")</f>
        <v/>
      </c>
      <c r="E1470" s="29">
        <f>IFERROR(INDEX($R$4:$R$3183,MATCH(SMALL($V$4:$V$3183,1467),$V$4:$V$3183,0)),"")</f>
        <v/>
      </c>
      <c r="F1470">
        <f>IFERROR(INDEX($S$4:$S$3183,MATCH(SMALL($V$4:$V$3183,1467),$V$4:$V$3183,0)),"")</f>
        <v/>
      </c>
      <c r="I1470" s="29">
        <f>IF($B1470="","",IFERROR(INDEX($U$4:$U$3183,MATCH(SMALL($V$4:$V$3183,1467),$V$4:$V$3183,0)),""))</f>
        <v/>
      </c>
      <c r="J1470">
        <f>IF($B1470="","",IF($D1470&gt;$F$2,"À venir",IF($E1470&lt;$D$2,"Passé","Dans la période")))</f>
        <v/>
      </c>
      <c r="K1470">
        <f>IF(OR($B1470="",NOT(ISNUMBER($D1470))),"",IF(AND($E1470&lt;$D$2,$G1470&lt;&gt;"X",$F1470&lt;&gt;"Réalisé",$F1470&lt;&gt;"Clôturé"),"RETARD",""))</f>
        <v/>
      </c>
      <c r="L1470">
        <f>IF(OR($B1470="",NOT(ISNUMBER($D1470))),"",IF(AND($D1470&gt;=$D$2,$D1470&lt;=$H$2,$G1470&lt;&gt;"X",$F1470&lt;&gt;"Réalisé",$F1470&lt;&gt;"Clôturé"),"≤ 7 j",""))</f>
        <v/>
      </c>
      <c r="M1470" s="29">
        <f>IF($B1470="","",IFERROR(INDEX($T$4:$T$3183,MATCH(SMALL($V$4:$V$3183,1467),$V$4:$V$3183,0)),""))</f>
        <v/>
      </c>
      <c r="O1470">
        <f>IF(INDEX(Suivi!$B:$B,1498)="","",INDEX(Suivi!$B:$B,1498))</f>
        <v/>
      </c>
      <c r="P1470">
        <f>IF($O1470="","",IF(INDEX(Suivi!$D:$D,1498)="",INDEX(Suivi!$C:$C,1498),INDEX(Suivi!$D:$D,1498)))</f>
        <v/>
      </c>
      <c r="Q1470">
        <f>IF($O1470="","",INDEX(Suivi!$E:$E,1498))</f>
        <v/>
      </c>
      <c r="R1470">
        <f>IF($O1470="","",INDEX(Suivi!$F:$F,1498))</f>
        <v/>
      </c>
      <c r="S1470">
        <f>IF($O1470="","",INDEX(Suivi!$G:$G,1498))</f>
        <v/>
      </c>
      <c r="T1470">
        <f>IF($O1470="","",IF(INDEX(Dossiers!$F$4:$F$63,28)="","",INDEX(Dossiers!$F$4:$F$63,28)))</f>
        <v/>
      </c>
      <c r="U1470">
        <f>IF($O1470="","",IF(INDEX(Dossiers!$G$4:$G$63,28)="","",INDEX(Dossiers!$G$4:$G$63,28)))</f>
        <v/>
      </c>
      <c r="V1470">
        <f>IF(OR($O1470="",NOT(ISNUMBER($Q1470))),"",$Q1470*1000000+1470)</f>
        <v/>
      </c>
      <c r="W1470" s="29">
        <f>IF($B1470="","",IFERROR(INDEX($U$4:$U$3183,MATCH(SMALL($V$4:$V$3183,1467),$V$4:$V$3183,0)),""))</f>
        <v/>
      </c>
    </row>
    <row r="1471">
      <c r="A1471">
        <f>IFERROR(INDEX($N$4:$N$3183,MATCH(SMALL($V$4:$V$3183,1468),$V$4:$V$3183,0)),"")</f>
        <v/>
      </c>
      <c r="B1471">
        <f>IFERROR(INDEX($O$4:$O$3183,MATCH(SMALL($V$4:$V$3183,1468),$V$4:$V$3183,0)),"")</f>
        <v/>
      </c>
      <c r="C1471">
        <f>IFERROR(INDEX($P$4:$P$3183,MATCH(SMALL($V$4:$V$3183,1468),$V$4:$V$3183,0)),"")</f>
        <v/>
      </c>
      <c r="D1471" s="29">
        <f>IFERROR(INDEX($Q$4:$Q$3183,MATCH(SMALL($V$4:$V$3183,1468),$V$4:$V$3183,0)),"")</f>
        <v/>
      </c>
      <c r="E1471" s="29">
        <f>IFERROR(INDEX($R$4:$R$3183,MATCH(SMALL($V$4:$V$3183,1468),$V$4:$V$3183,0)),"")</f>
        <v/>
      </c>
      <c r="F1471">
        <f>IFERROR(INDEX($S$4:$S$3183,MATCH(SMALL($V$4:$V$3183,1468),$V$4:$V$3183,0)),"")</f>
        <v/>
      </c>
      <c r="I1471" s="29">
        <f>IF($B1471="","",IFERROR(INDEX($U$4:$U$3183,MATCH(SMALL($V$4:$V$3183,1468),$V$4:$V$3183,0)),""))</f>
        <v/>
      </c>
      <c r="J1471">
        <f>IF($B1471="","",IF($D1471&gt;$F$2,"À venir",IF($E1471&lt;$D$2,"Passé","Dans la période")))</f>
        <v/>
      </c>
      <c r="K1471">
        <f>IF(OR($B1471="",NOT(ISNUMBER($D1471))),"",IF(AND($E1471&lt;$D$2,$G1471&lt;&gt;"X",$F1471&lt;&gt;"Réalisé",$F1471&lt;&gt;"Clôturé"),"RETARD",""))</f>
        <v/>
      </c>
      <c r="L1471">
        <f>IF(OR($B1471="",NOT(ISNUMBER($D1471))),"",IF(AND($D1471&gt;=$D$2,$D1471&lt;=$H$2,$G1471&lt;&gt;"X",$F1471&lt;&gt;"Réalisé",$F1471&lt;&gt;"Clôturé"),"≤ 7 j",""))</f>
        <v/>
      </c>
      <c r="M1471" s="29">
        <f>IF($B1471="","",IFERROR(INDEX($T$4:$T$3183,MATCH(SMALL($V$4:$V$3183,1468),$V$4:$V$3183,0)),""))</f>
        <v/>
      </c>
      <c r="O1471">
        <f>IF(INDEX(Suivi!$B:$B,1499)="","",INDEX(Suivi!$B:$B,1499))</f>
        <v/>
      </c>
      <c r="P1471">
        <f>IF($O1471="","",IF(INDEX(Suivi!$D:$D,1499)="",INDEX(Suivi!$C:$C,1499),INDEX(Suivi!$D:$D,1499)))</f>
        <v/>
      </c>
      <c r="Q1471">
        <f>IF($O1471="","",INDEX(Suivi!$E:$E,1499))</f>
        <v/>
      </c>
      <c r="R1471">
        <f>IF($O1471="","",INDEX(Suivi!$F:$F,1499))</f>
        <v/>
      </c>
      <c r="S1471">
        <f>IF($O1471="","",INDEX(Suivi!$G:$G,1499))</f>
        <v/>
      </c>
      <c r="T1471">
        <f>IF($O1471="","",IF(INDEX(Dossiers!$F$4:$F$63,28)="","",INDEX(Dossiers!$F$4:$F$63,28)))</f>
        <v/>
      </c>
      <c r="U1471">
        <f>IF($O1471="","",IF(INDEX(Dossiers!$G$4:$G$63,28)="","",INDEX(Dossiers!$G$4:$G$63,28)))</f>
        <v/>
      </c>
      <c r="V1471">
        <f>IF(OR($O1471="",NOT(ISNUMBER($Q1471))),"",$Q1471*1000000+1471)</f>
        <v/>
      </c>
      <c r="W1471" s="29">
        <f>IF($B1471="","",IFERROR(INDEX($U$4:$U$3183,MATCH(SMALL($V$4:$V$3183,1468),$V$4:$V$3183,0)),""))</f>
        <v/>
      </c>
    </row>
    <row r="1472">
      <c r="A1472">
        <f>IFERROR(INDEX($N$4:$N$3183,MATCH(SMALL($V$4:$V$3183,1469),$V$4:$V$3183,0)),"")</f>
        <v/>
      </c>
      <c r="B1472">
        <f>IFERROR(INDEX($O$4:$O$3183,MATCH(SMALL($V$4:$V$3183,1469),$V$4:$V$3183,0)),"")</f>
        <v/>
      </c>
      <c r="C1472">
        <f>IFERROR(INDEX($P$4:$P$3183,MATCH(SMALL($V$4:$V$3183,1469),$V$4:$V$3183,0)),"")</f>
        <v/>
      </c>
      <c r="D1472" s="29">
        <f>IFERROR(INDEX($Q$4:$Q$3183,MATCH(SMALL($V$4:$V$3183,1469),$V$4:$V$3183,0)),"")</f>
        <v/>
      </c>
      <c r="E1472" s="29">
        <f>IFERROR(INDEX($R$4:$R$3183,MATCH(SMALL($V$4:$V$3183,1469),$V$4:$V$3183,0)),"")</f>
        <v/>
      </c>
      <c r="F1472">
        <f>IFERROR(INDEX($S$4:$S$3183,MATCH(SMALL($V$4:$V$3183,1469),$V$4:$V$3183,0)),"")</f>
        <v/>
      </c>
      <c r="I1472" s="29">
        <f>IF($B1472="","",IFERROR(INDEX($U$4:$U$3183,MATCH(SMALL($V$4:$V$3183,1469),$V$4:$V$3183,0)),""))</f>
        <v/>
      </c>
      <c r="J1472">
        <f>IF($B1472="","",IF($D1472&gt;$F$2,"À venir",IF($E1472&lt;$D$2,"Passé","Dans la période")))</f>
        <v/>
      </c>
      <c r="K1472">
        <f>IF(OR($B1472="",NOT(ISNUMBER($D1472))),"",IF(AND($E1472&lt;$D$2,$G1472&lt;&gt;"X",$F1472&lt;&gt;"Réalisé",$F1472&lt;&gt;"Clôturé"),"RETARD",""))</f>
        <v/>
      </c>
      <c r="L1472">
        <f>IF(OR($B1472="",NOT(ISNUMBER($D1472))),"",IF(AND($D1472&gt;=$D$2,$D1472&lt;=$H$2,$G1472&lt;&gt;"X",$F1472&lt;&gt;"Réalisé",$F1472&lt;&gt;"Clôturé"),"≤ 7 j",""))</f>
        <v/>
      </c>
      <c r="M1472" s="29">
        <f>IF($B1472="","",IFERROR(INDEX($T$4:$T$3183,MATCH(SMALL($V$4:$V$3183,1469),$V$4:$V$3183,0)),""))</f>
        <v/>
      </c>
      <c r="O1472">
        <f>IF(INDEX(Suivi!$B:$B,1500)="","",INDEX(Suivi!$B:$B,1500))</f>
        <v/>
      </c>
      <c r="P1472">
        <f>IF($O1472="","",IF(INDEX(Suivi!$D:$D,1500)="",INDEX(Suivi!$C:$C,1500),INDEX(Suivi!$D:$D,1500)))</f>
        <v/>
      </c>
      <c r="Q1472">
        <f>IF($O1472="","",INDEX(Suivi!$E:$E,1500))</f>
        <v/>
      </c>
      <c r="R1472">
        <f>IF($O1472="","",INDEX(Suivi!$F:$F,1500))</f>
        <v/>
      </c>
      <c r="S1472">
        <f>IF($O1472="","",INDEX(Suivi!$G:$G,1500))</f>
        <v/>
      </c>
      <c r="T1472">
        <f>IF($O1472="","",IF(INDEX(Dossiers!$F$4:$F$63,28)="","",INDEX(Dossiers!$F$4:$F$63,28)))</f>
        <v/>
      </c>
      <c r="U1472">
        <f>IF($O1472="","",IF(INDEX(Dossiers!$G$4:$G$63,28)="","",INDEX(Dossiers!$G$4:$G$63,28)))</f>
        <v/>
      </c>
      <c r="V1472">
        <f>IF(OR($O1472="",NOT(ISNUMBER($Q1472))),"",$Q1472*1000000+1472)</f>
        <v/>
      </c>
      <c r="W1472" s="29">
        <f>IF($B1472="","",IFERROR(INDEX($U$4:$U$3183,MATCH(SMALL($V$4:$V$3183,1469),$V$4:$V$3183,0)),""))</f>
        <v/>
      </c>
    </row>
    <row r="1473">
      <c r="A1473">
        <f>IFERROR(INDEX($N$4:$N$3183,MATCH(SMALL($V$4:$V$3183,1470),$V$4:$V$3183,0)),"")</f>
        <v/>
      </c>
      <c r="B1473">
        <f>IFERROR(INDEX($O$4:$O$3183,MATCH(SMALL($V$4:$V$3183,1470),$V$4:$V$3183,0)),"")</f>
        <v/>
      </c>
      <c r="C1473">
        <f>IFERROR(INDEX($P$4:$P$3183,MATCH(SMALL($V$4:$V$3183,1470),$V$4:$V$3183,0)),"")</f>
        <v/>
      </c>
      <c r="D1473" s="29">
        <f>IFERROR(INDEX($Q$4:$Q$3183,MATCH(SMALL($V$4:$V$3183,1470),$V$4:$V$3183,0)),"")</f>
        <v/>
      </c>
      <c r="E1473" s="29">
        <f>IFERROR(INDEX($R$4:$R$3183,MATCH(SMALL($V$4:$V$3183,1470),$V$4:$V$3183,0)),"")</f>
        <v/>
      </c>
      <c r="F1473">
        <f>IFERROR(INDEX($S$4:$S$3183,MATCH(SMALL($V$4:$V$3183,1470),$V$4:$V$3183,0)),"")</f>
        <v/>
      </c>
      <c r="I1473" s="29">
        <f>IF($B1473="","",IFERROR(INDEX($U$4:$U$3183,MATCH(SMALL($V$4:$V$3183,1470),$V$4:$V$3183,0)),""))</f>
        <v/>
      </c>
      <c r="J1473">
        <f>IF($B1473="","",IF($D1473&gt;$F$2,"À venir",IF($E1473&lt;$D$2,"Passé","Dans la période")))</f>
        <v/>
      </c>
      <c r="K1473">
        <f>IF(OR($B1473="",NOT(ISNUMBER($D1473))),"",IF(AND($E1473&lt;$D$2,$G1473&lt;&gt;"X",$F1473&lt;&gt;"Réalisé",$F1473&lt;&gt;"Clôturé"),"RETARD",""))</f>
        <v/>
      </c>
      <c r="L1473">
        <f>IF(OR($B1473="",NOT(ISNUMBER($D1473))),"",IF(AND($D1473&gt;=$D$2,$D1473&lt;=$H$2,$G1473&lt;&gt;"X",$F1473&lt;&gt;"Réalisé",$F1473&lt;&gt;"Clôturé"),"≤ 7 j",""))</f>
        <v/>
      </c>
      <c r="M1473" s="29">
        <f>IF($B1473="","",IFERROR(INDEX($T$4:$T$3183,MATCH(SMALL($V$4:$V$3183,1470),$V$4:$V$3183,0)),""))</f>
        <v/>
      </c>
      <c r="O1473">
        <f>IF(INDEX(Suivi!$B:$B,1501)="","",INDEX(Suivi!$B:$B,1501))</f>
        <v/>
      </c>
      <c r="P1473">
        <f>IF($O1473="","",IF(INDEX(Suivi!$D:$D,1501)="",INDEX(Suivi!$C:$C,1501),INDEX(Suivi!$D:$D,1501)))</f>
        <v/>
      </c>
      <c r="Q1473">
        <f>IF($O1473="","",INDEX(Suivi!$E:$E,1501))</f>
        <v/>
      </c>
      <c r="R1473">
        <f>IF($O1473="","",INDEX(Suivi!$F:$F,1501))</f>
        <v/>
      </c>
      <c r="S1473">
        <f>IF($O1473="","",INDEX(Suivi!$G:$G,1501))</f>
        <v/>
      </c>
      <c r="T1473">
        <f>IF($O1473="","",IF(INDEX(Dossiers!$F$4:$F$63,28)="","",INDEX(Dossiers!$F$4:$F$63,28)))</f>
        <v/>
      </c>
      <c r="U1473">
        <f>IF($O1473="","",IF(INDEX(Dossiers!$G$4:$G$63,28)="","",INDEX(Dossiers!$G$4:$G$63,28)))</f>
        <v/>
      </c>
      <c r="V1473">
        <f>IF(OR($O1473="",NOT(ISNUMBER($Q1473))),"",$Q1473*1000000+1473)</f>
        <v/>
      </c>
      <c r="W1473" s="29">
        <f>IF($B1473="","",IFERROR(INDEX($U$4:$U$3183,MATCH(SMALL($V$4:$V$3183,1470),$V$4:$V$3183,0)),""))</f>
        <v/>
      </c>
    </row>
    <row r="1474">
      <c r="A1474">
        <f>IFERROR(INDEX($N$4:$N$3183,MATCH(SMALL($V$4:$V$3183,1471),$V$4:$V$3183,0)),"")</f>
        <v/>
      </c>
      <c r="B1474">
        <f>IFERROR(INDEX($O$4:$O$3183,MATCH(SMALL($V$4:$V$3183,1471),$V$4:$V$3183,0)),"")</f>
        <v/>
      </c>
      <c r="C1474">
        <f>IFERROR(INDEX($P$4:$P$3183,MATCH(SMALL($V$4:$V$3183,1471),$V$4:$V$3183,0)),"")</f>
        <v/>
      </c>
      <c r="D1474" s="29">
        <f>IFERROR(INDEX($Q$4:$Q$3183,MATCH(SMALL($V$4:$V$3183,1471),$V$4:$V$3183,0)),"")</f>
        <v/>
      </c>
      <c r="E1474" s="29">
        <f>IFERROR(INDEX($R$4:$R$3183,MATCH(SMALL($V$4:$V$3183,1471),$V$4:$V$3183,0)),"")</f>
        <v/>
      </c>
      <c r="F1474">
        <f>IFERROR(INDEX($S$4:$S$3183,MATCH(SMALL($V$4:$V$3183,1471),$V$4:$V$3183,0)),"")</f>
        <v/>
      </c>
      <c r="I1474" s="29">
        <f>IF($B1474="","",IFERROR(INDEX($U$4:$U$3183,MATCH(SMALL($V$4:$V$3183,1471),$V$4:$V$3183,0)),""))</f>
        <v/>
      </c>
      <c r="J1474">
        <f>IF($B1474="","",IF($D1474&gt;$F$2,"À venir",IF($E1474&lt;$D$2,"Passé","Dans la période")))</f>
        <v/>
      </c>
      <c r="K1474">
        <f>IF(OR($B1474="",NOT(ISNUMBER($D1474))),"",IF(AND($E1474&lt;$D$2,$G1474&lt;&gt;"X",$F1474&lt;&gt;"Réalisé",$F1474&lt;&gt;"Clôturé"),"RETARD",""))</f>
        <v/>
      </c>
      <c r="L1474">
        <f>IF(OR($B1474="",NOT(ISNUMBER($D1474))),"",IF(AND($D1474&gt;=$D$2,$D1474&lt;=$H$2,$G1474&lt;&gt;"X",$F1474&lt;&gt;"Réalisé",$F1474&lt;&gt;"Clôturé"),"≤ 7 j",""))</f>
        <v/>
      </c>
      <c r="M1474" s="29">
        <f>IF($B1474="","",IFERROR(INDEX($T$4:$T$3183,MATCH(SMALL($V$4:$V$3183,1471),$V$4:$V$3183,0)),""))</f>
        <v/>
      </c>
      <c r="O1474">
        <f>IF(INDEX(Suivi!$B:$B,1502)="","",INDEX(Suivi!$B:$B,1502))</f>
        <v/>
      </c>
      <c r="P1474">
        <f>IF($O1474="","",IF(INDEX(Suivi!$D:$D,1502)="",INDEX(Suivi!$C:$C,1502),INDEX(Suivi!$D:$D,1502)))</f>
        <v/>
      </c>
      <c r="Q1474">
        <f>IF($O1474="","",INDEX(Suivi!$E:$E,1502))</f>
        <v/>
      </c>
      <c r="R1474">
        <f>IF($O1474="","",INDEX(Suivi!$F:$F,1502))</f>
        <v/>
      </c>
      <c r="S1474">
        <f>IF($O1474="","",INDEX(Suivi!$G:$G,1502))</f>
        <v/>
      </c>
      <c r="T1474">
        <f>IF($O1474="","",IF(INDEX(Dossiers!$F$4:$F$63,28)="","",INDEX(Dossiers!$F$4:$F$63,28)))</f>
        <v/>
      </c>
      <c r="U1474">
        <f>IF($O1474="","",IF(INDEX(Dossiers!$G$4:$G$63,28)="","",INDEX(Dossiers!$G$4:$G$63,28)))</f>
        <v/>
      </c>
      <c r="V1474">
        <f>IF(OR($O1474="",NOT(ISNUMBER($Q1474))),"",$Q1474*1000000+1474)</f>
        <v/>
      </c>
      <c r="W1474" s="29">
        <f>IF($B1474="","",IFERROR(INDEX($U$4:$U$3183,MATCH(SMALL($V$4:$V$3183,1471),$V$4:$V$3183,0)),""))</f>
        <v/>
      </c>
    </row>
    <row r="1475">
      <c r="A1475">
        <f>IFERROR(INDEX($N$4:$N$3183,MATCH(SMALL($V$4:$V$3183,1472),$V$4:$V$3183,0)),"")</f>
        <v/>
      </c>
      <c r="B1475">
        <f>IFERROR(INDEX($O$4:$O$3183,MATCH(SMALL($V$4:$V$3183,1472),$V$4:$V$3183,0)),"")</f>
        <v/>
      </c>
      <c r="C1475">
        <f>IFERROR(INDEX($P$4:$P$3183,MATCH(SMALL($V$4:$V$3183,1472),$V$4:$V$3183,0)),"")</f>
        <v/>
      </c>
      <c r="D1475" s="29">
        <f>IFERROR(INDEX($Q$4:$Q$3183,MATCH(SMALL($V$4:$V$3183,1472),$V$4:$V$3183,0)),"")</f>
        <v/>
      </c>
      <c r="E1475" s="29">
        <f>IFERROR(INDEX($R$4:$R$3183,MATCH(SMALL($V$4:$V$3183,1472),$V$4:$V$3183,0)),"")</f>
        <v/>
      </c>
      <c r="F1475">
        <f>IFERROR(INDEX($S$4:$S$3183,MATCH(SMALL($V$4:$V$3183,1472),$V$4:$V$3183,0)),"")</f>
        <v/>
      </c>
      <c r="I1475" s="29">
        <f>IF($B1475="","",IFERROR(INDEX($U$4:$U$3183,MATCH(SMALL($V$4:$V$3183,1472),$V$4:$V$3183,0)),""))</f>
        <v/>
      </c>
      <c r="J1475">
        <f>IF($B1475="","",IF($D1475&gt;$F$2,"À venir",IF($E1475&lt;$D$2,"Passé","Dans la période")))</f>
        <v/>
      </c>
      <c r="K1475">
        <f>IF(OR($B1475="",NOT(ISNUMBER($D1475))),"",IF(AND($E1475&lt;$D$2,$G1475&lt;&gt;"X",$F1475&lt;&gt;"Réalisé",$F1475&lt;&gt;"Clôturé"),"RETARD",""))</f>
        <v/>
      </c>
      <c r="L1475">
        <f>IF(OR($B1475="",NOT(ISNUMBER($D1475))),"",IF(AND($D1475&gt;=$D$2,$D1475&lt;=$H$2,$G1475&lt;&gt;"X",$F1475&lt;&gt;"Réalisé",$F1475&lt;&gt;"Clôturé"),"≤ 7 j",""))</f>
        <v/>
      </c>
      <c r="M1475" s="29">
        <f>IF($B1475="","",IFERROR(INDEX($T$4:$T$3183,MATCH(SMALL($V$4:$V$3183,1472),$V$4:$V$3183,0)),""))</f>
        <v/>
      </c>
      <c r="O1475">
        <f>IF(INDEX(Suivi!$B:$B,1503)="","",INDEX(Suivi!$B:$B,1503))</f>
        <v/>
      </c>
      <c r="P1475">
        <f>IF($O1475="","",IF(INDEX(Suivi!$D:$D,1503)="",INDEX(Suivi!$C:$C,1503),INDEX(Suivi!$D:$D,1503)))</f>
        <v/>
      </c>
      <c r="Q1475">
        <f>IF($O1475="","",INDEX(Suivi!$E:$E,1503))</f>
        <v/>
      </c>
      <c r="R1475">
        <f>IF($O1475="","",INDEX(Suivi!$F:$F,1503))</f>
        <v/>
      </c>
      <c r="S1475">
        <f>IF($O1475="","",INDEX(Suivi!$G:$G,1503))</f>
        <v/>
      </c>
      <c r="T1475">
        <f>IF($O1475="","",IF(INDEX(Dossiers!$F$4:$F$63,28)="","",INDEX(Dossiers!$F$4:$F$63,28)))</f>
        <v/>
      </c>
      <c r="U1475">
        <f>IF($O1475="","",IF(INDEX(Dossiers!$G$4:$G$63,28)="","",INDEX(Dossiers!$G$4:$G$63,28)))</f>
        <v/>
      </c>
      <c r="V1475">
        <f>IF(OR($O1475="",NOT(ISNUMBER($Q1475))),"",$Q1475*1000000+1475)</f>
        <v/>
      </c>
      <c r="W1475" s="29">
        <f>IF($B1475="","",IFERROR(INDEX($U$4:$U$3183,MATCH(SMALL($V$4:$V$3183,1472),$V$4:$V$3183,0)),""))</f>
        <v/>
      </c>
    </row>
    <row r="1476">
      <c r="A1476">
        <f>IFERROR(INDEX($N$4:$N$3183,MATCH(SMALL($V$4:$V$3183,1473),$V$4:$V$3183,0)),"")</f>
        <v/>
      </c>
      <c r="B1476">
        <f>IFERROR(INDEX($O$4:$O$3183,MATCH(SMALL($V$4:$V$3183,1473),$V$4:$V$3183,0)),"")</f>
        <v/>
      </c>
      <c r="C1476">
        <f>IFERROR(INDEX($P$4:$P$3183,MATCH(SMALL($V$4:$V$3183,1473),$V$4:$V$3183,0)),"")</f>
        <v/>
      </c>
      <c r="D1476" s="29">
        <f>IFERROR(INDEX($Q$4:$Q$3183,MATCH(SMALL($V$4:$V$3183,1473),$V$4:$V$3183,0)),"")</f>
        <v/>
      </c>
      <c r="E1476" s="29">
        <f>IFERROR(INDEX($R$4:$R$3183,MATCH(SMALL($V$4:$V$3183,1473),$V$4:$V$3183,0)),"")</f>
        <v/>
      </c>
      <c r="F1476">
        <f>IFERROR(INDEX($S$4:$S$3183,MATCH(SMALL($V$4:$V$3183,1473),$V$4:$V$3183,0)),"")</f>
        <v/>
      </c>
      <c r="I1476" s="29">
        <f>IF($B1476="","",IFERROR(INDEX($U$4:$U$3183,MATCH(SMALL($V$4:$V$3183,1473),$V$4:$V$3183,0)),""))</f>
        <v/>
      </c>
      <c r="J1476">
        <f>IF($B1476="","",IF($D1476&gt;$F$2,"À venir",IF($E1476&lt;$D$2,"Passé","Dans la période")))</f>
        <v/>
      </c>
      <c r="K1476">
        <f>IF(OR($B1476="",NOT(ISNUMBER($D1476))),"",IF(AND($E1476&lt;$D$2,$G1476&lt;&gt;"X",$F1476&lt;&gt;"Réalisé",$F1476&lt;&gt;"Clôturé"),"RETARD",""))</f>
        <v/>
      </c>
      <c r="L1476">
        <f>IF(OR($B1476="",NOT(ISNUMBER($D1476))),"",IF(AND($D1476&gt;=$D$2,$D1476&lt;=$H$2,$G1476&lt;&gt;"X",$F1476&lt;&gt;"Réalisé",$F1476&lt;&gt;"Clôturé"),"≤ 7 j",""))</f>
        <v/>
      </c>
      <c r="M1476" s="29">
        <f>IF($B1476="","",IFERROR(INDEX($T$4:$T$3183,MATCH(SMALL($V$4:$V$3183,1473),$V$4:$V$3183,0)),""))</f>
        <v/>
      </c>
      <c r="O1476">
        <f>IF(INDEX(Suivi!$B:$B,1504)="","",INDEX(Suivi!$B:$B,1504))</f>
        <v/>
      </c>
      <c r="P1476">
        <f>IF($O1476="","",IF(INDEX(Suivi!$D:$D,1504)="",INDEX(Suivi!$C:$C,1504),INDEX(Suivi!$D:$D,1504)))</f>
        <v/>
      </c>
      <c r="Q1476">
        <f>IF($O1476="","",INDEX(Suivi!$E:$E,1504))</f>
        <v/>
      </c>
      <c r="R1476">
        <f>IF($O1476="","",INDEX(Suivi!$F:$F,1504))</f>
        <v/>
      </c>
      <c r="S1476">
        <f>IF($O1476="","",INDEX(Suivi!$G:$G,1504))</f>
        <v/>
      </c>
      <c r="T1476">
        <f>IF($O1476="","",IF(INDEX(Dossiers!$F$4:$F$63,28)="","",INDEX(Dossiers!$F$4:$F$63,28)))</f>
        <v/>
      </c>
      <c r="U1476">
        <f>IF($O1476="","",IF(INDEX(Dossiers!$G$4:$G$63,28)="","",INDEX(Dossiers!$G$4:$G$63,28)))</f>
        <v/>
      </c>
      <c r="V1476">
        <f>IF(OR($O1476="",NOT(ISNUMBER($Q1476))),"",$Q1476*1000000+1476)</f>
        <v/>
      </c>
      <c r="W1476" s="29">
        <f>IF($B1476="","",IFERROR(INDEX($U$4:$U$3183,MATCH(SMALL($V$4:$V$3183,1473),$V$4:$V$3183,0)),""))</f>
        <v/>
      </c>
    </row>
    <row r="1477">
      <c r="A1477">
        <f>IFERROR(INDEX($N$4:$N$3183,MATCH(SMALL($V$4:$V$3183,1474),$V$4:$V$3183,0)),"")</f>
        <v/>
      </c>
      <c r="B1477">
        <f>IFERROR(INDEX($O$4:$O$3183,MATCH(SMALL($V$4:$V$3183,1474),$V$4:$V$3183,0)),"")</f>
        <v/>
      </c>
      <c r="C1477">
        <f>IFERROR(INDEX($P$4:$P$3183,MATCH(SMALL($V$4:$V$3183,1474),$V$4:$V$3183,0)),"")</f>
        <v/>
      </c>
      <c r="D1477" s="29">
        <f>IFERROR(INDEX($Q$4:$Q$3183,MATCH(SMALL($V$4:$V$3183,1474),$V$4:$V$3183,0)),"")</f>
        <v/>
      </c>
      <c r="E1477" s="29">
        <f>IFERROR(INDEX($R$4:$R$3183,MATCH(SMALL($V$4:$V$3183,1474),$V$4:$V$3183,0)),"")</f>
        <v/>
      </c>
      <c r="F1477">
        <f>IFERROR(INDEX($S$4:$S$3183,MATCH(SMALL($V$4:$V$3183,1474),$V$4:$V$3183,0)),"")</f>
        <v/>
      </c>
      <c r="I1477" s="29">
        <f>IF($B1477="","",IFERROR(INDEX($U$4:$U$3183,MATCH(SMALL($V$4:$V$3183,1474),$V$4:$V$3183,0)),""))</f>
        <v/>
      </c>
      <c r="J1477">
        <f>IF($B1477="","",IF($D1477&gt;$F$2,"À venir",IF($E1477&lt;$D$2,"Passé","Dans la période")))</f>
        <v/>
      </c>
      <c r="K1477">
        <f>IF(OR($B1477="",NOT(ISNUMBER($D1477))),"",IF(AND($E1477&lt;$D$2,$G1477&lt;&gt;"X",$F1477&lt;&gt;"Réalisé",$F1477&lt;&gt;"Clôturé"),"RETARD",""))</f>
        <v/>
      </c>
      <c r="L1477">
        <f>IF(OR($B1477="",NOT(ISNUMBER($D1477))),"",IF(AND($D1477&gt;=$D$2,$D1477&lt;=$H$2,$G1477&lt;&gt;"X",$F1477&lt;&gt;"Réalisé",$F1477&lt;&gt;"Clôturé"),"≤ 7 j",""))</f>
        <v/>
      </c>
      <c r="M1477" s="29">
        <f>IF($B1477="","",IFERROR(INDEX($T$4:$T$3183,MATCH(SMALL($V$4:$V$3183,1474),$V$4:$V$3183,0)),""))</f>
        <v/>
      </c>
      <c r="O1477">
        <f>IF(INDEX(Suivi!$B:$B,1505)="","",INDEX(Suivi!$B:$B,1505))</f>
        <v/>
      </c>
      <c r="P1477">
        <f>IF($O1477="","",IF(INDEX(Suivi!$D:$D,1505)="",INDEX(Suivi!$C:$C,1505),INDEX(Suivi!$D:$D,1505)))</f>
        <v/>
      </c>
      <c r="Q1477">
        <f>IF($O1477="","",INDEX(Suivi!$E:$E,1505))</f>
        <v/>
      </c>
      <c r="R1477">
        <f>IF($O1477="","",INDEX(Suivi!$F:$F,1505))</f>
        <v/>
      </c>
      <c r="S1477">
        <f>IF($O1477="","",INDEX(Suivi!$G:$G,1505))</f>
        <v/>
      </c>
      <c r="T1477">
        <f>IF($O1477="","",IF(INDEX(Dossiers!$F$4:$F$63,28)="","",INDEX(Dossiers!$F$4:$F$63,28)))</f>
        <v/>
      </c>
      <c r="U1477">
        <f>IF($O1477="","",IF(INDEX(Dossiers!$G$4:$G$63,28)="","",INDEX(Dossiers!$G$4:$G$63,28)))</f>
        <v/>
      </c>
      <c r="V1477">
        <f>IF(OR($O1477="",NOT(ISNUMBER($Q1477))),"",$Q1477*1000000+1477)</f>
        <v/>
      </c>
      <c r="W1477" s="29">
        <f>IF($B1477="","",IFERROR(INDEX($U$4:$U$3183,MATCH(SMALL($V$4:$V$3183,1474),$V$4:$V$3183,0)),""))</f>
        <v/>
      </c>
    </row>
    <row r="1478">
      <c r="A1478">
        <f>IFERROR(INDEX($N$4:$N$3183,MATCH(SMALL($V$4:$V$3183,1475),$V$4:$V$3183,0)),"")</f>
        <v/>
      </c>
      <c r="B1478">
        <f>IFERROR(INDEX($O$4:$O$3183,MATCH(SMALL($V$4:$V$3183,1475),$V$4:$V$3183,0)),"")</f>
        <v/>
      </c>
      <c r="C1478">
        <f>IFERROR(INDEX($P$4:$P$3183,MATCH(SMALL($V$4:$V$3183,1475),$V$4:$V$3183,0)),"")</f>
        <v/>
      </c>
      <c r="D1478" s="29">
        <f>IFERROR(INDEX($Q$4:$Q$3183,MATCH(SMALL($V$4:$V$3183,1475),$V$4:$V$3183,0)),"")</f>
        <v/>
      </c>
      <c r="E1478" s="29">
        <f>IFERROR(INDEX($R$4:$R$3183,MATCH(SMALL($V$4:$V$3183,1475),$V$4:$V$3183,0)),"")</f>
        <v/>
      </c>
      <c r="F1478">
        <f>IFERROR(INDEX($S$4:$S$3183,MATCH(SMALL($V$4:$V$3183,1475),$V$4:$V$3183,0)),"")</f>
        <v/>
      </c>
      <c r="I1478" s="29">
        <f>IF($B1478="","",IFERROR(INDEX($U$4:$U$3183,MATCH(SMALL($V$4:$V$3183,1475),$V$4:$V$3183,0)),""))</f>
        <v/>
      </c>
      <c r="J1478">
        <f>IF($B1478="","",IF($D1478&gt;$F$2,"À venir",IF($E1478&lt;$D$2,"Passé","Dans la période")))</f>
        <v/>
      </c>
      <c r="K1478">
        <f>IF(OR($B1478="",NOT(ISNUMBER($D1478))),"",IF(AND($E1478&lt;$D$2,$G1478&lt;&gt;"X",$F1478&lt;&gt;"Réalisé",$F1478&lt;&gt;"Clôturé"),"RETARD",""))</f>
        <v/>
      </c>
      <c r="L1478">
        <f>IF(OR($B1478="",NOT(ISNUMBER($D1478))),"",IF(AND($D1478&gt;=$D$2,$D1478&lt;=$H$2,$G1478&lt;&gt;"X",$F1478&lt;&gt;"Réalisé",$F1478&lt;&gt;"Clôturé"),"≤ 7 j",""))</f>
        <v/>
      </c>
      <c r="M1478" s="29">
        <f>IF($B1478="","",IFERROR(INDEX($T$4:$T$3183,MATCH(SMALL($V$4:$V$3183,1475),$V$4:$V$3183,0)),""))</f>
        <v/>
      </c>
      <c r="O1478">
        <f>IF(INDEX(Suivi!$B:$B,1506)="","",INDEX(Suivi!$B:$B,1506))</f>
        <v/>
      </c>
      <c r="P1478">
        <f>IF($O1478="","",IF(INDEX(Suivi!$D:$D,1506)="",INDEX(Suivi!$C:$C,1506),INDEX(Suivi!$D:$D,1506)))</f>
        <v/>
      </c>
      <c r="Q1478">
        <f>IF($O1478="","",INDEX(Suivi!$E:$E,1506))</f>
        <v/>
      </c>
      <c r="R1478">
        <f>IF($O1478="","",INDEX(Suivi!$F:$F,1506))</f>
        <v/>
      </c>
      <c r="S1478">
        <f>IF($O1478="","",INDEX(Suivi!$G:$G,1506))</f>
        <v/>
      </c>
      <c r="T1478">
        <f>IF($O1478="","",IF(INDEX(Dossiers!$F$4:$F$63,28)="","",INDEX(Dossiers!$F$4:$F$63,28)))</f>
        <v/>
      </c>
      <c r="U1478">
        <f>IF($O1478="","",IF(INDEX(Dossiers!$G$4:$G$63,28)="","",INDEX(Dossiers!$G$4:$G$63,28)))</f>
        <v/>
      </c>
      <c r="V1478">
        <f>IF(OR($O1478="",NOT(ISNUMBER($Q1478))),"",$Q1478*1000000+1478)</f>
        <v/>
      </c>
      <c r="W1478" s="29">
        <f>IF($B1478="","",IFERROR(INDEX($U$4:$U$3183,MATCH(SMALL($V$4:$V$3183,1475),$V$4:$V$3183,0)),""))</f>
        <v/>
      </c>
    </row>
    <row r="1479">
      <c r="A1479">
        <f>IFERROR(INDEX($N$4:$N$3183,MATCH(SMALL($V$4:$V$3183,1476),$V$4:$V$3183,0)),"")</f>
        <v/>
      </c>
      <c r="B1479">
        <f>IFERROR(INDEX($O$4:$O$3183,MATCH(SMALL($V$4:$V$3183,1476),$V$4:$V$3183,0)),"")</f>
        <v/>
      </c>
      <c r="C1479">
        <f>IFERROR(INDEX($P$4:$P$3183,MATCH(SMALL($V$4:$V$3183,1476),$V$4:$V$3183,0)),"")</f>
        <v/>
      </c>
      <c r="D1479" s="29">
        <f>IFERROR(INDEX($Q$4:$Q$3183,MATCH(SMALL($V$4:$V$3183,1476),$V$4:$V$3183,0)),"")</f>
        <v/>
      </c>
      <c r="E1479" s="29">
        <f>IFERROR(INDEX($R$4:$R$3183,MATCH(SMALL($V$4:$V$3183,1476),$V$4:$V$3183,0)),"")</f>
        <v/>
      </c>
      <c r="F1479">
        <f>IFERROR(INDEX($S$4:$S$3183,MATCH(SMALL($V$4:$V$3183,1476),$V$4:$V$3183,0)),"")</f>
        <v/>
      </c>
      <c r="I1479" s="29">
        <f>IF($B1479="","",IFERROR(INDEX($U$4:$U$3183,MATCH(SMALL($V$4:$V$3183,1476),$V$4:$V$3183,0)),""))</f>
        <v/>
      </c>
      <c r="J1479">
        <f>IF($B1479="","",IF($D1479&gt;$F$2,"À venir",IF($E1479&lt;$D$2,"Passé","Dans la période")))</f>
        <v/>
      </c>
      <c r="K1479">
        <f>IF(OR($B1479="",NOT(ISNUMBER($D1479))),"",IF(AND($E1479&lt;$D$2,$G1479&lt;&gt;"X",$F1479&lt;&gt;"Réalisé",$F1479&lt;&gt;"Clôturé"),"RETARD",""))</f>
        <v/>
      </c>
      <c r="L1479">
        <f>IF(OR($B1479="",NOT(ISNUMBER($D1479))),"",IF(AND($D1479&gt;=$D$2,$D1479&lt;=$H$2,$G1479&lt;&gt;"X",$F1479&lt;&gt;"Réalisé",$F1479&lt;&gt;"Clôturé"),"≤ 7 j",""))</f>
        <v/>
      </c>
      <c r="M1479" s="29">
        <f>IF($B1479="","",IFERROR(INDEX($T$4:$T$3183,MATCH(SMALL($V$4:$V$3183,1476),$V$4:$V$3183,0)),""))</f>
        <v/>
      </c>
      <c r="O1479">
        <f>IF(INDEX(Suivi!$B:$B,1507)="","",INDEX(Suivi!$B:$B,1507))</f>
        <v/>
      </c>
      <c r="P1479">
        <f>IF($O1479="","",IF(INDEX(Suivi!$D:$D,1507)="",INDEX(Suivi!$C:$C,1507),INDEX(Suivi!$D:$D,1507)))</f>
        <v/>
      </c>
      <c r="Q1479">
        <f>IF($O1479="","",INDEX(Suivi!$E:$E,1507))</f>
        <v/>
      </c>
      <c r="R1479">
        <f>IF($O1479="","",INDEX(Suivi!$F:$F,1507))</f>
        <v/>
      </c>
      <c r="S1479">
        <f>IF($O1479="","",INDEX(Suivi!$G:$G,1507))</f>
        <v/>
      </c>
      <c r="T1479">
        <f>IF($O1479="","",IF(INDEX(Dossiers!$F$4:$F$63,28)="","",INDEX(Dossiers!$F$4:$F$63,28)))</f>
        <v/>
      </c>
      <c r="U1479">
        <f>IF($O1479="","",IF(INDEX(Dossiers!$G$4:$G$63,28)="","",INDEX(Dossiers!$G$4:$G$63,28)))</f>
        <v/>
      </c>
      <c r="V1479">
        <f>IF(OR($O1479="",NOT(ISNUMBER($Q1479))),"",$Q1479*1000000+1479)</f>
        <v/>
      </c>
      <c r="W1479" s="29">
        <f>IF($B1479="","",IFERROR(INDEX($U$4:$U$3183,MATCH(SMALL($V$4:$V$3183,1476),$V$4:$V$3183,0)),""))</f>
        <v/>
      </c>
    </row>
    <row r="1480">
      <c r="A1480">
        <f>IFERROR(INDEX($N$4:$N$3183,MATCH(SMALL($V$4:$V$3183,1477),$V$4:$V$3183,0)),"")</f>
        <v/>
      </c>
      <c r="B1480">
        <f>IFERROR(INDEX($O$4:$O$3183,MATCH(SMALL($V$4:$V$3183,1477),$V$4:$V$3183,0)),"")</f>
        <v/>
      </c>
      <c r="C1480">
        <f>IFERROR(INDEX($P$4:$P$3183,MATCH(SMALL($V$4:$V$3183,1477),$V$4:$V$3183,0)),"")</f>
        <v/>
      </c>
      <c r="D1480" s="29">
        <f>IFERROR(INDEX($Q$4:$Q$3183,MATCH(SMALL($V$4:$V$3183,1477),$V$4:$V$3183,0)),"")</f>
        <v/>
      </c>
      <c r="E1480" s="29">
        <f>IFERROR(INDEX($R$4:$R$3183,MATCH(SMALL($V$4:$V$3183,1477),$V$4:$V$3183,0)),"")</f>
        <v/>
      </c>
      <c r="F1480">
        <f>IFERROR(INDEX($S$4:$S$3183,MATCH(SMALL($V$4:$V$3183,1477),$V$4:$V$3183,0)),"")</f>
        <v/>
      </c>
      <c r="I1480" s="29">
        <f>IF($B1480="","",IFERROR(INDEX($U$4:$U$3183,MATCH(SMALL($V$4:$V$3183,1477),$V$4:$V$3183,0)),""))</f>
        <v/>
      </c>
      <c r="J1480">
        <f>IF($B1480="","",IF($D1480&gt;$F$2,"À venir",IF($E1480&lt;$D$2,"Passé","Dans la période")))</f>
        <v/>
      </c>
      <c r="K1480">
        <f>IF(OR($B1480="",NOT(ISNUMBER($D1480))),"",IF(AND($E1480&lt;$D$2,$G1480&lt;&gt;"X",$F1480&lt;&gt;"Réalisé",$F1480&lt;&gt;"Clôturé"),"RETARD",""))</f>
        <v/>
      </c>
      <c r="L1480">
        <f>IF(OR($B1480="",NOT(ISNUMBER($D1480))),"",IF(AND($D1480&gt;=$D$2,$D1480&lt;=$H$2,$G1480&lt;&gt;"X",$F1480&lt;&gt;"Réalisé",$F1480&lt;&gt;"Clôturé"),"≤ 7 j",""))</f>
        <v/>
      </c>
      <c r="M1480" s="29">
        <f>IF($B1480="","",IFERROR(INDEX($T$4:$T$3183,MATCH(SMALL($V$4:$V$3183,1477),$V$4:$V$3183,0)),""))</f>
        <v/>
      </c>
      <c r="O1480">
        <f>IF(INDEX(Suivi!$B:$B,1508)="","",INDEX(Suivi!$B:$B,1508))</f>
        <v/>
      </c>
      <c r="P1480">
        <f>IF($O1480="","",IF(INDEX(Suivi!$D:$D,1508)="",INDEX(Suivi!$C:$C,1508),INDEX(Suivi!$D:$D,1508)))</f>
        <v/>
      </c>
      <c r="Q1480">
        <f>IF($O1480="","",INDEX(Suivi!$E:$E,1508))</f>
        <v/>
      </c>
      <c r="R1480">
        <f>IF($O1480="","",INDEX(Suivi!$F:$F,1508))</f>
        <v/>
      </c>
      <c r="S1480">
        <f>IF($O1480="","",INDEX(Suivi!$G:$G,1508))</f>
        <v/>
      </c>
      <c r="T1480">
        <f>IF($O1480="","",IF(INDEX(Dossiers!$F$4:$F$63,28)="","",INDEX(Dossiers!$F$4:$F$63,28)))</f>
        <v/>
      </c>
      <c r="U1480">
        <f>IF($O1480="","",IF(INDEX(Dossiers!$G$4:$G$63,28)="","",INDEX(Dossiers!$G$4:$G$63,28)))</f>
        <v/>
      </c>
      <c r="V1480">
        <f>IF(OR($O1480="",NOT(ISNUMBER($Q1480))),"",$Q1480*1000000+1480)</f>
        <v/>
      </c>
      <c r="W1480" s="29">
        <f>IF($B1480="","",IFERROR(INDEX($U$4:$U$3183,MATCH(SMALL($V$4:$V$3183,1477),$V$4:$V$3183,0)),""))</f>
        <v/>
      </c>
    </row>
    <row r="1481">
      <c r="A1481">
        <f>IFERROR(INDEX($N$4:$N$3183,MATCH(SMALL($V$4:$V$3183,1478),$V$4:$V$3183,0)),"")</f>
        <v/>
      </c>
      <c r="B1481">
        <f>IFERROR(INDEX($O$4:$O$3183,MATCH(SMALL($V$4:$V$3183,1478),$V$4:$V$3183,0)),"")</f>
        <v/>
      </c>
      <c r="C1481">
        <f>IFERROR(INDEX($P$4:$P$3183,MATCH(SMALL($V$4:$V$3183,1478),$V$4:$V$3183,0)),"")</f>
        <v/>
      </c>
      <c r="D1481" s="29">
        <f>IFERROR(INDEX($Q$4:$Q$3183,MATCH(SMALL($V$4:$V$3183,1478),$V$4:$V$3183,0)),"")</f>
        <v/>
      </c>
      <c r="E1481" s="29">
        <f>IFERROR(INDEX($R$4:$R$3183,MATCH(SMALL($V$4:$V$3183,1478),$V$4:$V$3183,0)),"")</f>
        <v/>
      </c>
      <c r="F1481">
        <f>IFERROR(INDEX($S$4:$S$3183,MATCH(SMALL($V$4:$V$3183,1478),$V$4:$V$3183,0)),"")</f>
        <v/>
      </c>
      <c r="I1481" s="29">
        <f>IF($B1481="","",IFERROR(INDEX($U$4:$U$3183,MATCH(SMALL($V$4:$V$3183,1478),$V$4:$V$3183,0)),""))</f>
        <v/>
      </c>
      <c r="J1481">
        <f>IF($B1481="","",IF($D1481&gt;$F$2,"À venir",IF($E1481&lt;$D$2,"Passé","Dans la période")))</f>
        <v/>
      </c>
      <c r="K1481">
        <f>IF(OR($B1481="",NOT(ISNUMBER($D1481))),"",IF(AND($E1481&lt;$D$2,$G1481&lt;&gt;"X",$F1481&lt;&gt;"Réalisé",$F1481&lt;&gt;"Clôturé"),"RETARD",""))</f>
        <v/>
      </c>
      <c r="L1481">
        <f>IF(OR($B1481="",NOT(ISNUMBER($D1481))),"",IF(AND($D1481&gt;=$D$2,$D1481&lt;=$H$2,$G1481&lt;&gt;"X",$F1481&lt;&gt;"Réalisé",$F1481&lt;&gt;"Clôturé"),"≤ 7 j",""))</f>
        <v/>
      </c>
      <c r="M1481" s="29">
        <f>IF($B1481="","",IFERROR(INDEX($T$4:$T$3183,MATCH(SMALL($V$4:$V$3183,1478),$V$4:$V$3183,0)),""))</f>
        <v/>
      </c>
      <c r="O1481">
        <f>IF(INDEX(Suivi!$B:$B,1509)="","",INDEX(Suivi!$B:$B,1509))</f>
        <v/>
      </c>
      <c r="P1481">
        <f>IF($O1481="","",IF(INDEX(Suivi!$D:$D,1509)="",INDEX(Suivi!$C:$C,1509),INDEX(Suivi!$D:$D,1509)))</f>
        <v/>
      </c>
      <c r="Q1481">
        <f>IF($O1481="","",INDEX(Suivi!$E:$E,1509))</f>
        <v/>
      </c>
      <c r="R1481">
        <f>IF($O1481="","",INDEX(Suivi!$F:$F,1509))</f>
        <v/>
      </c>
      <c r="S1481">
        <f>IF($O1481="","",INDEX(Suivi!$G:$G,1509))</f>
        <v/>
      </c>
      <c r="T1481">
        <f>IF($O1481="","",IF(INDEX(Dossiers!$F$4:$F$63,28)="","",INDEX(Dossiers!$F$4:$F$63,28)))</f>
        <v/>
      </c>
      <c r="U1481">
        <f>IF($O1481="","",IF(INDEX(Dossiers!$G$4:$G$63,28)="","",INDEX(Dossiers!$G$4:$G$63,28)))</f>
        <v/>
      </c>
      <c r="V1481">
        <f>IF(OR($O1481="",NOT(ISNUMBER($Q1481))),"",$Q1481*1000000+1481)</f>
        <v/>
      </c>
      <c r="W1481" s="29">
        <f>IF($B1481="","",IFERROR(INDEX($U$4:$U$3183,MATCH(SMALL($V$4:$V$3183,1478),$V$4:$V$3183,0)),""))</f>
        <v/>
      </c>
    </row>
    <row r="1482">
      <c r="A1482">
        <f>IFERROR(INDEX($N$4:$N$3183,MATCH(SMALL($V$4:$V$3183,1479),$V$4:$V$3183,0)),"")</f>
        <v/>
      </c>
      <c r="B1482">
        <f>IFERROR(INDEX($O$4:$O$3183,MATCH(SMALL($V$4:$V$3183,1479),$V$4:$V$3183,0)),"")</f>
        <v/>
      </c>
      <c r="C1482">
        <f>IFERROR(INDEX($P$4:$P$3183,MATCH(SMALL($V$4:$V$3183,1479),$V$4:$V$3183,0)),"")</f>
        <v/>
      </c>
      <c r="D1482" s="29">
        <f>IFERROR(INDEX($Q$4:$Q$3183,MATCH(SMALL($V$4:$V$3183,1479),$V$4:$V$3183,0)),"")</f>
        <v/>
      </c>
      <c r="E1482" s="29">
        <f>IFERROR(INDEX($R$4:$R$3183,MATCH(SMALL($V$4:$V$3183,1479),$V$4:$V$3183,0)),"")</f>
        <v/>
      </c>
      <c r="F1482">
        <f>IFERROR(INDEX($S$4:$S$3183,MATCH(SMALL($V$4:$V$3183,1479),$V$4:$V$3183,0)),"")</f>
        <v/>
      </c>
      <c r="I1482" s="29">
        <f>IF($B1482="","",IFERROR(INDEX($U$4:$U$3183,MATCH(SMALL($V$4:$V$3183,1479),$V$4:$V$3183,0)),""))</f>
        <v/>
      </c>
      <c r="J1482">
        <f>IF($B1482="","",IF($D1482&gt;$F$2,"À venir",IF($E1482&lt;$D$2,"Passé","Dans la période")))</f>
        <v/>
      </c>
      <c r="K1482">
        <f>IF(OR($B1482="",NOT(ISNUMBER($D1482))),"",IF(AND($E1482&lt;$D$2,$G1482&lt;&gt;"X",$F1482&lt;&gt;"Réalisé",$F1482&lt;&gt;"Clôturé"),"RETARD",""))</f>
        <v/>
      </c>
      <c r="L1482">
        <f>IF(OR($B1482="",NOT(ISNUMBER($D1482))),"",IF(AND($D1482&gt;=$D$2,$D1482&lt;=$H$2,$G1482&lt;&gt;"X",$F1482&lt;&gt;"Réalisé",$F1482&lt;&gt;"Clôturé"),"≤ 7 j",""))</f>
        <v/>
      </c>
      <c r="M1482" s="29">
        <f>IF($B1482="","",IFERROR(INDEX($T$4:$T$3183,MATCH(SMALL($V$4:$V$3183,1479),$V$4:$V$3183,0)),""))</f>
        <v/>
      </c>
      <c r="O1482">
        <f>IF(INDEX(Suivi!$B:$B,1510)="","",INDEX(Suivi!$B:$B,1510))</f>
        <v/>
      </c>
      <c r="P1482">
        <f>IF($O1482="","",IF(INDEX(Suivi!$D:$D,1510)="",INDEX(Suivi!$C:$C,1510),INDEX(Suivi!$D:$D,1510)))</f>
        <v/>
      </c>
      <c r="Q1482">
        <f>IF($O1482="","",INDEX(Suivi!$E:$E,1510))</f>
        <v/>
      </c>
      <c r="R1482">
        <f>IF($O1482="","",INDEX(Suivi!$F:$F,1510))</f>
        <v/>
      </c>
      <c r="S1482">
        <f>IF($O1482="","",INDEX(Suivi!$G:$G,1510))</f>
        <v/>
      </c>
      <c r="T1482">
        <f>IF($O1482="","",IF(INDEX(Dossiers!$F$4:$F$63,28)="","",INDEX(Dossiers!$F$4:$F$63,28)))</f>
        <v/>
      </c>
      <c r="U1482">
        <f>IF($O1482="","",IF(INDEX(Dossiers!$G$4:$G$63,28)="","",INDEX(Dossiers!$G$4:$G$63,28)))</f>
        <v/>
      </c>
      <c r="V1482">
        <f>IF(OR($O1482="",NOT(ISNUMBER($Q1482))),"",$Q1482*1000000+1482)</f>
        <v/>
      </c>
      <c r="W1482" s="29">
        <f>IF($B1482="","",IFERROR(INDEX($U$4:$U$3183,MATCH(SMALL($V$4:$V$3183,1479),$V$4:$V$3183,0)),""))</f>
        <v/>
      </c>
    </row>
    <row r="1483">
      <c r="A1483">
        <f>IFERROR(INDEX($N$4:$N$3183,MATCH(SMALL($V$4:$V$3183,1480),$V$4:$V$3183,0)),"")</f>
        <v/>
      </c>
      <c r="B1483">
        <f>IFERROR(INDEX($O$4:$O$3183,MATCH(SMALL($V$4:$V$3183,1480),$V$4:$V$3183,0)),"")</f>
        <v/>
      </c>
      <c r="C1483">
        <f>IFERROR(INDEX($P$4:$P$3183,MATCH(SMALL($V$4:$V$3183,1480),$V$4:$V$3183,0)),"")</f>
        <v/>
      </c>
      <c r="D1483" s="29">
        <f>IFERROR(INDEX($Q$4:$Q$3183,MATCH(SMALL($V$4:$V$3183,1480),$V$4:$V$3183,0)),"")</f>
        <v/>
      </c>
      <c r="E1483" s="29">
        <f>IFERROR(INDEX($R$4:$R$3183,MATCH(SMALL($V$4:$V$3183,1480),$V$4:$V$3183,0)),"")</f>
        <v/>
      </c>
      <c r="F1483">
        <f>IFERROR(INDEX($S$4:$S$3183,MATCH(SMALL($V$4:$V$3183,1480),$V$4:$V$3183,0)),"")</f>
        <v/>
      </c>
      <c r="I1483" s="29">
        <f>IF($B1483="","",IFERROR(INDEX($U$4:$U$3183,MATCH(SMALL($V$4:$V$3183,1480),$V$4:$V$3183,0)),""))</f>
        <v/>
      </c>
      <c r="J1483">
        <f>IF($B1483="","",IF($D1483&gt;$F$2,"À venir",IF($E1483&lt;$D$2,"Passé","Dans la période")))</f>
        <v/>
      </c>
      <c r="K1483">
        <f>IF(OR($B1483="",NOT(ISNUMBER($D1483))),"",IF(AND($E1483&lt;$D$2,$G1483&lt;&gt;"X",$F1483&lt;&gt;"Réalisé",$F1483&lt;&gt;"Clôturé"),"RETARD",""))</f>
        <v/>
      </c>
      <c r="L1483">
        <f>IF(OR($B1483="",NOT(ISNUMBER($D1483))),"",IF(AND($D1483&gt;=$D$2,$D1483&lt;=$H$2,$G1483&lt;&gt;"X",$F1483&lt;&gt;"Réalisé",$F1483&lt;&gt;"Clôturé"),"≤ 7 j",""))</f>
        <v/>
      </c>
      <c r="M1483" s="29">
        <f>IF($B1483="","",IFERROR(INDEX($T$4:$T$3183,MATCH(SMALL($V$4:$V$3183,1480),$V$4:$V$3183,0)),""))</f>
        <v/>
      </c>
      <c r="O1483">
        <f>IF(INDEX(Suivi!$B:$B,1511)="","",INDEX(Suivi!$B:$B,1511))</f>
        <v/>
      </c>
      <c r="P1483">
        <f>IF($O1483="","",IF(INDEX(Suivi!$D:$D,1511)="",INDEX(Suivi!$C:$C,1511),INDEX(Suivi!$D:$D,1511)))</f>
        <v/>
      </c>
      <c r="Q1483">
        <f>IF($O1483="","",INDEX(Suivi!$E:$E,1511))</f>
        <v/>
      </c>
      <c r="R1483">
        <f>IF($O1483="","",INDEX(Suivi!$F:$F,1511))</f>
        <v/>
      </c>
      <c r="S1483">
        <f>IF($O1483="","",INDEX(Suivi!$G:$G,1511))</f>
        <v/>
      </c>
      <c r="T1483">
        <f>IF($O1483="","",IF(INDEX(Dossiers!$F$4:$F$63,28)="","",INDEX(Dossiers!$F$4:$F$63,28)))</f>
        <v/>
      </c>
      <c r="U1483">
        <f>IF($O1483="","",IF(INDEX(Dossiers!$G$4:$G$63,28)="","",INDEX(Dossiers!$G$4:$G$63,28)))</f>
        <v/>
      </c>
      <c r="V1483">
        <f>IF(OR($O1483="",NOT(ISNUMBER($Q1483))),"",$Q1483*1000000+1483)</f>
        <v/>
      </c>
      <c r="W1483" s="29">
        <f>IF($B1483="","",IFERROR(INDEX($U$4:$U$3183,MATCH(SMALL($V$4:$V$3183,1480),$V$4:$V$3183,0)),""))</f>
        <v/>
      </c>
    </row>
    <row r="1484">
      <c r="A1484">
        <f>IFERROR(INDEX($N$4:$N$3183,MATCH(SMALL($V$4:$V$3183,1481),$V$4:$V$3183,0)),"")</f>
        <v/>
      </c>
      <c r="B1484">
        <f>IFERROR(INDEX($O$4:$O$3183,MATCH(SMALL($V$4:$V$3183,1481),$V$4:$V$3183,0)),"")</f>
        <v/>
      </c>
      <c r="C1484">
        <f>IFERROR(INDEX($P$4:$P$3183,MATCH(SMALL($V$4:$V$3183,1481),$V$4:$V$3183,0)),"")</f>
        <v/>
      </c>
      <c r="D1484" s="29">
        <f>IFERROR(INDEX($Q$4:$Q$3183,MATCH(SMALL($V$4:$V$3183,1481),$V$4:$V$3183,0)),"")</f>
        <v/>
      </c>
      <c r="E1484" s="29">
        <f>IFERROR(INDEX($R$4:$R$3183,MATCH(SMALL($V$4:$V$3183,1481),$V$4:$V$3183,0)),"")</f>
        <v/>
      </c>
      <c r="F1484">
        <f>IFERROR(INDEX($S$4:$S$3183,MATCH(SMALL($V$4:$V$3183,1481),$V$4:$V$3183,0)),"")</f>
        <v/>
      </c>
      <c r="I1484" s="29">
        <f>IF($B1484="","",IFERROR(INDEX($U$4:$U$3183,MATCH(SMALL($V$4:$V$3183,1481),$V$4:$V$3183,0)),""))</f>
        <v/>
      </c>
      <c r="J1484">
        <f>IF($B1484="","",IF($D1484&gt;$F$2,"À venir",IF($E1484&lt;$D$2,"Passé","Dans la période")))</f>
        <v/>
      </c>
      <c r="K1484">
        <f>IF(OR($B1484="",NOT(ISNUMBER($D1484))),"",IF(AND($E1484&lt;$D$2,$G1484&lt;&gt;"X",$F1484&lt;&gt;"Réalisé",$F1484&lt;&gt;"Clôturé"),"RETARD",""))</f>
        <v/>
      </c>
      <c r="L1484">
        <f>IF(OR($B1484="",NOT(ISNUMBER($D1484))),"",IF(AND($D1484&gt;=$D$2,$D1484&lt;=$H$2,$G1484&lt;&gt;"X",$F1484&lt;&gt;"Réalisé",$F1484&lt;&gt;"Clôturé"),"≤ 7 j",""))</f>
        <v/>
      </c>
      <c r="M1484" s="29">
        <f>IF($B1484="","",IFERROR(INDEX($T$4:$T$3183,MATCH(SMALL($V$4:$V$3183,1481),$V$4:$V$3183,0)),""))</f>
        <v/>
      </c>
      <c r="O1484">
        <f>IF(INDEX(Suivi!$B:$B,1512)="","",INDEX(Suivi!$B:$B,1512))</f>
        <v/>
      </c>
      <c r="P1484">
        <f>IF($O1484="","",IF(INDEX(Suivi!$D:$D,1512)="",INDEX(Suivi!$C:$C,1512),INDEX(Suivi!$D:$D,1512)))</f>
        <v/>
      </c>
      <c r="Q1484">
        <f>IF($O1484="","",INDEX(Suivi!$E:$E,1512))</f>
        <v/>
      </c>
      <c r="R1484">
        <f>IF($O1484="","",INDEX(Suivi!$F:$F,1512))</f>
        <v/>
      </c>
      <c r="S1484">
        <f>IF($O1484="","",INDEX(Suivi!$G:$G,1512))</f>
        <v/>
      </c>
      <c r="T1484">
        <f>IF($O1484="","",IF(INDEX(Dossiers!$F$4:$F$63,28)="","",INDEX(Dossiers!$F$4:$F$63,28)))</f>
        <v/>
      </c>
      <c r="U1484">
        <f>IF($O1484="","",IF(INDEX(Dossiers!$G$4:$G$63,28)="","",INDEX(Dossiers!$G$4:$G$63,28)))</f>
        <v/>
      </c>
      <c r="V1484">
        <f>IF(OR($O1484="",NOT(ISNUMBER($Q1484))),"",$Q1484*1000000+1484)</f>
        <v/>
      </c>
      <c r="W1484" s="29">
        <f>IF($B1484="","",IFERROR(INDEX($U$4:$U$3183,MATCH(SMALL($V$4:$V$3183,1481),$V$4:$V$3183,0)),""))</f>
        <v/>
      </c>
    </row>
    <row r="1485">
      <c r="A1485">
        <f>IFERROR(INDEX($N$4:$N$3183,MATCH(SMALL($V$4:$V$3183,1482),$V$4:$V$3183,0)),"")</f>
        <v/>
      </c>
      <c r="B1485">
        <f>IFERROR(INDEX($O$4:$O$3183,MATCH(SMALL($V$4:$V$3183,1482),$V$4:$V$3183,0)),"")</f>
        <v/>
      </c>
      <c r="C1485">
        <f>IFERROR(INDEX($P$4:$P$3183,MATCH(SMALL($V$4:$V$3183,1482),$V$4:$V$3183,0)),"")</f>
        <v/>
      </c>
      <c r="D1485" s="29">
        <f>IFERROR(INDEX($Q$4:$Q$3183,MATCH(SMALL($V$4:$V$3183,1482),$V$4:$V$3183,0)),"")</f>
        <v/>
      </c>
      <c r="E1485" s="29">
        <f>IFERROR(INDEX($R$4:$R$3183,MATCH(SMALL($V$4:$V$3183,1482),$V$4:$V$3183,0)),"")</f>
        <v/>
      </c>
      <c r="F1485">
        <f>IFERROR(INDEX($S$4:$S$3183,MATCH(SMALL($V$4:$V$3183,1482),$V$4:$V$3183,0)),"")</f>
        <v/>
      </c>
      <c r="I1485" s="29">
        <f>IF($B1485="","",IFERROR(INDEX($U$4:$U$3183,MATCH(SMALL($V$4:$V$3183,1482),$V$4:$V$3183,0)),""))</f>
        <v/>
      </c>
      <c r="J1485">
        <f>IF($B1485="","",IF($D1485&gt;$F$2,"À venir",IF($E1485&lt;$D$2,"Passé","Dans la période")))</f>
        <v/>
      </c>
      <c r="K1485">
        <f>IF(OR($B1485="",NOT(ISNUMBER($D1485))),"",IF(AND($E1485&lt;$D$2,$G1485&lt;&gt;"X",$F1485&lt;&gt;"Réalisé",$F1485&lt;&gt;"Clôturé"),"RETARD",""))</f>
        <v/>
      </c>
      <c r="L1485">
        <f>IF(OR($B1485="",NOT(ISNUMBER($D1485))),"",IF(AND($D1485&gt;=$D$2,$D1485&lt;=$H$2,$G1485&lt;&gt;"X",$F1485&lt;&gt;"Réalisé",$F1485&lt;&gt;"Clôturé"),"≤ 7 j",""))</f>
        <v/>
      </c>
      <c r="M1485" s="29">
        <f>IF($B1485="","",IFERROR(INDEX($T$4:$T$3183,MATCH(SMALL($V$4:$V$3183,1482),$V$4:$V$3183,0)),""))</f>
        <v/>
      </c>
      <c r="O1485">
        <f>IF(INDEX(Suivi!$B:$B,1513)="","",INDEX(Suivi!$B:$B,1513))</f>
        <v/>
      </c>
      <c r="P1485">
        <f>IF($O1485="","",IF(INDEX(Suivi!$D:$D,1513)="",INDEX(Suivi!$C:$C,1513),INDEX(Suivi!$D:$D,1513)))</f>
        <v/>
      </c>
      <c r="Q1485">
        <f>IF($O1485="","",INDEX(Suivi!$E:$E,1513))</f>
        <v/>
      </c>
      <c r="R1485">
        <f>IF($O1485="","",INDEX(Suivi!$F:$F,1513))</f>
        <v/>
      </c>
      <c r="S1485">
        <f>IF($O1485="","",INDEX(Suivi!$G:$G,1513))</f>
        <v/>
      </c>
      <c r="T1485">
        <f>IF($O1485="","",IF(INDEX(Dossiers!$F$4:$F$63,28)="","",INDEX(Dossiers!$F$4:$F$63,28)))</f>
        <v/>
      </c>
      <c r="U1485">
        <f>IF($O1485="","",IF(INDEX(Dossiers!$G$4:$G$63,28)="","",INDEX(Dossiers!$G$4:$G$63,28)))</f>
        <v/>
      </c>
      <c r="V1485">
        <f>IF(OR($O1485="",NOT(ISNUMBER($Q1485))),"",$Q1485*1000000+1485)</f>
        <v/>
      </c>
      <c r="W1485" s="29">
        <f>IF($B1485="","",IFERROR(INDEX($U$4:$U$3183,MATCH(SMALL($V$4:$V$3183,1482),$V$4:$V$3183,0)),""))</f>
        <v/>
      </c>
    </row>
    <row r="1486">
      <c r="A1486">
        <f>IFERROR(INDEX($N$4:$N$3183,MATCH(SMALL($V$4:$V$3183,1483),$V$4:$V$3183,0)),"")</f>
        <v/>
      </c>
      <c r="B1486">
        <f>IFERROR(INDEX($O$4:$O$3183,MATCH(SMALL($V$4:$V$3183,1483),$V$4:$V$3183,0)),"")</f>
        <v/>
      </c>
      <c r="C1486">
        <f>IFERROR(INDEX($P$4:$P$3183,MATCH(SMALL($V$4:$V$3183,1483),$V$4:$V$3183,0)),"")</f>
        <v/>
      </c>
      <c r="D1486" s="29">
        <f>IFERROR(INDEX($Q$4:$Q$3183,MATCH(SMALL($V$4:$V$3183,1483),$V$4:$V$3183,0)),"")</f>
        <v/>
      </c>
      <c r="E1486" s="29">
        <f>IFERROR(INDEX($R$4:$R$3183,MATCH(SMALL($V$4:$V$3183,1483),$V$4:$V$3183,0)),"")</f>
        <v/>
      </c>
      <c r="F1486">
        <f>IFERROR(INDEX($S$4:$S$3183,MATCH(SMALL($V$4:$V$3183,1483),$V$4:$V$3183,0)),"")</f>
        <v/>
      </c>
      <c r="I1486" s="29">
        <f>IF($B1486="","",IFERROR(INDEX($U$4:$U$3183,MATCH(SMALL($V$4:$V$3183,1483),$V$4:$V$3183,0)),""))</f>
        <v/>
      </c>
      <c r="J1486">
        <f>IF($B1486="","",IF($D1486&gt;$F$2,"À venir",IF($E1486&lt;$D$2,"Passé","Dans la période")))</f>
        <v/>
      </c>
      <c r="K1486">
        <f>IF(OR($B1486="",NOT(ISNUMBER($D1486))),"",IF(AND($E1486&lt;$D$2,$G1486&lt;&gt;"X",$F1486&lt;&gt;"Réalisé",$F1486&lt;&gt;"Clôturé"),"RETARD",""))</f>
        <v/>
      </c>
      <c r="L1486">
        <f>IF(OR($B1486="",NOT(ISNUMBER($D1486))),"",IF(AND($D1486&gt;=$D$2,$D1486&lt;=$H$2,$G1486&lt;&gt;"X",$F1486&lt;&gt;"Réalisé",$F1486&lt;&gt;"Clôturé"),"≤ 7 j",""))</f>
        <v/>
      </c>
      <c r="M1486" s="29">
        <f>IF($B1486="","",IFERROR(INDEX($T$4:$T$3183,MATCH(SMALL($V$4:$V$3183,1483),$V$4:$V$3183,0)),""))</f>
        <v/>
      </c>
      <c r="O1486">
        <f>IF(INDEX(Suivi!$B:$B,1514)="","",INDEX(Suivi!$B:$B,1514))</f>
        <v/>
      </c>
      <c r="P1486">
        <f>IF($O1486="","",IF(INDEX(Suivi!$D:$D,1514)="",INDEX(Suivi!$C:$C,1514),INDEX(Suivi!$D:$D,1514)))</f>
        <v/>
      </c>
      <c r="Q1486">
        <f>IF($O1486="","",INDEX(Suivi!$E:$E,1514))</f>
        <v/>
      </c>
      <c r="R1486">
        <f>IF($O1486="","",INDEX(Suivi!$F:$F,1514))</f>
        <v/>
      </c>
      <c r="S1486">
        <f>IF($O1486="","",INDEX(Suivi!$G:$G,1514))</f>
        <v/>
      </c>
      <c r="T1486">
        <f>IF($O1486="","",IF(INDEX(Dossiers!$F$4:$F$63,28)="","",INDEX(Dossiers!$F$4:$F$63,28)))</f>
        <v/>
      </c>
      <c r="U1486">
        <f>IF($O1486="","",IF(INDEX(Dossiers!$G$4:$G$63,28)="","",INDEX(Dossiers!$G$4:$G$63,28)))</f>
        <v/>
      </c>
      <c r="V1486">
        <f>IF(OR($O1486="",NOT(ISNUMBER($Q1486))),"",$Q1486*1000000+1486)</f>
        <v/>
      </c>
      <c r="W1486" s="29">
        <f>IF($B1486="","",IFERROR(INDEX($U$4:$U$3183,MATCH(SMALL($V$4:$V$3183,1483),$V$4:$V$3183,0)),""))</f>
        <v/>
      </c>
    </row>
    <row r="1487">
      <c r="A1487">
        <f>IFERROR(INDEX($N$4:$N$3183,MATCH(SMALL($V$4:$V$3183,1484),$V$4:$V$3183,0)),"")</f>
        <v/>
      </c>
      <c r="B1487">
        <f>IFERROR(INDEX($O$4:$O$3183,MATCH(SMALL($V$4:$V$3183,1484),$V$4:$V$3183,0)),"")</f>
        <v/>
      </c>
      <c r="C1487">
        <f>IFERROR(INDEX($P$4:$P$3183,MATCH(SMALL($V$4:$V$3183,1484),$V$4:$V$3183,0)),"")</f>
        <v/>
      </c>
      <c r="D1487" s="29">
        <f>IFERROR(INDEX($Q$4:$Q$3183,MATCH(SMALL($V$4:$V$3183,1484),$V$4:$V$3183,0)),"")</f>
        <v/>
      </c>
      <c r="E1487" s="29">
        <f>IFERROR(INDEX($R$4:$R$3183,MATCH(SMALL($V$4:$V$3183,1484),$V$4:$V$3183,0)),"")</f>
        <v/>
      </c>
      <c r="F1487">
        <f>IFERROR(INDEX($S$4:$S$3183,MATCH(SMALL($V$4:$V$3183,1484),$V$4:$V$3183,0)),"")</f>
        <v/>
      </c>
      <c r="I1487" s="29">
        <f>IF($B1487="","",IFERROR(INDEX($U$4:$U$3183,MATCH(SMALL($V$4:$V$3183,1484),$V$4:$V$3183,0)),""))</f>
        <v/>
      </c>
      <c r="J1487">
        <f>IF($B1487="","",IF($D1487&gt;$F$2,"À venir",IF($E1487&lt;$D$2,"Passé","Dans la période")))</f>
        <v/>
      </c>
      <c r="K1487">
        <f>IF(OR($B1487="",NOT(ISNUMBER($D1487))),"",IF(AND($E1487&lt;$D$2,$G1487&lt;&gt;"X",$F1487&lt;&gt;"Réalisé",$F1487&lt;&gt;"Clôturé"),"RETARD",""))</f>
        <v/>
      </c>
      <c r="L1487">
        <f>IF(OR($B1487="",NOT(ISNUMBER($D1487))),"",IF(AND($D1487&gt;=$D$2,$D1487&lt;=$H$2,$G1487&lt;&gt;"X",$F1487&lt;&gt;"Réalisé",$F1487&lt;&gt;"Clôturé"),"≤ 7 j",""))</f>
        <v/>
      </c>
      <c r="M1487" s="29">
        <f>IF($B1487="","",IFERROR(INDEX($T$4:$T$3183,MATCH(SMALL($V$4:$V$3183,1484),$V$4:$V$3183,0)),""))</f>
        <v/>
      </c>
      <c r="O1487">
        <f>IF(INDEX(Suivi!$B:$B,1515)="","",INDEX(Suivi!$B:$B,1515))</f>
        <v/>
      </c>
      <c r="P1487">
        <f>IF($O1487="","",IF(INDEX(Suivi!$D:$D,1515)="",INDEX(Suivi!$C:$C,1515),INDEX(Suivi!$D:$D,1515)))</f>
        <v/>
      </c>
      <c r="Q1487">
        <f>IF($O1487="","",INDEX(Suivi!$E:$E,1515))</f>
        <v/>
      </c>
      <c r="R1487">
        <f>IF($O1487="","",INDEX(Suivi!$F:$F,1515))</f>
        <v/>
      </c>
      <c r="S1487">
        <f>IF($O1487="","",INDEX(Suivi!$G:$G,1515))</f>
        <v/>
      </c>
      <c r="T1487">
        <f>IF($O1487="","",IF(INDEX(Dossiers!$F$4:$F$63,28)="","",INDEX(Dossiers!$F$4:$F$63,28)))</f>
        <v/>
      </c>
      <c r="U1487">
        <f>IF($O1487="","",IF(INDEX(Dossiers!$G$4:$G$63,28)="","",INDEX(Dossiers!$G$4:$G$63,28)))</f>
        <v/>
      </c>
      <c r="V1487">
        <f>IF(OR($O1487="",NOT(ISNUMBER($Q1487))),"",$Q1487*1000000+1487)</f>
        <v/>
      </c>
      <c r="W1487" s="29">
        <f>IF($B1487="","",IFERROR(INDEX($U$4:$U$3183,MATCH(SMALL($V$4:$V$3183,1484),$V$4:$V$3183,0)),""))</f>
        <v/>
      </c>
    </row>
    <row r="1488">
      <c r="A1488">
        <f>IFERROR(INDEX($N$4:$N$3183,MATCH(SMALL($V$4:$V$3183,1485),$V$4:$V$3183,0)),"")</f>
        <v/>
      </c>
      <c r="B1488">
        <f>IFERROR(INDEX($O$4:$O$3183,MATCH(SMALL($V$4:$V$3183,1485),$V$4:$V$3183,0)),"")</f>
        <v/>
      </c>
      <c r="C1488">
        <f>IFERROR(INDEX($P$4:$P$3183,MATCH(SMALL($V$4:$V$3183,1485),$V$4:$V$3183,0)),"")</f>
        <v/>
      </c>
      <c r="D1488" s="29">
        <f>IFERROR(INDEX($Q$4:$Q$3183,MATCH(SMALL($V$4:$V$3183,1485),$V$4:$V$3183,0)),"")</f>
        <v/>
      </c>
      <c r="E1488" s="29">
        <f>IFERROR(INDEX($R$4:$R$3183,MATCH(SMALL($V$4:$V$3183,1485),$V$4:$V$3183,0)),"")</f>
        <v/>
      </c>
      <c r="F1488">
        <f>IFERROR(INDEX($S$4:$S$3183,MATCH(SMALL($V$4:$V$3183,1485),$V$4:$V$3183,0)),"")</f>
        <v/>
      </c>
      <c r="I1488" s="29">
        <f>IF($B1488="","",IFERROR(INDEX($U$4:$U$3183,MATCH(SMALL($V$4:$V$3183,1485),$V$4:$V$3183,0)),""))</f>
        <v/>
      </c>
      <c r="J1488">
        <f>IF($B1488="","",IF($D1488&gt;$F$2,"À venir",IF($E1488&lt;$D$2,"Passé","Dans la période")))</f>
        <v/>
      </c>
      <c r="K1488">
        <f>IF(OR($B1488="",NOT(ISNUMBER($D1488))),"",IF(AND($E1488&lt;$D$2,$G1488&lt;&gt;"X",$F1488&lt;&gt;"Réalisé",$F1488&lt;&gt;"Clôturé"),"RETARD",""))</f>
        <v/>
      </c>
      <c r="L1488">
        <f>IF(OR($B1488="",NOT(ISNUMBER($D1488))),"",IF(AND($D1488&gt;=$D$2,$D1488&lt;=$H$2,$G1488&lt;&gt;"X",$F1488&lt;&gt;"Réalisé",$F1488&lt;&gt;"Clôturé"),"≤ 7 j",""))</f>
        <v/>
      </c>
      <c r="M1488" s="29">
        <f>IF($B1488="","",IFERROR(INDEX($T$4:$T$3183,MATCH(SMALL($V$4:$V$3183,1485),$V$4:$V$3183,0)),""))</f>
        <v/>
      </c>
      <c r="O1488">
        <f>IF(INDEX(Suivi!$B:$B,1517)="","",INDEX(Suivi!$B:$B,1517))</f>
        <v/>
      </c>
      <c r="P1488">
        <f>IF($O1488="","",IF(INDEX(Suivi!$D:$D,1517)="",INDEX(Suivi!$C:$C,1517),INDEX(Suivi!$D:$D,1517)))</f>
        <v/>
      </c>
      <c r="Q1488">
        <f>IF($O1488="","",INDEX(Suivi!$E:$E,1517))</f>
        <v/>
      </c>
      <c r="R1488">
        <f>IF($O1488="","",INDEX(Suivi!$F:$F,1517))</f>
        <v/>
      </c>
      <c r="S1488">
        <f>IF($O1488="","",INDEX(Suivi!$G:$G,1517))</f>
        <v/>
      </c>
      <c r="T1488">
        <f>IF($O1488="","",IF(INDEX(Dossiers!$F$4:$F$63,29)="","",INDEX(Dossiers!$F$4:$F$63,29)))</f>
        <v/>
      </c>
      <c r="U1488">
        <f>IF($O1488="","",IF(INDEX(Dossiers!$G$4:$G$63,29)="","",INDEX(Dossiers!$G$4:$G$63,29)))</f>
        <v/>
      </c>
      <c r="V1488">
        <f>IF(OR($O1488="",NOT(ISNUMBER($Q1488))),"",$Q1488*1000000+1488)</f>
        <v/>
      </c>
      <c r="W1488" s="29">
        <f>IF($B1488="","",IFERROR(INDEX($U$4:$U$3183,MATCH(SMALL($V$4:$V$3183,1485),$V$4:$V$3183,0)),""))</f>
        <v/>
      </c>
    </row>
    <row r="1489">
      <c r="A1489">
        <f>IFERROR(INDEX($N$4:$N$3183,MATCH(SMALL($V$4:$V$3183,1486),$V$4:$V$3183,0)),"")</f>
        <v/>
      </c>
      <c r="B1489">
        <f>IFERROR(INDEX($O$4:$O$3183,MATCH(SMALL($V$4:$V$3183,1486),$V$4:$V$3183,0)),"")</f>
        <v/>
      </c>
      <c r="C1489">
        <f>IFERROR(INDEX($P$4:$P$3183,MATCH(SMALL($V$4:$V$3183,1486),$V$4:$V$3183,0)),"")</f>
        <v/>
      </c>
      <c r="D1489" s="29">
        <f>IFERROR(INDEX($Q$4:$Q$3183,MATCH(SMALL($V$4:$V$3183,1486),$V$4:$V$3183,0)),"")</f>
        <v/>
      </c>
      <c r="E1489" s="29">
        <f>IFERROR(INDEX($R$4:$R$3183,MATCH(SMALL($V$4:$V$3183,1486),$V$4:$V$3183,0)),"")</f>
        <v/>
      </c>
      <c r="F1489">
        <f>IFERROR(INDEX($S$4:$S$3183,MATCH(SMALL($V$4:$V$3183,1486),$V$4:$V$3183,0)),"")</f>
        <v/>
      </c>
      <c r="I1489" s="29">
        <f>IF($B1489="","",IFERROR(INDEX($U$4:$U$3183,MATCH(SMALL($V$4:$V$3183,1486),$V$4:$V$3183,0)),""))</f>
        <v/>
      </c>
      <c r="J1489">
        <f>IF($B1489="","",IF($D1489&gt;$F$2,"À venir",IF($E1489&lt;$D$2,"Passé","Dans la période")))</f>
        <v/>
      </c>
      <c r="K1489">
        <f>IF(OR($B1489="",NOT(ISNUMBER($D1489))),"",IF(AND($E1489&lt;$D$2,$G1489&lt;&gt;"X",$F1489&lt;&gt;"Réalisé",$F1489&lt;&gt;"Clôturé"),"RETARD",""))</f>
        <v/>
      </c>
      <c r="L1489">
        <f>IF(OR($B1489="",NOT(ISNUMBER($D1489))),"",IF(AND($D1489&gt;=$D$2,$D1489&lt;=$H$2,$G1489&lt;&gt;"X",$F1489&lt;&gt;"Réalisé",$F1489&lt;&gt;"Clôturé"),"≤ 7 j",""))</f>
        <v/>
      </c>
      <c r="M1489" s="29">
        <f>IF($B1489="","",IFERROR(INDEX($T$4:$T$3183,MATCH(SMALL($V$4:$V$3183,1486),$V$4:$V$3183,0)),""))</f>
        <v/>
      </c>
      <c r="O1489">
        <f>IF(INDEX(Suivi!$B:$B,1518)="","",INDEX(Suivi!$B:$B,1518))</f>
        <v/>
      </c>
      <c r="P1489">
        <f>IF($O1489="","",IF(INDEX(Suivi!$D:$D,1518)="",INDEX(Suivi!$C:$C,1518),INDEX(Suivi!$D:$D,1518)))</f>
        <v/>
      </c>
      <c r="Q1489">
        <f>IF($O1489="","",INDEX(Suivi!$E:$E,1518))</f>
        <v/>
      </c>
      <c r="R1489">
        <f>IF($O1489="","",INDEX(Suivi!$F:$F,1518))</f>
        <v/>
      </c>
      <c r="S1489">
        <f>IF($O1489="","",INDEX(Suivi!$G:$G,1518))</f>
        <v/>
      </c>
      <c r="T1489">
        <f>IF($O1489="","",IF(INDEX(Dossiers!$F$4:$F$63,29)="","",INDEX(Dossiers!$F$4:$F$63,29)))</f>
        <v/>
      </c>
      <c r="U1489">
        <f>IF($O1489="","",IF(INDEX(Dossiers!$G$4:$G$63,29)="","",INDEX(Dossiers!$G$4:$G$63,29)))</f>
        <v/>
      </c>
      <c r="V1489">
        <f>IF(OR($O1489="",NOT(ISNUMBER($Q1489))),"",$Q1489*1000000+1489)</f>
        <v/>
      </c>
      <c r="W1489" s="29">
        <f>IF($B1489="","",IFERROR(INDEX($U$4:$U$3183,MATCH(SMALL($V$4:$V$3183,1486),$V$4:$V$3183,0)),""))</f>
        <v/>
      </c>
    </row>
    <row r="1490">
      <c r="A1490">
        <f>IFERROR(INDEX($N$4:$N$3183,MATCH(SMALL($V$4:$V$3183,1487),$V$4:$V$3183,0)),"")</f>
        <v/>
      </c>
      <c r="B1490">
        <f>IFERROR(INDEX($O$4:$O$3183,MATCH(SMALL($V$4:$V$3183,1487),$V$4:$V$3183,0)),"")</f>
        <v/>
      </c>
      <c r="C1490">
        <f>IFERROR(INDEX($P$4:$P$3183,MATCH(SMALL($V$4:$V$3183,1487),$V$4:$V$3183,0)),"")</f>
        <v/>
      </c>
      <c r="D1490" s="29">
        <f>IFERROR(INDEX($Q$4:$Q$3183,MATCH(SMALL($V$4:$V$3183,1487),$V$4:$V$3183,0)),"")</f>
        <v/>
      </c>
      <c r="E1490" s="29">
        <f>IFERROR(INDEX($R$4:$R$3183,MATCH(SMALL($V$4:$V$3183,1487),$V$4:$V$3183,0)),"")</f>
        <v/>
      </c>
      <c r="F1490">
        <f>IFERROR(INDEX($S$4:$S$3183,MATCH(SMALL($V$4:$V$3183,1487),$V$4:$V$3183,0)),"")</f>
        <v/>
      </c>
      <c r="I1490" s="29">
        <f>IF($B1490="","",IFERROR(INDEX($U$4:$U$3183,MATCH(SMALL($V$4:$V$3183,1487),$V$4:$V$3183,0)),""))</f>
        <v/>
      </c>
      <c r="J1490">
        <f>IF($B1490="","",IF($D1490&gt;$F$2,"À venir",IF($E1490&lt;$D$2,"Passé","Dans la période")))</f>
        <v/>
      </c>
      <c r="K1490">
        <f>IF(OR($B1490="",NOT(ISNUMBER($D1490))),"",IF(AND($E1490&lt;$D$2,$G1490&lt;&gt;"X",$F1490&lt;&gt;"Réalisé",$F1490&lt;&gt;"Clôturé"),"RETARD",""))</f>
        <v/>
      </c>
      <c r="L1490">
        <f>IF(OR($B1490="",NOT(ISNUMBER($D1490))),"",IF(AND($D1490&gt;=$D$2,$D1490&lt;=$H$2,$G1490&lt;&gt;"X",$F1490&lt;&gt;"Réalisé",$F1490&lt;&gt;"Clôturé"),"≤ 7 j",""))</f>
        <v/>
      </c>
      <c r="M1490" s="29">
        <f>IF($B1490="","",IFERROR(INDEX($T$4:$T$3183,MATCH(SMALL($V$4:$V$3183,1487),$V$4:$V$3183,0)),""))</f>
        <v/>
      </c>
      <c r="O1490">
        <f>IF(INDEX(Suivi!$B:$B,1519)="","",INDEX(Suivi!$B:$B,1519))</f>
        <v/>
      </c>
      <c r="P1490">
        <f>IF($O1490="","",IF(INDEX(Suivi!$D:$D,1519)="",INDEX(Suivi!$C:$C,1519),INDEX(Suivi!$D:$D,1519)))</f>
        <v/>
      </c>
      <c r="Q1490">
        <f>IF($O1490="","",INDEX(Suivi!$E:$E,1519))</f>
        <v/>
      </c>
      <c r="R1490">
        <f>IF($O1490="","",INDEX(Suivi!$F:$F,1519))</f>
        <v/>
      </c>
      <c r="S1490">
        <f>IF($O1490="","",INDEX(Suivi!$G:$G,1519))</f>
        <v/>
      </c>
      <c r="T1490">
        <f>IF($O1490="","",IF(INDEX(Dossiers!$F$4:$F$63,29)="","",INDEX(Dossiers!$F$4:$F$63,29)))</f>
        <v/>
      </c>
      <c r="U1490">
        <f>IF($O1490="","",IF(INDEX(Dossiers!$G$4:$G$63,29)="","",INDEX(Dossiers!$G$4:$G$63,29)))</f>
        <v/>
      </c>
      <c r="V1490">
        <f>IF(OR($O1490="",NOT(ISNUMBER($Q1490))),"",$Q1490*1000000+1490)</f>
        <v/>
      </c>
      <c r="W1490" s="29">
        <f>IF($B1490="","",IFERROR(INDEX($U$4:$U$3183,MATCH(SMALL($V$4:$V$3183,1487),$V$4:$V$3183,0)),""))</f>
        <v/>
      </c>
    </row>
    <row r="1491">
      <c r="A1491">
        <f>IFERROR(INDEX($N$4:$N$3183,MATCH(SMALL($V$4:$V$3183,1488),$V$4:$V$3183,0)),"")</f>
        <v/>
      </c>
      <c r="B1491">
        <f>IFERROR(INDEX($O$4:$O$3183,MATCH(SMALL($V$4:$V$3183,1488),$V$4:$V$3183,0)),"")</f>
        <v/>
      </c>
      <c r="C1491">
        <f>IFERROR(INDEX($P$4:$P$3183,MATCH(SMALL($V$4:$V$3183,1488),$V$4:$V$3183,0)),"")</f>
        <v/>
      </c>
      <c r="D1491" s="29">
        <f>IFERROR(INDEX($Q$4:$Q$3183,MATCH(SMALL($V$4:$V$3183,1488),$V$4:$V$3183,0)),"")</f>
        <v/>
      </c>
      <c r="E1491" s="29">
        <f>IFERROR(INDEX($R$4:$R$3183,MATCH(SMALL($V$4:$V$3183,1488),$V$4:$V$3183,0)),"")</f>
        <v/>
      </c>
      <c r="F1491">
        <f>IFERROR(INDEX($S$4:$S$3183,MATCH(SMALL($V$4:$V$3183,1488),$V$4:$V$3183,0)),"")</f>
        <v/>
      </c>
      <c r="I1491" s="29">
        <f>IF($B1491="","",IFERROR(INDEX($U$4:$U$3183,MATCH(SMALL($V$4:$V$3183,1488),$V$4:$V$3183,0)),""))</f>
        <v/>
      </c>
      <c r="J1491">
        <f>IF($B1491="","",IF($D1491&gt;$F$2,"À venir",IF($E1491&lt;$D$2,"Passé","Dans la période")))</f>
        <v/>
      </c>
      <c r="K1491">
        <f>IF(OR($B1491="",NOT(ISNUMBER($D1491))),"",IF(AND($E1491&lt;$D$2,$G1491&lt;&gt;"X",$F1491&lt;&gt;"Réalisé",$F1491&lt;&gt;"Clôturé"),"RETARD",""))</f>
        <v/>
      </c>
      <c r="L1491">
        <f>IF(OR($B1491="",NOT(ISNUMBER($D1491))),"",IF(AND($D1491&gt;=$D$2,$D1491&lt;=$H$2,$G1491&lt;&gt;"X",$F1491&lt;&gt;"Réalisé",$F1491&lt;&gt;"Clôturé"),"≤ 7 j",""))</f>
        <v/>
      </c>
      <c r="M1491" s="29">
        <f>IF($B1491="","",IFERROR(INDEX($T$4:$T$3183,MATCH(SMALL($V$4:$V$3183,1488),$V$4:$V$3183,0)),""))</f>
        <v/>
      </c>
      <c r="O1491">
        <f>IF(INDEX(Suivi!$B:$B,1520)="","",INDEX(Suivi!$B:$B,1520))</f>
        <v/>
      </c>
      <c r="P1491">
        <f>IF($O1491="","",IF(INDEX(Suivi!$D:$D,1520)="",INDEX(Suivi!$C:$C,1520),INDEX(Suivi!$D:$D,1520)))</f>
        <v/>
      </c>
      <c r="Q1491">
        <f>IF($O1491="","",INDEX(Suivi!$E:$E,1520))</f>
        <v/>
      </c>
      <c r="R1491">
        <f>IF($O1491="","",INDEX(Suivi!$F:$F,1520))</f>
        <v/>
      </c>
      <c r="S1491">
        <f>IF($O1491="","",INDEX(Suivi!$G:$G,1520))</f>
        <v/>
      </c>
      <c r="T1491">
        <f>IF($O1491="","",IF(INDEX(Dossiers!$F$4:$F$63,29)="","",INDEX(Dossiers!$F$4:$F$63,29)))</f>
        <v/>
      </c>
      <c r="U1491">
        <f>IF($O1491="","",IF(INDEX(Dossiers!$G$4:$G$63,29)="","",INDEX(Dossiers!$G$4:$G$63,29)))</f>
        <v/>
      </c>
      <c r="V1491">
        <f>IF(OR($O1491="",NOT(ISNUMBER($Q1491))),"",$Q1491*1000000+1491)</f>
        <v/>
      </c>
      <c r="W1491" s="29">
        <f>IF($B1491="","",IFERROR(INDEX($U$4:$U$3183,MATCH(SMALL($V$4:$V$3183,1488),$V$4:$V$3183,0)),""))</f>
        <v/>
      </c>
    </row>
    <row r="1492">
      <c r="A1492">
        <f>IFERROR(INDEX($N$4:$N$3183,MATCH(SMALL($V$4:$V$3183,1489),$V$4:$V$3183,0)),"")</f>
        <v/>
      </c>
      <c r="B1492">
        <f>IFERROR(INDEX($O$4:$O$3183,MATCH(SMALL($V$4:$V$3183,1489),$V$4:$V$3183,0)),"")</f>
        <v/>
      </c>
      <c r="C1492">
        <f>IFERROR(INDEX($P$4:$P$3183,MATCH(SMALL($V$4:$V$3183,1489),$V$4:$V$3183,0)),"")</f>
        <v/>
      </c>
      <c r="D1492" s="29">
        <f>IFERROR(INDEX($Q$4:$Q$3183,MATCH(SMALL($V$4:$V$3183,1489),$V$4:$V$3183,0)),"")</f>
        <v/>
      </c>
      <c r="E1492" s="29">
        <f>IFERROR(INDEX($R$4:$R$3183,MATCH(SMALL($V$4:$V$3183,1489),$V$4:$V$3183,0)),"")</f>
        <v/>
      </c>
      <c r="F1492">
        <f>IFERROR(INDEX($S$4:$S$3183,MATCH(SMALL($V$4:$V$3183,1489),$V$4:$V$3183,0)),"")</f>
        <v/>
      </c>
      <c r="I1492" s="29">
        <f>IF($B1492="","",IFERROR(INDEX($U$4:$U$3183,MATCH(SMALL($V$4:$V$3183,1489),$V$4:$V$3183,0)),""))</f>
        <v/>
      </c>
      <c r="J1492">
        <f>IF($B1492="","",IF($D1492&gt;$F$2,"À venir",IF($E1492&lt;$D$2,"Passé","Dans la période")))</f>
        <v/>
      </c>
      <c r="K1492">
        <f>IF(OR($B1492="",NOT(ISNUMBER($D1492))),"",IF(AND($E1492&lt;$D$2,$G1492&lt;&gt;"X",$F1492&lt;&gt;"Réalisé",$F1492&lt;&gt;"Clôturé"),"RETARD",""))</f>
        <v/>
      </c>
      <c r="L1492">
        <f>IF(OR($B1492="",NOT(ISNUMBER($D1492))),"",IF(AND($D1492&gt;=$D$2,$D1492&lt;=$H$2,$G1492&lt;&gt;"X",$F1492&lt;&gt;"Réalisé",$F1492&lt;&gt;"Clôturé"),"≤ 7 j",""))</f>
        <v/>
      </c>
      <c r="M1492" s="29">
        <f>IF($B1492="","",IFERROR(INDEX($T$4:$T$3183,MATCH(SMALL($V$4:$V$3183,1489),$V$4:$V$3183,0)),""))</f>
        <v/>
      </c>
      <c r="O1492">
        <f>IF(INDEX(Suivi!$B:$B,1521)="","",INDEX(Suivi!$B:$B,1521))</f>
        <v/>
      </c>
      <c r="P1492">
        <f>IF($O1492="","",IF(INDEX(Suivi!$D:$D,1521)="",INDEX(Suivi!$C:$C,1521),INDEX(Suivi!$D:$D,1521)))</f>
        <v/>
      </c>
      <c r="Q1492">
        <f>IF($O1492="","",INDEX(Suivi!$E:$E,1521))</f>
        <v/>
      </c>
      <c r="R1492">
        <f>IF($O1492="","",INDEX(Suivi!$F:$F,1521))</f>
        <v/>
      </c>
      <c r="S1492">
        <f>IF($O1492="","",INDEX(Suivi!$G:$G,1521))</f>
        <v/>
      </c>
      <c r="T1492">
        <f>IF($O1492="","",IF(INDEX(Dossiers!$F$4:$F$63,29)="","",INDEX(Dossiers!$F$4:$F$63,29)))</f>
        <v/>
      </c>
      <c r="U1492">
        <f>IF($O1492="","",IF(INDEX(Dossiers!$G$4:$G$63,29)="","",INDEX(Dossiers!$G$4:$G$63,29)))</f>
        <v/>
      </c>
      <c r="V1492">
        <f>IF(OR($O1492="",NOT(ISNUMBER($Q1492))),"",$Q1492*1000000+1492)</f>
        <v/>
      </c>
      <c r="W1492" s="29">
        <f>IF($B1492="","",IFERROR(INDEX($U$4:$U$3183,MATCH(SMALL($V$4:$V$3183,1489),$V$4:$V$3183,0)),""))</f>
        <v/>
      </c>
    </row>
    <row r="1493">
      <c r="A1493">
        <f>IFERROR(INDEX($N$4:$N$3183,MATCH(SMALL($V$4:$V$3183,1490),$V$4:$V$3183,0)),"")</f>
        <v/>
      </c>
      <c r="B1493">
        <f>IFERROR(INDEX($O$4:$O$3183,MATCH(SMALL($V$4:$V$3183,1490),$V$4:$V$3183,0)),"")</f>
        <v/>
      </c>
      <c r="C1493">
        <f>IFERROR(INDEX($P$4:$P$3183,MATCH(SMALL($V$4:$V$3183,1490),$V$4:$V$3183,0)),"")</f>
        <v/>
      </c>
      <c r="D1493" s="29">
        <f>IFERROR(INDEX($Q$4:$Q$3183,MATCH(SMALL($V$4:$V$3183,1490),$V$4:$V$3183,0)),"")</f>
        <v/>
      </c>
      <c r="E1493" s="29">
        <f>IFERROR(INDEX($R$4:$R$3183,MATCH(SMALL($V$4:$V$3183,1490),$V$4:$V$3183,0)),"")</f>
        <v/>
      </c>
      <c r="F1493">
        <f>IFERROR(INDEX($S$4:$S$3183,MATCH(SMALL($V$4:$V$3183,1490),$V$4:$V$3183,0)),"")</f>
        <v/>
      </c>
      <c r="I1493" s="29">
        <f>IF($B1493="","",IFERROR(INDEX($U$4:$U$3183,MATCH(SMALL($V$4:$V$3183,1490),$V$4:$V$3183,0)),""))</f>
        <v/>
      </c>
      <c r="J1493">
        <f>IF($B1493="","",IF($D1493&gt;$F$2,"À venir",IF($E1493&lt;$D$2,"Passé","Dans la période")))</f>
        <v/>
      </c>
      <c r="K1493">
        <f>IF(OR($B1493="",NOT(ISNUMBER($D1493))),"",IF(AND($E1493&lt;$D$2,$G1493&lt;&gt;"X",$F1493&lt;&gt;"Réalisé",$F1493&lt;&gt;"Clôturé"),"RETARD",""))</f>
        <v/>
      </c>
      <c r="L1493">
        <f>IF(OR($B1493="",NOT(ISNUMBER($D1493))),"",IF(AND($D1493&gt;=$D$2,$D1493&lt;=$H$2,$G1493&lt;&gt;"X",$F1493&lt;&gt;"Réalisé",$F1493&lt;&gt;"Clôturé"),"≤ 7 j",""))</f>
        <v/>
      </c>
      <c r="M1493" s="29">
        <f>IF($B1493="","",IFERROR(INDEX($T$4:$T$3183,MATCH(SMALL($V$4:$V$3183,1490),$V$4:$V$3183,0)),""))</f>
        <v/>
      </c>
      <c r="O1493">
        <f>IF(INDEX(Suivi!$B:$B,1522)="","",INDEX(Suivi!$B:$B,1522))</f>
        <v/>
      </c>
      <c r="P1493">
        <f>IF($O1493="","",IF(INDEX(Suivi!$D:$D,1522)="",INDEX(Suivi!$C:$C,1522),INDEX(Suivi!$D:$D,1522)))</f>
        <v/>
      </c>
      <c r="Q1493">
        <f>IF($O1493="","",INDEX(Suivi!$E:$E,1522))</f>
        <v/>
      </c>
      <c r="R1493">
        <f>IF($O1493="","",INDEX(Suivi!$F:$F,1522))</f>
        <v/>
      </c>
      <c r="S1493">
        <f>IF($O1493="","",INDEX(Suivi!$G:$G,1522))</f>
        <v/>
      </c>
      <c r="T1493">
        <f>IF($O1493="","",IF(INDEX(Dossiers!$F$4:$F$63,29)="","",INDEX(Dossiers!$F$4:$F$63,29)))</f>
        <v/>
      </c>
      <c r="U1493">
        <f>IF($O1493="","",IF(INDEX(Dossiers!$G$4:$G$63,29)="","",INDEX(Dossiers!$G$4:$G$63,29)))</f>
        <v/>
      </c>
      <c r="V1493">
        <f>IF(OR($O1493="",NOT(ISNUMBER($Q1493))),"",$Q1493*1000000+1493)</f>
        <v/>
      </c>
      <c r="W1493" s="29">
        <f>IF($B1493="","",IFERROR(INDEX($U$4:$U$3183,MATCH(SMALL($V$4:$V$3183,1490),$V$4:$V$3183,0)),""))</f>
        <v/>
      </c>
    </row>
    <row r="1494">
      <c r="A1494">
        <f>IFERROR(INDEX($N$4:$N$3183,MATCH(SMALL($V$4:$V$3183,1491),$V$4:$V$3183,0)),"")</f>
        <v/>
      </c>
      <c r="B1494">
        <f>IFERROR(INDEX($O$4:$O$3183,MATCH(SMALL($V$4:$V$3183,1491),$V$4:$V$3183,0)),"")</f>
        <v/>
      </c>
      <c r="C1494">
        <f>IFERROR(INDEX($P$4:$P$3183,MATCH(SMALL($V$4:$V$3183,1491),$V$4:$V$3183,0)),"")</f>
        <v/>
      </c>
      <c r="D1494" s="29">
        <f>IFERROR(INDEX($Q$4:$Q$3183,MATCH(SMALL($V$4:$V$3183,1491),$V$4:$V$3183,0)),"")</f>
        <v/>
      </c>
      <c r="E1494" s="29">
        <f>IFERROR(INDEX($R$4:$R$3183,MATCH(SMALL($V$4:$V$3183,1491),$V$4:$V$3183,0)),"")</f>
        <v/>
      </c>
      <c r="F1494">
        <f>IFERROR(INDEX($S$4:$S$3183,MATCH(SMALL($V$4:$V$3183,1491),$V$4:$V$3183,0)),"")</f>
        <v/>
      </c>
      <c r="I1494" s="29">
        <f>IF($B1494="","",IFERROR(INDEX($U$4:$U$3183,MATCH(SMALL($V$4:$V$3183,1491),$V$4:$V$3183,0)),""))</f>
        <v/>
      </c>
      <c r="J1494">
        <f>IF($B1494="","",IF($D1494&gt;$F$2,"À venir",IF($E1494&lt;$D$2,"Passé","Dans la période")))</f>
        <v/>
      </c>
      <c r="K1494">
        <f>IF(OR($B1494="",NOT(ISNUMBER($D1494))),"",IF(AND($E1494&lt;$D$2,$G1494&lt;&gt;"X",$F1494&lt;&gt;"Réalisé",$F1494&lt;&gt;"Clôturé"),"RETARD",""))</f>
        <v/>
      </c>
      <c r="L1494">
        <f>IF(OR($B1494="",NOT(ISNUMBER($D1494))),"",IF(AND($D1494&gt;=$D$2,$D1494&lt;=$H$2,$G1494&lt;&gt;"X",$F1494&lt;&gt;"Réalisé",$F1494&lt;&gt;"Clôturé"),"≤ 7 j",""))</f>
        <v/>
      </c>
      <c r="M1494" s="29">
        <f>IF($B1494="","",IFERROR(INDEX($T$4:$T$3183,MATCH(SMALL($V$4:$V$3183,1491),$V$4:$V$3183,0)),""))</f>
        <v/>
      </c>
      <c r="O1494">
        <f>IF(INDEX(Suivi!$B:$B,1523)="","",INDEX(Suivi!$B:$B,1523))</f>
        <v/>
      </c>
      <c r="P1494">
        <f>IF($O1494="","",IF(INDEX(Suivi!$D:$D,1523)="",INDEX(Suivi!$C:$C,1523),INDEX(Suivi!$D:$D,1523)))</f>
        <v/>
      </c>
      <c r="Q1494">
        <f>IF($O1494="","",INDEX(Suivi!$E:$E,1523))</f>
        <v/>
      </c>
      <c r="R1494">
        <f>IF($O1494="","",INDEX(Suivi!$F:$F,1523))</f>
        <v/>
      </c>
      <c r="S1494">
        <f>IF($O1494="","",INDEX(Suivi!$G:$G,1523))</f>
        <v/>
      </c>
      <c r="T1494">
        <f>IF($O1494="","",IF(INDEX(Dossiers!$F$4:$F$63,29)="","",INDEX(Dossiers!$F$4:$F$63,29)))</f>
        <v/>
      </c>
      <c r="U1494">
        <f>IF($O1494="","",IF(INDEX(Dossiers!$G$4:$G$63,29)="","",INDEX(Dossiers!$G$4:$G$63,29)))</f>
        <v/>
      </c>
      <c r="V1494">
        <f>IF(OR($O1494="",NOT(ISNUMBER($Q1494))),"",$Q1494*1000000+1494)</f>
        <v/>
      </c>
      <c r="W1494" s="29">
        <f>IF($B1494="","",IFERROR(INDEX($U$4:$U$3183,MATCH(SMALL($V$4:$V$3183,1491),$V$4:$V$3183,0)),""))</f>
        <v/>
      </c>
    </row>
    <row r="1495">
      <c r="A1495">
        <f>IFERROR(INDEX($N$4:$N$3183,MATCH(SMALL($V$4:$V$3183,1492),$V$4:$V$3183,0)),"")</f>
        <v/>
      </c>
      <c r="B1495">
        <f>IFERROR(INDEX($O$4:$O$3183,MATCH(SMALL($V$4:$V$3183,1492),$V$4:$V$3183,0)),"")</f>
        <v/>
      </c>
      <c r="C1495">
        <f>IFERROR(INDEX($P$4:$P$3183,MATCH(SMALL($V$4:$V$3183,1492),$V$4:$V$3183,0)),"")</f>
        <v/>
      </c>
      <c r="D1495" s="29">
        <f>IFERROR(INDEX($Q$4:$Q$3183,MATCH(SMALL($V$4:$V$3183,1492),$V$4:$V$3183,0)),"")</f>
        <v/>
      </c>
      <c r="E1495" s="29">
        <f>IFERROR(INDEX($R$4:$R$3183,MATCH(SMALL($V$4:$V$3183,1492),$V$4:$V$3183,0)),"")</f>
        <v/>
      </c>
      <c r="F1495">
        <f>IFERROR(INDEX($S$4:$S$3183,MATCH(SMALL($V$4:$V$3183,1492),$V$4:$V$3183,0)),"")</f>
        <v/>
      </c>
      <c r="I1495" s="29">
        <f>IF($B1495="","",IFERROR(INDEX($U$4:$U$3183,MATCH(SMALL($V$4:$V$3183,1492),$V$4:$V$3183,0)),""))</f>
        <v/>
      </c>
      <c r="J1495">
        <f>IF($B1495="","",IF($D1495&gt;$F$2,"À venir",IF($E1495&lt;$D$2,"Passé","Dans la période")))</f>
        <v/>
      </c>
      <c r="K1495">
        <f>IF(OR($B1495="",NOT(ISNUMBER($D1495))),"",IF(AND($E1495&lt;$D$2,$G1495&lt;&gt;"X",$F1495&lt;&gt;"Réalisé",$F1495&lt;&gt;"Clôturé"),"RETARD",""))</f>
        <v/>
      </c>
      <c r="L1495">
        <f>IF(OR($B1495="",NOT(ISNUMBER($D1495))),"",IF(AND($D1495&gt;=$D$2,$D1495&lt;=$H$2,$G1495&lt;&gt;"X",$F1495&lt;&gt;"Réalisé",$F1495&lt;&gt;"Clôturé"),"≤ 7 j",""))</f>
        <v/>
      </c>
      <c r="M1495" s="29">
        <f>IF($B1495="","",IFERROR(INDEX($T$4:$T$3183,MATCH(SMALL($V$4:$V$3183,1492),$V$4:$V$3183,0)),""))</f>
        <v/>
      </c>
      <c r="O1495">
        <f>IF(INDEX(Suivi!$B:$B,1524)="","",INDEX(Suivi!$B:$B,1524))</f>
        <v/>
      </c>
      <c r="P1495">
        <f>IF($O1495="","",IF(INDEX(Suivi!$D:$D,1524)="",INDEX(Suivi!$C:$C,1524),INDEX(Suivi!$D:$D,1524)))</f>
        <v/>
      </c>
      <c r="Q1495">
        <f>IF($O1495="","",INDEX(Suivi!$E:$E,1524))</f>
        <v/>
      </c>
      <c r="R1495">
        <f>IF($O1495="","",INDEX(Suivi!$F:$F,1524))</f>
        <v/>
      </c>
      <c r="S1495">
        <f>IF($O1495="","",INDEX(Suivi!$G:$G,1524))</f>
        <v/>
      </c>
      <c r="T1495">
        <f>IF($O1495="","",IF(INDEX(Dossiers!$F$4:$F$63,29)="","",INDEX(Dossiers!$F$4:$F$63,29)))</f>
        <v/>
      </c>
      <c r="U1495">
        <f>IF($O1495="","",IF(INDEX(Dossiers!$G$4:$G$63,29)="","",INDEX(Dossiers!$G$4:$G$63,29)))</f>
        <v/>
      </c>
      <c r="V1495">
        <f>IF(OR($O1495="",NOT(ISNUMBER($Q1495))),"",$Q1495*1000000+1495)</f>
        <v/>
      </c>
      <c r="W1495" s="29">
        <f>IF($B1495="","",IFERROR(INDEX($U$4:$U$3183,MATCH(SMALL($V$4:$V$3183,1492),$V$4:$V$3183,0)),""))</f>
        <v/>
      </c>
    </row>
    <row r="1496">
      <c r="A1496">
        <f>IFERROR(INDEX($N$4:$N$3183,MATCH(SMALL($V$4:$V$3183,1493),$V$4:$V$3183,0)),"")</f>
        <v/>
      </c>
      <c r="B1496">
        <f>IFERROR(INDEX($O$4:$O$3183,MATCH(SMALL($V$4:$V$3183,1493),$V$4:$V$3183,0)),"")</f>
        <v/>
      </c>
      <c r="C1496">
        <f>IFERROR(INDEX($P$4:$P$3183,MATCH(SMALL($V$4:$V$3183,1493),$V$4:$V$3183,0)),"")</f>
        <v/>
      </c>
      <c r="D1496" s="29">
        <f>IFERROR(INDEX($Q$4:$Q$3183,MATCH(SMALL($V$4:$V$3183,1493),$V$4:$V$3183,0)),"")</f>
        <v/>
      </c>
      <c r="E1496" s="29">
        <f>IFERROR(INDEX($R$4:$R$3183,MATCH(SMALL($V$4:$V$3183,1493),$V$4:$V$3183,0)),"")</f>
        <v/>
      </c>
      <c r="F1496">
        <f>IFERROR(INDEX($S$4:$S$3183,MATCH(SMALL($V$4:$V$3183,1493),$V$4:$V$3183,0)),"")</f>
        <v/>
      </c>
      <c r="I1496" s="29">
        <f>IF($B1496="","",IFERROR(INDEX($U$4:$U$3183,MATCH(SMALL($V$4:$V$3183,1493),$V$4:$V$3183,0)),""))</f>
        <v/>
      </c>
      <c r="J1496">
        <f>IF($B1496="","",IF($D1496&gt;$F$2,"À venir",IF($E1496&lt;$D$2,"Passé","Dans la période")))</f>
        <v/>
      </c>
      <c r="K1496">
        <f>IF(OR($B1496="",NOT(ISNUMBER($D1496))),"",IF(AND($E1496&lt;$D$2,$G1496&lt;&gt;"X",$F1496&lt;&gt;"Réalisé",$F1496&lt;&gt;"Clôturé"),"RETARD",""))</f>
        <v/>
      </c>
      <c r="L1496">
        <f>IF(OR($B1496="",NOT(ISNUMBER($D1496))),"",IF(AND($D1496&gt;=$D$2,$D1496&lt;=$H$2,$G1496&lt;&gt;"X",$F1496&lt;&gt;"Réalisé",$F1496&lt;&gt;"Clôturé"),"≤ 7 j",""))</f>
        <v/>
      </c>
      <c r="M1496" s="29">
        <f>IF($B1496="","",IFERROR(INDEX($T$4:$T$3183,MATCH(SMALL($V$4:$V$3183,1493),$V$4:$V$3183,0)),""))</f>
        <v/>
      </c>
      <c r="O1496">
        <f>IF(INDEX(Suivi!$B:$B,1525)="","",INDEX(Suivi!$B:$B,1525))</f>
        <v/>
      </c>
      <c r="P1496">
        <f>IF($O1496="","",IF(INDEX(Suivi!$D:$D,1525)="",INDEX(Suivi!$C:$C,1525),INDEX(Suivi!$D:$D,1525)))</f>
        <v/>
      </c>
      <c r="Q1496">
        <f>IF($O1496="","",INDEX(Suivi!$E:$E,1525))</f>
        <v/>
      </c>
      <c r="R1496">
        <f>IF($O1496="","",INDEX(Suivi!$F:$F,1525))</f>
        <v/>
      </c>
      <c r="S1496">
        <f>IF($O1496="","",INDEX(Suivi!$G:$G,1525))</f>
        <v/>
      </c>
      <c r="T1496">
        <f>IF($O1496="","",IF(INDEX(Dossiers!$F$4:$F$63,29)="","",INDEX(Dossiers!$F$4:$F$63,29)))</f>
        <v/>
      </c>
      <c r="U1496">
        <f>IF($O1496="","",IF(INDEX(Dossiers!$G$4:$G$63,29)="","",INDEX(Dossiers!$G$4:$G$63,29)))</f>
        <v/>
      </c>
      <c r="V1496">
        <f>IF(OR($O1496="",NOT(ISNUMBER($Q1496))),"",$Q1496*1000000+1496)</f>
        <v/>
      </c>
      <c r="W1496" s="29">
        <f>IF($B1496="","",IFERROR(INDEX($U$4:$U$3183,MATCH(SMALL($V$4:$V$3183,1493),$V$4:$V$3183,0)),""))</f>
        <v/>
      </c>
    </row>
    <row r="1497">
      <c r="A1497">
        <f>IFERROR(INDEX($N$4:$N$3183,MATCH(SMALL($V$4:$V$3183,1494),$V$4:$V$3183,0)),"")</f>
        <v/>
      </c>
      <c r="B1497">
        <f>IFERROR(INDEX($O$4:$O$3183,MATCH(SMALL($V$4:$V$3183,1494),$V$4:$V$3183,0)),"")</f>
        <v/>
      </c>
      <c r="C1497">
        <f>IFERROR(INDEX($P$4:$P$3183,MATCH(SMALL($V$4:$V$3183,1494),$V$4:$V$3183,0)),"")</f>
        <v/>
      </c>
      <c r="D1497" s="29">
        <f>IFERROR(INDEX($Q$4:$Q$3183,MATCH(SMALL($V$4:$V$3183,1494),$V$4:$V$3183,0)),"")</f>
        <v/>
      </c>
      <c r="E1497" s="29">
        <f>IFERROR(INDEX($R$4:$R$3183,MATCH(SMALL($V$4:$V$3183,1494),$V$4:$V$3183,0)),"")</f>
        <v/>
      </c>
      <c r="F1497">
        <f>IFERROR(INDEX($S$4:$S$3183,MATCH(SMALL($V$4:$V$3183,1494),$V$4:$V$3183,0)),"")</f>
        <v/>
      </c>
      <c r="I1497" s="29">
        <f>IF($B1497="","",IFERROR(INDEX($U$4:$U$3183,MATCH(SMALL($V$4:$V$3183,1494),$V$4:$V$3183,0)),""))</f>
        <v/>
      </c>
      <c r="J1497">
        <f>IF($B1497="","",IF($D1497&gt;$F$2,"À venir",IF($E1497&lt;$D$2,"Passé","Dans la période")))</f>
        <v/>
      </c>
      <c r="K1497">
        <f>IF(OR($B1497="",NOT(ISNUMBER($D1497))),"",IF(AND($E1497&lt;$D$2,$G1497&lt;&gt;"X",$F1497&lt;&gt;"Réalisé",$F1497&lt;&gt;"Clôturé"),"RETARD",""))</f>
        <v/>
      </c>
      <c r="L1497">
        <f>IF(OR($B1497="",NOT(ISNUMBER($D1497))),"",IF(AND($D1497&gt;=$D$2,$D1497&lt;=$H$2,$G1497&lt;&gt;"X",$F1497&lt;&gt;"Réalisé",$F1497&lt;&gt;"Clôturé"),"≤ 7 j",""))</f>
        <v/>
      </c>
      <c r="M1497" s="29">
        <f>IF($B1497="","",IFERROR(INDEX($T$4:$T$3183,MATCH(SMALL($V$4:$V$3183,1494),$V$4:$V$3183,0)),""))</f>
        <v/>
      </c>
      <c r="O1497">
        <f>IF(INDEX(Suivi!$B:$B,1526)="","",INDEX(Suivi!$B:$B,1526))</f>
        <v/>
      </c>
      <c r="P1497">
        <f>IF($O1497="","",IF(INDEX(Suivi!$D:$D,1526)="",INDEX(Suivi!$C:$C,1526),INDEX(Suivi!$D:$D,1526)))</f>
        <v/>
      </c>
      <c r="Q1497">
        <f>IF($O1497="","",INDEX(Suivi!$E:$E,1526))</f>
        <v/>
      </c>
      <c r="R1497">
        <f>IF($O1497="","",INDEX(Suivi!$F:$F,1526))</f>
        <v/>
      </c>
      <c r="S1497">
        <f>IF($O1497="","",INDEX(Suivi!$G:$G,1526))</f>
        <v/>
      </c>
      <c r="T1497">
        <f>IF($O1497="","",IF(INDEX(Dossiers!$F$4:$F$63,29)="","",INDEX(Dossiers!$F$4:$F$63,29)))</f>
        <v/>
      </c>
      <c r="U1497">
        <f>IF($O1497="","",IF(INDEX(Dossiers!$G$4:$G$63,29)="","",INDEX(Dossiers!$G$4:$G$63,29)))</f>
        <v/>
      </c>
      <c r="V1497">
        <f>IF(OR($O1497="",NOT(ISNUMBER($Q1497))),"",$Q1497*1000000+1497)</f>
        <v/>
      </c>
      <c r="W1497" s="29">
        <f>IF($B1497="","",IFERROR(INDEX($U$4:$U$3183,MATCH(SMALL($V$4:$V$3183,1494),$V$4:$V$3183,0)),""))</f>
        <v/>
      </c>
    </row>
    <row r="1498">
      <c r="A1498">
        <f>IFERROR(INDEX($N$4:$N$3183,MATCH(SMALL($V$4:$V$3183,1495),$V$4:$V$3183,0)),"")</f>
        <v/>
      </c>
      <c r="B1498">
        <f>IFERROR(INDEX($O$4:$O$3183,MATCH(SMALL($V$4:$V$3183,1495),$V$4:$V$3183,0)),"")</f>
        <v/>
      </c>
      <c r="C1498">
        <f>IFERROR(INDEX($P$4:$P$3183,MATCH(SMALL($V$4:$V$3183,1495),$V$4:$V$3183,0)),"")</f>
        <v/>
      </c>
      <c r="D1498" s="29">
        <f>IFERROR(INDEX($Q$4:$Q$3183,MATCH(SMALL($V$4:$V$3183,1495),$V$4:$V$3183,0)),"")</f>
        <v/>
      </c>
      <c r="E1498" s="29">
        <f>IFERROR(INDEX($R$4:$R$3183,MATCH(SMALL($V$4:$V$3183,1495),$V$4:$V$3183,0)),"")</f>
        <v/>
      </c>
      <c r="F1498">
        <f>IFERROR(INDEX($S$4:$S$3183,MATCH(SMALL($V$4:$V$3183,1495),$V$4:$V$3183,0)),"")</f>
        <v/>
      </c>
      <c r="I1498" s="29">
        <f>IF($B1498="","",IFERROR(INDEX($U$4:$U$3183,MATCH(SMALL($V$4:$V$3183,1495),$V$4:$V$3183,0)),""))</f>
        <v/>
      </c>
      <c r="J1498">
        <f>IF($B1498="","",IF($D1498&gt;$F$2,"À venir",IF($E1498&lt;$D$2,"Passé","Dans la période")))</f>
        <v/>
      </c>
      <c r="K1498">
        <f>IF(OR($B1498="",NOT(ISNUMBER($D1498))),"",IF(AND($E1498&lt;$D$2,$G1498&lt;&gt;"X",$F1498&lt;&gt;"Réalisé",$F1498&lt;&gt;"Clôturé"),"RETARD",""))</f>
        <v/>
      </c>
      <c r="L1498">
        <f>IF(OR($B1498="",NOT(ISNUMBER($D1498))),"",IF(AND($D1498&gt;=$D$2,$D1498&lt;=$H$2,$G1498&lt;&gt;"X",$F1498&lt;&gt;"Réalisé",$F1498&lt;&gt;"Clôturé"),"≤ 7 j",""))</f>
        <v/>
      </c>
      <c r="M1498" s="29">
        <f>IF($B1498="","",IFERROR(INDEX($T$4:$T$3183,MATCH(SMALL($V$4:$V$3183,1495),$V$4:$V$3183,0)),""))</f>
        <v/>
      </c>
      <c r="O1498">
        <f>IF(INDEX(Suivi!$B:$B,1527)="","",INDEX(Suivi!$B:$B,1527))</f>
        <v/>
      </c>
      <c r="P1498">
        <f>IF($O1498="","",IF(INDEX(Suivi!$D:$D,1527)="",INDEX(Suivi!$C:$C,1527),INDEX(Suivi!$D:$D,1527)))</f>
        <v/>
      </c>
      <c r="Q1498">
        <f>IF($O1498="","",INDEX(Suivi!$E:$E,1527))</f>
        <v/>
      </c>
      <c r="R1498">
        <f>IF($O1498="","",INDEX(Suivi!$F:$F,1527))</f>
        <v/>
      </c>
      <c r="S1498">
        <f>IF($O1498="","",INDEX(Suivi!$G:$G,1527))</f>
        <v/>
      </c>
      <c r="T1498">
        <f>IF($O1498="","",IF(INDEX(Dossiers!$F$4:$F$63,29)="","",INDEX(Dossiers!$F$4:$F$63,29)))</f>
        <v/>
      </c>
      <c r="U1498">
        <f>IF($O1498="","",IF(INDEX(Dossiers!$G$4:$G$63,29)="","",INDEX(Dossiers!$G$4:$G$63,29)))</f>
        <v/>
      </c>
      <c r="V1498">
        <f>IF(OR($O1498="",NOT(ISNUMBER($Q1498))),"",$Q1498*1000000+1498)</f>
        <v/>
      </c>
      <c r="W1498" s="29">
        <f>IF($B1498="","",IFERROR(INDEX($U$4:$U$3183,MATCH(SMALL($V$4:$V$3183,1495),$V$4:$V$3183,0)),""))</f>
        <v/>
      </c>
    </row>
    <row r="1499">
      <c r="A1499">
        <f>IFERROR(INDEX($N$4:$N$3183,MATCH(SMALL($V$4:$V$3183,1496),$V$4:$V$3183,0)),"")</f>
        <v/>
      </c>
      <c r="B1499">
        <f>IFERROR(INDEX($O$4:$O$3183,MATCH(SMALL($V$4:$V$3183,1496),$V$4:$V$3183,0)),"")</f>
        <v/>
      </c>
      <c r="C1499">
        <f>IFERROR(INDEX($P$4:$P$3183,MATCH(SMALL($V$4:$V$3183,1496),$V$4:$V$3183,0)),"")</f>
        <v/>
      </c>
      <c r="D1499" s="29">
        <f>IFERROR(INDEX($Q$4:$Q$3183,MATCH(SMALL($V$4:$V$3183,1496),$V$4:$V$3183,0)),"")</f>
        <v/>
      </c>
      <c r="E1499" s="29">
        <f>IFERROR(INDEX($R$4:$R$3183,MATCH(SMALL($V$4:$V$3183,1496),$V$4:$V$3183,0)),"")</f>
        <v/>
      </c>
      <c r="F1499">
        <f>IFERROR(INDEX($S$4:$S$3183,MATCH(SMALL($V$4:$V$3183,1496),$V$4:$V$3183,0)),"")</f>
        <v/>
      </c>
      <c r="I1499" s="29">
        <f>IF($B1499="","",IFERROR(INDEX($U$4:$U$3183,MATCH(SMALL($V$4:$V$3183,1496),$V$4:$V$3183,0)),""))</f>
        <v/>
      </c>
      <c r="J1499">
        <f>IF($B1499="","",IF($D1499&gt;$F$2,"À venir",IF($E1499&lt;$D$2,"Passé","Dans la période")))</f>
        <v/>
      </c>
      <c r="K1499">
        <f>IF(OR($B1499="",NOT(ISNUMBER($D1499))),"",IF(AND($E1499&lt;$D$2,$G1499&lt;&gt;"X",$F1499&lt;&gt;"Réalisé",$F1499&lt;&gt;"Clôturé"),"RETARD",""))</f>
        <v/>
      </c>
      <c r="L1499">
        <f>IF(OR($B1499="",NOT(ISNUMBER($D1499))),"",IF(AND($D1499&gt;=$D$2,$D1499&lt;=$H$2,$G1499&lt;&gt;"X",$F1499&lt;&gt;"Réalisé",$F1499&lt;&gt;"Clôturé"),"≤ 7 j",""))</f>
        <v/>
      </c>
      <c r="M1499" s="29">
        <f>IF($B1499="","",IFERROR(INDEX($T$4:$T$3183,MATCH(SMALL($V$4:$V$3183,1496),$V$4:$V$3183,0)),""))</f>
        <v/>
      </c>
      <c r="O1499">
        <f>IF(INDEX(Suivi!$B:$B,1528)="","",INDEX(Suivi!$B:$B,1528))</f>
        <v/>
      </c>
      <c r="P1499">
        <f>IF($O1499="","",IF(INDEX(Suivi!$D:$D,1528)="",INDEX(Suivi!$C:$C,1528),INDEX(Suivi!$D:$D,1528)))</f>
        <v/>
      </c>
      <c r="Q1499">
        <f>IF($O1499="","",INDEX(Suivi!$E:$E,1528))</f>
        <v/>
      </c>
      <c r="R1499">
        <f>IF($O1499="","",INDEX(Suivi!$F:$F,1528))</f>
        <v/>
      </c>
      <c r="S1499">
        <f>IF($O1499="","",INDEX(Suivi!$G:$G,1528))</f>
        <v/>
      </c>
      <c r="T1499">
        <f>IF($O1499="","",IF(INDEX(Dossiers!$F$4:$F$63,29)="","",INDEX(Dossiers!$F$4:$F$63,29)))</f>
        <v/>
      </c>
      <c r="U1499">
        <f>IF($O1499="","",IF(INDEX(Dossiers!$G$4:$G$63,29)="","",INDEX(Dossiers!$G$4:$G$63,29)))</f>
        <v/>
      </c>
      <c r="V1499">
        <f>IF(OR($O1499="",NOT(ISNUMBER($Q1499))),"",$Q1499*1000000+1499)</f>
        <v/>
      </c>
      <c r="W1499" s="29">
        <f>IF($B1499="","",IFERROR(INDEX($U$4:$U$3183,MATCH(SMALL($V$4:$V$3183,1496),$V$4:$V$3183,0)),""))</f>
        <v/>
      </c>
    </row>
    <row r="1500">
      <c r="A1500">
        <f>IFERROR(INDEX($N$4:$N$3183,MATCH(SMALL($V$4:$V$3183,1497),$V$4:$V$3183,0)),"")</f>
        <v/>
      </c>
      <c r="B1500">
        <f>IFERROR(INDEX($O$4:$O$3183,MATCH(SMALL($V$4:$V$3183,1497),$V$4:$V$3183,0)),"")</f>
        <v/>
      </c>
      <c r="C1500">
        <f>IFERROR(INDEX($P$4:$P$3183,MATCH(SMALL($V$4:$V$3183,1497),$V$4:$V$3183,0)),"")</f>
        <v/>
      </c>
      <c r="D1500" s="29">
        <f>IFERROR(INDEX($Q$4:$Q$3183,MATCH(SMALL($V$4:$V$3183,1497),$V$4:$V$3183,0)),"")</f>
        <v/>
      </c>
      <c r="E1500" s="29">
        <f>IFERROR(INDEX($R$4:$R$3183,MATCH(SMALL($V$4:$V$3183,1497),$V$4:$V$3183,0)),"")</f>
        <v/>
      </c>
      <c r="F1500">
        <f>IFERROR(INDEX($S$4:$S$3183,MATCH(SMALL($V$4:$V$3183,1497),$V$4:$V$3183,0)),"")</f>
        <v/>
      </c>
      <c r="I1500" s="29">
        <f>IF($B1500="","",IFERROR(INDEX($U$4:$U$3183,MATCH(SMALL($V$4:$V$3183,1497),$V$4:$V$3183,0)),""))</f>
        <v/>
      </c>
      <c r="J1500">
        <f>IF($B1500="","",IF($D1500&gt;$F$2,"À venir",IF($E1500&lt;$D$2,"Passé","Dans la période")))</f>
        <v/>
      </c>
      <c r="K1500">
        <f>IF(OR($B1500="",NOT(ISNUMBER($D1500))),"",IF(AND($E1500&lt;$D$2,$G1500&lt;&gt;"X",$F1500&lt;&gt;"Réalisé",$F1500&lt;&gt;"Clôturé"),"RETARD",""))</f>
        <v/>
      </c>
      <c r="L1500">
        <f>IF(OR($B1500="",NOT(ISNUMBER($D1500))),"",IF(AND($D1500&gt;=$D$2,$D1500&lt;=$H$2,$G1500&lt;&gt;"X",$F1500&lt;&gt;"Réalisé",$F1500&lt;&gt;"Clôturé"),"≤ 7 j",""))</f>
        <v/>
      </c>
      <c r="M1500" s="29">
        <f>IF($B1500="","",IFERROR(INDEX($T$4:$T$3183,MATCH(SMALL($V$4:$V$3183,1497),$V$4:$V$3183,0)),""))</f>
        <v/>
      </c>
      <c r="O1500">
        <f>IF(INDEX(Suivi!$B:$B,1529)="","",INDEX(Suivi!$B:$B,1529))</f>
        <v/>
      </c>
      <c r="P1500">
        <f>IF($O1500="","",IF(INDEX(Suivi!$D:$D,1529)="",INDEX(Suivi!$C:$C,1529),INDEX(Suivi!$D:$D,1529)))</f>
        <v/>
      </c>
      <c r="Q1500">
        <f>IF($O1500="","",INDEX(Suivi!$E:$E,1529))</f>
        <v/>
      </c>
      <c r="R1500">
        <f>IF($O1500="","",INDEX(Suivi!$F:$F,1529))</f>
        <v/>
      </c>
      <c r="S1500">
        <f>IF($O1500="","",INDEX(Suivi!$G:$G,1529))</f>
        <v/>
      </c>
      <c r="T1500">
        <f>IF($O1500="","",IF(INDEX(Dossiers!$F$4:$F$63,29)="","",INDEX(Dossiers!$F$4:$F$63,29)))</f>
        <v/>
      </c>
      <c r="U1500">
        <f>IF($O1500="","",IF(INDEX(Dossiers!$G$4:$G$63,29)="","",INDEX(Dossiers!$G$4:$G$63,29)))</f>
        <v/>
      </c>
      <c r="V1500">
        <f>IF(OR($O1500="",NOT(ISNUMBER($Q1500))),"",$Q1500*1000000+1500)</f>
        <v/>
      </c>
      <c r="W1500" s="29">
        <f>IF($B1500="","",IFERROR(INDEX($U$4:$U$3183,MATCH(SMALL($V$4:$V$3183,1497),$V$4:$V$3183,0)),""))</f>
        <v/>
      </c>
    </row>
    <row r="1501">
      <c r="A1501">
        <f>IFERROR(INDEX($N$4:$N$3183,MATCH(SMALL($V$4:$V$3183,1498),$V$4:$V$3183,0)),"")</f>
        <v/>
      </c>
      <c r="B1501">
        <f>IFERROR(INDEX($O$4:$O$3183,MATCH(SMALL($V$4:$V$3183,1498),$V$4:$V$3183,0)),"")</f>
        <v/>
      </c>
      <c r="C1501">
        <f>IFERROR(INDEX($P$4:$P$3183,MATCH(SMALL($V$4:$V$3183,1498),$V$4:$V$3183,0)),"")</f>
        <v/>
      </c>
      <c r="D1501" s="29">
        <f>IFERROR(INDEX($Q$4:$Q$3183,MATCH(SMALL($V$4:$V$3183,1498),$V$4:$V$3183,0)),"")</f>
        <v/>
      </c>
      <c r="E1501" s="29">
        <f>IFERROR(INDEX($R$4:$R$3183,MATCH(SMALL($V$4:$V$3183,1498),$V$4:$V$3183,0)),"")</f>
        <v/>
      </c>
      <c r="F1501">
        <f>IFERROR(INDEX($S$4:$S$3183,MATCH(SMALL($V$4:$V$3183,1498),$V$4:$V$3183,0)),"")</f>
        <v/>
      </c>
      <c r="I1501" s="29">
        <f>IF($B1501="","",IFERROR(INDEX($U$4:$U$3183,MATCH(SMALL($V$4:$V$3183,1498),$V$4:$V$3183,0)),""))</f>
        <v/>
      </c>
      <c r="J1501">
        <f>IF($B1501="","",IF($D1501&gt;$F$2,"À venir",IF($E1501&lt;$D$2,"Passé","Dans la période")))</f>
        <v/>
      </c>
      <c r="K1501">
        <f>IF(OR($B1501="",NOT(ISNUMBER($D1501))),"",IF(AND($E1501&lt;$D$2,$G1501&lt;&gt;"X",$F1501&lt;&gt;"Réalisé",$F1501&lt;&gt;"Clôturé"),"RETARD",""))</f>
        <v/>
      </c>
      <c r="L1501">
        <f>IF(OR($B1501="",NOT(ISNUMBER($D1501))),"",IF(AND($D1501&gt;=$D$2,$D1501&lt;=$H$2,$G1501&lt;&gt;"X",$F1501&lt;&gt;"Réalisé",$F1501&lt;&gt;"Clôturé"),"≤ 7 j",""))</f>
        <v/>
      </c>
      <c r="M1501" s="29">
        <f>IF($B1501="","",IFERROR(INDEX($T$4:$T$3183,MATCH(SMALL($V$4:$V$3183,1498),$V$4:$V$3183,0)),""))</f>
        <v/>
      </c>
      <c r="O1501">
        <f>IF(INDEX(Suivi!$B:$B,1530)="","",INDEX(Suivi!$B:$B,1530))</f>
        <v/>
      </c>
      <c r="P1501">
        <f>IF($O1501="","",IF(INDEX(Suivi!$D:$D,1530)="",INDEX(Suivi!$C:$C,1530),INDEX(Suivi!$D:$D,1530)))</f>
        <v/>
      </c>
      <c r="Q1501">
        <f>IF($O1501="","",INDEX(Suivi!$E:$E,1530))</f>
        <v/>
      </c>
      <c r="R1501">
        <f>IF($O1501="","",INDEX(Suivi!$F:$F,1530))</f>
        <v/>
      </c>
      <c r="S1501">
        <f>IF($O1501="","",INDEX(Suivi!$G:$G,1530))</f>
        <v/>
      </c>
      <c r="T1501">
        <f>IF($O1501="","",IF(INDEX(Dossiers!$F$4:$F$63,29)="","",INDEX(Dossiers!$F$4:$F$63,29)))</f>
        <v/>
      </c>
      <c r="U1501">
        <f>IF($O1501="","",IF(INDEX(Dossiers!$G$4:$G$63,29)="","",INDEX(Dossiers!$G$4:$G$63,29)))</f>
        <v/>
      </c>
      <c r="V1501">
        <f>IF(OR($O1501="",NOT(ISNUMBER($Q1501))),"",$Q1501*1000000+1501)</f>
        <v/>
      </c>
      <c r="W1501" s="29">
        <f>IF($B1501="","",IFERROR(INDEX($U$4:$U$3183,MATCH(SMALL($V$4:$V$3183,1498),$V$4:$V$3183,0)),""))</f>
        <v/>
      </c>
    </row>
    <row r="1502">
      <c r="A1502">
        <f>IFERROR(INDEX($N$4:$N$3183,MATCH(SMALL($V$4:$V$3183,1499),$V$4:$V$3183,0)),"")</f>
        <v/>
      </c>
      <c r="B1502">
        <f>IFERROR(INDEX($O$4:$O$3183,MATCH(SMALL($V$4:$V$3183,1499),$V$4:$V$3183,0)),"")</f>
        <v/>
      </c>
      <c r="C1502">
        <f>IFERROR(INDEX($P$4:$P$3183,MATCH(SMALL($V$4:$V$3183,1499),$V$4:$V$3183,0)),"")</f>
        <v/>
      </c>
      <c r="D1502" s="29">
        <f>IFERROR(INDEX($Q$4:$Q$3183,MATCH(SMALL($V$4:$V$3183,1499),$V$4:$V$3183,0)),"")</f>
        <v/>
      </c>
      <c r="E1502" s="29">
        <f>IFERROR(INDEX($R$4:$R$3183,MATCH(SMALL($V$4:$V$3183,1499),$V$4:$V$3183,0)),"")</f>
        <v/>
      </c>
      <c r="F1502">
        <f>IFERROR(INDEX($S$4:$S$3183,MATCH(SMALL($V$4:$V$3183,1499),$V$4:$V$3183,0)),"")</f>
        <v/>
      </c>
      <c r="I1502" s="29">
        <f>IF($B1502="","",IFERROR(INDEX($U$4:$U$3183,MATCH(SMALL($V$4:$V$3183,1499),$V$4:$V$3183,0)),""))</f>
        <v/>
      </c>
      <c r="J1502">
        <f>IF($B1502="","",IF($D1502&gt;$F$2,"À venir",IF($E1502&lt;$D$2,"Passé","Dans la période")))</f>
        <v/>
      </c>
      <c r="K1502">
        <f>IF(OR($B1502="",NOT(ISNUMBER($D1502))),"",IF(AND($E1502&lt;$D$2,$G1502&lt;&gt;"X",$F1502&lt;&gt;"Réalisé",$F1502&lt;&gt;"Clôturé"),"RETARD",""))</f>
        <v/>
      </c>
      <c r="L1502">
        <f>IF(OR($B1502="",NOT(ISNUMBER($D1502))),"",IF(AND($D1502&gt;=$D$2,$D1502&lt;=$H$2,$G1502&lt;&gt;"X",$F1502&lt;&gt;"Réalisé",$F1502&lt;&gt;"Clôturé"),"≤ 7 j",""))</f>
        <v/>
      </c>
      <c r="M1502" s="29">
        <f>IF($B1502="","",IFERROR(INDEX($T$4:$T$3183,MATCH(SMALL($V$4:$V$3183,1499),$V$4:$V$3183,0)),""))</f>
        <v/>
      </c>
      <c r="O1502">
        <f>IF(INDEX(Suivi!$B:$B,1531)="","",INDEX(Suivi!$B:$B,1531))</f>
        <v/>
      </c>
      <c r="P1502">
        <f>IF($O1502="","",IF(INDEX(Suivi!$D:$D,1531)="",INDEX(Suivi!$C:$C,1531),INDEX(Suivi!$D:$D,1531)))</f>
        <v/>
      </c>
      <c r="Q1502">
        <f>IF($O1502="","",INDEX(Suivi!$E:$E,1531))</f>
        <v/>
      </c>
      <c r="R1502">
        <f>IF($O1502="","",INDEX(Suivi!$F:$F,1531))</f>
        <v/>
      </c>
      <c r="S1502">
        <f>IF($O1502="","",INDEX(Suivi!$G:$G,1531))</f>
        <v/>
      </c>
      <c r="T1502">
        <f>IF($O1502="","",IF(INDEX(Dossiers!$F$4:$F$63,29)="","",INDEX(Dossiers!$F$4:$F$63,29)))</f>
        <v/>
      </c>
      <c r="U1502">
        <f>IF($O1502="","",IF(INDEX(Dossiers!$G$4:$G$63,29)="","",INDEX(Dossiers!$G$4:$G$63,29)))</f>
        <v/>
      </c>
      <c r="V1502">
        <f>IF(OR($O1502="",NOT(ISNUMBER($Q1502))),"",$Q1502*1000000+1502)</f>
        <v/>
      </c>
      <c r="W1502" s="29">
        <f>IF($B1502="","",IFERROR(INDEX($U$4:$U$3183,MATCH(SMALL($V$4:$V$3183,1499),$V$4:$V$3183,0)),""))</f>
        <v/>
      </c>
    </row>
    <row r="1503">
      <c r="A1503">
        <f>IFERROR(INDEX($N$4:$N$3183,MATCH(SMALL($V$4:$V$3183,1500),$V$4:$V$3183,0)),"")</f>
        <v/>
      </c>
      <c r="B1503">
        <f>IFERROR(INDEX($O$4:$O$3183,MATCH(SMALL($V$4:$V$3183,1500),$V$4:$V$3183,0)),"")</f>
        <v/>
      </c>
      <c r="C1503">
        <f>IFERROR(INDEX($P$4:$P$3183,MATCH(SMALL($V$4:$V$3183,1500),$V$4:$V$3183,0)),"")</f>
        <v/>
      </c>
      <c r="D1503" s="29">
        <f>IFERROR(INDEX($Q$4:$Q$3183,MATCH(SMALL($V$4:$V$3183,1500),$V$4:$V$3183,0)),"")</f>
        <v/>
      </c>
      <c r="E1503" s="29">
        <f>IFERROR(INDEX($R$4:$R$3183,MATCH(SMALL($V$4:$V$3183,1500),$V$4:$V$3183,0)),"")</f>
        <v/>
      </c>
      <c r="F1503">
        <f>IFERROR(INDEX($S$4:$S$3183,MATCH(SMALL($V$4:$V$3183,1500),$V$4:$V$3183,0)),"")</f>
        <v/>
      </c>
      <c r="I1503" s="29">
        <f>IF($B1503="","",IFERROR(INDEX($U$4:$U$3183,MATCH(SMALL($V$4:$V$3183,1500),$V$4:$V$3183,0)),""))</f>
        <v/>
      </c>
      <c r="J1503">
        <f>IF($B1503="","",IF($D1503&gt;$F$2,"À venir",IF($E1503&lt;$D$2,"Passé","Dans la période")))</f>
        <v/>
      </c>
      <c r="K1503">
        <f>IF(OR($B1503="",NOT(ISNUMBER($D1503))),"",IF(AND($E1503&lt;$D$2,$G1503&lt;&gt;"X",$F1503&lt;&gt;"Réalisé",$F1503&lt;&gt;"Clôturé"),"RETARD",""))</f>
        <v/>
      </c>
      <c r="L1503">
        <f>IF(OR($B1503="",NOT(ISNUMBER($D1503))),"",IF(AND($D1503&gt;=$D$2,$D1503&lt;=$H$2,$G1503&lt;&gt;"X",$F1503&lt;&gt;"Réalisé",$F1503&lt;&gt;"Clôturé"),"≤ 7 j",""))</f>
        <v/>
      </c>
      <c r="M1503" s="29">
        <f>IF($B1503="","",IFERROR(INDEX($T$4:$T$3183,MATCH(SMALL($V$4:$V$3183,1500),$V$4:$V$3183,0)),""))</f>
        <v/>
      </c>
      <c r="O1503">
        <f>IF(INDEX(Suivi!$B:$B,1532)="","",INDEX(Suivi!$B:$B,1532))</f>
        <v/>
      </c>
      <c r="P1503">
        <f>IF($O1503="","",IF(INDEX(Suivi!$D:$D,1532)="",INDEX(Suivi!$C:$C,1532),INDEX(Suivi!$D:$D,1532)))</f>
        <v/>
      </c>
      <c r="Q1503">
        <f>IF($O1503="","",INDEX(Suivi!$E:$E,1532))</f>
        <v/>
      </c>
      <c r="R1503">
        <f>IF($O1503="","",INDEX(Suivi!$F:$F,1532))</f>
        <v/>
      </c>
      <c r="S1503">
        <f>IF($O1503="","",INDEX(Suivi!$G:$G,1532))</f>
        <v/>
      </c>
      <c r="T1503">
        <f>IF($O1503="","",IF(INDEX(Dossiers!$F$4:$F$63,29)="","",INDEX(Dossiers!$F$4:$F$63,29)))</f>
        <v/>
      </c>
      <c r="U1503">
        <f>IF($O1503="","",IF(INDEX(Dossiers!$G$4:$G$63,29)="","",INDEX(Dossiers!$G$4:$G$63,29)))</f>
        <v/>
      </c>
      <c r="V1503">
        <f>IF(OR($O1503="",NOT(ISNUMBER($Q1503))),"",$Q1503*1000000+1503)</f>
        <v/>
      </c>
      <c r="W1503" s="29">
        <f>IF($B1503="","",IFERROR(INDEX($U$4:$U$3183,MATCH(SMALL($V$4:$V$3183,1500),$V$4:$V$3183,0)),""))</f>
        <v/>
      </c>
    </row>
    <row r="1504">
      <c r="A1504">
        <f>IFERROR(INDEX($N$4:$N$3183,MATCH(SMALL($V$4:$V$3183,1501),$V$4:$V$3183,0)),"")</f>
        <v/>
      </c>
      <c r="B1504">
        <f>IFERROR(INDEX($O$4:$O$3183,MATCH(SMALL($V$4:$V$3183,1501),$V$4:$V$3183,0)),"")</f>
        <v/>
      </c>
      <c r="C1504">
        <f>IFERROR(INDEX($P$4:$P$3183,MATCH(SMALL($V$4:$V$3183,1501),$V$4:$V$3183,0)),"")</f>
        <v/>
      </c>
      <c r="D1504" s="29">
        <f>IFERROR(INDEX($Q$4:$Q$3183,MATCH(SMALL($V$4:$V$3183,1501),$V$4:$V$3183,0)),"")</f>
        <v/>
      </c>
      <c r="E1504" s="29">
        <f>IFERROR(INDEX($R$4:$R$3183,MATCH(SMALL($V$4:$V$3183,1501),$V$4:$V$3183,0)),"")</f>
        <v/>
      </c>
      <c r="F1504">
        <f>IFERROR(INDEX($S$4:$S$3183,MATCH(SMALL($V$4:$V$3183,1501),$V$4:$V$3183,0)),"")</f>
        <v/>
      </c>
      <c r="I1504" s="29">
        <f>IF($B1504="","",IFERROR(INDEX($U$4:$U$3183,MATCH(SMALL($V$4:$V$3183,1501),$V$4:$V$3183,0)),""))</f>
        <v/>
      </c>
      <c r="J1504">
        <f>IF($B1504="","",IF($D1504&gt;$F$2,"À venir",IF($E1504&lt;$D$2,"Passé","Dans la période")))</f>
        <v/>
      </c>
      <c r="K1504">
        <f>IF(OR($B1504="",NOT(ISNUMBER($D1504))),"",IF(AND($E1504&lt;$D$2,$G1504&lt;&gt;"X",$F1504&lt;&gt;"Réalisé",$F1504&lt;&gt;"Clôturé"),"RETARD",""))</f>
        <v/>
      </c>
      <c r="L1504">
        <f>IF(OR($B1504="",NOT(ISNUMBER($D1504))),"",IF(AND($D1504&gt;=$D$2,$D1504&lt;=$H$2,$G1504&lt;&gt;"X",$F1504&lt;&gt;"Réalisé",$F1504&lt;&gt;"Clôturé"),"≤ 7 j",""))</f>
        <v/>
      </c>
      <c r="M1504" s="29">
        <f>IF($B1504="","",IFERROR(INDEX($T$4:$T$3183,MATCH(SMALL($V$4:$V$3183,1501),$V$4:$V$3183,0)),""))</f>
        <v/>
      </c>
      <c r="O1504">
        <f>IF(INDEX(Suivi!$B:$B,1533)="","",INDEX(Suivi!$B:$B,1533))</f>
        <v/>
      </c>
      <c r="P1504">
        <f>IF($O1504="","",IF(INDEX(Suivi!$D:$D,1533)="",INDEX(Suivi!$C:$C,1533),INDEX(Suivi!$D:$D,1533)))</f>
        <v/>
      </c>
      <c r="Q1504">
        <f>IF($O1504="","",INDEX(Suivi!$E:$E,1533))</f>
        <v/>
      </c>
      <c r="R1504">
        <f>IF($O1504="","",INDEX(Suivi!$F:$F,1533))</f>
        <v/>
      </c>
      <c r="S1504">
        <f>IF($O1504="","",INDEX(Suivi!$G:$G,1533))</f>
        <v/>
      </c>
      <c r="T1504">
        <f>IF($O1504="","",IF(INDEX(Dossiers!$F$4:$F$63,29)="","",INDEX(Dossiers!$F$4:$F$63,29)))</f>
        <v/>
      </c>
      <c r="U1504">
        <f>IF($O1504="","",IF(INDEX(Dossiers!$G$4:$G$63,29)="","",INDEX(Dossiers!$G$4:$G$63,29)))</f>
        <v/>
      </c>
      <c r="V1504">
        <f>IF(OR($O1504="",NOT(ISNUMBER($Q1504))),"",$Q1504*1000000+1504)</f>
        <v/>
      </c>
      <c r="W1504" s="29">
        <f>IF($B1504="","",IFERROR(INDEX($U$4:$U$3183,MATCH(SMALL($V$4:$V$3183,1501),$V$4:$V$3183,0)),""))</f>
        <v/>
      </c>
    </row>
    <row r="1505">
      <c r="A1505">
        <f>IFERROR(INDEX($N$4:$N$3183,MATCH(SMALL($V$4:$V$3183,1502),$V$4:$V$3183,0)),"")</f>
        <v/>
      </c>
      <c r="B1505">
        <f>IFERROR(INDEX($O$4:$O$3183,MATCH(SMALL($V$4:$V$3183,1502),$V$4:$V$3183,0)),"")</f>
        <v/>
      </c>
      <c r="C1505">
        <f>IFERROR(INDEX($P$4:$P$3183,MATCH(SMALL($V$4:$V$3183,1502),$V$4:$V$3183,0)),"")</f>
        <v/>
      </c>
      <c r="D1505" s="29">
        <f>IFERROR(INDEX($Q$4:$Q$3183,MATCH(SMALL($V$4:$V$3183,1502),$V$4:$V$3183,0)),"")</f>
        <v/>
      </c>
      <c r="E1505" s="29">
        <f>IFERROR(INDEX($R$4:$R$3183,MATCH(SMALL($V$4:$V$3183,1502),$V$4:$V$3183,0)),"")</f>
        <v/>
      </c>
      <c r="F1505">
        <f>IFERROR(INDEX($S$4:$S$3183,MATCH(SMALL($V$4:$V$3183,1502),$V$4:$V$3183,0)),"")</f>
        <v/>
      </c>
      <c r="I1505" s="29">
        <f>IF($B1505="","",IFERROR(INDEX($U$4:$U$3183,MATCH(SMALL($V$4:$V$3183,1502),$V$4:$V$3183,0)),""))</f>
        <v/>
      </c>
      <c r="J1505">
        <f>IF($B1505="","",IF($D1505&gt;$F$2,"À venir",IF($E1505&lt;$D$2,"Passé","Dans la période")))</f>
        <v/>
      </c>
      <c r="K1505">
        <f>IF(OR($B1505="",NOT(ISNUMBER($D1505))),"",IF(AND($E1505&lt;$D$2,$G1505&lt;&gt;"X",$F1505&lt;&gt;"Réalisé",$F1505&lt;&gt;"Clôturé"),"RETARD",""))</f>
        <v/>
      </c>
      <c r="L1505">
        <f>IF(OR($B1505="",NOT(ISNUMBER($D1505))),"",IF(AND($D1505&gt;=$D$2,$D1505&lt;=$H$2,$G1505&lt;&gt;"X",$F1505&lt;&gt;"Réalisé",$F1505&lt;&gt;"Clôturé"),"≤ 7 j",""))</f>
        <v/>
      </c>
      <c r="M1505" s="29">
        <f>IF($B1505="","",IFERROR(INDEX($T$4:$T$3183,MATCH(SMALL($V$4:$V$3183,1502),$V$4:$V$3183,0)),""))</f>
        <v/>
      </c>
      <c r="O1505">
        <f>IF(INDEX(Suivi!$B:$B,1534)="","",INDEX(Suivi!$B:$B,1534))</f>
        <v/>
      </c>
      <c r="P1505">
        <f>IF($O1505="","",IF(INDEX(Suivi!$D:$D,1534)="",INDEX(Suivi!$C:$C,1534),INDEX(Suivi!$D:$D,1534)))</f>
        <v/>
      </c>
      <c r="Q1505">
        <f>IF($O1505="","",INDEX(Suivi!$E:$E,1534))</f>
        <v/>
      </c>
      <c r="R1505">
        <f>IF($O1505="","",INDEX(Suivi!$F:$F,1534))</f>
        <v/>
      </c>
      <c r="S1505">
        <f>IF($O1505="","",INDEX(Suivi!$G:$G,1534))</f>
        <v/>
      </c>
      <c r="T1505">
        <f>IF($O1505="","",IF(INDEX(Dossiers!$F$4:$F$63,29)="","",INDEX(Dossiers!$F$4:$F$63,29)))</f>
        <v/>
      </c>
      <c r="U1505">
        <f>IF($O1505="","",IF(INDEX(Dossiers!$G$4:$G$63,29)="","",INDEX(Dossiers!$G$4:$G$63,29)))</f>
        <v/>
      </c>
      <c r="V1505">
        <f>IF(OR($O1505="",NOT(ISNUMBER($Q1505))),"",$Q1505*1000000+1505)</f>
        <v/>
      </c>
      <c r="W1505" s="29">
        <f>IF($B1505="","",IFERROR(INDEX($U$4:$U$3183,MATCH(SMALL($V$4:$V$3183,1502),$V$4:$V$3183,0)),""))</f>
        <v/>
      </c>
    </row>
    <row r="1506">
      <c r="A1506">
        <f>IFERROR(INDEX($N$4:$N$3183,MATCH(SMALL($V$4:$V$3183,1503),$V$4:$V$3183,0)),"")</f>
        <v/>
      </c>
      <c r="B1506">
        <f>IFERROR(INDEX($O$4:$O$3183,MATCH(SMALL($V$4:$V$3183,1503),$V$4:$V$3183,0)),"")</f>
        <v/>
      </c>
      <c r="C1506">
        <f>IFERROR(INDEX($P$4:$P$3183,MATCH(SMALL($V$4:$V$3183,1503),$V$4:$V$3183,0)),"")</f>
        <v/>
      </c>
      <c r="D1506" s="29">
        <f>IFERROR(INDEX($Q$4:$Q$3183,MATCH(SMALL($V$4:$V$3183,1503),$V$4:$V$3183,0)),"")</f>
        <v/>
      </c>
      <c r="E1506" s="29">
        <f>IFERROR(INDEX($R$4:$R$3183,MATCH(SMALL($V$4:$V$3183,1503),$V$4:$V$3183,0)),"")</f>
        <v/>
      </c>
      <c r="F1506">
        <f>IFERROR(INDEX($S$4:$S$3183,MATCH(SMALL($V$4:$V$3183,1503),$V$4:$V$3183,0)),"")</f>
        <v/>
      </c>
      <c r="I1506" s="29">
        <f>IF($B1506="","",IFERROR(INDEX($U$4:$U$3183,MATCH(SMALL($V$4:$V$3183,1503),$V$4:$V$3183,0)),""))</f>
        <v/>
      </c>
      <c r="J1506">
        <f>IF($B1506="","",IF($D1506&gt;$F$2,"À venir",IF($E1506&lt;$D$2,"Passé","Dans la période")))</f>
        <v/>
      </c>
      <c r="K1506">
        <f>IF(OR($B1506="",NOT(ISNUMBER($D1506))),"",IF(AND($E1506&lt;$D$2,$G1506&lt;&gt;"X",$F1506&lt;&gt;"Réalisé",$F1506&lt;&gt;"Clôturé"),"RETARD",""))</f>
        <v/>
      </c>
      <c r="L1506">
        <f>IF(OR($B1506="",NOT(ISNUMBER($D1506))),"",IF(AND($D1506&gt;=$D$2,$D1506&lt;=$H$2,$G1506&lt;&gt;"X",$F1506&lt;&gt;"Réalisé",$F1506&lt;&gt;"Clôturé"),"≤ 7 j",""))</f>
        <v/>
      </c>
      <c r="M1506" s="29">
        <f>IF($B1506="","",IFERROR(INDEX($T$4:$T$3183,MATCH(SMALL($V$4:$V$3183,1503),$V$4:$V$3183,0)),""))</f>
        <v/>
      </c>
      <c r="O1506">
        <f>IF(INDEX(Suivi!$B:$B,1535)="","",INDEX(Suivi!$B:$B,1535))</f>
        <v/>
      </c>
      <c r="P1506">
        <f>IF($O1506="","",IF(INDEX(Suivi!$D:$D,1535)="",INDEX(Suivi!$C:$C,1535),INDEX(Suivi!$D:$D,1535)))</f>
        <v/>
      </c>
      <c r="Q1506">
        <f>IF($O1506="","",INDEX(Suivi!$E:$E,1535))</f>
        <v/>
      </c>
      <c r="R1506">
        <f>IF($O1506="","",INDEX(Suivi!$F:$F,1535))</f>
        <v/>
      </c>
      <c r="S1506">
        <f>IF($O1506="","",INDEX(Suivi!$G:$G,1535))</f>
        <v/>
      </c>
      <c r="T1506">
        <f>IF($O1506="","",IF(INDEX(Dossiers!$F$4:$F$63,29)="","",INDEX(Dossiers!$F$4:$F$63,29)))</f>
        <v/>
      </c>
      <c r="U1506">
        <f>IF($O1506="","",IF(INDEX(Dossiers!$G$4:$G$63,29)="","",INDEX(Dossiers!$G$4:$G$63,29)))</f>
        <v/>
      </c>
      <c r="V1506">
        <f>IF(OR($O1506="",NOT(ISNUMBER($Q1506))),"",$Q1506*1000000+1506)</f>
        <v/>
      </c>
      <c r="W1506" s="29">
        <f>IF($B1506="","",IFERROR(INDEX($U$4:$U$3183,MATCH(SMALL($V$4:$V$3183,1503),$V$4:$V$3183,0)),""))</f>
        <v/>
      </c>
    </row>
    <row r="1507">
      <c r="A1507">
        <f>IFERROR(INDEX($N$4:$N$3183,MATCH(SMALL($V$4:$V$3183,1504),$V$4:$V$3183,0)),"")</f>
        <v/>
      </c>
      <c r="B1507">
        <f>IFERROR(INDEX($O$4:$O$3183,MATCH(SMALL($V$4:$V$3183,1504),$V$4:$V$3183,0)),"")</f>
        <v/>
      </c>
      <c r="C1507">
        <f>IFERROR(INDEX($P$4:$P$3183,MATCH(SMALL($V$4:$V$3183,1504),$V$4:$V$3183,0)),"")</f>
        <v/>
      </c>
      <c r="D1507" s="29">
        <f>IFERROR(INDEX($Q$4:$Q$3183,MATCH(SMALL($V$4:$V$3183,1504),$V$4:$V$3183,0)),"")</f>
        <v/>
      </c>
      <c r="E1507" s="29">
        <f>IFERROR(INDEX($R$4:$R$3183,MATCH(SMALL($V$4:$V$3183,1504),$V$4:$V$3183,0)),"")</f>
        <v/>
      </c>
      <c r="F1507">
        <f>IFERROR(INDEX($S$4:$S$3183,MATCH(SMALL($V$4:$V$3183,1504),$V$4:$V$3183,0)),"")</f>
        <v/>
      </c>
      <c r="I1507" s="29">
        <f>IF($B1507="","",IFERROR(INDEX($U$4:$U$3183,MATCH(SMALL($V$4:$V$3183,1504),$V$4:$V$3183,0)),""))</f>
        <v/>
      </c>
      <c r="J1507">
        <f>IF($B1507="","",IF($D1507&gt;$F$2,"À venir",IF($E1507&lt;$D$2,"Passé","Dans la période")))</f>
        <v/>
      </c>
      <c r="K1507">
        <f>IF(OR($B1507="",NOT(ISNUMBER($D1507))),"",IF(AND($E1507&lt;$D$2,$G1507&lt;&gt;"X",$F1507&lt;&gt;"Réalisé",$F1507&lt;&gt;"Clôturé"),"RETARD",""))</f>
        <v/>
      </c>
      <c r="L1507">
        <f>IF(OR($B1507="",NOT(ISNUMBER($D1507))),"",IF(AND($D1507&gt;=$D$2,$D1507&lt;=$H$2,$G1507&lt;&gt;"X",$F1507&lt;&gt;"Réalisé",$F1507&lt;&gt;"Clôturé"),"≤ 7 j",""))</f>
        <v/>
      </c>
      <c r="M1507" s="29">
        <f>IF($B1507="","",IFERROR(INDEX($T$4:$T$3183,MATCH(SMALL($V$4:$V$3183,1504),$V$4:$V$3183,0)),""))</f>
        <v/>
      </c>
      <c r="O1507">
        <f>IF(INDEX(Suivi!$B:$B,1536)="","",INDEX(Suivi!$B:$B,1536))</f>
        <v/>
      </c>
      <c r="P1507">
        <f>IF($O1507="","",IF(INDEX(Suivi!$D:$D,1536)="",INDEX(Suivi!$C:$C,1536),INDEX(Suivi!$D:$D,1536)))</f>
        <v/>
      </c>
      <c r="Q1507">
        <f>IF($O1507="","",INDEX(Suivi!$E:$E,1536))</f>
        <v/>
      </c>
      <c r="R1507">
        <f>IF($O1507="","",INDEX(Suivi!$F:$F,1536))</f>
        <v/>
      </c>
      <c r="S1507">
        <f>IF($O1507="","",INDEX(Suivi!$G:$G,1536))</f>
        <v/>
      </c>
      <c r="T1507">
        <f>IF($O1507="","",IF(INDEX(Dossiers!$F$4:$F$63,29)="","",INDEX(Dossiers!$F$4:$F$63,29)))</f>
        <v/>
      </c>
      <c r="U1507">
        <f>IF($O1507="","",IF(INDEX(Dossiers!$G$4:$G$63,29)="","",INDEX(Dossiers!$G$4:$G$63,29)))</f>
        <v/>
      </c>
      <c r="V1507">
        <f>IF(OR($O1507="",NOT(ISNUMBER($Q1507))),"",$Q1507*1000000+1507)</f>
        <v/>
      </c>
      <c r="W1507" s="29">
        <f>IF($B1507="","",IFERROR(INDEX($U$4:$U$3183,MATCH(SMALL($V$4:$V$3183,1504),$V$4:$V$3183,0)),""))</f>
        <v/>
      </c>
    </row>
    <row r="1508">
      <c r="A1508">
        <f>IFERROR(INDEX($N$4:$N$3183,MATCH(SMALL($V$4:$V$3183,1505),$V$4:$V$3183,0)),"")</f>
        <v/>
      </c>
      <c r="B1508">
        <f>IFERROR(INDEX($O$4:$O$3183,MATCH(SMALL($V$4:$V$3183,1505),$V$4:$V$3183,0)),"")</f>
        <v/>
      </c>
      <c r="C1508">
        <f>IFERROR(INDEX($P$4:$P$3183,MATCH(SMALL($V$4:$V$3183,1505),$V$4:$V$3183,0)),"")</f>
        <v/>
      </c>
      <c r="D1508" s="29">
        <f>IFERROR(INDEX($Q$4:$Q$3183,MATCH(SMALL($V$4:$V$3183,1505),$V$4:$V$3183,0)),"")</f>
        <v/>
      </c>
      <c r="E1508" s="29">
        <f>IFERROR(INDEX($R$4:$R$3183,MATCH(SMALL($V$4:$V$3183,1505),$V$4:$V$3183,0)),"")</f>
        <v/>
      </c>
      <c r="F1508">
        <f>IFERROR(INDEX($S$4:$S$3183,MATCH(SMALL($V$4:$V$3183,1505),$V$4:$V$3183,0)),"")</f>
        <v/>
      </c>
      <c r="I1508" s="29">
        <f>IF($B1508="","",IFERROR(INDEX($U$4:$U$3183,MATCH(SMALL($V$4:$V$3183,1505),$V$4:$V$3183,0)),""))</f>
        <v/>
      </c>
      <c r="J1508">
        <f>IF($B1508="","",IF($D1508&gt;$F$2,"À venir",IF($E1508&lt;$D$2,"Passé","Dans la période")))</f>
        <v/>
      </c>
      <c r="K1508">
        <f>IF(OR($B1508="",NOT(ISNUMBER($D1508))),"",IF(AND($E1508&lt;$D$2,$G1508&lt;&gt;"X",$F1508&lt;&gt;"Réalisé",$F1508&lt;&gt;"Clôturé"),"RETARD",""))</f>
        <v/>
      </c>
      <c r="L1508">
        <f>IF(OR($B1508="",NOT(ISNUMBER($D1508))),"",IF(AND($D1508&gt;=$D$2,$D1508&lt;=$H$2,$G1508&lt;&gt;"X",$F1508&lt;&gt;"Réalisé",$F1508&lt;&gt;"Clôturé"),"≤ 7 j",""))</f>
        <v/>
      </c>
      <c r="M1508" s="29">
        <f>IF($B1508="","",IFERROR(INDEX($T$4:$T$3183,MATCH(SMALL($V$4:$V$3183,1505),$V$4:$V$3183,0)),""))</f>
        <v/>
      </c>
      <c r="O1508">
        <f>IF(INDEX(Suivi!$B:$B,1537)="","",INDEX(Suivi!$B:$B,1537))</f>
        <v/>
      </c>
      <c r="P1508">
        <f>IF($O1508="","",IF(INDEX(Suivi!$D:$D,1537)="",INDEX(Suivi!$C:$C,1537),INDEX(Suivi!$D:$D,1537)))</f>
        <v/>
      </c>
      <c r="Q1508">
        <f>IF($O1508="","",INDEX(Suivi!$E:$E,1537))</f>
        <v/>
      </c>
      <c r="R1508">
        <f>IF($O1508="","",INDEX(Suivi!$F:$F,1537))</f>
        <v/>
      </c>
      <c r="S1508">
        <f>IF($O1508="","",INDEX(Suivi!$G:$G,1537))</f>
        <v/>
      </c>
      <c r="T1508">
        <f>IF($O1508="","",IF(INDEX(Dossiers!$F$4:$F$63,29)="","",INDEX(Dossiers!$F$4:$F$63,29)))</f>
        <v/>
      </c>
      <c r="U1508">
        <f>IF($O1508="","",IF(INDEX(Dossiers!$G$4:$G$63,29)="","",INDEX(Dossiers!$G$4:$G$63,29)))</f>
        <v/>
      </c>
      <c r="V1508">
        <f>IF(OR($O1508="",NOT(ISNUMBER($Q1508))),"",$Q1508*1000000+1508)</f>
        <v/>
      </c>
      <c r="W1508" s="29">
        <f>IF($B1508="","",IFERROR(INDEX($U$4:$U$3183,MATCH(SMALL($V$4:$V$3183,1505),$V$4:$V$3183,0)),""))</f>
        <v/>
      </c>
    </row>
    <row r="1509">
      <c r="A1509">
        <f>IFERROR(INDEX($N$4:$N$3183,MATCH(SMALL($V$4:$V$3183,1506),$V$4:$V$3183,0)),"")</f>
        <v/>
      </c>
      <c r="B1509">
        <f>IFERROR(INDEX($O$4:$O$3183,MATCH(SMALL($V$4:$V$3183,1506),$V$4:$V$3183,0)),"")</f>
        <v/>
      </c>
      <c r="C1509">
        <f>IFERROR(INDEX($P$4:$P$3183,MATCH(SMALL($V$4:$V$3183,1506),$V$4:$V$3183,0)),"")</f>
        <v/>
      </c>
      <c r="D1509" s="29">
        <f>IFERROR(INDEX($Q$4:$Q$3183,MATCH(SMALL($V$4:$V$3183,1506),$V$4:$V$3183,0)),"")</f>
        <v/>
      </c>
      <c r="E1509" s="29">
        <f>IFERROR(INDEX($R$4:$R$3183,MATCH(SMALL($V$4:$V$3183,1506),$V$4:$V$3183,0)),"")</f>
        <v/>
      </c>
      <c r="F1509">
        <f>IFERROR(INDEX($S$4:$S$3183,MATCH(SMALL($V$4:$V$3183,1506),$V$4:$V$3183,0)),"")</f>
        <v/>
      </c>
      <c r="I1509" s="29">
        <f>IF($B1509="","",IFERROR(INDEX($U$4:$U$3183,MATCH(SMALL($V$4:$V$3183,1506),$V$4:$V$3183,0)),""))</f>
        <v/>
      </c>
      <c r="J1509">
        <f>IF($B1509="","",IF($D1509&gt;$F$2,"À venir",IF($E1509&lt;$D$2,"Passé","Dans la période")))</f>
        <v/>
      </c>
      <c r="K1509">
        <f>IF(OR($B1509="",NOT(ISNUMBER($D1509))),"",IF(AND($E1509&lt;$D$2,$G1509&lt;&gt;"X",$F1509&lt;&gt;"Réalisé",$F1509&lt;&gt;"Clôturé"),"RETARD",""))</f>
        <v/>
      </c>
      <c r="L1509">
        <f>IF(OR($B1509="",NOT(ISNUMBER($D1509))),"",IF(AND($D1509&gt;=$D$2,$D1509&lt;=$H$2,$G1509&lt;&gt;"X",$F1509&lt;&gt;"Réalisé",$F1509&lt;&gt;"Clôturé"),"≤ 7 j",""))</f>
        <v/>
      </c>
      <c r="M1509" s="29">
        <f>IF($B1509="","",IFERROR(INDEX($T$4:$T$3183,MATCH(SMALL($V$4:$V$3183,1506),$V$4:$V$3183,0)),""))</f>
        <v/>
      </c>
      <c r="O1509">
        <f>IF(INDEX(Suivi!$B:$B,1538)="","",INDEX(Suivi!$B:$B,1538))</f>
        <v/>
      </c>
      <c r="P1509">
        <f>IF($O1509="","",IF(INDEX(Suivi!$D:$D,1538)="",INDEX(Suivi!$C:$C,1538),INDEX(Suivi!$D:$D,1538)))</f>
        <v/>
      </c>
      <c r="Q1509">
        <f>IF($O1509="","",INDEX(Suivi!$E:$E,1538))</f>
        <v/>
      </c>
      <c r="R1509">
        <f>IF($O1509="","",INDEX(Suivi!$F:$F,1538))</f>
        <v/>
      </c>
      <c r="S1509">
        <f>IF($O1509="","",INDEX(Suivi!$G:$G,1538))</f>
        <v/>
      </c>
      <c r="T1509">
        <f>IF($O1509="","",IF(INDEX(Dossiers!$F$4:$F$63,29)="","",INDEX(Dossiers!$F$4:$F$63,29)))</f>
        <v/>
      </c>
      <c r="U1509">
        <f>IF($O1509="","",IF(INDEX(Dossiers!$G$4:$G$63,29)="","",INDEX(Dossiers!$G$4:$G$63,29)))</f>
        <v/>
      </c>
      <c r="V1509">
        <f>IF(OR($O1509="",NOT(ISNUMBER($Q1509))),"",$Q1509*1000000+1509)</f>
        <v/>
      </c>
      <c r="W1509" s="29">
        <f>IF($B1509="","",IFERROR(INDEX($U$4:$U$3183,MATCH(SMALL($V$4:$V$3183,1506),$V$4:$V$3183,0)),""))</f>
        <v/>
      </c>
    </row>
    <row r="1510">
      <c r="A1510">
        <f>IFERROR(INDEX($N$4:$N$3183,MATCH(SMALL($V$4:$V$3183,1507),$V$4:$V$3183,0)),"")</f>
        <v/>
      </c>
      <c r="B1510">
        <f>IFERROR(INDEX($O$4:$O$3183,MATCH(SMALL($V$4:$V$3183,1507),$V$4:$V$3183,0)),"")</f>
        <v/>
      </c>
      <c r="C1510">
        <f>IFERROR(INDEX($P$4:$P$3183,MATCH(SMALL($V$4:$V$3183,1507),$V$4:$V$3183,0)),"")</f>
        <v/>
      </c>
      <c r="D1510" s="29">
        <f>IFERROR(INDEX($Q$4:$Q$3183,MATCH(SMALL($V$4:$V$3183,1507),$V$4:$V$3183,0)),"")</f>
        <v/>
      </c>
      <c r="E1510" s="29">
        <f>IFERROR(INDEX($R$4:$R$3183,MATCH(SMALL($V$4:$V$3183,1507),$V$4:$V$3183,0)),"")</f>
        <v/>
      </c>
      <c r="F1510">
        <f>IFERROR(INDEX($S$4:$S$3183,MATCH(SMALL($V$4:$V$3183,1507),$V$4:$V$3183,0)),"")</f>
        <v/>
      </c>
      <c r="I1510" s="29">
        <f>IF($B1510="","",IFERROR(INDEX($U$4:$U$3183,MATCH(SMALL($V$4:$V$3183,1507),$V$4:$V$3183,0)),""))</f>
        <v/>
      </c>
      <c r="J1510">
        <f>IF($B1510="","",IF($D1510&gt;$F$2,"À venir",IF($E1510&lt;$D$2,"Passé","Dans la période")))</f>
        <v/>
      </c>
      <c r="K1510">
        <f>IF(OR($B1510="",NOT(ISNUMBER($D1510))),"",IF(AND($E1510&lt;$D$2,$G1510&lt;&gt;"X",$F1510&lt;&gt;"Réalisé",$F1510&lt;&gt;"Clôturé"),"RETARD",""))</f>
        <v/>
      </c>
      <c r="L1510">
        <f>IF(OR($B1510="",NOT(ISNUMBER($D1510))),"",IF(AND($D1510&gt;=$D$2,$D1510&lt;=$H$2,$G1510&lt;&gt;"X",$F1510&lt;&gt;"Réalisé",$F1510&lt;&gt;"Clôturé"),"≤ 7 j",""))</f>
        <v/>
      </c>
      <c r="M1510" s="29">
        <f>IF($B1510="","",IFERROR(INDEX($T$4:$T$3183,MATCH(SMALL($V$4:$V$3183,1507),$V$4:$V$3183,0)),""))</f>
        <v/>
      </c>
      <c r="O1510">
        <f>IF(INDEX(Suivi!$B:$B,1539)="","",INDEX(Suivi!$B:$B,1539))</f>
        <v/>
      </c>
      <c r="P1510">
        <f>IF($O1510="","",IF(INDEX(Suivi!$D:$D,1539)="",INDEX(Suivi!$C:$C,1539),INDEX(Suivi!$D:$D,1539)))</f>
        <v/>
      </c>
      <c r="Q1510">
        <f>IF($O1510="","",INDEX(Suivi!$E:$E,1539))</f>
        <v/>
      </c>
      <c r="R1510">
        <f>IF($O1510="","",INDEX(Suivi!$F:$F,1539))</f>
        <v/>
      </c>
      <c r="S1510">
        <f>IF($O1510="","",INDEX(Suivi!$G:$G,1539))</f>
        <v/>
      </c>
      <c r="T1510">
        <f>IF($O1510="","",IF(INDEX(Dossiers!$F$4:$F$63,29)="","",INDEX(Dossiers!$F$4:$F$63,29)))</f>
        <v/>
      </c>
      <c r="U1510">
        <f>IF($O1510="","",IF(INDEX(Dossiers!$G$4:$G$63,29)="","",INDEX(Dossiers!$G$4:$G$63,29)))</f>
        <v/>
      </c>
      <c r="V1510">
        <f>IF(OR($O1510="",NOT(ISNUMBER($Q1510))),"",$Q1510*1000000+1510)</f>
        <v/>
      </c>
      <c r="W1510" s="29">
        <f>IF($B1510="","",IFERROR(INDEX($U$4:$U$3183,MATCH(SMALL($V$4:$V$3183,1507),$V$4:$V$3183,0)),""))</f>
        <v/>
      </c>
    </row>
    <row r="1511">
      <c r="A1511">
        <f>IFERROR(INDEX($N$4:$N$3183,MATCH(SMALL($V$4:$V$3183,1508),$V$4:$V$3183,0)),"")</f>
        <v/>
      </c>
      <c r="B1511">
        <f>IFERROR(INDEX($O$4:$O$3183,MATCH(SMALL($V$4:$V$3183,1508),$V$4:$V$3183,0)),"")</f>
        <v/>
      </c>
      <c r="C1511">
        <f>IFERROR(INDEX($P$4:$P$3183,MATCH(SMALL($V$4:$V$3183,1508),$V$4:$V$3183,0)),"")</f>
        <v/>
      </c>
      <c r="D1511" s="29">
        <f>IFERROR(INDEX($Q$4:$Q$3183,MATCH(SMALL($V$4:$V$3183,1508),$V$4:$V$3183,0)),"")</f>
        <v/>
      </c>
      <c r="E1511" s="29">
        <f>IFERROR(INDEX($R$4:$R$3183,MATCH(SMALL($V$4:$V$3183,1508),$V$4:$V$3183,0)),"")</f>
        <v/>
      </c>
      <c r="F1511">
        <f>IFERROR(INDEX($S$4:$S$3183,MATCH(SMALL($V$4:$V$3183,1508),$V$4:$V$3183,0)),"")</f>
        <v/>
      </c>
      <c r="I1511" s="29">
        <f>IF($B1511="","",IFERROR(INDEX($U$4:$U$3183,MATCH(SMALL($V$4:$V$3183,1508),$V$4:$V$3183,0)),""))</f>
        <v/>
      </c>
      <c r="J1511">
        <f>IF($B1511="","",IF($D1511&gt;$F$2,"À venir",IF($E1511&lt;$D$2,"Passé","Dans la période")))</f>
        <v/>
      </c>
      <c r="K1511">
        <f>IF(OR($B1511="",NOT(ISNUMBER($D1511))),"",IF(AND($E1511&lt;$D$2,$G1511&lt;&gt;"X",$F1511&lt;&gt;"Réalisé",$F1511&lt;&gt;"Clôturé"),"RETARD",""))</f>
        <v/>
      </c>
      <c r="L1511">
        <f>IF(OR($B1511="",NOT(ISNUMBER($D1511))),"",IF(AND($D1511&gt;=$D$2,$D1511&lt;=$H$2,$G1511&lt;&gt;"X",$F1511&lt;&gt;"Réalisé",$F1511&lt;&gt;"Clôturé"),"≤ 7 j",""))</f>
        <v/>
      </c>
      <c r="M1511" s="29">
        <f>IF($B1511="","",IFERROR(INDEX($T$4:$T$3183,MATCH(SMALL($V$4:$V$3183,1508),$V$4:$V$3183,0)),""))</f>
        <v/>
      </c>
      <c r="O1511">
        <f>IF(INDEX(Suivi!$B:$B,1540)="","",INDEX(Suivi!$B:$B,1540))</f>
        <v/>
      </c>
      <c r="P1511">
        <f>IF($O1511="","",IF(INDEX(Suivi!$D:$D,1540)="",INDEX(Suivi!$C:$C,1540),INDEX(Suivi!$D:$D,1540)))</f>
        <v/>
      </c>
      <c r="Q1511">
        <f>IF($O1511="","",INDEX(Suivi!$E:$E,1540))</f>
        <v/>
      </c>
      <c r="R1511">
        <f>IF($O1511="","",INDEX(Suivi!$F:$F,1540))</f>
        <v/>
      </c>
      <c r="S1511">
        <f>IF($O1511="","",INDEX(Suivi!$G:$G,1540))</f>
        <v/>
      </c>
      <c r="T1511">
        <f>IF($O1511="","",IF(INDEX(Dossiers!$F$4:$F$63,29)="","",INDEX(Dossiers!$F$4:$F$63,29)))</f>
        <v/>
      </c>
      <c r="U1511">
        <f>IF($O1511="","",IF(INDEX(Dossiers!$G$4:$G$63,29)="","",INDEX(Dossiers!$G$4:$G$63,29)))</f>
        <v/>
      </c>
      <c r="V1511">
        <f>IF(OR($O1511="",NOT(ISNUMBER($Q1511))),"",$Q1511*1000000+1511)</f>
        <v/>
      </c>
      <c r="W1511" s="29">
        <f>IF($B1511="","",IFERROR(INDEX($U$4:$U$3183,MATCH(SMALL($V$4:$V$3183,1508),$V$4:$V$3183,0)),""))</f>
        <v/>
      </c>
    </row>
    <row r="1512">
      <c r="A1512">
        <f>IFERROR(INDEX($N$4:$N$3183,MATCH(SMALL($V$4:$V$3183,1509),$V$4:$V$3183,0)),"")</f>
        <v/>
      </c>
      <c r="B1512">
        <f>IFERROR(INDEX($O$4:$O$3183,MATCH(SMALL($V$4:$V$3183,1509),$V$4:$V$3183,0)),"")</f>
        <v/>
      </c>
      <c r="C1512">
        <f>IFERROR(INDEX($P$4:$P$3183,MATCH(SMALL($V$4:$V$3183,1509),$V$4:$V$3183,0)),"")</f>
        <v/>
      </c>
      <c r="D1512" s="29">
        <f>IFERROR(INDEX($Q$4:$Q$3183,MATCH(SMALL($V$4:$V$3183,1509),$V$4:$V$3183,0)),"")</f>
        <v/>
      </c>
      <c r="E1512" s="29">
        <f>IFERROR(INDEX($R$4:$R$3183,MATCH(SMALL($V$4:$V$3183,1509),$V$4:$V$3183,0)),"")</f>
        <v/>
      </c>
      <c r="F1512">
        <f>IFERROR(INDEX($S$4:$S$3183,MATCH(SMALL($V$4:$V$3183,1509),$V$4:$V$3183,0)),"")</f>
        <v/>
      </c>
      <c r="I1512" s="29">
        <f>IF($B1512="","",IFERROR(INDEX($U$4:$U$3183,MATCH(SMALL($V$4:$V$3183,1509),$V$4:$V$3183,0)),""))</f>
        <v/>
      </c>
      <c r="J1512">
        <f>IF($B1512="","",IF($D1512&gt;$F$2,"À venir",IF($E1512&lt;$D$2,"Passé","Dans la période")))</f>
        <v/>
      </c>
      <c r="K1512">
        <f>IF(OR($B1512="",NOT(ISNUMBER($D1512))),"",IF(AND($E1512&lt;$D$2,$G1512&lt;&gt;"X",$F1512&lt;&gt;"Réalisé",$F1512&lt;&gt;"Clôturé"),"RETARD",""))</f>
        <v/>
      </c>
      <c r="L1512">
        <f>IF(OR($B1512="",NOT(ISNUMBER($D1512))),"",IF(AND($D1512&gt;=$D$2,$D1512&lt;=$H$2,$G1512&lt;&gt;"X",$F1512&lt;&gt;"Réalisé",$F1512&lt;&gt;"Clôturé"),"≤ 7 j",""))</f>
        <v/>
      </c>
      <c r="M1512" s="29">
        <f>IF($B1512="","",IFERROR(INDEX($T$4:$T$3183,MATCH(SMALL($V$4:$V$3183,1509),$V$4:$V$3183,0)),""))</f>
        <v/>
      </c>
      <c r="O1512">
        <f>IF(INDEX(Suivi!$B:$B,1541)="","",INDEX(Suivi!$B:$B,1541))</f>
        <v/>
      </c>
      <c r="P1512">
        <f>IF($O1512="","",IF(INDEX(Suivi!$D:$D,1541)="",INDEX(Suivi!$C:$C,1541),INDEX(Suivi!$D:$D,1541)))</f>
        <v/>
      </c>
      <c r="Q1512">
        <f>IF($O1512="","",INDEX(Suivi!$E:$E,1541))</f>
        <v/>
      </c>
      <c r="R1512">
        <f>IF($O1512="","",INDEX(Suivi!$F:$F,1541))</f>
        <v/>
      </c>
      <c r="S1512">
        <f>IF($O1512="","",INDEX(Suivi!$G:$G,1541))</f>
        <v/>
      </c>
      <c r="T1512">
        <f>IF($O1512="","",IF(INDEX(Dossiers!$F$4:$F$63,29)="","",INDEX(Dossiers!$F$4:$F$63,29)))</f>
        <v/>
      </c>
      <c r="U1512">
        <f>IF($O1512="","",IF(INDEX(Dossiers!$G$4:$G$63,29)="","",INDEX(Dossiers!$G$4:$G$63,29)))</f>
        <v/>
      </c>
      <c r="V1512">
        <f>IF(OR($O1512="",NOT(ISNUMBER($Q1512))),"",$Q1512*1000000+1512)</f>
        <v/>
      </c>
      <c r="W1512" s="29">
        <f>IF($B1512="","",IFERROR(INDEX($U$4:$U$3183,MATCH(SMALL($V$4:$V$3183,1509),$V$4:$V$3183,0)),""))</f>
        <v/>
      </c>
    </row>
    <row r="1513">
      <c r="A1513">
        <f>IFERROR(INDEX($N$4:$N$3183,MATCH(SMALL($V$4:$V$3183,1510),$V$4:$V$3183,0)),"")</f>
        <v/>
      </c>
      <c r="B1513">
        <f>IFERROR(INDEX($O$4:$O$3183,MATCH(SMALL($V$4:$V$3183,1510),$V$4:$V$3183,0)),"")</f>
        <v/>
      </c>
      <c r="C1513">
        <f>IFERROR(INDEX($P$4:$P$3183,MATCH(SMALL($V$4:$V$3183,1510),$V$4:$V$3183,0)),"")</f>
        <v/>
      </c>
      <c r="D1513" s="29">
        <f>IFERROR(INDEX($Q$4:$Q$3183,MATCH(SMALL($V$4:$V$3183,1510),$V$4:$V$3183,0)),"")</f>
        <v/>
      </c>
      <c r="E1513" s="29">
        <f>IFERROR(INDEX($R$4:$R$3183,MATCH(SMALL($V$4:$V$3183,1510),$V$4:$V$3183,0)),"")</f>
        <v/>
      </c>
      <c r="F1513">
        <f>IFERROR(INDEX($S$4:$S$3183,MATCH(SMALL($V$4:$V$3183,1510),$V$4:$V$3183,0)),"")</f>
        <v/>
      </c>
      <c r="I1513" s="29">
        <f>IF($B1513="","",IFERROR(INDEX($U$4:$U$3183,MATCH(SMALL($V$4:$V$3183,1510),$V$4:$V$3183,0)),""))</f>
        <v/>
      </c>
      <c r="J1513">
        <f>IF($B1513="","",IF($D1513&gt;$F$2,"À venir",IF($E1513&lt;$D$2,"Passé","Dans la période")))</f>
        <v/>
      </c>
      <c r="K1513">
        <f>IF(OR($B1513="",NOT(ISNUMBER($D1513))),"",IF(AND($E1513&lt;$D$2,$G1513&lt;&gt;"X",$F1513&lt;&gt;"Réalisé",$F1513&lt;&gt;"Clôturé"),"RETARD",""))</f>
        <v/>
      </c>
      <c r="L1513">
        <f>IF(OR($B1513="",NOT(ISNUMBER($D1513))),"",IF(AND($D1513&gt;=$D$2,$D1513&lt;=$H$2,$G1513&lt;&gt;"X",$F1513&lt;&gt;"Réalisé",$F1513&lt;&gt;"Clôturé"),"≤ 7 j",""))</f>
        <v/>
      </c>
      <c r="M1513" s="29">
        <f>IF($B1513="","",IFERROR(INDEX($T$4:$T$3183,MATCH(SMALL($V$4:$V$3183,1510),$V$4:$V$3183,0)),""))</f>
        <v/>
      </c>
      <c r="O1513">
        <f>IF(INDEX(Suivi!$B:$B,1542)="","",INDEX(Suivi!$B:$B,1542))</f>
        <v/>
      </c>
      <c r="P1513">
        <f>IF($O1513="","",IF(INDEX(Suivi!$D:$D,1542)="",INDEX(Suivi!$C:$C,1542),INDEX(Suivi!$D:$D,1542)))</f>
        <v/>
      </c>
      <c r="Q1513">
        <f>IF($O1513="","",INDEX(Suivi!$E:$E,1542))</f>
        <v/>
      </c>
      <c r="R1513">
        <f>IF($O1513="","",INDEX(Suivi!$F:$F,1542))</f>
        <v/>
      </c>
      <c r="S1513">
        <f>IF($O1513="","",INDEX(Suivi!$G:$G,1542))</f>
        <v/>
      </c>
      <c r="T1513">
        <f>IF($O1513="","",IF(INDEX(Dossiers!$F$4:$F$63,29)="","",INDEX(Dossiers!$F$4:$F$63,29)))</f>
        <v/>
      </c>
      <c r="U1513">
        <f>IF($O1513="","",IF(INDEX(Dossiers!$G$4:$G$63,29)="","",INDEX(Dossiers!$G$4:$G$63,29)))</f>
        <v/>
      </c>
      <c r="V1513">
        <f>IF(OR($O1513="",NOT(ISNUMBER($Q1513))),"",$Q1513*1000000+1513)</f>
        <v/>
      </c>
      <c r="W1513" s="29">
        <f>IF($B1513="","",IFERROR(INDEX($U$4:$U$3183,MATCH(SMALL($V$4:$V$3183,1510),$V$4:$V$3183,0)),""))</f>
        <v/>
      </c>
    </row>
    <row r="1514">
      <c r="A1514">
        <f>IFERROR(INDEX($N$4:$N$3183,MATCH(SMALL($V$4:$V$3183,1511),$V$4:$V$3183,0)),"")</f>
        <v/>
      </c>
      <c r="B1514">
        <f>IFERROR(INDEX($O$4:$O$3183,MATCH(SMALL($V$4:$V$3183,1511),$V$4:$V$3183,0)),"")</f>
        <v/>
      </c>
      <c r="C1514">
        <f>IFERROR(INDEX($P$4:$P$3183,MATCH(SMALL($V$4:$V$3183,1511),$V$4:$V$3183,0)),"")</f>
        <v/>
      </c>
      <c r="D1514" s="29">
        <f>IFERROR(INDEX($Q$4:$Q$3183,MATCH(SMALL($V$4:$V$3183,1511),$V$4:$V$3183,0)),"")</f>
        <v/>
      </c>
      <c r="E1514" s="29">
        <f>IFERROR(INDEX($R$4:$R$3183,MATCH(SMALL($V$4:$V$3183,1511),$V$4:$V$3183,0)),"")</f>
        <v/>
      </c>
      <c r="F1514">
        <f>IFERROR(INDEX($S$4:$S$3183,MATCH(SMALL($V$4:$V$3183,1511),$V$4:$V$3183,0)),"")</f>
        <v/>
      </c>
      <c r="I1514" s="29">
        <f>IF($B1514="","",IFERROR(INDEX($U$4:$U$3183,MATCH(SMALL($V$4:$V$3183,1511),$V$4:$V$3183,0)),""))</f>
        <v/>
      </c>
      <c r="J1514">
        <f>IF($B1514="","",IF($D1514&gt;$F$2,"À venir",IF($E1514&lt;$D$2,"Passé","Dans la période")))</f>
        <v/>
      </c>
      <c r="K1514">
        <f>IF(OR($B1514="",NOT(ISNUMBER($D1514))),"",IF(AND($E1514&lt;$D$2,$G1514&lt;&gt;"X",$F1514&lt;&gt;"Réalisé",$F1514&lt;&gt;"Clôturé"),"RETARD",""))</f>
        <v/>
      </c>
      <c r="L1514">
        <f>IF(OR($B1514="",NOT(ISNUMBER($D1514))),"",IF(AND($D1514&gt;=$D$2,$D1514&lt;=$H$2,$G1514&lt;&gt;"X",$F1514&lt;&gt;"Réalisé",$F1514&lt;&gt;"Clôturé"),"≤ 7 j",""))</f>
        <v/>
      </c>
      <c r="M1514" s="29">
        <f>IF($B1514="","",IFERROR(INDEX($T$4:$T$3183,MATCH(SMALL($V$4:$V$3183,1511),$V$4:$V$3183,0)),""))</f>
        <v/>
      </c>
      <c r="O1514">
        <f>IF(INDEX(Suivi!$B:$B,1543)="","",INDEX(Suivi!$B:$B,1543))</f>
        <v/>
      </c>
      <c r="P1514">
        <f>IF($O1514="","",IF(INDEX(Suivi!$D:$D,1543)="",INDEX(Suivi!$C:$C,1543),INDEX(Suivi!$D:$D,1543)))</f>
        <v/>
      </c>
      <c r="Q1514">
        <f>IF($O1514="","",INDEX(Suivi!$E:$E,1543))</f>
        <v/>
      </c>
      <c r="R1514">
        <f>IF($O1514="","",INDEX(Suivi!$F:$F,1543))</f>
        <v/>
      </c>
      <c r="S1514">
        <f>IF($O1514="","",INDEX(Suivi!$G:$G,1543))</f>
        <v/>
      </c>
      <c r="T1514">
        <f>IF($O1514="","",IF(INDEX(Dossiers!$F$4:$F$63,29)="","",INDEX(Dossiers!$F$4:$F$63,29)))</f>
        <v/>
      </c>
      <c r="U1514">
        <f>IF($O1514="","",IF(INDEX(Dossiers!$G$4:$G$63,29)="","",INDEX(Dossiers!$G$4:$G$63,29)))</f>
        <v/>
      </c>
      <c r="V1514">
        <f>IF(OR($O1514="",NOT(ISNUMBER($Q1514))),"",$Q1514*1000000+1514)</f>
        <v/>
      </c>
      <c r="W1514" s="29">
        <f>IF($B1514="","",IFERROR(INDEX($U$4:$U$3183,MATCH(SMALL($V$4:$V$3183,1511),$V$4:$V$3183,0)),""))</f>
        <v/>
      </c>
    </row>
    <row r="1515">
      <c r="A1515">
        <f>IFERROR(INDEX($N$4:$N$3183,MATCH(SMALL($V$4:$V$3183,1512),$V$4:$V$3183,0)),"")</f>
        <v/>
      </c>
      <c r="B1515">
        <f>IFERROR(INDEX($O$4:$O$3183,MATCH(SMALL($V$4:$V$3183,1512),$V$4:$V$3183,0)),"")</f>
        <v/>
      </c>
      <c r="C1515">
        <f>IFERROR(INDEX($P$4:$P$3183,MATCH(SMALL($V$4:$V$3183,1512),$V$4:$V$3183,0)),"")</f>
        <v/>
      </c>
      <c r="D1515" s="29">
        <f>IFERROR(INDEX($Q$4:$Q$3183,MATCH(SMALL($V$4:$V$3183,1512),$V$4:$V$3183,0)),"")</f>
        <v/>
      </c>
      <c r="E1515" s="29">
        <f>IFERROR(INDEX($R$4:$R$3183,MATCH(SMALL($V$4:$V$3183,1512),$V$4:$V$3183,0)),"")</f>
        <v/>
      </c>
      <c r="F1515">
        <f>IFERROR(INDEX($S$4:$S$3183,MATCH(SMALL($V$4:$V$3183,1512),$V$4:$V$3183,0)),"")</f>
        <v/>
      </c>
      <c r="I1515" s="29">
        <f>IF($B1515="","",IFERROR(INDEX($U$4:$U$3183,MATCH(SMALL($V$4:$V$3183,1512),$V$4:$V$3183,0)),""))</f>
        <v/>
      </c>
      <c r="J1515">
        <f>IF($B1515="","",IF($D1515&gt;$F$2,"À venir",IF($E1515&lt;$D$2,"Passé","Dans la période")))</f>
        <v/>
      </c>
      <c r="K1515">
        <f>IF(OR($B1515="",NOT(ISNUMBER($D1515))),"",IF(AND($E1515&lt;$D$2,$G1515&lt;&gt;"X",$F1515&lt;&gt;"Réalisé",$F1515&lt;&gt;"Clôturé"),"RETARD",""))</f>
        <v/>
      </c>
      <c r="L1515">
        <f>IF(OR($B1515="",NOT(ISNUMBER($D1515))),"",IF(AND($D1515&gt;=$D$2,$D1515&lt;=$H$2,$G1515&lt;&gt;"X",$F1515&lt;&gt;"Réalisé",$F1515&lt;&gt;"Clôturé"),"≤ 7 j",""))</f>
        <v/>
      </c>
      <c r="M1515" s="29">
        <f>IF($B1515="","",IFERROR(INDEX($T$4:$T$3183,MATCH(SMALL($V$4:$V$3183,1512),$V$4:$V$3183,0)),""))</f>
        <v/>
      </c>
      <c r="O1515">
        <f>IF(INDEX(Suivi!$B:$B,1544)="","",INDEX(Suivi!$B:$B,1544))</f>
        <v/>
      </c>
      <c r="P1515">
        <f>IF($O1515="","",IF(INDEX(Suivi!$D:$D,1544)="",INDEX(Suivi!$C:$C,1544),INDEX(Suivi!$D:$D,1544)))</f>
        <v/>
      </c>
      <c r="Q1515">
        <f>IF($O1515="","",INDEX(Suivi!$E:$E,1544))</f>
        <v/>
      </c>
      <c r="R1515">
        <f>IF($O1515="","",INDEX(Suivi!$F:$F,1544))</f>
        <v/>
      </c>
      <c r="S1515">
        <f>IF($O1515="","",INDEX(Suivi!$G:$G,1544))</f>
        <v/>
      </c>
      <c r="T1515">
        <f>IF($O1515="","",IF(INDEX(Dossiers!$F$4:$F$63,29)="","",INDEX(Dossiers!$F$4:$F$63,29)))</f>
        <v/>
      </c>
      <c r="U1515">
        <f>IF($O1515="","",IF(INDEX(Dossiers!$G$4:$G$63,29)="","",INDEX(Dossiers!$G$4:$G$63,29)))</f>
        <v/>
      </c>
      <c r="V1515">
        <f>IF(OR($O1515="",NOT(ISNUMBER($Q1515))),"",$Q1515*1000000+1515)</f>
        <v/>
      </c>
      <c r="W1515" s="29">
        <f>IF($B1515="","",IFERROR(INDEX($U$4:$U$3183,MATCH(SMALL($V$4:$V$3183,1512),$V$4:$V$3183,0)),""))</f>
        <v/>
      </c>
    </row>
    <row r="1516">
      <c r="A1516">
        <f>IFERROR(INDEX($N$4:$N$3183,MATCH(SMALL($V$4:$V$3183,1513),$V$4:$V$3183,0)),"")</f>
        <v/>
      </c>
      <c r="B1516">
        <f>IFERROR(INDEX($O$4:$O$3183,MATCH(SMALL($V$4:$V$3183,1513),$V$4:$V$3183,0)),"")</f>
        <v/>
      </c>
      <c r="C1516">
        <f>IFERROR(INDEX($P$4:$P$3183,MATCH(SMALL($V$4:$V$3183,1513),$V$4:$V$3183,0)),"")</f>
        <v/>
      </c>
      <c r="D1516" s="29">
        <f>IFERROR(INDEX($Q$4:$Q$3183,MATCH(SMALL($V$4:$V$3183,1513),$V$4:$V$3183,0)),"")</f>
        <v/>
      </c>
      <c r="E1516" s="29">
        <f>IFERROR(INDEX($R$4:$R$3183,MATCH(SMALL($V$4:$V$3183,1513),$V$4:$V$3183,0)),"")</f>
        <v/>
      </c>
      <c r="F1516">
        <f>IFERROR(INDEX($S$4:$S$3183,MATCH(SMALL($V$4:$V$3183,1513),$V$4:$V$3183,0)),"")</f>
        <v/>
      </c>
      <c r="I1516" s="29">
        <f>IF($B1516="","",IFERROR(INDEX($U$4:$U$3183,MATCH(SMALL($V$4:$V$3183,1513),$V$4:$V$3183,0)),""))</f>
        <v/>
      </c>
      <c r="J1516">
        <f>IF($B1516="","",IF($D1516&gt;$F$2,"À venir",IF($E1516&lt;$D$2,"Passé","Dans la période")))</f>
        <v/>
      </c>
      <c r="K1516">
        <f>IF(OR($B1516="",NOT(ISNUMBER($D1516))),"",IF(AND($E1516&lt;$D$2,$G1516&lt;&gt;"X",$F1516&lt;&gt;"Réalisé",$F1516&lt;&gt;"Clôturé"),"RETARD",""))</f>
        <v/>
      </c>
      <c r="L1516">
        <f>IF(OR($B1516="",NOT(ISNUMBER($D1516))),"",IF(AND($D1516&gt;=$D$2,$D1516&lt;=$H$2,$G1516&lt;&gt;"X",$F1516&lt;&gt;"Réalisé",$F1516&lt;&gt;"Clôturé"),"≤ 7 j",""))</f>
        <v/>
      </c>
      <c r="M1516" s="29">
        <f>IF($B1516="","",IFERROR(INDEX($T$4:$T$3183,MATCH(SMALL($V$4:$V$3183,1513),$V$4:$V$3183,0)),""))</f>
        <v/>
      </c>
      <c r="O1516">
        <f>IF(INDEX(Suivi!$B:$B,1545)="","",INDEX(Suivi!$B:$B,1545))</f>
        <v/>
      </c>
      <c r="P1516">
        <f>IF($O1516="","",IF(INDEX(Suivi!$D:$D,1545)="",INDEX(Suivi!$C:$C,1545),INDEX(Suivi!$D:$D,1545)))</f>
        <v/>
      </c>
      <c r="Q1516">
        <f>IF($O1516="","",INDEX(Suivi!$E:$E,1545))</f>
        <v/>
      </c>
      <c r="R1516">
        <f>IF($O1516="","",INDEX(Suivi!$F:$F,1545))</f>
        <v/>
      </c>
      <c r="S1516">
        <f>IF($O1516="","",INDEX(Suivi!$G:$G,1545))</f>
        <v/>
      </c>
      <c r="T1516">
        <f>IF($O1516="","",IF(INDEX(Dossiers!$F$4:$F$63,29)="","",INDEX(Dossiers!$F$4:$F$63,29)))</f>
        <v/>
      </c>
      <c r="U1516">
        <f>IF($O1516="","",IF(INDEX(Dossiers!$G$4:$G$63,29)="","",INDEX(Dossiers!$G$4:$G$63,29)))</f>
        <v/>
      </c>
      <c r="V1516">
        <f>IF(OR($O1516="",NOT(ISNUMBER($Q1516))),"",$Q1516*1000000+1516)</f>
        <v/>
      </c>
      <c r="W1516" s="29">
        <f>IF($B1516="","",IFERROR(INDEX($U$4:$U$3183,MATCH(SMALL($V$4:$V$3183,1513),$V$4:$V$3183,0)),""))</f>
        <v/>
      </c>
    </row>
    <row r="1517">
      <c r="A1517">
        <f>IFERROR(INDEX($N$4:$N$3183,MATCH(SMALL($V$4:$V$3183,1514),$V$4:$V$3183,0)),"")</f>
        <v/>
      </c>
      <c r="B1517">
        <f>IFERROR(INDEX($O$4:$O$3183,MATCH(SMALL($V$4:$V$3183,1514),$V$4:$V$3183,0)),"")</f>
        <v/>
      </c>
      <c r="C1517">
        <f>IFERROR(INDEX($P$4:$P$3183,MATCH(SMALL($V$4:$V$3183,1514),$V$4:$V$3183,0)),"")</f>
        <v/>
      </c>
      <c r="D1517" s="29">
        <f>IFERROR(INDEX($Q$4:$Q$3183,MATCH(SMALL($V$4:$V$3183,1514),$V$4:$V$3183,0)),"")</f>
        <v/>
      </c>
      <c r="E1517" s="29">
        <f>IFERROR(INDEX($R$4:$R$3183,MATCH(SMALL($V$4:$V$3183,1514),$V$4:$V$3183,0)),"")</f>
        <v/>
      </c>
      <c r="F1517">
        <f>IFERROR(INDEX($S$4:$S$3183,MATCH(SMALL($V$4:$V$3183,1514),$V$4:$V$3183,0)),"")</f>
        <v/>
      </c>
      <c r="I1517" s="29">
        <f>IF($B1517="","",IFERROR(INDEX($U$4:$U$3183,MATCH(SMALL($V$4:$V$3183,1514),$V$4:$V$3183,0)),""))</f>
        <v/>
      </c>
      <c r="J1517">
        <f>IF($B1517="","",IF($D1517&gt;$F$2,"À venir",IF($E1517&lt;$D$2,"Passé","Dans la période")))</f>
        <v/>
      </c>
      <c r="K1517">
        <f>IF(OR($B1517="",NOT(ISNUMBER($D1517))),"",IF(AND($E1517&lt;$D$2,$G1517&lt;&gt;"X",$F1517&lt;&gt;"Réalisé",$F1517&lt;&gt;"Clôturé"),"RETARD",""))</f>
        <v/>
      </c>
      <c r="L1517">
        <f>IF(OR($B1517="",NOT(ISNUMBER($D1517))),"",IF(AND($D1517&gt;=$D$2,$D1517&lt;=$H$2,$G1517&lt;&gt;"X",$F1517&lt;&gt;"Réalisé",$F1517&lt;&gt;"Clôturé"),"≤ 7 j",""))</f>
        <v/>
      </c>
      <c r="M1517" s="29">
        <f>IF($B1517="","",IFERROR(INDEX($T$4:$T$3183,MATCH(SMALL($V$4:$V$3183,1514),$V$4:$V$3183,0)),""))</f>
        <v/>
      </c>
      <c r="O1517">
        <f>IF(INDEX(Suivi!$B:$B,1546)="","",INDEX(Suivi!$B:$B,1546))</f>
        <v/>
      </c>
      <c r="P1517">
        <f>IF($O1517="","",IF(INDEX(Suivi!$D:$D,1546)="",INDEX(Suivi!$C:$C,1546),INDEX(Suivi!$D:$D,1546)))</f>
        <v/>
      </c>
      <c r="Q1517">
        <f>IF($O1517="","",INDEX(Suivi!$E:$E,1546))</f>
        <v/>
      </c>
      <c r="R1517">
        <f>IF($O1517="","",INDEX(Suivi!$F:$F,1546))</f>
        <v/>
      </c>
      <c r="S1517">
        <f>IF($O1517="","",INDEX(Suivi!$G:$G,1546))</f>
        <v/>
      </c>
      <c r="T1517">
        <f>IF($O1517="","",IF(INDEX(Dossiers!$F$4:$F$63,29)="","",INDEX(Dossiers!$F$4:$F$63,29)))</f>
        <v/>
      </c>
      <c r="U1517">
        <f>IF($O1517="","",IF(INDEX(Dossiers!$G$4:$G$63,29)="","",INDEX(Dossiers!$G$4:$G$63,29)))</f>
        <v/>
      </c>
      <c r="V1517">
        <f>IF(OR($O1517="",NOT(ISNUMBER($Q1517))),"",$Q1517*1000000+1517)</f>
        <v/>
      </c>
      <c r="W1517" s="29">
        <f>IF($B1517="","",IFERROR(INDEX($U$4:$U$3183,MATCH(SMALL($V$4:$V$3183,1514),$V$4:$V$3183,0)),""))</f>
        <v/>
      </c>
    </row>
    <row r="1518">
      <c r="A1518">
        <f>IFERROR(INDEX($N$4:$N$3183,MATCH(SMALL($V$4:$V$3183,1515),$V$4:$V$3183,0)),"")</f>
        <v/>
      </c>
      <c r="B1518">
        <f>IFERROR(INDEX($O$4:$O$3183,MATCH(SMALL($V$4:$V$3183,1515),$V$4:$V$3183,0)),"")</f>
        <v/>
      </c>
      <c r="C1518">
        <f>IFERROR(INDEX($P$4:$P$3183,MATCH(SMALL($V$4:$V$3183,1515),$V$4:$V$3183,0)),"")</f>
        <v/>
      </c>
      <c r="D1518" s="29">
        <f>IFERROR(INDEX($Q$4:$Q$3183,MATCH(SMALL($V$4:$V$3183,1515),$V$4:$V$3183,0)),"")</f>
        <v/>
      </c>
      <c r="E1518" s="29">
        <f>IFERROR(INDEX($R$4:$R$3183,MATCH(SMALL($V$4:$V$3183,1515),$V$4:$V$3183,0)),"")</f>
        <v/>
      </c>
      <c r="F1518">
        <f>IFERROR(INDEX($S$4:$S$3183,MATCH(SMALL($V$4:$V$3183,1515),$V$4:$V$3183,0)),"")</f>
        <v/>
      </c>
      <c r="I1518" s="29">
        <f>IF($B1518="","",IFERROR(INDEX($U$4:$U$3183,MATCH(SMALL($V$4:$V$3183,1515),$V$4:$V$3183,0)),""))</f>
        <v/>
      </c>
      <c r="J1518">
        <f>IF($B1518="","",IF($D1518&gt;$F$2,"À venir",IF($E1518&lt;$D$2,"Passé","Dans la période")))</f>
        <v/>
      </c>
      <c r="K1518">
        <f>IF(OR($B1518="",NOT(ISNUMBER($D1518))),"",IF(AND($E1518&lt;$D$2,$G1518&lt;&gt;"X",$F1518&lt;&gt;"Réalisé",$F1518&lt;&gt;"Clôturé"),"RETARD",""))</f>
        <v/>
      </c>
      <c r="L1518">
        <f>IF(OR($B1518="",NOT(ISNUMBER($D1518))),"",IF(AND($D1518&gt;=$D$2,$D1518&lt;=$H$2,$G1518&lt;&gt;"X",$F1518&lt;&gt;"Réalisé",$F1518&lt;&gt;"Clôturé"),"≤ 7 j",""))</f>
        <v/>
      </c>
      <c r="M1518" s="29">
        <f>IF($B1518="","",IFERROR(INDEX($T$4:$T$3183,MATCH(SMALL($V$4:$V$3183,1515),$V$4:$V$3183,0)),""))</f>
        <v/>
      </c>
      <c r="O1518">
        <f>IF(INDEX(Suivi!$B:$B,1547)="","",INDEX(Suivi!$B:$B,1547))</f>
        <v/>
      </c>
      <c r="P1518">
        <f>IF($O1518="","",IF(INDEX(Suivi!$D:$D,1547)="",INDEX(Suivi!$C:$C,1547),INDEX(Suivi!$D:$D,1547)))</f>
        <v/>
      </c>
      <c r="Q1518">
        <f>IF($O1518="","",INDEX(Suivi!$E:$E,1547))</f>
        <v/>
      </c>
      <c r="R1518">
        <f>IF($O1518="","",INDEX(Suivi!$F:$F,1547))</f>
        <v/>
      </c>
      <c r="S1518">
        <f>IF($O1518="","",INDEX(Suivi!$G:$G,1547))</f>
        <v/>
      </c>
      <c r="T1518">
        <f>IF($O1518="","",IF(INDEX(Dossiers!$F$4:$F$63,29)="","",INDEX(Dossiers!$F$4:$F$63,29)))</f>
        <v/>
      </c>
      <c r="U1518">
        <f>IF($O1518="","",IF(INDEX(Dossiers!$G$4:$G$63,29)="","",INDEX(Dossiers!$G$4:$G$63,29)))</f>
        <v/>
      </c>
      <c r="V1518">
        <f>IF(OR($O1518="",NOT(ISNUMBER($Q1518))),"",$Q1518*1000000+1518)</f>
        <v/>
      </c>
      <c r="W1518" s="29">
        <f>IF($B1518="","",IFERROR(INDEX($U$4:$U$3183,MATCH(SMALL($V$4:$V$3183,1515),$V$4:$V$3183,0)),""))</f>
        <v/>
      </c>
    </row>
    <row r="1519">
      <c r="A1519">
        <f>IFERROR(INDEX($N$4:$N$3183,MATCH(SMALL($V$4:$V$3183,1516),$V$4:$V$3183,0)),"")</f>
        <v/>
      </c>
      <c r="B1519">
        <f>IFERROR(INDEX($O$4:$O$3183,MATCH(SMALL($V$4:$V$3183,1516),$V$4:$V$3183,0)),"")</f>
        <v/>
      </c>
      <c r="C1519">
        <f>IFERROR(INDEX($P$4:$P$3183,MATCH(SMALL($V$4:$V$3183,1516),$V$4:$V$3183,0)),"")</f>
        <v/>
      </c>
      <c r="D1519" s="29">
        <f>IFERROR(INDEX($Q$4:$Q$3183,MATCH(SMALL($V$4:$V$3183,1516),$V$4:$V$3183,0)),"")</f>
        <v/>
      </c>
      <c r="E1519" s="29">
        <f>IFERROR(INDEX($R$4:$R$3183,MATCH(SMALL($V$4:$V$3183,1516),$V$4:$V$3183,0)),"")</f>
        <v/>
      </c>
      <c r="F1519">
        <f>IFERROR(INDEX($S$4:$S$3183,MATCH(SMALL($V$4:$V$3183,1516),$V$4:$V$3183,0)),"")</f>
        <v/>
      </c>
      <c r="I1519" s="29">
        <f>IF($B1519="","",IFERROR(INDEX($U$4:$U$3183,MATCH(SMALL($V$4:$V$3183,1516),$V$4:$V$3183,0)),""))</f>
        <v/>
      </c>
      <c r="J1519">
        <f>IF($B1519="","",IF($D1519&gt;$F$2,"À venir",IF($E1519&lt;$D$2,"Passé","Dans la période")))</f>
        <v/>
      </c>
      <c r="K1519">
        <f>IF(OR($B1519="",NOT(ISNUMBER($D1519))),"",IF(AND($E1519&lt;$D$2,$G1519&lt;&gt;"X",$F1519&lt;&gt;"Réalisé",$F1519&lt;&gt;"Clôturé"),"RETARD",""))</f>
        <v/>
      </c>
      <c r="L1519">
        <f>IF(OR($B1519="",NOT(ISNUMBER($D1519))),"",IF(AND($D1519&gt;=$D$2,$D1519&lt;=$H$2,$G1519&lt;&gt;"X",$F1519&lt;&gt;"Réalisé",$F1519&lt;&gt;"Clôturé"),"≤ 7 j",""))</f>
        <v/>
      </c>
      <c r="M1519" s="29">
        <f>IF($B1519="","",IFERROR(INDEX($T$4:$T$3183,MATCH(SMALL($V$4:$V$3183,1516),$V$4:$V$3183,0)),""))</f>
        <v/>
      </c>
      <c r="O1519">
        <f>IF(INDEX(Suivi!$B:$B,1548)="","",INDEX(Suivi!$B:$B,1548))</f>
        <v/>
      </c>
      <c r="P1519">
        <f>IF($O1519="","",IF(INDEX(Suivi!$D:$D,1548)="",INDEX(Suivi!$C:$C,1548),INDEX(Suivi!$D:$D,1548)))</f>
        <v/>
      </c>
      <c r="Q1519">
        <f>IF($O1519="","",INDEX(Suivi!$E:$E,1548))</f>
        <v/>
      </c>
      <c r="R1519">
        <f>IF($O1519="","",INDEX(Suivi!$F:$F,1548))</f>
        <v/>
      </c>
      <c r="S1519">
        <f>IF($O1519="","",INDEX(Suivi!$G:$G,1548))</f>
        <v/>
      </c>
      <c r="T1519">
        <f>IF($O1519="","",IF(INDEX(Dossiers!$F$4:$F$63,29)="","",INDEX(Dossiers!$F$4:$F$63,29)))</f>
        <v/>
      </c>
      <c r="U1519">
        <f>IF($O1519="","",IF(INDEX(Dossiers!$G$4:$G$63,29)="","",INDEX(Dossiers!$G$4:$G$63,29)))</f>
        <v/>
      </c>
      <c r="V1519">
        <f>IF(OR($O1519="",NOT(ISNUMBER($Q1519))),"",$Q1519*1000000+1519)</f>
        <v/>
      </c>
      <c r="W1519" s="29">
        <f>IF($B1519="","",IFERROR(INDEX($U$4:$U$3183,MATCH(SMALL($V$4:$V$3183,1516),$V$4:$V$3183,0)),""))</f>
        <v/>
      </c>
    </row>
    <row r="1520">
      <c r="A1520">
        <f>IFERROR(INDEX($N$4:$N$3183,MATCH(SMALL($V$4:$V$3183,1517),$V$4:$V$3183,0)),"")</f>
        <v/>
      </c>
      <c r="B1520">
        <f>IFERROR(INDEX($O$4:$O$3183,MATCH(SMALL($V$4:$V$3183,1517),$V$4:$V$3183,0)),"")</f>
        <v/>
      </c>
      <c r="C1520">
        <f>IFERROR(INDEX($P$4:$P$3183,MATCH(SMALL($V$4:$V$3183,1517),$V$4:$V$3183,0)),"")</f>
        <v/>
      </c>
      <c r="D1520" s="29">
        <f>IFERROR(INDEX($Q$4:$Q$3183,MATCH(SMALL($V$4:$V$3183,1517),$V$4:$V$3183,0)),"")</f>
        <v/>
      </c>
      <c r="E1520" s="29">
        <f>IFERROR(INDEX($R$4:$R$3183,MATCH(SMALL($V$4:$V$3183,1517),$V$4:$V$3183,0)),"")</f>
        <v/>
      </c>
      <c r="F1520">
        <f>IFERROR(INDEX($S$4:$S$3183,MATCH(SMALL($V$4:$V$3183,1517),$V$4:$V$3183,0)),"")</f>
        <v/>
      </c>
      <c r="I1520" s="29">
        <f>IF($B1520="","",IFERROR(INDEX($U$4:$U$3183,MATCH(SMALL($V$4:$V$3183,1517),$V$4:$V$3183,0)),""))</f>
        <v/>
      </c>
      <c r="J1520">
        <f>IF($B1520="","",IF($D1520&gt;$F$2,"À venir",IF($E1520&lt;$D$2,"Passé","Dans la période")))</f>
        <v/>
      </c>
      <c r="K1520">
        <f>IF(OR($B1520="",NOT(ISNUMBER($D1520))),"",IF(AND($E1520&lt;$D$2,$G1520&lt;&gt;"X",$F1520&lt;&gt;"Réalisé",$F1520&lt;&gt;"Clôturé"),"RETARD",""))</f>
        <v/>
      </c>
      <c r="L1520">
        <f>IF(OR($B1520="",NOT(ISNUMBER($D1520))),"",IF(AND($D1520&gt;=$D$2,$D1520&lt;=$H$2,$G1520&lt;&gt;"X",$F1520&lt;&gt;"Réalisé",$F1520&lt;&gt;"Clôturé"),"≤ 7 j",""))</f>
        <v/>
      </c>
      <c r="M1520" s="29">
        <f>IF($B1520="","",IFERROR(INDEX($T$4:$T$3183,MATCH(SMALL($V$4:$V$3183,1517),$V$4:$V$3183,0)),""))</f>
        <v/>
      </c>
      <c r="O1520">
        <f>IF(INDEX(Suivi!$B:$B,1549)="","",INDEX(Suivi!$B:$B,1549))</f>
        <v/>
      </c>
      <c r="P1520">
        <f>IF($O1520="","",IF(INDEX(Suivi!$D:$D,1549)="",INDEX(Suivi!$C:$C,1549),INDEX(Suivi!$D:$D,1549)))</f>
        <v/>
      </c>
      <c r="Q1520">
        <f>IF($O1520="","",INDEX(Suivi!$E:$E,1549))</f>
        <v/>
      </c>
      <c r="R1520">
        <f>IF($O1520="","",INDEX(Suivi!$F:$F,1549))</f>
        <v/>
      </c>
      <c r="S1520">
        <f>IF($O1520="","",INDEX(Suivi!$G:$G,1549))</f>
        <v/>
      </c>
      <c r="T1520">
        <f>IF($O1520="","",IF(INDEX(Dossiers!$F$4:$F$63,29)="","",INDEX(Dossiers!$F$4:$F$63,29)))</f>
        <v/>
      </c>
      <c r="U1520">
        <f>IF($O1520="","",IF(INDEX(Dossiers!$G$4:$G$63,29)="","",INDEX(Dossiers!$G$4:$G$63,29)))</f>
        <v/>
      </c>
      <c r="V1520">
        <f>IF(OR($O1520="",NOT(ISNUMBER($Q1520))),"",$Q1520*1000000+1520)</f>
        <v/>
      </c>
      <c r="W1520" s="29">
        <f>IF($B1520="","",IFERROR(INDEX($U$4:$U$3183,MATCH(SMALL($V$4:$V$3183,1517),$V$4:$V$3183,0)),""))</f>
        <v/>
      </c>
    </row>
    <row r="1521">
      <c r="A1521">
        <f>IFERROR(INDEX($N$4:$N$3183,MATCH(SMALL($V$4:$V$3183,1518),$V$4:$V$3183,0)),"")</f>
        <v/>
      </c>
      <c r="B1521">
        <f>IFERROR(INDEX($O$4:$O$3183,MATCH(SMALL($V$4:$V$3183,1518),$V$4:$V$3183,0)),"")</f>
        <v/>
      </c>
      <c r="C1521">
        <f>IFERROR(INDEX($P$4:$P$3183,MATCH(SMALL($V$4:$V$3183,1518),$V$4:$V$3183,0)),"")</f>
        <v/>
      </c>
      <c r="D1521" s="29">
        <f>IFERROR(INDEX($Q$4:$Q$3183,MATCH(SMALL($V$4:$V$3183,1518),$V$4:$V$3183,0)),"")</f>
        <v/>
      </c>
      <c r="E1521" s="29">
        <f>IFERROR(INDEX($R$4:$R$3183,MATCH(SMALL($V$4:$V$3183,1518),$V$4:$V$3183,0)),"")</f>
        <v/>
      </c>
      <c r="F1521">
        <f>IFERROR(INDEX($S$4:$S$3183,MATCH(SMALL($V$4:$V$3183,1518),$V$4:$V$3183,0)),"")</f>
        <v/>
      </c>
      <c r="I1521" s="29">
        <f>IF($B1521="","",IFERROR(INDEX($U$4:$U$3183,MATCH(SMALL($V$4:$V$3183,1518),$V$4:$V$3183,0)),""))</f>
        <v/>
      </c>
      <c r="J1521">
        <f>IF($B1521="","",IF($D1521&gt;$F$2,"À venir",IF($E1521&lt;$D$2,"Passé","Dans la période")))</f>
        <v/>
      </c>
      <c r="K1521">
        <f>IF(OR($B1521="",NOT(ISNUMBER($D1521))),"",IF(AND($E1521&lt;$D$2,$G1521&lt;&gt;"X",$F1521&lt;&gt;"Réalisé",$F1521&lt;&gt;"Clôturé"),"RETARD",""))</f>
        <v/>
      </c>
      <c r="L1521">
        <f>IF(OR($B1521="",NOT(ISNUMBER($D1521))),"",IF(AND($D1521&gt;=$D$2,$D1521&lt;=$H$2,$G1521&lt;&gt;"X",$F1521&lt;&gt;"Réalisé",$F1521&lt;&gt;"Clôturé"),"≤ 7 j",""))</f>
        <v/>
      </c>
      <c r="M1521" s="29">
        <f>IF($B1521="","",IFERROR(INDEX($T$4:$T$3183,MATCH(SMALL($V$4:$V$3183,1518),$V$4:$V$3183,0)),""))</f>
        <v/>
      </c>
      <c r="O1521">
        <f>IF(INDEX(Suivi!$B:$B,1550)="","",INDEX(Suivi!$B:$B,1550))</f>
        <v/>
      </c>
      <c r="P1521">
        <f>IF($O1521="","",IF(INDEX(Suivi!$D:$D,1550)="",INDEX(Suivi!$C:$C,1550),INDEX(Suivi!$D:$D,1550)))</f>
        <v/>
      </c>
      <c r="Q1521">
        <f>IF($O1521="","",INDEX(Suivi!$E:$E,1550))</f>
        <v/>
      </c>
      <c r="R1521">
        <f>IF($O1521="","",INDEX(Suivi!$F:$F,1550))</f>
        <v/>
      </c>
      <c r="S1521">
        <f>IF($O1521="","",INDEX(Suivi!$G:$G,1550))</f>
        <v/>
      </c>
      <c r="T1521">
        <f>IF($O1521="","",IF(INDEX(Dossiers!$F$4:$F$63,29)="","",INDEX(Dossiers!$F$4:$F$63,29)))</f>
        <v/>
      </c>
      <c r="U1521">
        <f>IF($O1521="","",IF(INDEX(Dossiers!$G$4:$G$63,29)="","",INDEX(Dossiers!$G$4:$G$63,29)))</f>
        <v/>
      </c>
      <c r="V1521">
        <f>IF(OR($O1521="",NOT(ISNUMBER($Q1521))),"",$Q1521*1000000+1521)</f>
        <v/>
      </c>
      <c r="W1521" s="29">
        <f>IF($B1521="","",IFERROR(INDEX($U$4:$U$3183,MATCH(SMALL($V$4:$V$3183,1518),$V$4:$V$3183,0)),""))</f>
        <v/>
      </c>
    </row>
    <row r="1522">
      <c r="A1522">
        <f>IFERROR(INDEX($N$4:$N$3183,MATCH(SMALL($V$4:$V$3183,1519),$V$4:$V$3183,0)),"")</f>
        <v/>
      </c>
      <c r="B1522">
        <f>IFERROR(INDEX($O$4:$O$3183,MATCH(SMALL($V$4:$V$3183,1519),$V$4:$V$3183,0)),"")</f>
        <v/>
      </c>
      <c r="C1522">
        <f>IFERROR(INDEX($P$4:$P$3183,MATCH(SMALL($V$4:$V$3183,1519),$V$4:$V$3183,0)),"")</f>
        <v/>
      </c>
      <c r="D1522" s="29">
        <f>IFERROR(INDEX($Q$4:$Q$3183,MATCH(SMALL($V$4:$V$3183,1519),$V$4:$V$3183,0)),"")</f>
        <v/>
      </c>
      <c r="E1522" s="29">
        <f>IFERROR(INDEX($R$4:$R$3183,MATCH(SMALL($V$4:$V$3183,1519),$V$4:$V$3183,0)),"")</f>
        <v/>
      </c>
      <c r="F1522">
        <f>IFERROR(INDEX($S$4:$S$3183,MATCH(SMALL($V$4:$V$3183,1519),$V$4:$V$3183,0)),"")</f>
        <v/>
      </c>
      <c r="I1522" s="29">
        <f>IF($B1522="","",IFERROR(INDEX($U$4:$U$3183,MATCH(SMALL($V$4:$V$3183,1519),$V$4:$V$3183,0)),""))</f>
        <v/>
      </c>
      <c r="J1522">
        <f>IF($B1522="","",IF($D1522&gt;$F$2,"À venir",IF($E1522&lt;$D$2,"Passé","Dans la période")))</f>
        <v/>
      </c>
      <c r="K1522">
        <f>IF(OR($B1522="",NOT(ISNUMBER($D1522))),"",IF(AND($E1522&lt;$D$2,$G1522&lt;&gt;"X",$F1522&lt;&gt;"Réalisé",$F1522&lt;&gt;"Clôturé"),"RETARD",""))</f>
        <v/>
      </c>
      <c r="L1522">
        <f>IF(OR($B1522="",NOT(ISNUMBER($D1522))),"",IF(AND($D1522&gt;=$D$2,$D1522&lt;=$H$2,$G1522&lt;&gt;"X",$F1522&lt;&gt;"Réalisé",$F1522&lt;&gt;"Clôturé"),"≤ 7 j",""))</f>
        <v/>
      </c>
      <c r="M1522" s="29">
        <f>IF($B1522="","",IFERROR(INDEX($T$4:$T$3183,MATCH(SMALL($V$4:$V$3183,1519),$V$4:$V$3183,0)),""))</f>
        <v/>
      </c>
      <c r="O1522">
        <f>IF(INDEX(Suivi!$B:$B,1551)="","",INDEX(Suivi!$B:$B,1551))</f>
        <v/>
      </c>
      <c r="P1522">
        <f>IF($O1522="","",IF(INDEX(Suivi!$D:$D,1551)="",INDEX(Suivi!$C:$C,1551),INDEX(Suivi!$D:$D,1551)))</f>
        <v/>
      </c>
      <c r="Q1522">
        <f>IF($O1522="","",INDEX(Suivi!$E:$E,1551))</f>
        <v/>
      </c>
      <c r="R1522">
        <f>IF($O1522="","",INDEX(Suivi!$F:$F,1551))</f>
        <v/>
      </c>
      <c r="S1522">
        <f>IF($O1522="","",INDEX(Suivi!$G:$G,1551))</f>
        <v/>
      </c>
      <c r="T1522">
        <f>IF($O1522="","",IF(INDEX(Dossiers!$F$4:$F$63,29)="","",INDEX(Dossiers!$F$4:$F$63,29)))</f>
        <v/>
      </c>
      <c r="U1522">
        <f>IF($O1522="","",IF(INDEX(Dossiers!$G$4:$G$63,29)="","",INDEX(Dossiers!$G$4:$G$63,29)))</f>
        <v/>
      </c>
      <c r="V1522">
        <f>IF(OR($O1522="",NOT(ISNUMBER($Q1522))),"",$Q1522*1000000+1522)</f>
        <v/>
      </c>
      <c r="W1522" s="29">
        <f>IF($B1522="","",IFERROR(INDEX($U$4:$U$3183,MATCH(SMALL($V$4:$V$3183,1519),$V$4:$V$3183,0)),""))</f>
        <v/>
      </c>
    </row>
    <row r="1523">
      <c r="A1523">
        <f>IFERROR(INDEX($N$4:$N$3183,MATCH(SMALL($V$4:$V$3183,1520),$V$4:$V$3183,0)),"")</f>
        <v/>
      </c>
      <c r="B1523">
        <f>IFERROR(INDEX($O$4:$O$3183,MATCH(SMALL($V$4:$V$3183,1520),$V$4:$V$3183,0)),"")</f>
        <v/>
      </c>
      <c r="C1523">
        <f>IFERROR(INDEX($P$4:$P$3183,MATCH(SMALL($V$4:$V$3183,1520),$V$4:$V$3183,0)),"")</f>
        <v/>
      </c>
      <c r="D1523" s="29">
        <f>IFERROR(INDEX($Q$4:$Q$3183,MATCH(SMALL($V$4:$V$3183,1520),$V$4:$V$3183,0)),"")</f>
        <v/>
      </c>
      <c r="E1523" s="29">
        <f>IFERROR(INDEX($R$4:$R$3183,MATCH(SMALL($V$4:$V$3183,1520),$V$4:$V$3183,0)),"")</f>
        <v/>
      </c>
      <c r="F1523">
        <f>IFERROR(INDEX($S$4:$S$3183,MATCH(SMALL($V$4:$V$3183,1520),$V$4:$V$3183,0)),"")</f>
        <v/>
      </c>
      <c r="I1523" s="29">
        <f>IF($B1523="","",IFERROR(INDEX($U$4:$U$3183,MATCH(SMALL($V$4:$V$3183,1520),$V$4:$V$3183,0)),""))</f>
        <v/>
      </c>
      <c r="J1523">
        <f>IF($B1523="","",IF($D1523&gt;$F$2,"À venir",IF($E1523&lt;$D$2,"Passé","Dans la période")))</f>
        <v/>
      </c>
      <c r="K1523">
        <f>IF(OR($B1523="",NOT(ISNUMBER($D1523))),"",IF(AND($E1523&lt;$D$2,$G1523&lt;&gt;"X",$F1523&lt;&gt;"Réalisé",$F1523&lt;&gt;"Clôturé"),"RETARD",""))</f>
        <v/>
      </c>
      <c r="L1523">
        <f>IF(OR($B1523="",NOT(ISNUMBER($D1523))),"",IF(AND($D1523&gt;=$D$2,$D1523&lt;=$H$2,$G1523&lt;&gt;"X",$F1523&lt;&gt;"Réalisé",$F1523&lt;&gt;"Clôturé"),"≤ 7 j",""))</f>
        <v/>
      </c>
      <c r="M1523" s="29">
        <f>IF($B1523="","",IFERROR(INDEX($T$4:$T$3183,MATCH(SMALL($V$4:$V$3183,1520),$V$4:$V$3183,0)),""))</f>
        <v/>
      </c>
      <c r="O1523">
        <f>IF(INDEX(Suivi!$B:$B,1552)="","",INDEX(Suivi!$B:$B,1552))</f>
        <v/>
      </c>
      <c r="P1523">
        <f>IF($O1523="","",IF(INDEX(Suivi!$D:$D,1552)="",INDEX(Suivi!$C:$C,1552),INDEX(Suivi!$D:$D,1552)))</f>
        <v/>
      </c>
      <c r="Q1523">
        <f>IF($O1523="","",INDEX(Suivi!$E:$E,1552))</f>
        <v/>
      </c>
      <c r="R1523">
        <f>IF($O1523="","",INDEX(Suivi!$F:$F,1552))</f>
        <v/>
      </c>
      <c r="S1523">
        <f>IF($O1523="","",INDEX(Suivi!$G:$G,1552))</f>
        <v/>
      </c>
      <c r="T1523">
        <f>IF($O1523="","",IF(INDEX(Dossiers!$F$4:$F$63,29)="","",INDEX(Dossiers!$F$4:$F$63,29)))</f>
        <v/>
      </c>
      <c r="U1523">
        <f>IF($O1523="","",IF(INDEX(Dossiers!$G$4:$G$63,29)="","",INDEX(Dossiers!$G$4:$G$63,29)))</f>
        <v/>
      </c>
      <c r="V1523">
        <f>IF(OR($O1523="",NOT(ISNUMBER($Q1523))),"",$Q1523*1000000+1523)</f>
        <v/>
      </c>
      <c r="W1523" s="29">
        <f>IF($B1523="","",IFERROR(INDEX($U$4:$U$3183,MATCH(SMALL($V$4:$V$3183,1520),$V$4:$V$3183,0)),""))</f>
        <v/>
      </c>
    </row>
    <row r="1524">
      <c r="A1524">
        <f>IFERROR(INDEX($N$4:$N$3183,MATCH(SMALL($V$4:$V$3183,1521),$V$4:$V$3183,0)),"")</f>
        <v/>
      </c>
      <c r="B1524">
        <f>IFERROR(INDEX($O$4:$O$3183,MATCH(SMALL($V$4:$V$3183,1521),$V$4:$V$3183,0)),"")</f>
        <v/>
      </c>
      <c r="C1524">
        <f>IFERROR(INDEX($P$4:$P$3183,MATCH(SMALL($V$4:$V$3183,1521),$V$4:$V$3183,0)),"")</f>
        <v/>
      </c>
      <c r="D1524" s="29">
        <f>IFERROR(INDEX($Q$4:$Q$3183,MATCH(SMALL($V$4:$V$3183,1521),$V$4:$V$3183,0)),"")</f>
        <v/>
      </c>
      <c r="E1524" s="29">
        <f>IFERROR(INDEX($R$4:$R$3183,MATCH(SMALL($V$4:$V$3183,1521),$V$4:$V$3183,0)),"")</f>
        <v/>
      </c>
      <c r="F1524">
        <f>IFERROR(INDEX($S$4:$S$3183,MATCH(SMALL($V$4:$V$3183,1521),$V$4:$V$3183,0)),"")</f>
        <v/>
      </c>
      <c r="I1524" s="29">
        <f>IF($B1524="","",IFERROR(INDEX($U$4:$U$3183,MATCH(SMALL($V$4:$V$3183,1521),$V$4:$V$3183,0)),""))</f>
        <v/>
      </c>
      <c r="J1524">
        <f>IF($B1524="","",IF($D1524&gt;$F$2,"À venir",IF($E1524&lt;$D$2,"Passé","Dans la période")))</f>
        <v/>
      </c>
      <c r="K1524">
        <f>IF(OR($B1524="",NOT(ISNUMBER($D1524))),"",IF(AND($E1524&lt;$D$2,$G1524&lt;&gt;"X",$F1524&lt;&gt;"Réalisé",$F1524&lt;&gt;"Clôturé"),"RETARD",""))</f>
        <v/>
      </c>
      <c r="L1524">
        <f>IF(OR($B1524="",NOT(ISNUMBER($D1524))),"",IF(AND($D1524&gt;=$D$2,$D1524&lt;=$H$2,$G1524&lt;&gt;"X",$F1524&lt;&gt;"Réalisé",$F1524&lt;&gt;"Clôturé"),"≤ 7 j",""))</f>
        <v/>
      </c>
      <c r="M1524" s="29">
        <f>IF($B1524="","",IFERROR(INDEX($T$4:$T$3183,MATCH(SMALL($V$4:$V$3183,1521),$V$4:$V$3183,0)),""))</f>
        <v/>
      </c>
      <c r="O1524">
        <f>IF(INDEX(Suivi!$B:$B,1553)="","",INDEX(Suivi!$B:$B,1553))</f>
        <v/>
      </c>
      <c r="P1524">
        <f>IF($O1524="","",IF(INDEX(Suivi!$D:$D,1553)="",INDEX(Suivi!$C:$C,1553),INDEX(Suivi!$D:$D,1553)))</f>
        <v/>
      </c>
      <c r="Q1524">
        <f>IF($O1524="","",INDEX(Suivi!$E:$E,1553))</f>
        <v/>
      </c>
      <c r="R1524">
        <f>IF($O1524="","",INDEX(Suivi!$F:$F,1553))</f>
        <v/>
      </c>
      <c r="S1524">
        <f>IF($O1524="","",INDEX(Suivi!$G:$G,1553))</f>
        <v/>
      </c>
      <c r="T1524">
        <f>IF($O1524="","",IF(INDEX(Dossiers!$F$4:$F$63,29)="","",INDEX(Dossiers!$F$4:$F$63,29)))</f>
        <v/>
      </c>
      <c r="U1524">
        <f>IF($O1524="","",IF(INDEX(Dossiers!$G$4:$G$63,29)="","",INDEX(Dossiers!$G$4:$G$63,29)))</f>
        <v/>
      </c>
      <c r="V1524">
        <f>IF(OR($O1524="",NOT(ISNUMBER($Q1524))),"",$Q1524*1000000+1524)</f>
        <v/>
      </c>
      <c r="W1524" s="29">
        <f>IF($B1524="","",IFERROR(INDEX($U$4:$U$3183,MATCH(SMALL($V$4:$V$3183,1521),$V$4:$V$3183,0)),""))</f>
        <v/>
      </c>
    </row>
    <row r="1525">
      <c r="A1525">
        <f>IFERROR(INDEX($N$4:$N$3183,MATCH(SMALL($V$4:$V$3183,1522),$V$4:$V$3183,0)),"")</f>
        <v/>
      </c>
      <c r="B1525">
        <f>IFERROR(INDEX($O$4:$O$3183,MATCH(SMALL($V$4:$V$3183,1522),$V$4:$V$3183,0)),"")</f>
        <v/>
      </c>
      <c r="C1525">
        <f>IFERROR(INDEX($P$4:$P$3183,MATCH(SMALL($V$4:$V$3183,1522),$V$4:$V$3183,0)),"")</f>
        <v/>
      </c>
      <c r="D1525" s="29">
        <f>IFERROR(INDEX($Q$4:$Q$3183,MATCH(SMALL($V$4:$V$3183,1522),$V$4:$V$3183,0)),"")</f>
        <v/>
      </c>
      <c r="E1525" s="29">
        <f>IFERROR(INDEX($R$4:$R$3183,MATCH(SMALL($V$4:$V$3183,1522),$V$4:$V$3183,0)),"")</f>
        <v/>
      </c>
      <c r="F1525">
        <f>IFERROR(INDEX($S$4:$S$3183,MATCH(SMALL($V$4:$V$3183,1522),$V$4:$V$3183,0)),"")</f>
        <v/>
      </c>
      <c r="I1525" s="29">
        <f>IF($B1525="","",IFERROR(INDEX($U$4:$U$3183,MATCH(SMALL($V$4:$V$3183,1522),$V$4:$V$3183,0)),""))</f>
        <v/>
      </c>
      <c r="J1525">
        <f>IF($B1525="","",IF($D1525&gt;$F$2,"À venir",IF($E1525&lt;$D$2,"Passé","Dans la période")))</f>
        <v/>
      </c>
      <c r="K1525">
        <f>IF(OR($B1525="",NOT(ISNUMBER($D1525))),"",IF(AND($E1525&lt;$D$2,$G1525&lt;&gt;"X",$F1525&lt;&gt;"Réalisé",$F1525&lt;&gt;"Clôturé"),"RETARD",""))</f>
        <v/>
      </c>
      <c r="L1525">
        <f>IF(OR($B1525="",NOT(ISNUMBER($D1525))),"",IF(AND($D1525&gt;=$D$2,$D1525&lt;=$H$2,$G1525&lt;&gt;"X",$F1525&lt;&gt;"Réalisé",$F1525&lt;&gt;"Clôturé"),"≤ 7 j",""))</f>
        <v/>
      </c>
      <c r="M1525" s="29">
        <f>IF($B1525="","",IFERROR(INDEX($T$4:$T$3183,MATCH(SMALL($V$4:$V$3183,1522),$V$4:$V$3183,0)),""))</f>
        <v/>
      </c>
      <c r="O1525">
        <f>IF(INDEX(Suivi!$B:$B,1554)="","",INDEX(Suivi!$B:$B,1554))</f>
        <v/>
      </c>
      <c r="P1525">
        <f>IF($O1525="","",IF(INDEX(Suivi!$D:$D,1554)="",INDEX(Suivi!$C:$C,1554),INDEX(Suivi!$D:$D,1554)))</f>
        <v/>
      </c>
      <c r="Q1525">
        <f>IF($O1525="","",INDEX(Suivi!$E:$E,1554))</f>
        <v/>
      </c>
      <c r="R1525">
        <f>IF($O1525="","",INDEX(Suivi!$F:$F,1554))</f>
        <v/>
      </c>
      <c r="S1525">
        <f>IF($O1525="","",INDEX(Suivi!$G:$G,1554))</f>
        <v/>
      </c>
      <c r="T1525">
        <f>IF($O1525="","",IF(INDEX(Dossiers!$F$4:$F$63,29)="","",INDEX(Dossiers!$F$4:$F$63,29)))</f>
        <v/>
      </c>
      <c r="U1525">
        <f>IF($O1525="","",IF(INDEX(Dossiers!$G$4:$G$63,29)="","",INDEX(Dossiers!$G$4:$G$63,29)))</f>
        <v/>
      </c>
      <c r="V1525">
        <f>IF(OR($O1525="",NOT(ISNUMBER($Q1525))),"",$Q1525*1000000+1525)</f>
        <v/>
      </c>
      <c r="W1525" s="29">
        <f>IF($B1525="","",IFERROR(INDEX($U$4:$U$3183,MATCH(SMALL($V$4:$V$3183,1522),$V$4:$V$3183,0)),""))</f>
        <v/>
      </c>
    </row>
    <row r="1526">
      <c r="A1526">
        <f>IFERROR(INDEX($N$4:$N$3183,MATCH(SMALL($V$4:$V$3183,1523),$V$4:$V$3183,0)),"")</f>
        <v/>
      </c>
      <c r="B1526">
        <f>IFERROR(INDEX($O$4:$O$3183,MATCH(SMALL($V$4:$V$3183,1523),$V$4:$V$3183,0)),"")</f>
        <v/>
      </c>
      <c r="C1526">
        <f>IFERROR(INDEX($P$4:$P$3183,MATCH(SMALL($V$4:$V$3183,1523),$V$4:$V$3183,0)),"")</f>
        <v/>
      </c>
      <c r="D1526" s="29">
        <f>IFERROR(INDEX($Q$4:$Q$3183,MATCH(SMALL($V$4:$V$3183,1523),$V$4:$V$3183,0)),"")</f>
        <v/>
      </c>
      <c r="E1526" s="29">
        <f>IFERROR(INDEX($R$4:$R$3183,MATCH(SMALL($V$4:$V$3183,1523),$V$4:$V$3183,0)),"")</f>
        <v/>
      </c>
      <c r="F1526">
        <f>IFERROR(INDEX($S$4:$S$3183,MATCH(SMALL($V$4:$V$3183,1523),$V$4:$V$3183,0)),"")</f>
        <v/>
      </c>
      <c r="I1526" s="29">
        <f>IF($B1526="","",IFERROR(INDEX($U$4:$U$3183,MATCH(SMALL($V$4:$V$3183,1523),$V$4:$V$3183,0)),""))</f>
        <v/>
      </c>
      <c r="J1526">
        <f>IF($B1526="","",IF($D1526&gt;$F$2,"À venir",IF($E1526&lt;$D$2,"Passé","Dans la période")))</f>
        <v/>
      </c>
      <c r="K1526">
        <f>IF(OR($B1526="",NOT(ISNUMBER($D1526))),"",IF(AND($E1526&lt;$D$2,$G1526&lt;&gt;"X",$F1526&lt;&gt;"Réalisé",$F1526&lt;&gt;"Clôturé"),"RETARD",""))</f>
        <v/>
      </c>
      <c r="L1526">
        <f>IF(OR($B1526="",NOT(ISNUMBER($D1526))),"",IF(AND($D1526&gt;=$D$2,$D1526&lt;=$H$2,$G1526&lt;&gt;"X",$F1526&lt;&gt;"Réalisé",$F1526&lt;&gt;"Clôturé"),"≤ 7 j",""))</f>
        <v/>
      </c>
      <c r="M1526" s="29">
        <f>IF($B1526="","",IFERROR(INDEX($T$4:$T$3183,MATCH(SMALL($V$4:$V$3183,1523),$V$4:$V$3183,0)),""))</f>
        <v/>
      </c>
      <c r="O1526">
        <f>IF(INDEX(Suivi!$B:$B,1555)="","",INDEX(Suivi!$B:$B,1555))</f>
        <v/>
      </c>
      <c r="P1526">
        <f>IF($O1526="","",IF(INDEX(Suivi!$D:$D,1555)="",INDEX(Suivi!$C:$C,1555),INDEX(Suivi!$D:$D,1555)))</f>
        <v/>
      </c>
      <c r="Q1526">
        <f>IF($O1526="","",INDEX(Suivi!$E:$E,1555))</f>
        <v/>
      </c>
      <c r="R1526">
        <f>IF($O1526="","",INDEX(Suivi!$F:$F,1555))</f>
        <v/>
      </c>
      <c r="S1526">
        <f>IF($O1526="","",INDEX(Suivi!$G:$G,1555))</f>
        <v/>
      </c>
      <c r="T1526">
        <f>IF($O1526="","",IF(INDEX(Dossiers!$F$4:$F$63,29)="","",INDEX(Dossiers!$F$4:$F$63,29)))</f>
        <v/>
      </c>
      <c r="U1526">
        <f>IF($O1526="","",IF(INDEX(Dossiers!$G$4:$G$63,29)="","",INDEX(Dossiers!$G$4:$G$63,29)))</f>
        <v/>
      </c>
      <c r="V1526">
        <f>IF(OR($O1526="",NOT(ISNUMBER($Q1526))),"",$Q1526*1000000+1526)</f>
        <v/>
      </c>
      <c r="W1526" s="29">
        <f>IF($B1526="","",IFERROR(INDEX($U$4:$U$3183,MATCH(SMALL($V$4:$V$3183,1523),$V$4:$V$3183,0)),""))</f>
        <v/>
      </c>
    </row>
    <row r="1527">
      <c r="A1527">
        <f>IFERROR(INDEX($N$4:$N$3183,MATCH(SMALL($V$4:$V$3183,1524),$V$4:$V$3183,0)),"")</f>
        <v/>
      </c>
      <c r="B1527">
        <f>IFERROR(INDEX($O$4:$O$3183,MATCH(SMALL($V$4:$V$3183,1524),$V$4:$V$3183,0)),"")</f>
        <v/>
      </c>
      <c r="C1527">
        <f>IFERROR(INDEX($P$4:$P$3183,MATCH(SMALL($V$4:$V$3183,1524),$V$4:$V$3183,0)),"")</f>
        <v/>
      </c>
      <c r="D1527" s="29">
        <f>IFERROR(INDEX($Q$4:$Q$3183,MATCH(SMALL($V$4:$V$3183,1524),$V$4:$V$3183,0)),"")</f>
        <v/>
      </c>
      <c r="E1527" s="29">
        <f>IFERROR(INDEX($R$4:$R$3183,MATCH(SMALL($V$4:$V$3183,1524),$V$4:$V$3183,0)),"")</f>
        <v/>
      </c>
      <c r="F1527">
        <f>IFERROR(INDEX($S$4:$S$3183,MATCH(SMALL($V$4:$V$3183,1524),$V$4:$V$3183,0)),"")</f>
        <v/>
      </c>
      <c r="I1527" s="29">
        <f>IF($B1527="","",IFERROR(INDEX($U$4:$U$3183,MATCH(SMALL($V$4:$V$3183,1524),$V$4:$V$3183,0)),""))</f>
        <v/>
      </c>
      <c r="J1527">
        <f>IF($B1527="","",IF($D1527&gt;$F$2,"À venir",IF($E1527&lt;$D$2,"Passé","Dans la période")))</f>
        <v/>
      </c>
      <c r="K1527">
        <f>IF(OR($B1527="",NOT(ISNUMBER($D1527))),"",IF(AND($E1527&lt;$D$2,$G1527&lt;&gt;"X",$F1527&lt;&gt;"Réalisé",$F1527&lt;&gt;"Clôturé"),"RETARD",""))</f>
        <v/>
      </c>
      <c r="L1527">
        <f>IF(OR($B1527="",NOT(ISNUMBER($D1527))),"",IF(AND($D1527&gt;=$D$2,$D1527&lt;=$H$2,$G1527&lt;&gt;"X",$F1527&lt;&gt;"Réalisé",$F1527&lt;&gt;"Clôturé"),"≤ 7 j",""))</f>
        <v/>
      </c>
      <c r="M1527" s="29">
        <f>IF($B1527="","",IFERROR(INDEX($T$4:$T$3183,MATCH(SMALL($V$4:$V$3183,1524),$V$4:$V$3183,0)),""))</f>
        <v/>
      </c>
      <c r="O1527">
        <f>IF(INDEX(Suivi!$B:$B,1556)="","",INDEX(Suivi!$B:$B,1556))</f>
        <v/>
      </c>
      <c r="P1527">
        <f>IF($O1527="","",IF(INDEX(Suivi!$D:$D,1556)="",INDEX(Suivi!$C:$C,1556),INDEX(Suivi!$D:$D,1556)))</f>
        <v/>
      </c>
      <c r="Q1527">
        <f>IF($O1527="","",INDEX(Suivi!$E:$E,1556))</f>
        <v/>
      </c>
      <c r="R1527">
        <f>IF($O1527="","",INDEX(Suivi!$F:$F,1556))</f>
        <v/>
      </c>
      <c r="S1527">
        <f>IF($O1527="","",INDEX(Suivi!$G:$G,1556))</f>
        <v/>
      </c>
      <c r="T1527">
        <f>IF($O1527="","",IF(INDEX(Dossiers!$F$4:$F$63,29)="","",INDEX(Dossiers!$F$4:$F$63,29)))</f>
        <v/>
      </c>
      <c r="U1527">
        <f>IF($O1527="","",IF(INDEX(Dossiers!$G$4:$G$63,29)="","",INDEX(Dossiers!$G$4:$G$63,29)))</f>
        <v/>
      </c>
      <c r="V1527">
        <f>IF(OR($O1527="",NOT(ISNUMBER($Q1527))),"",$Q1527*1000000+1527)</f>
        <v/>
      </c>
      <c r="W1527" s="29">
        <f>IF($B1527="","",IFERROR(INDEX($U$4:$U$3183,MATCH(SMALL($V$4:$V$3183,1524),$V$4:$V$3183,0)),""))</f>
        <v/>
      </c>
    </row>
    <row r="1528">
      <c r="A1528">
        <f>IFERROR(INDEX($N$4:$N$3183,MATCH(SMALL($V$4:$V$3183,1525),$V$4:$V$3183,0)),"")</f>
        <v/>
      </c>
      <c r="B1528">
        <f>IFERROR(INDEX($O$4:$O$3183,MATCH(SMALL($V$4:$V$3183,1525),$V$4:$V$3183,0)),"")</f>
        <v/>
      </c>
      <c r="C1528">
        <f>IFERROR(INDEX($P$4:$P$3183,MATCH(SMALL($V$4:$V$3183,1525),$V$4:$V$3183,0)),"")</f>
        <v/>
      </c>
      <c r="D1528" s="29">
        <f>IFERROR(INDEX($Q$4:$Q$3183,MATCH(SMALL($V$4:$V$3183,1525),$V$4:$V$3183,0)),"")</f>
        <v/>
      </c>
      <c r="E1528" s="29">
        <f>IFERROR(INDEX($R$4:$R$3183,MATCH(SMALL($V$4:$V$3183,1525),$V$4:$V$3183,0)),"")</f>
        <v/>
      </c>
      <c r="F1528">
        <f>IFERROR(INDEX($S$4:$S$3183,MATCH(SMALL($V$4:$V$3183,1525),$V$4:$V$3183,0)),"")</f>
        <v/>
      </c>
      <c r="I1528" s="29">
        <f>IF($B1528="","",IFERROR(INDEX($U$4:$U$3183,MATCH(SMALL($V$4:$V$3183,1525),$V$4:$V$3183,0)),""))</f>
        <v/>
      </c>
      <c r="J1528">
        <f>IF($B1528="","",IF($D1528&gt;$F$2,"À venir",IF($E1528&lt;$D$2,"Passé","Dans la période")))</f>
        <v/>
      </c>
      <c r="K1528">
        <f>IF(OR($B1528="",NOT(ISNUMBER($D1528))),"",IF(AND($E1528&lt;$D$2,$G1528&lt;&gt;"X",$F1528&lt;&gt;"Réalisé",$F1528&lt;&gt;"Clôturé"),"RETARD",""))</f>
        <v/>
      </c>
      <c r="L1528">
        <f>IF(OR($B1528="",NOT(ISNUMBER($D1528))),"",IF(AND($D1528&gt;=$D$2,$D1528&lt;=$H$2,$G1528&lt;&gt;"X",$F1528&lt;&gt;"Réalisé",$F1528&lt;&gt;"Clôturé"),"≤ 7 j",""))</f>
        <v/>
      </c>
      <c r="M1528" s="29">
        <f>IF($B1528="","",IFERROR(INDEX($T$4:$T$3183,MATCH(SMALL($V$4:$V$3183,1525),$V$4:$V$3183,0)),""))</f>
        <v/>
      </c>
      <c r="O1528">
        <f>IF(INDEX(Suivi!$B:$B,1557)="","",INDEX(Suivi!$B:$B,1557))</f>
        <v/>
      </c>
      <c r="P1528">
        <f>IF($O1528="","",IF(INDEX(Suivi!$D:$D,1557)="",INDEX(Suivi!$C:$C,1557),INDEX(Suivi!$D:$D,1557)))</f>
        <v/>
      </c>
      <c r="Q1528">
        <f>IF($O1528="","",INDEX(Suivi!$E:$E,1557))</f>
        <v/>
      </c>
      <c r="R1528">
        <f>IF($O1528="","",INDEX(Suivi!$F:$F,1557))</f>
        <v/>
      </c>
      <c r="S1528">
        <f>IF($O1528="","",INDEX(Suivi!$G:$G,1557))</f>
        <v/>
      </c>
      <c r="T1528">
        <f>IF($O1528="","",IF(INDEX(Dossiers!$F$4:$F$63,29)="","",INDEX(Dossiers!$F$4:$F$63,29)))</f>
        <v/>
      </c>
      <c r="U1528">
        <f>IF($O1528="","",IF(INDEX(Dossiers!$G$4:$G$63,29)="","",INDEX(Dossiers!$G$4:$G$63,29)))</f>
        <v/>
      </c>
      <c r="V1528">
        <f>IF(OR($O1528="",NOT(ISNUMBER($Q1528))),"",$Q1528*1000000+1528)</f>
        <v/>
      </c>
      <c r="W1528" s="29">
        <f>IF($B1528="","",IFERROR(INDEX($U$4:$U$3183,MATCH(SMALL($V$4:$V$3183,1525),$V$4:$V$3183,0)),""))</f>
        <v/>
      </c>
    </row>
    <row r="1529">
      <c r="A1529">
        <f>IFERROR(INDEX($N$4:$N$3183,MATCH(SMALL($V$4:$V$3183,1526),$V$4:$V$3183,0)),"")</f>
        <v/>
      </c>
      <c r="B1529">
        <f>IFERROR(INDEX($O$4:$O$3183,MATCH(SMALL($V$4:$V$3183,1526),$V$4:$V$3183,0)),"")</f>
        <v/>
      </c>
      <c r="C1529">
        <f>IFERROR(INDEX($P$4:$P$3183,MATCH(SMALL($V$4:$V$3183,1526),$V$4:$V$3183,0)),"")</f>
        <v/>
      </c>
      <c r="D1529" s="29">
        <f>IFERROR(INDEX($Q$4:$Q$3183,MATCH(SMALL($V$4:$V$3183,1526),$V$4:$V$3183,0)),"")</f>
        <v/>
      </c>
      <c r="E1529" s="29">
        <f>IFERROR(INDEX($R$4:$R$3183,MATCH(SMALL($V$4:$V$3183,1526),$V$4:$V$3183,0)),"")</f>
        <v/>
      </c>
      <c r="F1529">
        <f>IFERROR(INDEX($S$4:$S$3183,MATCH(SMALL($V$4:$V$3183,1526),$V$4:$V$3183,0)),"")</f>
        <v/>
      </c>
      <c r="I1529" s="29">
        <f>IF($B1529="","",IFERROR(INDEX($U$4:$U$3183,MATCH(SMALL($V$4:$V$3183,1526),$V$4:$V$3183,0)),""))</f>
        <v/>
      </c>
      <c r="J1529">
        <f>IF($B1529="","",IF($D1529&gt;$F$2,"À venir",IF($E1529&lt;$D$2,"Passé","Dans la période")))</f>
        <v/>
      </c>
      <c r="K1529">
        <f>IF(OR($B1529="",NOT(ISNUMBER($D1529))),"",IF(AND($E1529&lt;$D$2,$G1529&lt;&gt;"X",$F1529&lt;&gt;"Réalisé",$F1529&lt;&gt;"Clôturé"),"RETARD",""))</f>
        <v/>
      </c>
      <c r="L1529">
        <f>IF(OR($B1529="",NOT(ISNUMBER($D1529))),"",IF(AND($D1529&gt;=$D$2,$D1529&lt;=$H$2,$G1529&lt;&gt;"X",$F1529&lt;&gt;"Réalisé",$F1529&lt;&gt;"Clôturé"),"≤ 7 j",""))</f>
        <v/>
      </c>
      <c r="M1529" s="29">
        <f>IF($B1529="","",IFERROR(INDEX($T$4:$T$3183,MATCH(SMALL($V$4:$V$3183,1526),$V$4:$V$3183,0)),""))</f>
        <v/>
      </c>
      <c r="O1529">
        <f>IF(INDEX(Suivi!$B:$B,1558)="","",INDEX(Suivi!$B:$B,1558))</f>
        <v/>
      </c>
      <c r="P1529">
        <f>IF($O1529="","",IF(INDEX(Suivi!$D:$D,1558)="",INDEX(Suivi!$C:$C,1558),INDEX(Suivi!$D:$D,1558)))</f>
        <v/>
      </c>
      <c r="Q1529">
        <f>IF($O1529="","",INDEX(Suivi!$E:$E,1558))</f>
        <v/>
      </c>
      <c r="R1529">
        <f>IF($O1529="","",INDEX(Suivi!$F:$F,1558))</f>
        <v/>
      </c>
      <c r="S1529">
        <f>IF($O1529="","",INDEX(Suivi!$G:$G,1558))</f>
        <v/>
      </c>
      <c r="T1529">
        <f>IF($O1529="","",IF(INDEX(Dossiers!$F$4:$F$63,29)="","",INDEX(Dossiers!$F$4:$F$63,29)))</f>
        <v/>
      </c>
      <c r="U1529">
        <f>IF($O1529="","",IF(INDEX(Dossiers!$G$4:$G$63,29)="","",INDEX(Dossiers!$G$4:$G$63,29)))</f>
        <v/>
      </c>
      <c r="V1529">
        <f>IF(OR($O1529="",NOT(ISNUMBER($Q1529))),"",$Q1529*1000000+1529)</f>
        <v/>
      </c>
      <c r="W1529" s="29">
        <f>IF($B1529="","",IFERROR(INDEX($U$4:$U$3183,MATCH(SMALL($V$4:$V$3183,1526),$V$4:$V$3183,0)),""))</f>
        <v/>
      </c>
    </row>
    <row r="1530">
      <c r="A1530">
        <f>IFERROR(INDEX($N$4:$N$3183,MATCH(SMALL($V$4:$V$3183,1527),$V$4:$V$3183,0)),"")</f>
        <v/>
      </c>
      <c r="B1530">
        <f>IFERROR(INDEX($O$4:$O$3183,MATCH(SMALL($V$4:$V$3183,1527),$V$4:$V$3183,0)),"")</f>
        <v/>
      </c>
      <c r="C1530">
        <f>IFERROR(INDEX($P$4:$P$3183,MATCH(SMALL($V$4:$V$3183,1527),$V$4:$V$3183,0)),"")</f>
        <v/>
      </c>
      <c r="D1530" s="29">
        <f>IFERROR(INDEX($Q$4:$Q$3183,MATCH(SMALL($V$4:$V$3183,1527),$V$4:$V$3183,0)),"")</f>
        <v/>
      </c>
      <c r="E1530" s="29">
        <f>IFERROR(INDEX($R$4:$R$3183,MATCH(SMALL($V$4:$V$3183,1527),$V$4:$V$3183,0)),"")</f>
        <v/>
      </c>
      <c r="F1530">
        <f>IFERROR(INDEX($S$4:$S$3183,MATCH(SMALL($V$4:$V$3183,1527),$V$4:$V$3183,0)),"")</f>
        <v/>
      </c>
      <c r="I1530" s="29">
        <f>IF($B1530="","",IFERROR(INDEX($U$4:$U$3183,MATCH(SMALL($V$4:$V$3183,1527),$V$4:$V$3183,0)),""))</f>
        <v/>
      </c>
      <c r="J1530">
        <f>IF($B1530="","",IF($D1530&gt;$F$2,"À venir",IF($E1530&lt;$D$2,"Passé","Dans la période")))</f>
        <v/>
      </c>
      <c r="K1530">
        <f>IF(OR($B1530="",NOT(ISNUMBER($D1530))),"",IF(AND($E1530&lt;$D$2,$G1530&lt;&gt;"X",$F1530&lt;&gt;"Réalisé",$F1530&lt;&gt;"Clôturé"),"RETARD",""))</f>
        <v/>
      </c>
      <c r="L1530">
        <f>IF(OR($B1530="",NOT(ISNUMBER($D1530))),"",IF(AND($D1530&gt;=$D$2,$D1530&lt;=$H$2,$G1530&lt;&gt;"X",$F1530&lt;&gt;"Réalisé",$F1530&lt;&gt;"Clôturé"),"≤ 7 j",""))</f>
        <v/>
      </c>
      <c r="M1530" s="29">
        <f>IF($B1530="","",IFERROR(INDEX($T$4:$T$3183,MATCH(SMALL($V$4:$V$3183,1527),$V$4:$V$3183,0)),""))</f>
        <v/>
      </c>
      <c r="O1530">
        <f>IF(INDEX(Suivi!$B:$B,1559)="","",INDEX(Suivi!$B:$B,1559))</f>
        <v/>
      </c>
      <c r="P1530">
        <f>IF($O1530="","",IF(INDEX(Suivi!$D:$D,1559)="",INDEX(Suivi!$C:$C,1559),INDEX(Suivi!$D:$D,1559)))</f>
        <v/>
      </c>
      <c r="Q1530">
        <f>IF($O1530="","",INDEX(Suivi!$E:$E,1559))</f>
        <v/>
      </c>
      <c r="R1530">
        <f>IF($O1530="","",INDEX(Suivi!$F:$F,1559))</f>
        <v/>
      </c>
      <c r="S1530">
        <f>IF($O1530="","",INDEX(Suivi!$G:$G,1559))</f>
        <v/>
      </c>
      <c r="T1530">
        <f>IF($O1530="","",IF(INDEX(Dossiers!$F$4:$F$63,29)="","",INDEX(Dossiers!$F$4:$F$63,29)))</f>
        <v/>
      </c>
      <c r="U1530">
        <f>IF($O1530="","",IF(INDEX(Dossiers!$G$4:$G$63,29)="","",INDEX(Dossiers!$G$4:$G$63,29)))</f>
        <v/>
      </c>
      <c r="V1530">
        <f>IF(OR($O1530="",NOT(ISNUMBER($Q1530))),"",$Q1530*1000000+1530)</f>
        <v/>
      </c>
      <c r="W1530" s="29">
        <f>IF($B1530="","",IFERROR(INDEX($U$4:$U$3183,MATCH(SMALL($V$4:$V$3183,1527),$V$4:$V$3183,0)),""))</f>
        <v/>
      </c>
    </row>
    <row r="1531">
      <c r="A1531">
        <f>IFERROR(INDEX($N$4:$N$3183,MATCH(SMALL($V$4:$V$3183,1528),$V$4:$V$3183,0)),"")</f>
        <v/>
      </c>
      <c r="B1531">
        <f>IFERROR(INDEX($O$4:$O$3183,MATCH(SMALL($V$4:$V$3183,1528),$V$4:$V$3183,0)),"")</f>
        <v/>
      </c>
      <c r="C1531">
        <f>IFERROR(INDEX($P$4:$P$3183,MATCH(SMALL($V$4:$V$3183,1528),$V$4:$V$3183,0)),"")</f>
        <v/>
      </c>
      <c r="D1531" s="29">
        <f>IFERROR(INDEX($Q$4:$Q$3183,MATCH(SMALL($V$4:$V$3183,1528),$V$4:$V$3183,0)),"")</f>
        <v/>
      </c>
      <c r="E1531" s="29">
        <f>IFERROR(INDEX($R$4:$R$3183,MATCH(SMALL($V$4:$V$3183,1528),$V$4:$V$3183,0)),"")</f>
        <v/>
      </c>
      <c r="F1531">
        <f>IFERROR(INDEX($S$4:$S$3183,MATCH(SMALL($V$4:$V$3183,1528),$V$4:$V$3183,0)),"")</f>
        <v/>
      </c>
      <c r="I1531" s="29">
        <f>IF($B1531="","",IFERROR(INDEX($U$4:$U$3183,MATCH(SMALL($V$4:$V$3183,1528),$V$4:$V$3183,0)),""))</f>
        <v/>
      </c>
      <c r="J1531">
        <f>IF($B1531="","",IF($D1531&gt;$F$2,"À venir",IF($E1531&lt;$D$2,"Passé","Dans la période")))</f>
        <v/>
      </c>
      <c r="K1531">
        <f>IF(OR($B1531="",NOT(ISNUMBER($D1531))),"",IF(AND($E1531&lt;$D$2,$G1531&lt;&gt;"X",$F1531&lt;&gt;"Réalisé",$F1531&lt;&gt;"Clôturé"),"RETARD",""))</f>
        <v/>
      </c>
      <c r="L1531">
        <f>IF(OR($B1531="",NOT(ISNUMBER($D1531))),"",IF(AND($D1531&gt;=$D$2,$D1531&lt;=$H$2,$G1531&lt;&gt;"X",$F1531&lt;&gt;"Réalisé",$F1531&lt;&gt;"Clôturé"),"≤ 7 j",""))</f>
        <v/>
      </c>
      <c r="M1531" s="29">
        <f>IF($B1531="","",IFERROR(INDEX($T$4:$T$3183,MATCH(SMALL($V$4:$V$3183,1528),$V$4:$V$3183,0)),""))</f>
        <v/>
      </c>
      <c r="O1531">
        <f>IF(INDEX(Suivi!$B:$B,1560)="","",INDEX(Suivi!$B:$B,1560))</f>
        <v/>
      </c>
      <c r="P1531">
        <f>IF($O1531="","",IF(INDEX(Suivi!$D:$D,1560)="",INDEX(Suivi!$C:$C,1560),INDEX(Suivi!$D:$D,1560)))</f>
        <v/>
      </c>
      <c r="Q1531">
        <f>IF($O1531="","",INDEX(Suivi!$E:$E,1560))</f>
        <v/>
      </c>
      <c r="R1531">
        <f>IF($O1531="","",INDEX(Suivi!$F:$F,1560))</f>
        <v/>
      </c>
      <c r="S1531">
        <f>IF($O1531="","",INDEX(Suivi!$G:$G,1560))</f>
        <v/>
      </c>
      <c r="T1531">
        <f>IF($O1531="","",IF(INDEX(Dossiers!$F$4:$F$63,29)="","",INDEX(Dossiers!$F$4:$F$63,29)))</f>
        <v/>
      </c>
      <c r="U1531">
        <f>IF($O1531="","",IF(INDEX(Dossiers!$G$4:$G$63,29)="","",INDEX(Dossiers!$G$4:$G$63,29)))</f>
        <v/>
      </c>
      <c r="V1531">
        <f>IF(OR($O1531="",NOT(ISNUMBER($Q1531))),"",$Q1531*1000000+1531)</f>
        <v/>
      </c>
      <c r="W1531" s="29">
        <f>IF($B1531="","",IFERROR(INDEX($U$4:$U$3183,MATCH(SMALL($V$4:$V$3183,1528),$V$4:$V$3183,0)),""))</f>
        <v/>
      </c>
    </row>
    <row r="1532">
      <c r="A1532">
        <f>IFERROR(INDEX($N$4:$N$3183,MATCH(SMALL($V$4:$V$3183,1529),$V$4:$V$3183,0)),"")</f>
        <v/>
      </c>
      <c r="B1532">
        <f>IFERROR(INDEX($O$4:$O$3183,MATCH(SMALL($V$4:$V$3183,1529),$V$4:$V$3183,0)),"")</f>
        <v/>
      </c>
      <c r="C1532">
        <f>IFERROR(INDEX($P$4:$P$3183,MATCH(SMALL($V$4:$V$3183,1529),$V$4:$V$3183,0)),"")</f>
        <v/>
      </c>
      <c r="D1532" s="29">
        <f>IFERROR(INDEX($Q$4:$Q$3183,MATCH(SMALL($V$4:$V$3183,1529),$V$4:$V$3183,0)),"")</f>
        <v/>
      </c>
      <c r="E1532" s="29">
        <f>IFERROR(INDEX($R$4:$R$3183,MATCH(SMALL($V$4:$V$3183,1529),$V$4:$V$3183,0)),"")</f>
        <v/>
      </c>
      <c r="F1532">
        <f>IFERROR(INDEX($S$4:$S$3183,MATCH(SMALL($V$4:$V$3183,1529),$V$4:$V$3183,0)),"")</f>
        <v/>
      </c>
      <c r="I1532" s="29">
        <f>IF($B1532="","",IFERROR(INDEX($U$4:$U$3183,MATCH(SMALL($V$4:$V$3183,1529),$V$4:$V$3183,0)),""))</f>
        <v/>
      </c>
      <c r="J1532">
        <f>IF($B1532="","",IF($D1532&gt;$F$2,"À venir",IF($E1532&lt;$D$2,"Passé","Dans la période")))</f>
        <v/>
      </c>
      <c r="K1532">
        <f>IF(OR($B1532="",NOT(ISNUMBER($D1532))),"",IF(AND($E1532&lt;$D$2,$G1532&lt;&gt;"X",$F1532&lt;&gt;"Réalisé",$F1532&lt;&gt;"Clôturé"),"RETARD",""))</f>
        <v/>
      </c>
      <c r="L1532">
        <f>IF(OR($B1532="",NOT(ISNUMBER($D1532))),"",IF(AND($D1532&gt;=$D$2,$D1532&lt;=$H$2,$G1532&lt;&gt;"X",$F1532&lt;&gt;"Réalisé",$F1532&lt;&gt;"Clôturé"),"≤ 7 j",""))</f>
        <v/>
      </c>
      <c r="M1532" s="29">
        <f>IF($B1532="","",IFERROR(INDEX($T$4:$T$3183,MATCH(SMALL($V$4:$V$3183,1529),$V$4:$V$3183,0)),""))</f>
        <v/>
      </c>
      <c r="O1532">
        <f>IF(INDEX(Suivi!$B:$B,1561)="","",INDEX(Suivi!$B:$B,1561))</f>
        <v/>
      </c>
      <c r="P1532">
        <f>IF($O1532="","",IF(INDEX(Suivi!$D:$D,1561)="",INDEX(Suivi!$C:$C,1561),INDEX(Suivi!$D:$D,1561)))</f>
        <v/>
      </c>
      <c r="Q1532">
        <f>IF($O1532="","",INDEX(Suivi!$E:$E,1561))</f>
        <v/>
      </c>
      <c r="R1532">
        <f>IF($O1532="","",INDEX(Suivi!$F:$F,1561))</f>
        <v/>
      </c>
      <c r="S1532">
        <f>IF($O1532="","",INDEX(Suivi!$G:$G,1561))</f>
        <v/>
      </c>
      <c r="T1532">
        <f>IF($O1532="","",IF(INDEX(Dossiers!$F$4:$F$63,29)="","",INDEX(Dossiers!$F$4:$F$63,29)))</f>
        <v/>
      </c>
      <c r="U1532">
        <f>IF($O1532="","",IF(INDEX(Dossiers!$G$4:$G$63,29)="","",INDEX(Dossiers!$G$4:$G$63,29)))</f>
        <v/>
      </c>
      <c r="V1532">
        <f>IF(OR($O1532="",NOT(ISNUMBER($Q1532))),"",$Q1532*1000000+1532)</f>
        <v/>
      </c>
      <c r="W1532" s="29">
        <f>IF($B1532="","",IFERROR(INDEX($U$4:$U$3183,MATCH(SMALL($V$4:$V$3183,1529),$V$4:$V$3183,0)),""))</f>
        <v/>
      </c>
    </row>
    <row r="1533">
      <c r="A1533">
        <f>IFERROR(INDEX($N$4:$N$3183,MATCH(SMALL($V$4:$V$3183,1530),$V$4:$V$3183,0)),"")</f>
        <v/>
      </c>
      <c r="B1533">
        <f>IFERROR(INDEX($O$4:$O$3183,MATCH(SMALL($V$4:$V$3183,1530),$V$4:$V$3183,0)),"")</f>
        <v/>
      </c>
      <c r="C1533">
        <f>IFERROR(INDEX($P$4:$P$3183,MATCH(SMALL($V$4:$V$3183,1530),$V$4:$V$3183,0)),"")</f>
        <v/>
      </c>
      <c r="D1533" s="29">
        <f>IFERROR(INDEX($Q$4:$Q$3183,MATCH(SMALL($V$4:$V$3183,1530),$V$4:$V$3183,0)),"")</f>
        <v/>
      </c>
      <c r="E1533" s="29">
        <f>IFERROR(INDEX($R$4:$R$3183,MATCH(SMALL($V$4:$V$3183,1530),$V$4:$V$3183,0)),"")</f>
        <v/>
      </c>
      <c r="F1533">
        <f>IFERROR(INDEX($S$4:$S$3183,MATCH(SMALL($V$4:$V$3183,1530),$V$4:$V$3183,0)),"")</f>
        <v/>
      </c>
      <c r="I1533" s="29">
        <f>IF($B1533="","",IFERROR(INDEX($U$4:$U$3183,MATCH(SMALL($V$4:$V$3183,1530),$V$4:$V$3183,0)),""))</f>
        <v/>
      </c>
      <c r="J1533">
        <f>IF($B1533="","",IF($D1533&gt;$F$2,"À venir",IF($E1533&lt;$D$2,"Passé","Dans la période")))</f>
        <v/>
      </c>
      <c r="K1533">
        <f>IF(OR($B1533="",NOT(ISNUMBER($D1533))),"",IF(AND($E1533&lt;$D$2,$G1533&lt;&gt;"X",$F1533&lt;&gt;"Réalisé",$F1533&lt;&gt;"Clôturé"),"RETARD",""))</f>
        <v/>
      </c>
      <c r="L1533">
        <f>IF(OR($B1533="",NOT(ISNUMBER($D1533))),"",IF(AND($D1533&gt;=$D$2,$D1533&lt;=$H$2,$G1533&lt;&gt;"X",$F1533&lt;&gt;"Réalisé",$F1533&lt;&gt;"Clôturé"),"≤ 7 j",""))</f>
        <v/>
      </c>
      <c r="M1533" s="29">
        <f>IF($B1533="","",IFERROR(INDEX($T$4:$T$3183,MATCH(SMALL($V$4:$V$3183,1530),$V$4:$V$3183,0)),""))</f>
        <v/>
      </c>
      <c r="O1533">
        <f>IF(INDEX(Suivi!$B:$B,1562)="","",INDEX(Suivi!$B:$B,1562))</f>
        <v/>
      </c>
      <c r="P1533">
        <f>IF($O1533="","",IF(INDEX(Suivi!$D:$D,1562)="",INDEX(Suivi!$C:$C,1562),INDEX(Suivi!$D:$D,1562)))</f>
        <v/>
      </c>
      <c r="Q1533">
        <f>IF($O1533="","",INDEX(Suivi!$E:$E,1562))</f>
        <v/>
      </c>
      <c r="R1533">
        <f>IF($O1533="","",INDEX(Suivi!$F:$F,1562))</f>
        <v/>
      </c>
      <c r="S1533">
        <f>IF($O1533="","",INDEX(Suivi!$G:$G,1562))</f>
        <v/>
      </c>
      <c r="T1533">
        <f>IF($O1533="","",IF(INDEX(Dossiers!$F$4:$F$63,29)="","",INDEX(Dossiers!$F$4:$F$63,29)))</f>
        <v/>
      </c>
      <c r="U1533">
        <f>IF($O1533="","",IF(INDEX(Dossiers!$G$4:$G$63,29)="","",INDEX(Dossiers!$G$4:$G$63,29)))</f>
        <v/>
      </c>
      <c r="V1533">
        <f>IF(OR($O1533="",NOT(ISNUMBER($Q1533))),"",$Q1533*1000000+1533)</f>
        <v/>
      </c>
      <c r="W1533" s="29">
        <f>IF($B1533="","",IFERROR(INDEX($U$4:$U$3183,MATCH(SMALL($V$4:$V$3183,1530),$V$4:$V$3183,0)),""))</f>
        <v/>
      </c>
    </row>
    <row r="1534">
      <c r="A1534">
        <f>IFERROR(INDEX($N$4:$N$3183,MATCH(SMALL($V$4:$V$3183,1531),$V$4:$V$3183,0)),"")</f>
        <v/>
      </c>
      <c r="B1534">
        <f>IFERROR(INDEX($O$4:$O$3183,MATCH(SMALL($V$4:$V$3183,1531),$V$4:$V$3183,0)),"")</f>
        <v/>
      </c>
      <c r="C1534">
        <f>IFERROR(INDEX($P$4:$P$3183,MATCH(SMALL($V$4:$V$3183,1531),$V$4:$V$3183,0)),"")</f>
        <v/>
      </c>
      <c r="D1534" s="29">
        <f>IFERROR(INDEX($Q$4:$Q$3183,MATCH(SMALL($V$4:$V$3183,1531),$V$4:$V$3183,0)),"")</f>
        <v/>
      </c>
      <c r="E1534" s="29">
        <f>IFERROR(INDEX($R$4:$R$3183,MATCH(SMALL($V$4:$V$3183,1531),$V$4:$V$3183,0)),"")</f>
        <v/>
      </c>
      <c r="F1534">
        <f>IFERROR(INDEX($S$4:$S$3183,MATCH(SMALL($V$4:$V$3183,1531),$V$4:$V$3183,0)),"")</f>
        <v/>
      </c>
      <c r="I1534" s="29">
        <f>IF($B1534="","",IFERROR(INDEX($U$4:$U$3183,MATCH(SMALL($V$4:$V$3183,1531),$V$4:$V$3183,0)),""))</f>
        <v/>
      </c>
      <c r="J1534">
        <f>IF($B1534="","",IF($D1534&gt;$F$2,"À venir",IF($E1534&lt;$D$2,"Passé","Dans la période")))</f>
        <v/>
      </c>
      <c r="K1534">
        <f>IF(OR($B1534="",NOT(ISNUMBER($D1534))),"",IF(AND($E1534&lt;$D$2,$G1534&lt;&gt;"X",$F1534&lt;&gt;"Réalisé",$F1534&lt;&gt;"Clôturé"),"RETARD",""))</f>
        <v/>
      </c>
      <c r="L1534">
        <f>IF(OR($B1534="",NOT(ISNUMBER($D1534))),"",IF(AND($D1534&gt;=$D$2,$D1534&lt;=$H$2,$G1534&lt;&gt;"X",$F1534&lt;&gt;"Réalisé",$F1534&lt;&gt;"Clôturé"),"≤ 7 j",""))</f>
        <v/>
      </c>
      <c r="M1534" s="29">
        <f>IF($B1534="","",IFERROR(INDEX($T$4:$T$3183,MATCH(SMALL($V$4:$V$3183,1531),$V$4:$V$3183,0)),""))</f>
        <v/>
      </c>
      <c r="O1534">
        <f>IF(INDEX(Suivi!$B:$B,1563)="","",INDEX(Suivi!$B:$B,1563))</f>
        <v/>
      </c>
      <c r="P1534">
        <f>IF($O1534="","",IF(INDEX(Suivi!$D:$D,1563)="",INDEX(Suivi!$C:$C,1563),INDEX(Suivi!$D:$D,1563)))</f>
        <v/>
      </c>
      <c r="Q1534">
        <f>IF($O1534="","",INDEX(Suivi!$E:$E,1563))</f>
        <v/>
      </c>
      <c r="R1534">
        <f>IF($O1534="","",INDEX(Suivi!$F:$F,1563))</f>
        <v/>
      </c>
      <c r="S1534">
        <f>IF($O1534="","",INDEX(Suivi!$G:$G,1563))</f>
        <v/>
      </c>
      <c r="T1534">
        <f>IF($O1534="","",IF(INDEX(Dossiers!$F$4:$F$63,29)="","",INDEX(Dossiers!$F$4:$F$63,29)))</f>
        <v/>
      </c>
      <c r="U1534">
        <f>IF($O1534="","",IF(INDEX(Dossiers!$G$4:$G$63,29)="","",INDEX(Dossiers!$G$4:$G$63,29)))</f>
        <v/>
      </c>
      <c r="V1534">
        <f>IF(OR($O1534="",NOT(ISNUMBER($Q1534))),"",$Q1534*1000000+1534)</f>
        <v/>
      </c>
      <c r="W1534" s="29">
        <f>IF($B1534="","",IFERROR(INDEX($U$4:$U$3183,MATCH(SMALL($V$4:$V$3183,1531),$V$4:$V$3183,0)),""))</f>
        <v/>
      </c>
    </row>
    <row r="1535">
      <c r="A1535">
        <f>IFERROR(INDEX($N$4:$N$3183,MATCH(SMALL($V$4:$V$3183,1532),$V$4:$V$3183,0)),"")</f>
        <v/>
      </c>
      <c r="B1535">
        <f>IFERROR(INDEX($O$4:$O$3183,MATCH(SMALL($V$4:$V$3183,1532),$V$4:$V$3183,0)),"")</f>
        <v/>
      </c>
      <c r="C1535">
        <f>IFERROR(INDEX($P$4:$P$3183,MATCH(SMALL($V$4:$V$3183,1532),$V$4:$V$3183,0)),"")</f>
        <v/>
      </c>
      <c r="D1535" s="29">
        <f>IFERROR(INDEX($Q$4:$Q$3183,MATCH(SMALL($V$4:$V$3183,1532),$V$4:$V$3183,0)),"")</f>
        <v/>
      </c>
      <c r="E1535" s="29">
        <f>IFERROR(INDEX($R$4:$R$3183,MATCH(SMALL($V$4:$V$3183,1532),$V$4:$V$3183,0)),"")</f>
        <v/>
      </c>
      <c r="F1535">
        <f>IFERROR(INDEX($S$4:$S$3183,MATCH(SMALL($V$4:$V$3183,1532),$V$4:$V$3183,0)),"")</f>
        <v/>
      </c>
      <c r="I1535" s="29">
        <f>IF($B1535="","",IFERROR(INDEX($U$4:$U$3183,MATCH(SMALL($V$4:$V$3183,1532),$V$4:$V$3183,0)),""))</f>
        <v/>
      </c>
      <c r="J1535">
        <f>IF($B1535="","",IF($D1535&gt;$F$2,"À venir",IF($E1535&lt;$D$2,"Passé","Dans la période")))</f>
        <v/>
      </c>
      <c r="K1535">
        <f>IF(OR($B1535="",NOT(ISNUMBER($D1535))),"",IF(AND($E1535&lt;$D$2,$G1535&lt;&gt;"X",$F1535&lt;&gt;"Réalisé",$F1535&lt;&gt;"Clôturé"),"RETARD",""))</f>
        <v/>
      </c>
      <c r="L1535">
        <f>IF(OR($B1535="",NOT(ISNUMBER($D1535))),"",IF(AND($D1535&gt;=$D$2,$D1535&lt;=$H$2,$G1535&lt;&gt;"X",$F1535&lt;&gt;"Réalisé",$F1535&lt;&gt;"Clôturé"),"≤ 7 j",""))</f>
        <v/>
      </c>
      <c r="M1535" s="29">
        <f>IF($B1535="","",IFERROR(INDEX($T$4:$T$3183,MATCH(SMALL($V$4:$V$3183,1532),$V$4:$V$3183,0)),""))</f>
        <v/>
      </c>
      <c r="O1535">
        <f>IF(INDEX(Suivi!$B:$B,1564)="","",INDEX(Suivi!$B:$B,1564))</f>
        <v/>
      </c>
      <c r="P1535">
        <f>IF($O1535="","",IF(INDEX(Suivi!$D:$D,1564)="",INDEX(Suivi!$C:$C,1564),INDEX(Suivi!$D:$D,1564)))</f>
        <v/>
      </c>
      <c r="Q1535">
        <f>IF($O1535="","",INDEX(Suivi!$E:$E,1564))</f>
        <v/>
      </c>
      <c r="R1535">
        <f>IF($O1535="","",INDEX(Suivi!$F:$F,1564))</f>
        <v/>
      </c>
      <c r="S1535">
        <f>IF($O1535="","",INDEX(Suivi!$G:$G,1564))</f>
        <v/>
      </c>
      <c r="T1535">
        <f>IF($O1535="","",IF(INDEX(Dossiers!$F$4:$F$63,29)="","",INDEX(Dossiers!$F$4:$F$63,29)))</f>
        <v/>
      </c>
      <c r="U1535">
        <f>IF($O1535="","",IF(INDEX(Dossiers!$G$4:$G$63,29)="","",INDEX(Dossiers!$G$4:$G$63,29)))</f>
        <v/>
      </c>
      <c r="V1535">
        <f>IF(OR($O1535="",NOT(ISNUMBER($Q1535))),"",$Q1535*1000000+1535)</f>
        <v/>
      </c>
      <c r="W1535" s="29">
        <f>IF($B1535="","",IFERROR(INDEX($U$4:$U$3183,MATCH(SMALL($V$4:$V$3183,1532),$V$4:$V$3183,0)),""))</f>
        <v/>
      </c>
    </row>
    <row r="1536">
      <c r="A1536">
        <f>IFERROR(INDEX($N$4:$N$3183,MATCH(SMALL($V$4:$V$3183,1533),$V$4:$V$3183,0)),"")</f>
        <v/>
      </c>
      <c r="B1536">
        <f>IFERROR(INDEX($O$4:$O$3183,MATCH(SMALL($V$4:$V$3183,1533),$V$4:$V$3183,0)),"")</f>
        <v/>
      </c>
      <c r="C1536">
        <f>IFERROR(INDEX($P$4:$P$3183,MATCH(SMALL($V$4:$V$3183,1533),$V$4:$V$3183,0)),"")</f>
        <v/>
      </c>
      <c r="D1536" s="29">
        <f>IFERROR(INDEX($Q$4:$Q$3183,MATCH(SMALL($V$4:$V$3183,1533),$V$4:$V$3183,0)),"")</f>
        <v/>
      </c>
      <c r="E1536" s="29">
        <f>IFERROR(INDEX($R$4:$R$3183,MATCH(SMALL($V$4:$V$3183,1533),$V$4:$V$3183,0)),"")</f>
        <v/>
      </c>
      <c r="F1536">
        <f>IFERROR(INDEX($S$4:$S$3183,MATCH(SMALL($V$4:$V$3183,1533),$V$4:$V$3183,0)),"")</f>
        <v/>
      </c>
      <c r="I1536" s="29">
        <f>IF($B1536="","",IFERROR(INDEX($U$4:$U$3183,MATCH(SMALL($V$4:$V$3183,1533),$V$4:$V$3183,0)),""))</f>
        <v/>
      </c>
      <c r="J1536">
        <f>IF($B1536="","",IF($D1536&gt;$F$2,"À venir",IF($E1536&lt;$D$2,"Passé","Dans la période")))</f>
        <v/>
      </c>
      <c r="K1536">
        <f>IF(OR($B1536="",NOT(ISNUMBER($D1536))),"",IF(AND($E1536&lt;$D$2,$G1536&lt;&gt;"X",$F1536&lt;&gt;"Réalisé",$F1536&lt;&gt;"Clôturé"),"RETARD",""))</f>
        <v/>
      </c>
      <c r="L1536">
        <f>IF(OR($B1536="",NOT(ISNUMBER($D1536))),"",IF(AND($D1536&gt;=$D$2,$D1536&lt;=$H$2,$G1536&lt;&gt;"X",$F1536&lt;&gt;"Réalisé",$F1536&lt;&gt;"Clôturé"),"≤ 7 j",""))</f>
        <v/>
      </c>
      <c r="M1536" s="29">
        <f>IF($B1536="","",IFERROR(INDEX($T$4:$T$3183,MATCH(SMALL($V$4:$V$3183,1533),$V$4:$V$3183,0)),""))</f>
        <v/>
      </c>
      <c r="O1536">
        <f>IF(INDEX(Suivi!$B:$B,1565)="","",INDEX(Suivi!$B:$B,1565))</f>
        <v/>
      </c>
      <c r="P1536">
        <f>IF($O1536="","",IF(INDEX(Suivi!$D:$D,1565)="",INDEX(Suivi!$C:$C,1565),INDEX(Suivi!$D:$D,1565)))</f>
        <v/>
      </c>
      <c r="Q1536">
        <f>IF($O1536="","",INDEX(Suivi!$E:$E,1565))</f>
        <v/>
      </c>
      <c r="R1536">
        <f>IF($O1536="","",INDEX(Suivi!$F:$F,1565))</f>
        <v/>
      </c>
      <c r="S1536">
        <f>IF($O1536="","",INDEX(Suivi!$G:$G,1565))</f>
        <v/>
      </c>
      <c r="T1536">
        <f>IF($O1536="","",IF(INDEX(Dossiers!$F$4:$F$63,29)="","",INDEX(Dossiers!$F$4:$F$63,29)))</f>
        <v/>
      </c>
      <c r="U1536">
        <f>IF($O1536="","",IF(INDEX(Dossiers!$G$4:$G$63,29)="","",INDEX(Dossiers!$G$4:$G$63,29)))</f>
        <v/>
      </c>
      <c r="V1536">
        <f>IF(OR($O1536="",NOT(ISNUMBER($Q1536))),"",$Q1536*1000000+1536)</f>
        <v/>
      </c>
      <c r="W1536" s="29">
        <f>IF($B1536="","",IFERROR(INDEX($U$4:$U$3183,MATCH(SMALL($V$4:$V$3183,1533),$V$4:$V$3183,0)),""))</f>
        <v/>
      </c>
    </row>
    <row r="1537">
      <c r="A1537">
        <f>IFERROR(INDEX($N$4:$N$3183,MATCH(SMALL($V$4:$V$3183,1534),$V$4:$V$3183,0)),"")</f>
        <v/>
      </c>
      <c r="B1537">
        <f>IFERROR(INDEX($O$4:$O$3183,MATCH(SMALL($V$4:$V$3183,1534),$V$4:$V$3183,0)),"")</f>
        <v/>
      </c>
      <c r="C1537">
        <f>IFERROR(INDEX($P$4:$P$3183,MATCH(SMALL($V$4:$V$3183,1534),$V$4:$V$3183,0)),"")</f>
        <v/>
      </c>
      <c r="D1537" s="29">
        <f>IFERROR(INDEX($Q$4:$Q$3183,MATCH(SMALL($V$4:$V$3183,1534),$V$4:$V$3183,0)),"")</f>
        <v/>
      </c>
      <c r="E1537" s="29">
        <f>IFERROR(INDEX($R$4:$R$3183,MATCH(SMALL($V$4:$V$3183,1534),$V$4:$V$3183,0)),"")</f>
        <v/>
      </c>
      <c r="F1537">
        <f>IFERROR(INDEX($S$4:$S$3183,MATCH(SMALL($V$4:$V$3183,1534),$V$4:$V$3183,0)),"")</f>
        <v/>
      </c>
      <c r="I1537" s="29">
        <f>IF($B1537="","",IFERROR(INDEX($U$4:$U$3183,MATCH(SMALL($V$4:$V$3183,1534),$V$4:$V$3183,0)),""))</f>
        <v/>
      </c>
      <c r="J1537">
        <f>IF($B1537="","",IF($D1537&gt;$F$2,"À venir",IF($E1537&lt;$D$2,"Passé","Dans la période")))</f>
        <v/>
      </c>
      <c r="K1537">
        <f>IF(OR($B1537="",NOT(ISNUMBER($D1537))),"",IF(AND($E1537&lt;$D$2,$G1537&lt;&gt;"X",$F1537&lt;&gt;"Réalisé",$F1537&lt;&gt;"Clôturé"),"RETARD",""))</f>
        <v/>
      </c>
      <c r="L1537">
        <f>IF(OR($B1537="",NOT(ISNUMBER($D1537))),"",IF(AND($D1537&gt;=$D$2,$D1537&lt;=$H$2,$G1537&lt;&gt;"X",$F1537&lt;&gt;"Réalisé",$F1537&lt;&gt;"Clôturé"),"≤ 7 j",""))</f>
        <v/>
      </c>
      <c r="M1537" s="29">
        <f>IF($B1537="","",IFERROR(INDEX($T$4:$T$3183,MATCH(SMALL($V$4:$V$3183,1534),$V$4:$V$3183,0)),""))</f>
        <v/>
      </c>
      <c r="O1537">
        <f>IF(INDEX(Suivi!$B:$B,1566)="","",INDEX(Suivi!$B:$B,1566))</f>
        <v/>
      </c>
      <c r="P1537">
        <f>IF($O1537="","",IF(INDEX(Suivi!$D:$D,1566)="",INDEX(Suivi!$C:$C,1566),INDEX(Suivi!$D:$D,1566)))</f>
        <v/>
      </c>
      <c r="Q1537">
        <f>IF($O1537="","",INDEX(Suivi!$E:$E,1566))</f>
        <v/>
      </c>
      <c r="R1537">
        <f>IF($O1537="","",INDEX(Suivi!$F:$F,1566))</f>
        <v/>
      </c>
      <c r="S1537">
        <f>IF($O1537="","",INDEX(Suivi!$G:$G,1566))</f>
        <v/>
      </c>
      <c r="T1537">
        <f>IF($O1537="","",IF(INDEX(Dossiers!$F$4:$F$63,29)="","",INDEX(Dossiers!$F$4:$F$63,29)))</f>
        <v/>
      </c>
      <c r="U1537">
        <f>IF($O1537="","",IF(INDEX(Dossiers!$G$4:$G$63,29)="","",INDEX(Dossiers!$G$4:$G$63,29)))</f>
        <v/>
      </c>
      <c r="V1537">
        <f>IF(OR($O1537="",NOT(ISNUMBER($Q1537))),"",$Q1537*1000000+1537)</f>
        <v/>
      </c>
      <c r="W1537" s="29">
        <f>IF($B1537="","",IFERROR(INDEX($U$4:$U$3183,MATCH(SMALL($V$4:$V$3183,1534),$V$4:$V$3183,0)),""))</f>
        <v/>
      </c>
    </row>
    <row r="1538">
      <c r="A1538">
        <f>IFERROR(INDEX($N$4:$N$3183,MATCH(SMALL($V$4:$V$3183,1535),$V$4:$V$3183,0)),"")</f>
        <v/>
      </c>
      <c r="B1538">
        <f>IFERROR(INDEX($O$4:$O$3183,MATCH(SMALL($V$4:$V$3183,1535),$V$4:$V$3183,0)),"")</f>
        <v/>
      </c>
      <c r="C1538">
        <f>IFERROR(INDEX($P$4:$P$3183,MATCH(SMALL($V$4:$V$3183,1535),$V$4:$V$3183,0)),"")</f>
        <v/>
      </c>
      <c r="D1538" s="29">
        <f>IFERROR(INDEX($Q$4:$Q$3183,MATCH(SMALL($V$4:$V$3183,1535),$V$4:$V$3183,0)),"")</f>
        <v/>
      </c>
      <c r="E1538" s="29">
        <f>IFERROR(INDEX($R$4:$R$3183,MATCH(SMALL($V$4:$V$3183,1535),$V$4:$V$3183,0)),"")</f>
        <v/>
      </c>
      <c r="F1538">
        <f>IFERROR(INDEX($S$4:$S$3183,MATCH(SMALL($V$4:$V$3183,1535),$V$4:$V$3183,0)),"")</f>
        <v/>
      </c>
      <c r="I1538" s="29">
        <f>IF($B1538="","",IFERROR(INDEX($U$4:$U$3183,MATCH(SMALL($V$4:$V$3183,1535),$V$4:$V$3183,0)),""))</f>
        <v/>
      </c>
      <c r="J1538">
        <f>IF($B1538="","",IF($D1538&gt;$F$2,"À venir",IF($E1538&lt;$D$2,"Passé","Dans la période")))</f>
        <v/>
      </c>
      <c r="K1538">
        <f>IF(OR($B1538="",NOT(ISNUMBER($D1538))),"",IF(AND($E1538&lt;$D$2,$G1538&lt;&gt;"X",$F1538&lt;&gt;"Réalisé",$F1538&lt;&gt;"Clôturé"),"RETARD",""))</f>
        <v/>
      </c>
      <c r="L1538">
        <f>IF(OR($B1538="",NOT(ISNUMBER($D1538))),"",IF(AND($D1538&gt;=$D$2,$D1538&lt;=$H$2,$G1538&lt;&gt;"X",$F1538&lt;&gt;"Réalisé",$F1538&lt;&gt;"Clôturé"),"≤ 7 j",""))</f>
        <v/>
      </c>
      <c r="M1538" s="29">
        <f>IF($B1538="","",IFERROR(INDEX($T$4:$T$3183,MATCH(SMALL($V$4:$V$3183,1535),$V$4:$V$3183,0)),""))</f>
        <v/>
      </c>
      <c r="O1538">
        <f>IF(INDEX(Suivi!$B:$B,1567)="","",INDEX(Suivi!$B:$B,1567))</f>
        <v/>
      </c>
      <c r="P1538">
        <f>IF($O1538="","",IF(INDEX(Suivi!$D:$D,1567)="",INDEX(Suivi!$C:$C,1567),INDEX(Suivi!$D:$D,1567)))</f>
        <v/>
      </c>
      <c r="Q1538">
        <f>IF($O1538="","",INDEX(Suivi!$E:$E,1567))</f>
        <v/>
      </c>
      <c r="R1538">
        <f>IF($O1538="","",INDEX(Suivi!$F:$F,1567))</f>
        <v/>
      </c>
      <c r="S1538">
        <f>IF($O1538="","",INDEX(Suivi!$G:$G,1567))</f>
        <v/>
      </c>
      <c r="T1538">
        <f>IF($O1538="","",IF(INDEX(Dossiers!$F$4:$F$63,29)="","",INDEX(Dossiers!$F$4:$F$63,29)))</f>
        <v/>
      </c>
      <c r="U1538">
        <f>IF($O1538="","",IF(INDEX(Dossiers!$G$4:$G$63,29)="","",INDEX(Dossiers!$G$4:$G$63,29)))</f>
        <v/>
      </c>
      <c r="V1538">
        <f>IF(OR($O1538="",NOT(ISNUMBER($Q1538))),"",$Q1538*1000000+1538)</f>
        <v/>
      </c>
      <c r="W1538" s="29">
        <f>IF($B1538="","",IFERROR(INDEX($U$4:$U$3183,MATCH(SMALL($V$4:$V$3183,1535),$V$4:$V$3183,0)),""))</f>
        <v/>
      </c>
    </row>
    <row r="1539">
      <c r="A1539">
        <f>IFERROR(INDEX($N$4:$N$3183,MATCH(SMALL($V$4:$V$3183,1536),$V$4:$V$3183,0)),"")</f>
        <v/>
      </c>
      <c r="B1539">
        <f>IFERROR(INDEX($O$4:$O$3183,MATCH(SMALL($V$4:$V$3183,1536),$V$4:$V$3183,0)),"")</f>
        <v/>
      </c>
      <c r="C1539">
        <f>IFERROR(INDEX($P$4:$P$3183,MATCH(SMALL($V$4:$V$3183,1536),$V$4:$V$3183,0)),"")</f>
        <v/>
      </c>
      <c r="D1539" s="29">
        <f>IFERROR(INDEX($Q$4:$Q$3183,MATCH(SMALL($V$4:$V$3183,1536),$V$4:$V$3183,0)),"")</f>
        <v/>
      </c>
      <c r="E1539" s="29">
        <f>IFERROR(INDEX($R$4:$R$3183,MATCH(SMALL($V$4:$V$3183,1536),$V$4:$V$3183,0)),"")</f>
        <v/>
      </c>
      <c r="F1539">
        <f>IFERROR(INDEX($S$4:$S$3183,MATCH(SMALL($V$4:$V$3183,1536),$V$4:$V$3183,0)),"")</f>
        <v/>
      </c>
      <c r="I1539" s="29">
        <f>IF($B1539="","",IFERROR(INDEX($U$4:$U$3183,MATCH(SMALL($V$4:$V$3183,1536),$V$4:$V$3183,0)),""))</f>
        <v/>
      </c>
      <c r="J1539">
        <f>IF($B1539="","",IF($D1539&gt;$F$2,"À venir",IF($E1539&lt;$D$2,"Passé","Dans la période")))</f>
        <v/>
      </c>
      <c r="K1539">
        <f>IF(OR($B1539="",NOT(ISNUMBER($D1539))),"",IF(AND($E1539&lt;$D$2,$G1539&lt;&gt;"X",$F1539&lt;&gt;"Réalisé",$F1539&lt;&gt;"Clôturé"),"RETARD",""))</f>
        <v/>
      </c>
      <c r="L1539">
        <f>IF(OR($B1539="",NOT(ISNUMBER($D1539))),"",IF(AND($D1539&gt;=$D$2,$D1539&lt;=$H$2,$G1539&lt;&gt;"X",$F1539&lt;&gt;"Réalisé",$F1539&lt;&gt;"Clôturé"),"≤ 7 j",""))</f>
        <v/>
      </c>
      <c r="M1539" s="29">
        <f>IF($B1539="","",IFERROR(INDEX($T$4:$T$3183,MATCH(SMALL($V$4:$V$3183,1536),$V$4:$V$3183,0)),""))</f>
        <v/>
      </c>
      <c r="O1539">
        <f>IF(INDEX(Suivi!$B:$B,1568)="","",INDEX(Suivi!$B:$B,1568))</f>
        <v/>
      </c>
      <c r="P1539">
        <f>IF($O1539="","",IF(INDEX(Suivi!$D:$D,1568)="",INDEX(Suivi!$C:$C,1568),INDEX(Suivi!$D:$D,1568)))</f>
        <v/>
      </c>
      <c r="Q1539">
        <f>IF($O1539="","",INDEX(Suivi!$E:$E,1568))</f>
        <v/>
      </c>
      <c r="R1539">
        <f>IF($O1539="","",INDEX(Suivi!$F:$F,1568))</f>
        <v/>
      </c>
      <c r="S1539">
        <f>IF($O1539="","",INDEX(Suivi!$G:$G,1568))</f>
        <v/>
      </c>
      <c r="T1539">
        <f>IF($O1539="","",IF(INDEX(Dossiers!$F$4:$F$63,29)="","",INDEX(Dossiers!$F$4:$F$63,29)))</f>
        <v/>
      </c>
      <c r="U1539">
        <f>IF($O1539="","",IF(INDEX(Dossiers!$G$4:$G$63,29)="","",INDEX(Dossiers!$G$4:$G$63,29)))</f>
        <v/>
      </c>
      <c r="V1539">
        <f>IF(OR($O1539="",NOT(ISNUMBER($Q1539))),"",$Q1539*1000000+1539)</f>
        <v/>
      </c>
      <c r="W1539" s="29">
        <f>IF($B1539="","",IFERROR(INDEX($U$4:$U$3183,MATCH(SMALL($V$4:$V$3183,1536),$V$4:$V$3183,0)),""))</f>
        <v/>
      </c>
    </row>
    <row r="1540">
      <c r="A1540">
        <f>IFERROR(INDEX($N$4:$N$3183,MATCH(SMALL($V$4:$V$3183,1537),$V$4:$V$3183,0)),"")</f>
        <v/>
      </c>
      <c r="B1540">
        <f>IFERROR(INDEX($O$4:$O$3183,MATCH(SMALL($V$4:$V$3183,1537),$V$4:$V$3183,0)),"")</f>
        <v/>
      </c>
      <c r="C1540">
        <f>IFERROR(INDEX($P$4:$P$3183,MATCH(SMALL($V$4:$V$3183,1537),$V$4:$V$3183,0)),"")</f>
        <v/>
      </c>
      <c r="D1540" s="29">
        <f>IFERROR(INDEX($Q$4:$Q$3183,MATCH(SMALL($V$4:$V$3183,1537),$V$4:$V$3183,0)),"")</f>
        <v/>
      </c>
      <c r="E1540" s="29">
        <f>IFERROR(INDEX($R$4:$R$3183,MATCH(SMALL($V$4:$V$3183,1537),$V$4:$V$3183,0)),"")</f>
        <v/>
      </c>
      <c r="F1540">
        <f>IFERROR(INDEX($S$4:$S$3183,MATCH(SMALL($V$4:$V$3183,1537),$V$4:$V$3183,0)),"")</f>
        <v/>
      </c>
      <c r="I1540" s="29">
        <f>IF($B1540="","",IFERROR(INDEX($U$4:$U$3183,MATCH(SMALL($V$4:$V$3183,1537),$V$4:$V$3183,0)),""))</f>
        <v/>
      </c>
      <c r="J1540">
        <f>IF($B1540="","",IF($D1540&gt;$F$2,"À venir",IF($E1540&lt;$D$2,"Passé","Dans la période")))</f>
        <v/>
      </c>
      <c r="K1540">
        <f>IF(OR($B1540="",NOT(ISNUMBER($D1540))),"",IF(AND($E1540&lt;$D$2,$G1540&lt;&gt;"X",$F1540&lt;&gt;"Réalisé",$F1540&lt;&gt;"Clôturé"),"RETARD",""))</f>
        <v/>
      </c>
      <c r="L1540">
        <f>IF(OR($B1540="",NOT(ISNUMBER($D1540))),"",IF(AND($D1540&gt;=$D$2,$D1540&lt;=$H$2,$G1540&lt;&gt;"X",$F1540&lt;&gt;"Réalisé",$F1540&lt;&gt;"Clôturé"),"≤ 7 j",""))</f>
        <v/>
      </c>
      <c r="M1540" s="29">
        <f>IF($B1540="","",IFERROR(INDEX($T$4:$T$3183,MATCH(SMALL($V$4:$V$3183,1537),$V$4:$V$3183,0)),""))</f>
        <v/>
      </c>
      <c r="O1540">
        <f>IF(INDEX(Suivi!$B:$B,1569)="","",INDEX(Suivi!$B:$B,1569))</f>
        <v/>
      </c>
      <c r="P1540">
        <f>IF($O1540="","",IF(INDEX(Suivi!$D:$D,1569)="",INDEX(Suivi!$C:$C,1569),INDEX(Suivi!$D:$D,1569)))</f>
        <v/>
      </c>
      <c r="Q1540">
        <f>IF($O1540="","",INDEX(Suivi!$E:$E,1569))</f>
        <v/>
      </c>
      <c r="R1540">
        <f>IF($O1540="","",INDEX(Suivi!$F:$F,1569))</f>
        <v/>
      </c>
      <c r="S1540">
        <f>IF($O1540="","",INDEX(Suivi!$G:$G,1569))</f>
        <v/>
      </c>
      <c r="T1540">
        <f>IF($O1540="","",IF(INDEX(Dossiers!$F$4:$F$63,29)="","",INDEX(Dossiers!$F$4:$F$63,29)))</f>
        <v/>
      </c>
      <c r="U1540">
        <f>IF($O1540="","",IF(INDEX(Dossiers!$G$4:$G$63,29)="","",INDEX(Dossiers!$G$4:$G$63,29)))</f>
        <v/>
      </c>
      <c r="V1540">
        <f>IF(OR($O1540="",NOT(ISNUMBER($Q1540))),"",$Q1540*1000000+1540)</f>
        <v/>
      </c>
      <c r="W1540" s="29">
        <f>IF($B1540="","",IFERROR(INDEX($U$4:$U$3183,MATCH(SMALL($V$4:$V$3183,1537),$V$4:$V$3183,0)),""))</f>
        <v/>
      </c>
    </row>
    <row r="1541">
      <c r="A1541">
        <f>IFERROR(INDEX($N$4:$N$3183,MATCH(SMALL($V$4:$V$3183,1538),$V$4:$V$3183,0)),"")</f>
        <v/>
      </c>
      <c r="B1541">
        <f>IFERROR(INDEX($O$4:$O$3183,MATCH(SMALL($V$4:$V$3183,1538),$V$4:$V$3183,0)),"")</f>
        <v/>
      </c>
      <c r="C1541">
        <f>IFERROR(INDEX($P$4:$P$3183,MATCH(SMALL($V$4:$V$3183,1538),$V$4:$V$3183,0)),"")</f>
        <v/>
      </c>
      <c r="D1541" s="29">
        <f>IFERROR(INDEX($Q$4:$Q$3183,MATCH(SMALL($V$4:$V$3183,1538),$V$4:$V$3183,0)),"")</f>
        <v/>
      </c>
      <c r="E1541" s="29">
        <f>IFERROR(INDEX($R$4:$R$3183,MATCH(SMALL($V$4:$V$3183,1538),$V$4:$V$3183,0)),"")</f>
        <v/>
      </c>
      <c r="F1541">
        <f>IFERROR(INDEX($S$4:$S$3183,MATCH(SMALL($V$4:$V$3183,1538),$V$4:$V$3183,0)),"")</f>
        <v/>
      </c>
      <c r="I1541" s="29">
        <f>IF($B1541="","",IFERROR(INDEX($U$4:$U$3183,MATCH(SMALL($V$4:$V$3183,1538),$V$4:$V$3183,0)),""))</f>
        <v/>
      </c>
      <c r="J1541">
        <f>IF($B1541="","",IF($D1541&gt;$F$2,"À venir",IF($E1541&lt;$D$2,"Passé","Dans la période")))</f>
        <v/>
      </c>
      <c r="K1541">
        <f>IF(OR($B1541="",NOT(ISNUMBER($D1541))),"",IF(AND($E1541&lt;$D$2,$G1541&lt;&gt;"X",$F1541&lt;&gt;"Réalisé",$F1541&lt;&gt;"Clôturé"),"RETARD",""))</f>
        <v/>
      </c>
      <c r="L1541">
        <f>IF(OR($B1541="",NOT(ISNUMBER($D1541))),"",IF(AND($D1541&gt;=$D$2,$D1541&lt;=$H$2,$G1541&lt;&gt;"X",$F1541&lt;&gt;"Réalisé",$F1541&lt;&gt;"Clôturé"),"≤ 7 j",""))</f>
        <v/>
      </c>
      <c r="M1541" s="29">
        <f>IF($B1541="","",IFERROR(INDEX($T$4:$T$3183,MATCH(SMALL($V$4:$V$3183,1538),$V$4:$V$3183,0)),""))</f>
        <v/>
      </c>
      <c r="O1541">
        <f>IF(INDEX(Suivi!$B:$B,1571)="","",INDEX(Suivi!$B:$B,1571))</f>
        <v/>
      </c>
      <c r="P1541">
        <f>IF($O1541="","",IF(INDEX(Suivi!$D:$D,1571)="",INDEX(Suivi!$C:$C,1571),INDEX(Suivi!$D:$D,1571)))</f>
        <v/>
      </c>
      <c r="Q1541">
        <f>IF($O1541="","",INDEX(Suivi!$E:$E,1571))</f>
        <v/>
      </c>
      <c r="R1541">
        <f>IF($O1541="","",INDEX(Suivi!$F:$F,1571))</f>
        <v/>
      </c>
      <c r="S1541">
        <f>IF($O1541="","",INDEX(Suivi!$G:$G,1571))</f>
        <v/>
      </c>
      <c r="T1541">
        <f>IF($O1541="","",IF(INDEX(Dossiers!$F$4:$F$63,30)="","",INDEX(Dossiers!$F$4:$F$63,30)))</f>
        <v/>
      </c>
      <c r="U1541">
        <f>IF($O1541="","",IF(INDEX(Dossiers!$G$4:$G$63,30)="","",INDEX(Dossiers!$G$4:$G$63,30)))</f>
        <v/>
      </c>
      <c r="V1541">
        <f>IF(OR($O1541="",NOT(ISNUMBER($Q1541))),"",$Q1541*1000000+1541)</f>
        <v/>
      </c>
      <c r="W1541" s="29">
        <f>IF($B1541="","",IFERROR(INDEX($U$4:$U$3183,MATCH(SMALL($V$4:$V$3183,1538),$V$4:$V$3183,0)),""))</f>
        <v/>
      </c>
    </row>
    <row r="1542">
      <c r="A1542">
        <f>IFERROR(INDEX($N$4:$N$3183,MATCH(SMALL($V$4:$V$3183,1539),$V$4:$V$3183,0)),"")</f>
        <v/>
      </c>
      <c r="B1542">
        <f>IFERROR(INDEX($O$4:$O$3183,MATCH(SMALL($V$4:$V$3183,1539),$V$4:$V$3183,0)),"")</f>
        <v/>
      </c>
      <c r="C1542">
        <f>IFERROR(INDEX($P$4:$P$3183,MATCH(SMALL($V$4:$V$3183,1539),$V$4:$V$3183,0)),"")</f>
        <v/>
      </c>
      <c r="D1542" s="29">
        <f>IFERROR(INDEX($Q$4:$Q$3183,MATCH(SMALL($V$4:$V$3183,1539),$V$4:$V$3183,0)),"")</f>
        <v/>
      </c>
      <c r="E1542" s="29">
        <f>IFERROR(INDEX($R$4:$R$3183,MATCH(SMALL($V$4:$V$3183,1539),$V$4:$V$3183,0)),"")</f>
        <v/>
      </c>
      <c r="F1542">
        <f>IFERROR(INDEX($S$4:$S$3183,MATCH(SMALL($V$4:$V$3183,1539),$V$4:$V$3183,0)),"")</f>
        <v/>
      </c>
      <c r="I1542" s="29">
        <f>IF($B1542="","",IFERROR(INDEX($U$4:$U$3183,MATCH(SMALL($V$4:$V$3183,1539),$V$4:$V$3183,0)),""))</f>
        <v/>
      </c>
      <c r="J1542">
        <f>IF($B1542="","",IF($D1542&gt;$F$2,"À venir",IF($E1542&lt;$D$2,"Passé","Dans la période")))</f>
        <v/>
      </c>
      <c r="K1542">
        <f>IF(OR($B1542="",NOT(ISNUMBER($D1542))),"",IF(AND($E1542&lt;$D$2,$G1542&lt;&gt;"X",$F1542&lt;&gt;"Réalisé",$F1542&lt;&gt;"Clôturé"),"RETARD",""))</f>
        <v/>
      </c>
      <c r="L1542">
        <f>IF(OR($B1542="",NOT(ISNUMBER($D1542))),"",IF(AND($D1542&gt;=$D$2,$D1542&lt;=$H$2,$G1542&lt;&gt;"X",$F1542&lt;&gt;"Réalisé",$F1542&lt;&gt;"Clôturé"),"≤ 7 j",""))</f>
        <v/>
      </c>
      <c r="M1542" s="29">
        <f>IF($B1542="","",IFERROR(INDEX($T$4:$T$3183,MATCH(SMALL($V$4:$V$3183,1539),$V$4:$V$3183,0)),""))</f>
        <v/>
      </c>
      <c r="O1542">
        <f>IF(INDEX(Suivi!$B:$B,1572)="","",INDEX(Suivi!$B:$B,1572))</f>
        <v/>
      </c>
      <c r="P1542">
        <f>IF($O1542="","",IF(INDEX(Suivi!$D:$D,1572)="",INDEX(Suivi!$C:$C,1572),INDEX(Suivi!$D:$D,1572)))</f>
        <v/>
      </c>
      <c r="Q1542">
        <f>IF($O1542="","",INDEX(Suivi!$E:$E,1572))</f>
        <v/>
      </c>
      <c r="R1542">
        <f>IF($O1542="","",INDEX(Suivi!$F:$F,1572))</f>
        <v/>
      </c>
      <c r="S1542">
        <f>IF($O1542="","",INDEX(Suivi!$G:$G,1572))</f>
        <v/>
      </c>
      <c r="T1542">
        <f>IF($O1542="","",IF(INDEX(Dossiers!$F$4:$F$63,30)="","",INDEX(Dossiers!$F$4:$F$63,30)))</f>
        <v/>
      </c>
      <c r="U1542">
        <f>IF($O1542="","",IF(INDEX(Dossiers!$G$4:$G$63,30)="","",INDEX(Dossiers!$G$4:$G$63,30)))</f>
        <v/>
      </c>
      <c r="V1542">
        <f>IF(OR($O1542="",NOT(ISNUMBER($Q1542))),"",$Q1542*1000000+1542)</f>
        <v/>
      </c>
      <c r="W1542" s="29">
        <f>IF($B1542="","",IFERROR(INDEX($U$4:$U$3183,MATCH(SMALL($V$4:$V$3183,1539),$V$4:$V$3183,0)),""))</f>
        <v/>
      </c>
    </row>
    <row r="1543">
      <c r="A1543">
        <f>IFERROR(INDEX($N$4:$N$3183,MATCH(SMALL($V$4:$V$3183,1540),$V$4:$V$3183,0)),"")</f>
        <v/>
      </c>
      <c r="B1543">
        <f>IFERROR(INDEX($O$4:$O$3183,MATCH(SMALL($V$4:$V$3183,1540),$V$4:$V$3183,0)),"")</f>
        <v/>
      </c>
      <c r="C1543">
        <f>IFERROR(INDEX($P$4:$P$3183,MATCH(SMALL($V$4:$V$3183,1540),$V$4:$V$3183,0)),"")</f>
        <v/>
      </c>
      <c r="D1543" s="29">
        <f>IFERROR(INDEX($Q$4:$Q$3183,MATCH(SMALL($V$4:$V$3183,1540),$V$4:$V$3183,0)),"")</f>
        <v/>
      </c>
      <c r="E1543" s="29">
        <f>IFERROR(INDEX($R$4:$R$3183,MATCH(SMALL($V$4:$V$3183,1540),$V$4:$V$3183,0)),"")</f>
        <v/>
      </c>
      <c r="F1543">
        <f>IFERROR(INDEX($S$4:$S$3183,MATCH(SMALL($V$4:$V$3183,1540),$V$4:$V$3183,0)),"")</f>
        <v/>
      </c>
      <c r="I1543" s="29">
        <f>IF($B1543="","",IFERROR(INDEX($U$4:$U$3183,MATCH(SMALL($V$4:$V$3183,1540),$V$4:$V$3183,0)),""))</f>
        <v/>
      </c>
      <c r="J1543">
        <f>IF($B1543="","",IF($D1543&gt;$F$2,"À venir",IF($E1543&lt;$D$2,"Passé","Dans la période")))</f>
        <v/>
      </c>
      <c r="K1543">
        <f>IF(OR($B1543="",NOT(ISNUMBER($D1543))),"",IF(AND($E1543&lt;$D$2,$G1543&lt;&gt;"X",$F1543&lt;&gt;"Réalisé",$F1543&lt;&gt;"Clôturé"),"RETARD",""))</f>
        <v/>
      </c>
      <c r="L1543">
        <f>IF(OR($B1543="",NOT(ISNUMBER($D1543))),"",IF(AND($D1543&gt;=$D$2,$D1543&lt;=$H$2,$G1543&lt;&gt;"X",$F1543&lt;&gt;"Réalisé",$F1543&lt;&gt;"Clôturé"),"≤ 7 j",""))</f>
        <v/>
      </c>
      <c r="M1543" s="29">
        <f>IF($B1543="","",IFERROR(INDEX($T$4:$T$3183,MATCH(SMALL($V$4:$V$3183,1540),$V$4:$V$3183,0)),""))</f>
        <v/>
      </c>
      <c r="O1543">
        <f>IF(INDEX(Suivi!$B:$B,1573)="","",INDEX(Suivi!$B:$B,1573))</f>
        <v/>
      </c>
      <c r="P1543">
        <f>IF($O1543="","",IF(INDEX(Suivi!$D:$D,1573)="",INDEX(Suivi!$C:$C,1573),INDEX(Suivi!$D:$D,1573)))</f>
        <v/>
      </c>
      <c r="Q1543">
        <f>IF($O1543="","",INDEX(Suivi!$E:$E,1573))</f>
        <v/>
      </c>
      <c r="R1543">
        <f>IF($O1543="","",INDEX(Suivi!$F:$F,1573))</f>
        <v/>
      </c>
      <c r="S1543">
        <f>IF($O1543="","",INDEX(Suivi!$G:$G,1573))</f>
        <v/>
      </c>
      <c r="T1543">
        <f>IF($O1543="","",IF(INDEX(Dossiers!$F$4:$F$63,30)="","",INDEX(Dossiers!$F$4:$F$63,30)))</f>
        <v/>
      </c>
      <c r="U1543">
        <f>IF($O1543="","",IF(INDEX(Dossiers!$G$4:$G$63,30)="","",INDEX(Dossiers!$G$4:$G$63,30)))</f>
        <v/>
      </c>
      <c r="V1543">
        <f>IF(OR($O1543="",NOT(ISNUMBER($Q1543))),"",$Q1543*1000000+1543)</f>
        <v/>
      </c>
      <c r="W1543" s="29">
        <f>IF($B1543="","",IFERROR(INDEX($U$4:$U$3183,MATCH(SMALL($V$4:$V$3183,1540),$V$4:$V$3183,0)),""))</f>
        <v/>
      </c>
    </row>
    <row r="1544">
      <c r="A1544">
        <f>IFERROR(INDEX($N$4:$N$3183,MATCH(SMALL($V$4:$V$3183,1541),$V$4:$V$3183,0)),"")</f>
        <v/>
      </c>
      <c r="B1544">
        <f>IFERROR(INDEX($O$4:$O$3183,MATCH(SMALL($V$4:$V$3183,1541),$V$4:$V$3183,0)),"")</f>
        <v/>
      </c>
      <c r="C1544">
        <f>IFERROR(INDEX($P$4:$P$3183,MATCH(SMALL($V$4:$V$3183,1541),$V$4:$V$3183,0)),"")</f>
        <v/>
      </c>
      <c r="D1544" s="29">
        <f>IFERROR(INDEX($Q$4:$Q$3183,MATCH(SMALL($V$4:$V$3183,1541),$V$4:$V$3183,0)),"")</f>
        <v/>
      </c>
      <c r="E1544" s="29">
        <f>IFERROR(INDEX($R$4:$R$3183,MATCH(SMALL($V$4:$V$3183,1541),$V$4:$V$3183,0)),"")</f>
        <v/>
      </c>
      <c r="F1544">
        <f>IFERROR(INDEX($S$4:$S$3183,MATCH(SMALL($V$4:$V$3183,1541),$V$4:$V$3183,0)),"")</f>
        <v/>
      </c>
      <c r="I1544" s="29">
        <f>IF($B1544="","",IFERROR(INDEX($U$4:$U$3183,MATCH(SMALL($V$4:$V$3183,1541),$V$4:$V$3183,0)),""))</f>
        <v/>
      </c>
      <c r="J1544">
        <f>IF($B1544="","",IF($D1544&gt;$F$2,"À venir",IF($E1544&lt;$D$2,"Passé","Dans la période")))</f>
        <v/>
      </c>
      <c r="K1544">
        <f>IF(OR($B1544="",NOT(ISNUMBER($D1544))),"",IF(AND($E1544&lt;$D$2,$G1544&lt;&gt;"X",$F1544&lt;&gt;"Réalisé",$F1544&lt;&gt;"Clôturé"),"RETARD",""))</f>
        <v/>
      </c>
      <c r="L1544">
        <f>IF(OR($B1544="",NOT(ISNUMBER($D1544))),"",IF(AND($D1544&gt;=$D$2,$D1544&lt;=$H$2,$G1544&lt;&gt;"X",$F1544&lt;&gt;"Réalisé",$F1544&lt;&gt;"Clôturé"),"≤ 7 j",""))</f>
        <v/>
      </c>
      <c r="M1544" s="29">
        <f>IF($B1544="","",IFERROR(INDEX($T$4:$T$3183,MATCH(SMALL($V$4:$V$3183,1541),$V$4:$V$3183,0)),""))</f>
        <v/>
      </c>
      <c r="O1544">
        <f>IF(INDEX(Suivi!$B:$B,1574)="","",INDEX(Suivi!$B:$B,1574))</f>
        <v/>
      </c>
      <c r="P1544">
        <f>IF($O1544="","",IF(INDEX(Suivi!$D:$D,1574)="",INDEX(Suivi!$C:$C,1574),INDEX(Suivi!$D:$D,1574)))</f>
        <v/>
      </c>
      <c r="Q1544">
        <f>IF($O1544="","",INDEX(Suivi!$E:$E,1574))</f>
        <v/>
      </c>
      <c r="R1544">
        <f>IF($O1544="","",INDEX(Suivi!$F:$F,1574))</f>
        <v/>
      </c>
      <c r="S1544">
        <f>IF($O1544="","",INDEX(Suivi!$G:$G,1574))</f>
        <v/>
      </c>
      <c r="T1544">
        <f>IF($O1544="","",IF(INDEX(Dossiers!$F$4:$F$63,30)="","",INDEX(Dossiers!$F$4:$F$63,30)))</f>
        <v/>
      </c>
      <c r="U1544">
        <f>IF($O1544="","",IF(INDEX(Dossiers!$G$4:$G$63,30)="","",INDEX(Dossiers!$G$4:$G$63,30)))</f>
        <v/>
      </c>
      <c r="V1544">
        <f>IF(OR($O1544="",NOT(ISNUMBER($Q1544))),"",$Q1544*1000000+1544)</f>
        <v/>
      </c>
      <c r="W1544" s="29">
        <f>IF($B1544="","",IFERROR(INDEX($U$4:$U$3183,MATCH(SMALL($V$4:$V$3183,1541),$V$4:$V$3183,0)),""))</f>
        <v/>
      </c>
    </row>
    <row r="1545">
      <c r="A1545">
        <f>IFERROR(INDEX($N$4:$N$3183,MATCH(SMALL($V$4:$V$3183,1542),$V$4:$V$3183,0)),"")</f>
        <v/>
      </c>
      <c r="B1545">
        <f>IFERROR(INDEX($O$4:$O$3183,MATCH(SMALL($V$4:$V$3183,1542),$V$4:$V$3183,0)),"")</f>
        <v/>
      </c>
      <c r="C1545">
        <f>IFERROR(INDEX($P$4:$P$3183,MATCH(SMALL($V$4:$V$3183,1542),$V$4:$V$3183,0)),"")</f>
        <v/>
      </c>
      <c r="D1545" s="29">
        <f>IFERROR(INDEX($Q$4:$Q$3183,MATCH(SMALL($V$4:$V$3183,1542),$V$4:$V$3183,0)),"")</f>
        <v/>
      </c>
      <c r="E1545" s="29">
        <f>IFERROR(INDEX($R$4:$R$3183,MATCH(SMALL($V$4:$V$3183,1542),$V$4:$V$3183,0)),"")</f>
        <v/>
      </c>
      <c r="F1545">
        <f>IFERROR(INDEX($S$4:$S$3183,MATCH(SMALL($V$4:$V$3183,1542),$V$4:$V$3183,0)),"")</f>
        <v/>
      </c>
      <c r="I1545" s="29">
        <f>IF($B1545="","",IFERROR(INDEX($U$4:$U$3183,MATCH(SMALL($V$4:$V$3183,1542),$V$4:$V$3183,0)),""))</f>
        <v/>
      </c>
      <c r="J1545">
        <f>IF($B1545="","",IF($D1545&gt;$F$2,"À venir",IF($E1545&lt;$D$2,"Passé","Dans la période")))</f>
        <v/>
      </c>
      <c r="K1545">
        <f>IF(OR($B1545="",NOT(ISNUMBER($D1545))),"",IF(AND($E1545&lt;$D$2,$G1545&lt;&gt;"X",$F1545&lt;&gt;"Réalisé",$F1545&lt;&gt;"Clôturé"),"RETARD",""))</f>
        <v/>
      </c>
      <c r="L1545">
        <f>IF(OR($B1545="",NOT(ISNUMBER($D1545))),"",IF(AND($D1545&gt;=$D$2,$D1545&lt;=$H$2,$G1545&lt;&gt;"X",$F1545&lt;&gt;"Réalisé",$F1545&lt;&gt;"Clôturé"),"≤ 7 j",""))</f>
        <v/>
      </c>
      <c r="M1545" s="29">
        <f>IF($B1545="","",IFERROR(INDEX($T$4:$T$3183,MATCH(SMALL($V$4:$V$3183,1542),$V$4:$V$3183,0)),""))</f>
        <v/>
      </c>
      <c r="O1545">
        <f>IF(INDEX(Suivi!$B:$B,1575)="","",INDEX(Suivi!$B:$B,1575))</f>
        <v/>
      </c>
      <c r="P1545">
        <f>IF($O1545="","",IF(INDEX(Suivi!$D:$D,1575)="",INDEX(Suivi!$C:$C,1575),INDEX(Suivi!$D:$D,1575)))</f>
        <v/>
      </c>
      <c r="Q1545">
        <f>IF($O1545="","",INDEX(Suivi!$E:$E,1575))</f>
        <v/>
      </c>
      <c r="R1545">
        <f>IF($O1545="","",INDEX(Suivi!$F:$F,1575))</f>
        <v/>
      </c>
      <c r="S1545">
        <f>IF($O1545="","",INDEX(Suivi!$G:$G,1575))</f>
        <v/>
      </c>
      <c r="T1545">
        <f>IF($O1545="","",IF(INDEX(Dossiers!$F$4:$F$63,30)="","",INDEX(Dossiers!$F$4:$F$63,30)))</f>
        <v/>
      </c>
      <c r="U1545">
        <f>IF($O1545="","",IF(INDEX(Dossiers!$G$4:$G$63,30)="","",INDEX(Dossiers!$G$4:$G$63,30)))</f>
        <v/>
      </c>
      <c r="V1545">
        <f>IF(OR($O1545="",NOT(ISNUMBER($Q1545))),"",$Q1545*1000000+1545)</f>
        <v/>
      </c>
      <c r="W1545" s="29">
        <f>IF($B1545="","",IFERROR(INDEX($U$4:$U$3183,MATCH(SMALL($V$4:$V$3183,1542),$V$4:$V$3183,0)),""))</f>
        <v/>
      </c>
    </row>
    <row r="1546">
      <c r="A1546">
        <f>IFERROR(INDEX($N$4:$N$3183,MATCH(SMALL($V$4:$V$3183,1543),$V$4:$V$3183,0)),"")</f>
        <v/>
      </c>
      <c r="B1546">
        <f>IFERROR(INDEX($O$4:$O$3183,MATCH(SMALL($V$4:$V$3183,1543),$V$4:$V$3183,0)),"")</f>
        <v/>
      </c>
      <c r="C1546">
        <f>IFERROR(INDEX($P$4:$P$3183,MATCH(SMALL($V$4:$V$3183,1543),$V$4:$V$3183,0)),"")</f>
        <v/>
      </c>
      <c r="D1546" s="29">
        <f>IFERROR(INDEX($Q$4:$Q$3183,MATCH(SMALL($V$4:$V$3183,1543),$V$4:$V$3183,0)),"")</f>
        <v/>
      </c>
      <c r="E1546" s="29">
        <f>IFERROR(INDEX($R$4:$R$3183,MATCH(SMALL($V$4:$V$3183,1543),$V$4:$V$3183,0)),"")</f>
        <v/>
      </c>
      <c r="F1546">
        <f>IFERROR(INDEX($S$4:$S$3183,MATCH(SMALL($V$4:$V$3183,1543),$V$4:$V$3183,0)),"")</f>
        <v/>
      </c>
      <c r="I1546" s="29">
        <f>IF($B1546="","",IFERROR(INDEX($U$4:$U$3183,MATCH(SMALL($V$4:$V$3183,1543),$V$4:$V$3183,0)),""))</f>
        <v/>
      </c>
      <c r="J1546">
        <f>IF($B1546="","",IF($D1546&gt;$F$2,"À venir",IF($E1546&lt;$D$2,"Passé","Dans la période")))</f>
        <v/>
      </c>
      <c r="K1546">
        <f>IF(OR($B1546="",NOT(ISNUMBER($D1546))),"",IF(AND($E1546&lt;$D$2,$G1546&lt;&gt;"X",$F1546&lt;&gt;"Réalisé",$F1546&lt;&gt;"Clôturé"),"RETARD",""))</f>
        <v/>
      </c>
      <c r="L1546">
        <f>IF(OR($B1546="",NOT(ISNUMBER($D1546))),"",IF(AND($D1546&gt;=$D$2,$D1546&lt;=$H$2,$G1546&lt;&gt;"X",$F1546&lt;&gt;"Réalisé",$F1546&lt;&gt;"Clôturé"),"≤ 7 j",""))</f>
        <v/>
      </c>
      <c r="M1546" s="29">
        <f>IF($B1546="","",IFERROR(INDEX($T$4:$T$3183,MATCH(SMALL($V$4:$V$3183,1543),$V$4:$V$3183,0)),""))</f>
        <v/>
      </c>
      <c r="O1546">
        <f>IF(INDEX(Suivi!$B:$B,1576)="","",INDEX(Suivi!$B:$B,1576))</f>
        <v/>
      </c>
      <c r="P1546">
        <f>IF($O1546="","",IF(INDEX(Suivi!$D:$D,1576)="",INDEX(Suivi!$C:$C,1576),INDEX(Suivi!$D:$D,1576)))</f>
        <v/>
      </c>
      <c r="Q1546">
        <f>IF($O1546="","",INDEX(Suivi!$E:$E,1576))</f>
        <v/>
      </c>
      <c r="R1546">
        <f>IF($O1546="","",INDEX(Suivi!$F:$F,1576))</f>
        <v/>
      </c>
      <c r="S1546">
        <f>IF($O1546="","",INDEX(Suivi!$G:$G,1576))</f>
        <v/>
      </c>
      <c r="T1546">
        <f>IF($O1546="","",IF(INDEX(Dossiers!$F$4:$F$63,30)="","",INDEX(Dossiers!$F$4:$F$63,30)))</f>
        <v/>
      </c>
      <c r="U1546">
        <f>IF($O1546="","",IF(INDEX(Dossiers!$G$4:$G$63,30)="","",INDEX(Dossiers!$G$4:$G$63,30)))</f>
        <v/>
      </c>
      <c r="V1546">
        <f>IF(OR($O1546="",NOT(ISNUMBER($Q1546))),"",$Q1546*1000000+1546)</f>
        <v/>
      </c>
      <c r="W1546" s="29">
        <f>IF($B1546="","",IFERROR(INDEX($U$4:$U$3183,MATCH(SMALL($V$4:$V$3183,1543),$V$4:$V$3183,0)),""))</f>
        <v/>
      </c>
    </row>
    <row r="1547">
      <c r="A1547">
        <f>IFERROR(INDEX($N$4:$N$3183,MATCH(SMALL($V$4:$V$3183,1544),$V$4:$V$3183,0)),"")</f>
        <v/>
      </c>
      <c r="B1547">
        <f>IFERROR(INDEX($O$4:$O$3183,MATCH(SMALL($V$4:$V$3183,1544),$V$4:$V$3183,0)),"")</f>
        <v/>
      </c>
      <c r="C1547">
        <f>IFERROR(INDEX($P$4:$P$3183,MATCH(SMALL($V$4:$V$3183,1544),$V$4:$V$3183,0)),"")</f>
        <v/>
      </c>
      <c r="D1547" s="29">
        <f>IFERROR(INDEX($Q$4:$Q$3183,MATCH(SMALL($V$4:$V$3183,1544),$V$4:$V$3183,0)),"")</f>
        <v/>
      </c>
      <c r="E1547" s="29">
        <f>IFERROR(INDEX($R$4:$R$3183,MATCH(SMALL($V$4:$V$3183,1544),$V$4:$V$3183,0)),"")</f>
        <v/>
      </c>
      <c r="F1547">
        <f>IFERROR(INDEX($S$4:$S$3183,MATCH(SMALL($V$4:$V$3183,1544),$V$4:$V$3183,0)),"")</f>
        <v/>
      </c>
      <c r="I1547" s="29">
        <f>IF($B1547="","",IFERROR(INDEX($U$4:$U$3183,MATCH(SMALL($V$4:$V$3183,1544),$V$4:$V$3183,0)),""))</f>
        <v/>
      </c>
      <c r="J1547">
        <f>IF($B1547="","",IF($D1547&gt;$F$2,"À venir",IF($E1547&lt;$D$2,"Passé","Dans la période")))</f>
        <v/>
      </c>
      <c r="K1547">
        <f>IF(OR($B1547="",NOT(ISNUMBER($D1547))),"",IF(AND($E1547&lt;$D$2,$G1547&lt;&gt;"X",$F1547&lt;&gt;"Réalisé",$F1547&lt;&gt;"Clôturé"),"RETARD",""))</f>
        <v/>
      </c>
      <c r="L1547">
        <f>IF(OR($B1547="",NOT(ISNUMBER($D1547))),"",IF(AND($D1547&gt;=$D$2,$D1547&lt;=$H$2,$G1547&lt;&gt;"X",$F1547&lt;&gt;"Réalisé",$F1547&lt;&gt;"Clôturé"),"≤ 7 j",""))</f>
        <v/>
      </c>
      <c r="M1547" s="29">
        <f>IF($B1547="","",IFERROR(INDEX($T$4:$T$3183,MATCH(SMALL($V$4:$V$3183,1544),$V$4:$V$3183,0)),""))</f>
        <v/>
      </c>
      <c r="O1547">
        <f>IF(INDEX(Suivi!$B:$B,1577)="","",INDEX(Suivi!$B:$B,1577))</f>
        <v/>
      </c>
      <c r="P1547">
        <f>IF($O1547="","",IF(INDEX(Suivi!$D:$D,1577)="",INDEX(Suivi!$C:$C,1577),INDEX(Suivi!$D:$D,1577)))</f>
        <v/>
      </c>
      <c r="Q1547">
        <f>IF($O1547="","",INDEX(Suivi!$E:$E,1577))</f>
        <v/>
      </c>
      <c r="R1547">
        <f>IF($O1547="","",INDEX(Suivi!$F:$F,1577))</f>
        <v/>
      </c>
      <c r="S1547">
        <f>IF($O1547="","",INDEX(Suivi!$G:$G,1577))</f>
        <v/>
      </c>
      <c r="T1547">
        <f>IF($O1547="","",IF(INDEX(Dossiers!$F$4:$F$63,30)="","",INDEX(Dossiers!$F$4:$F$63,30)))</f>
        <v/>
      </c>
      <c r="U1547">
        <f>IF($O1547="","",IF(INDEX(Dossiers!$G$4:$G$63,30)="","",INDEX(Dossiers!$G$4:$G$63,30)))</f>
        <v/>
      </c>
      <c r="V1547">
        <f>IF(OR($O1547="",NOT(ISNUMBER($Q1547))),"",$Q1547*1000000+1547)</f>
        <v/>
      </c>
      <c r="W1547" s="29">
        <f>IF($B1547="","",IFERROR(INDEX($U$4:$U$3183,MATCH(SMALL($V$4:$V$3183,1544),$V$4:$V$3183,0)),""))</f>
        <v/>
      </c>
    </row>
    <row r="1548">
      <c r="A1548">
        <f>IFERROR(INDEX($N$4:$N$3183,MATCH(SMALL($V$4:$V$3183,1545),$V$4:$V$3183,0)),"")</f>
        <v/>
      </c>
      <c r="B1548">
        <f>IFERROR(INDEX($O$4:$O$3183,MATCH(SMALL($V$4:$V$3183,1545),$V$4:$V$3183,0)),"")</f>
        <v/>
      </c>
      <c r="C1548">
        <f>IFERROR(INDEX($P$4:$P$3183,MATCH(SMALL($V$4:$V$3183,1545),$V$4:$V$3183,0)),"")</f>
        <v/>
      </c>
      <c r="D1548" s="29">
        <f>IFERROR(INDEX($Q$4:$Q$3183,MATCH(SMALL($V$4:$V$3183,1545),$V$4:$V$3183,0)),"")</f>
        <v/>
      </c>
      <c r="E1548" s="29">
        <f>IFERROR(INDEX($R$4:$R$3183,MATCH(SMALL($V$4:$V$3183,1545),$V$4:$V$3183,0)),"")</f>
        <v/>
      </c>
      <c r="F1548">
        <f>IFERROR(INDEX($S$4:$S$3183,MATCH(SMALL($V$4:$V$3183,1545),$V$4:$V$3183,0)),"")</f>
        <v/>
      </c>
      <c r="I1548" s="29">
        <f>IF($B1548="","",IFERROR(INDEX($U$4:$U$3183,MATCH(SMALL($V$4:$V$3183,1545),$V$4:$V$3183,0)),""))</f>
        <v/>
      </c>
      <c r="J1548">
        <f>IF($B1548="","",IF($D1548&gt;$F$2,"À venir",IF($E1548&lt;$D$2,"Passé","Dans la période")))</f>
        <v/>
      </c>
      <c r="K1548">
        <f>IF(OR($B1548="",NOT(ISNUMBER($D1548))),"",IF(AND($E1548&lt;$D$2,$G1548&lt;&gt;"X",$F1548&lt;&gt;"Réalisé",$F1548&lt;&gt;"Clôturé"),"RETARD",""))</f>
        <v/>
      </c>
      <c r="L1548">
        <f>IF(OR($B1548="",NOT(ISNUMBER($D1548))),"",IF(AND($D1548&gt;=$D$2,$D1548&lt;=$H$2,$G1548&lt;&gt;"X",$F1548&lt;&gt;"Réalisé",$F1548&lt;&gt;"Clôturé"),"≤ 7 j",""))</f>
        <v/>
      </c>
      <c r="M1548" s="29">
        <f>IF($B1548="","",IFERROR(INDEX($T$4:$T$3183,MATCH(SMALL($V$4:$V$3183,1545),$V$4:$V$3183,0)),""))</f>
        <v/>
      </c>
      <c r="O1548">
        <f>IF(INDEX(Suivi!$B:$B,1578)="","",INDEX(Suivi!$B:$B,1578))</f>
        <v/>
      </c>
      <c r="P1548">
        <f>IF($O1548="","",IF(INDEX(Suivi!$D:$D,1578)="",INDEX(Suivi!$C:$C,1578),INDEX(Suivi!$D:$D,1578)))</f>
        <v/>
      </c>
      <c r="Q1548">
        <f>IF($O1548="","",INDEX(Suivi!$E:$E,1578))</f>
        <v/>
      </c>
      <c r="R1548">
        <f>IF($O1548="","",INDEX(Suivi!$F:$F,1578))</f>
        <v/>
      </c>
      <c r="S1548">
        <f>IF($O1548="","",INDEX(Suivi!$G:$G,1578))</f>
        <v/>
      </c>
      <c r="T1548">
        <f>IF($O1548="","",IF(INDEX(Dossiers!$F$4:$F$63,30)="","",INDEX(Dossiers!$F$4:$F$63,30)))</f>
        <v/>
      </c>
      <c r="U1548">
        <f>IF($O1548="","",IF(INDEX(Dossiers!$G$4:$G$63,30)="","",INDEX(Dossiers!$G$4:$G$63,30)))</f>
        <v/>
      </c>
      <c r="V1548">
        <f>IF(OR($O1548="",NOT(ISNUMBER($Q1548))),"",$Q1548*1000000+1548)</f>
        <v/>
      </c>
      <c r="W1548" s="29">
        <f>IF($B1548="","",IFERROR(INDEX($U$4:$U$3183,MATCH(SMALL($V$4:$V$3183,1545),$V$4:$V$3183,0)),""))</f>
        <v/>
      </c>
    </row>
    <row r="1549">
      <c r="A1549">
        <f>IFERROR(INDEX($N$4:$N$3183,MATCH(SMALL($V$4:$V$3183,1546),$V$4:$V$3183,0)),"")</f>
        <v/>
      </c>
      <c r="B1549">
        <f>IFERROR(INDEX($O$4:$O$3183,MATCH(SMALL($V$4:$V$3183,1546),$V$4:$V$3183,0)),"")</f>
        <v/>
      </c>
      <c r="C1549">
        <f>IFERROR(INDEX($P$4:$P$3183,MATCH(SMALL($V$4:$V$3183,1546),$V$4:$V$3183,0)),"")</f>
        <v/>
      </c>
      <c r="D1549" s="29">
        <f>IFERROR(INDEX($Q$4:$Q$3183,MATCH(SMALL($V$4:$V$3183,1546),$V$4:$V$3183,0)),"")</f>
        <v/>
      </c>
      <c r="E1549" s="29">
        <f>IFERROR(INDEX($R$4:$R$3183,MATCH(SMALL($V$4:$V$3183,1546),$V$4:$V$3183,0)),"")</f>
        <v/>
      </c>
      <c r="F1549">
        <f>IFERROR(INDEX($S$4:$S$3183,MATCH(SMALL($V$4:$V$3183,1546),$V$4:$V$3183,0)),"")</f>
        <v/>
      </c>
      <c r="I1549" s="29">
        <f>IF($B1549="","",IFERROR(INDEX($U$4:$U$3183,MATCH(SMALL($V$4:$V$3183,1546),$V$4:$V$3183,0)),""))</f>
        <v/>
      </c>
      <c r="J1549">
        <f>IF($B1549="","",IF($D1549&gt;$F$2,"À venir",IF($E1549&lt;$D$2,"Passé","Dans la période")))</f>
        <v/>
      </c>
      <c r="K1549">
        <f>IF(OR($B1549="",NOT(ISNUMBER($D1549))),"",IF(AND($E1549&lt;$D$2,$G1549&lt;&gt;"X",$F1549&lt;&gt;"Réalisé",$F1549&lt;&gt;"Clôturé"),"RETARD",""))</f>
        <v/>
      </c>
      <c r="L1549">
        <f>IF(OR($B1549="",NOT(ISNUMBER($D1549))),"",IF(AND($D1549&gt;=$D$2,$D1549&lt;=$H$2,$G1549&lt;&gt;"X",$F1549&lt;&gt;"Réalisé",$F1549&lt;&gt;"Clôturé"),"≤ 7 j",""))</f>
        <v/>
      </c>
      <c r="M1549" s="29">
        <f>IF($B1549="","",IFERROR(INDEX($T$4:$T$3183,MATCH(SMALL($V$4:$V$3183,1546),$V$4:$V$3183,0)),""))</f>
        <v/>
      </c>
      <c r="O1549">
        <f>IF(INDEX(Suivi!$B:$B,1579)="","",INDEX(Suivi!$B:$B,1579))</f>
        <v/>
      </c>
      <c r="P1549">
        <f>IF($O1549="","",IF(INDEX(Suivi!$D:$D,1579)="",INDEX(Suivi!$C:$C,1579),INDEX(Suivi!$D:$D,1579)))</f>
        <v/>
      </c>
      <c r="Q1549">
        <f>IF($O1549="","",INDEX(Suivi!$E:$E,1579))</f>
        <v/>
      </c>
      <c r="R1549">
        <f>IF($O1549="","",INDEX(Suivi!$F:$F,1579))</f>
        <v/>
      </c>
      <c r="S1549">
        <f>IF($O1549="","",INDEX(Suivi!$G:$G,1579))</f>
        <v/>
      </c>
      <c r="T1549">
        <f>IF($O1549="","",IF(INDEX(Dossiers!$F$4:$F$63,30)="","",INDEX(Dossiers!$F$4:$F$63,30)))</f>
        <v/>
      </c>
      <c r="U1549">
        <f>IF($O1549="","",IF(INDEX(Dossiers!$G$4:$G$63,30)="","",INDEX(Dossiers!$G$4:$G$63,30)))</f>
        <v/>
      </c>
      <c r="V1549">
        <f>IF(OR($O1549="",NOT(ISNUMBER($Q1549))),"",$Q1549*1000000+1549)</f>
        <v/>
      </c>
      <c r="W1549" s="29">
        <f>IF($B1549="","",IFERROR(INDEX($U$4:$U$3183,MATCH(SMALL($V$4:$V$3183,1546),$V$4:$V$3183,0)),""))</f>
        <v/>
      </c>
    </row>
    <row r="1550">
      <c r="A1550">
        <f>IFERROR(INDEX($N$4:$N$3183,MATCH(SMALL($V$4:$V$3183,1547),$V$4:$V$3183,0)),"")</f>
        <v/>
      </c>
      <c r="B1550">
        <f>IFERROR(INDEX($O$4:$O$3183,MATCH(SMALL($V$4:$V$3183,1547),$V$4:$V$3183,0)),"")</f>
        <v/>
      </c>
      <c r="C1550">
        <f>IFERROR(INDEX($P$4:$P$3183,MATCH(SMALL($V$4:$V$3183,1547),$V$4:$V$3183,0)),"")</f>
        <v/>
      </c>
      <c r="D1550" s="29">
        <f>IFERROR(INDEX($Q$4:$Q$3183,MATCH(SMALL($V$4:$V$3183,1547),$V$4:$V$3183,0)),"")</f>
        <v/>
      </c>
      <c r="E1550" s="29">
        <f>IFERROR(INDEX($R$4:$R$3183,MATCH(SMALL($V$4:$V$3183,1547),$V$4:$V$3183,0)),"")</f>
        <v/>
      </c>
      <c r="F1550">
        <f>IFERROR(INDEX($S$4:$S$3183,MATCH(SMALL($V$4:$V$3183,1547),$V$4:$V$3183,0)),"")</f>
        <v/>
      </c>
      <c r="I1550" s="29">
        <f>IF($B1550="","",IFERROR(INDEX($U$4:$U$3183,MATCH(SMALL($V$4:$V$3183,1547),$V$4:$V$3183,0)),""))</f>
        <v/>
      </c>
      <c r="J1550">
        <f>IF($B1550="","",IF($D1550&gt;$F$2,"À venir",IF($E1550&lt;$D$2,"Passé","Dans la période")))</f>
        <v/>
      </c>
      <c r="K1550">
        <f>IF(OR($B1550="",NOT(ISNUMBER($D1550))),"",IF(AND($E1550&lt;$D$2,$G1550&lt;&gt;"X",$F1550&lt;&gt;"Réalisé",$F1550&lt;&gt;"Clôturé"),"RETARD",""))</f>
        <v/>
      </c>
      <c r="L1550">
        <f>IF(OR($B1550="",NOT(ISNUMBER($D1550))),"",IF(AND($D1550&gt;=$D$2,$D1550&lt;=$H$2,$G1550&lt;&gt;"X",$F1550&lt;&gt;"Réalisé",$F1550&lt;&gt;"Clôturé"),"≤ 7 j",""))</f>
        <v/>
      </c>
      <c r="M1550" s="29">
        <f>IF($B1550="","",IFERROR(INDEX($T$4:$T$3183,MATCH(SMALL($V$4:$V$3183,1547),$V$4:$V$3183,0)),""))</f>
        <v/>
      </c>
      <c r="O1550">
        <f>IF(INDEX(Suivi!$B:$B,1580)="","",INDEX(Suivi!$B:$B,1580))</f>
        <v/>
      </c>
      <c r="P1550">
        <f>IF($O1550="","",IF(INDEX(Suivi!$D:$D,1580)="",INDEX(Suivi!$C:$C,1580),INDEX(Suivi!$D:$D,1580)))</f>
        <v/>
      </c>
      <c r="Q1550">
        <f>IF($O1550="","",INDEX(Suivi!$E:$E,1580))</f>
        <v/>
      </c>
      <c r="R1550">
        <f>IF($O1550="","",INDEX(Suivi!$F:$F,1580))</f>
        <v/>
      </c>
      <c r="S1550">
        <f>IF($O1550="","",INDEX(Suivi!$G:$G,1580))</f>
        <v/>
      </c>
      <c r="T1550">
        <f>IF($O1550="","",IF(INDEX(Dossiers!$F$4:$F$63,30)="","",INDEX(Dossiers!$F$4:$F$63,30)))</f>
        <v/>
      </c>
      <c r="U1550">
        <f>IF($O1550="","",IF(INDEX(Dossiers!$G$4:$G$63,30)="","",INDEX(Dossiers!$G$4:$G$63,30)))</f>
        <v/>
      </c>
      <c r="V1550">
        <f>IF(OR($O1550="",NOT(ISNUMBER($Q1550))),"",$Q1550*1000000+1550)</f>
        <v/>
      </c>
      <c r="W1550" s="29">
        <f>IF($B1550="","",IFERROR(INDEX($U$4:$U$3183,MATCH(SMALL($V$4:$V$3183,1547),$V$4:$V$3183,0)),""))</f>
        <v/>
      </c>
    </row>
    <row r="1551">
      <c r="A1551">
        <f>IFERROR(INDEX($N$4:$N$3183,MATCH(SMALL($V$4:$V$3183,1548),$V$4:$V$3183,0)),"")</f>
        <v/>
      </c>
      <c r="B1551">
        <f>IFERROR(INDEX($O$4:$O$3183,MATCH(SMALL($V$4:$V$3183,1548),$V$4:$V$3183,0)),"")</f>
        <v/>
      </c>
      <c r="C1551">
        <f>IFERROR(INDEX($P$4:$P$3183,MATCH(SMALL($V$4:$V$3183,1548),$V$4:$V$3183,0)),"")</f>
        <v/>
      </c>
      <c r="D1551" s="29">
        <f>IFERROR(INDEX($Q$4:$Q$3183,MATCH(SMALL($V$4:$V$3183,1548),$V$4:$V$3183,0)),"")</f>
        <v/>
      </c>
      <c r="E1551" s="29">
        <f>IFERROR(INDEX($R$4:$R$3183,MATCH(SMALL($V$4:$V$3183,1548),$V$4:$V$3183,0)),"")</f>
        <v/>
      </c>
      <c r="F1551">
        <f>IFERROR(INDEX($S$4:$S$3183,MATCH(SMALL($V$4:$V$3183,1548),$V$4:$V$3183,0)),"")</f>
        <v/>
      </c>
      <c r="I1551" s="29">
        <f>IF($B1551="","",IFERROR(INDEX($U$4:$U$3183,MATCH(SMALL($V$4:$V$3183,1548),$V$4:$V$3183,0)),""))</f>
        <v/>
      </c>
      <c r="J1551">
        <f>IF($B1551="","",IF($D1551&gt;$F$2,"À venir",IF($E1551&lt;$D$2,"Passé","Dans la période")))</f>
        <v/>
      </c>
      <c r="K1551">
        <f>IF(OR($B1551="",NOT(ISNUMBER($D1551))),"",IF(AND($E1551&lt;$D$2,$G1551&lt;&gt;"X",$F1551&lt;&gt;"Réalisé",$F1551&lt;&gt;"Clôturé"),"RETARD",""))</f>
        <v/>
      </c>
      <c r="L1551">
        <f>IF(OR($B1551="",NOT(ISNUMBER($D1551))),"",IF(AND($D1551&gt;=$D$2,$D1551&lt;=$H$2,$G1551&lt;&gt;"X",$F1551&lt;&gt;"Réalisé",$F1551&lt;&gt;"Clôturé"),"≤ 7 j",""))</f>
        <v/>
      </c>
      <c r="M1551" s="29">
        <f>IF($B1551="","",IFERROR(INDEX($T$4:$T$3183,MATCH(SMALL($V$4:$V$3183,1548),$V$4:$V$3183,0)),""))</f>
        <v/>
      </c>
      <c r="O1551">
        <f>IF(INDEX(Suivi!$B:$B,1581)="","",INDEX(Suivi!$B:$B,1581))</f>
        <v/>
      </c>
      <c r="P1551">
        <f>IF($O1551="","",IF(INDEX(Suivi!$D:$D,1581)="",INDEX(Suivi!$C:$C,1581),INDEX(Suivi!$D:$D,1581)))</f>
        <v/>
      </c>
      <c r="Q1551">
        <f>IF($O1551="","",INDEX(Suivi!$E:$E,1581))</f>
        <v/>
      </c>
      <c r="R1551">
        <f>IF($O1551="","",INDEX(Suivi!$F:$F,1581))</f>
        <v/>
      </c>
      <c r="S1551">
        <f>IF($O1551="","",INDEX(Suivi!$G:$G,1581))</f>
        <v/>
      </c>
      <c r="T1551">
        <f>IF($O1551="","",IF(INDEX(Dossiers!$F$4:$F$63,30)="","",INDEX(Dossiers!$F$4:$F$63,30)))</f>
        <v/>
      </c>
      <c r="U1551">
        <f>IF($O1551="","",IF(INDEX(Dossiers!$G$4:$G$63,30)="","",INDEX(Dossiers!$G$4:$G$63,30)))</f>
        <v/>
      </c>
      <c r="V1551">
        <f>IF(OR($O1551="",NOT(ISNUMBER($Q1551))),"",$Q1551*1000000+1551)</f>
        <v/>
      </c>
      <c r="W1551" s="29">
        <f>IF($B1551="","",IFERROR(INDEX($U$4:$U$3183,MATCH(SMALL($V$4:$V$3183,1548),$V$4:$V$3183,0)),""))</f>
        <v/>
      </c>
    </row>
    <row r="1552">
      <c r="A1552">
        <f>IFERROR(INDEX($N$4:$N$3183,MATCH(SMALL($V$4:$V$3183,1549),$V$4:$V$3183,0)),"")</f>
        <v/>
      </c>
      <c r="B1552">
        <f>IFERROR(INDEX($O$4:$O$3183,MATCH(SMALL($V$4:$V$3183,1549),$V$4:$V$3183,0)),"")</f>
        <v/>
      </c>
      <c r="C1552">
        <f>IFERROR(INDEX($P$4:$P$3183,MATCH(SMALL($V$4:$V$3183,1549),$V$4:$V$3183,0)),"")</f>
        <v/>
      </c>
      <c r="D1552" s="29">
        <f>IFERROR(INDEX($Q$4:$Q$3183,MATCH(SMALL($V$4:$V$3183,1549),$V$4:$V$3183,0)),"")</f>
        <v/>
      </c>
      <c r="E1552" s="29">
        <f>IFERROR(INDEX($R$4:$R$3183,MATCH(SMALL($V$4:$V$3183,1549),$V$4:$V$3183,0)),"")</f>
        <v/>
      </c>
      <c r="F1552">
        <f>IFERROR(INDEX($S$4:$S$3183,MATCH(SMALL($V$4:$V$3183,1549),$V$4:$V$3183,0)),"")</f>
        <v/>
      </c>
      <c r="I1552" s="29">
        <f>IF($B1552="","",IFERROR(INDEX($U$4:$U$3183,MATCH(SMALL($V$4:$V$3183,1549),$V$4:$V$3183,0)),""))</f>
        <v/>
      </c>
      <c r="J1552">
        <f>IF($B1552="","",IF($D1552&gt;$F$2,"À venir",IF($E1552&lt;$D$2,"Passé","Dans la période")))</f>
        <v/>
      </c>
      <c r="K1552">
        <f>IF(OR($B1552="",NOT(ISNUMBER($D1552))),"",IF(AND($E1552&lt;$D$2,$G1552&lt;&gt;"X",$F1552&lt;&gt;"Réalisé",$F1552&lt;&gt;"Clôturé"),"RETARD",""))</f>
        <v/>
      </c>
      <c r="L1552">
        <f>IF(OR($B1552="",NOT(ISNUMBER($D1552))),"",IF(AND($D1552&gt;=$D$2,$D1552&lt;=$H$2,$G1552&lt;&gt;"X",$F1552&lt;&gt;"Réalisé",$F1552&lt;&gt;"Clôturé"),"≤ 7 j",""))</f>
        <v/>
      </c>
      <c r="M1552" s="29">
        <f>IF($B1552="","",IFERROR(INDEX($T$4:$T$3183,MATCH(SMALL($V$4:$V$3183,1549),$V$4:$V$3183,0)),""))</f>
        <v/>
      </c>
      <c r="O1552">
        <f>IF(INDEX(Suivi!$B:$B,1582)="","",INDEX(Suivi!$B:$B,1582))</f>
        <v/>
      </c>
      <c r="P1552">
        <f>IF($O1552="","",IF(INDEX(Suivi!$D:$D,1582)="",INDEX(Suivi!$C:$C,1582),INDEX(Suivi!$D:$D,1582)))</f>
        <v/>
      </c>
      <c r="Q1552">
        <f>IF($O1552="","",INDEX(Suivi!$E:$E,1582))</f>
        <v/>
      </c>
      <c r="R1552">
        <f>IF($O1552="","",INDEX(Suivi!$F:$F,1582))</f>
        <v/>
      </c>
      <c r="S1552">
        <f>IF($O1552="","",INDEX(Suivi!$G:$G,1582))</f>
        <v/>
      </c>
      <c r="T1552">
        <f>IF($O1552="","",IF(INDEX(Dossiers!$F$4:$F$63,30)="","",INDEX(Dossiers!$F$4:$F$63,30)))</f>
        <v/>
      </c>
      <c r="U1552">
        <f>IF($O1552="","",IF(INDEX(Dossiers!$G$4:$G$63,30)="","",INDEX(Dossiers!$G$4:$G$63,30)))</f>
        <v/>
      </c>
      <c r="V1552">
        <f>IF(OR($O1552="",NOT(ISNUMBER($Q1552))),"",$Q1552*1000000+1552)</f>
        <v/>
      </c>
      <c r="W1552" s="29">
        <f>IF($B1552="","",IFERROR(INDEX($U$4:$U$3183,MATCH(SMALL($V$4:$V$3183,1549),$V$4:$V$3183,0)),""))</f>
        <v/>
      </c>
    </row>
    <row r="1553">
      <c r="A1553">
        <f>IFERROR(INDEX($N$4:$N$3183,MATCH(SMALL($V$4:$V$3183,1550),$V$4:$V$3183,0)),"")</f>
        <v/>
      </c>
      <c r="B1553">
        <f>IFERROR(INDEX($O$4:$O$3183,MATCH(SMALL($V$4:$V$3183,1550),$V$4:$V$3183,0)),"")</f>
        <v/>
      </c>
      <c r="C1553">
        <f>IFERROR(INDEX($P$4:$P$3183,MATCH(SMALL($V$4:$V$3183,1550),$V$4:$V$3183,0)),"")</f>
        <v/>
      </c>
      <c r="D1553" s="29">
        <f>IFERROR(INDEX($Q$4:$Q$3183,MATCH(SMALL($V$4:$V$3183,1550),$V$4:$V$3183,0)),"")</f>
        <v/>
      </c>
      <c r="E1553" s="29">
        <f>IFERROR(INDEX($R$4:$R$3183,MATCH(SMALL($V$4:$V$3183,1550),$V$4:$V$3183,0)),"")</f>
        <v/>
      </c>
      <c r="F1553">
        <f>IFERROR(INDEX($S$4:$S$3183,MATCH(SMALL($V$4:$V$3183,1550),$V$4:$V$3183,0)),"")</f>
        <v/>
      </c>
      <c r="I1553" s="29">
        <f>IF($B1553="","",IFERROR(INDEX($U$4:$U$3183,MATCH(SMALL($V$4:$V$3183,1550),$V$4:$V$3183,0)),""))</f>
        <v/>
      </c>
      <c r="J1553">
        <f>IF($B1553="","",IF($D1553&gt;$F$2,"À venir",IF($E1553&lt;$D$2,"Passé","Dans la période")))</f>
        <v/>
      </c>
      <c r="K1553">
        <f>IF(OR($B1553="",NOT(ISNUMBER($D1553))),"",IF(AND($E1553&lt;$D$2,$G1553&lt;&gt;"X",$F1553&lt;&gt;"Réalisé",$F1553&lt;&gt;"Clôturé"),"RETARD",""))</f>
        <v/>
      </c>
      <c r="L1553">
        <f>IF(OR($B1553="",NOT(ISNUMBER($D1553))),"",IF(AND($D1553&gt;=$D$2,$D1553&lt;=$H$2,$G1553&lt;&gt;"X",$F1553&lt;&gt;"Réalisé",$F1553&lt;&gt;"Clôturé"),"≤ 7 j",""))</f>
        <v/>
      </c>
      <c r="M1553" s="29">
        <f>IF($B1553="","",IFERROR(INDEX($T$4:$T$3183,MATCH(SMALL($V$4:$V$3183,1550),$V$4:$V$3183,0)),""))</f>
        <v/>
      </c>
      <c r="O1553">
        <f>IF(INDEX(Suivi!$B:$B,1583)="","",INDEX(Suivi!$B:$B,1583))</f>
        <v/>
      </c>
      <c r="P1553">
        <f>IF($O1553="","",IF(INDEX(Suivi!$D:$D,1583)="",INDEX(Suivi!$C:$C,1583),INDEX(Suivi!$D:$D,1583)))</f>
        <v/>
      </c>
      <c r="Q1553">
        <f>IF($O1553="","",INDEX(Suivi!$E:$E,1583))</f>
        <v/>
      </c>
      <c r="R1553">
        <f>IF($O1553="","",INDEX(Suivi!$F:$F,1583))</f>
        <v/>
      </c>
      <c r="S1553">
        <f>IF($O1553="","",INDEX(Suivi!$G:$G,1583))</f>
        <v/>
      </c>
      <c r="T1553">
        <f>IF($O1553="","",IF(INDEX(Dossiers!$F$4:$F$63,30)="","",INDEX(Dossiers!$F$4:$F$63,30)))</f>
        <v/>
      </c>
      <c r="U1553">
        <f>IF($O1553="","",IF(INDEX(Dossiers!$G$4:$G$63,30)="","",INDEX(Dossiers!$G$4:$G$63,30)))</f>
        <v/>
      </c>
      <c r="V1553">
        <f>IF(OR($O1553="",NOT(ISNUMBER($Q1553))),"",$Q1553*1000000+1553)</f>
        <v/>
      </c>
      <c r="W1553" s="29">
        <f>IF($B1553="","",IFERROR(INDEX($U$4:$U$3183,MATCH(SMALL($V$4:$V$3183,1550),$V$4:$V$3183,0)),""))</f>
        <v/>
      </c>
    </row>
    <row r="1554">
      <c r="A1554">
        <f>IFERROR(INDEX($N$4:$N$3183,MATCH(SMALL($V$4:$V$3183,1551),$V$4:$V$3183,0)),"")</f>
        <v/>
      </c>
      <c r="B1554">
        <f>IFERROR(INDEX($O$4:$O$3183,MATCH(SMALL($V$4:$V$3183,1551),$V$4:$V$3183,0)),"")</f>
        <v/>
      </c>
      <c r="C1554">
        <f>IFERROR(INDEX($P$4:$P$3183,MATCH(SMALL($V$4:$V$3183,1551),$V$4:$V$3183,0)),"")</f>
        <v/>
      </c>
      <c r="D1554" s="29">
        <f>IFERROR(INDEX($Q$4:$Q$3183,MATCH(SMALL($V$4:$V$3183,1551),$V$4:$V$3183,0)),"")</f>
        <v/>
      </c>
      <c r="E1554" s="29">
        <f>IFERROR(INDEX($R$4:$R$3183,MATCH(SMALL($V$4:$V$3183,1551),$V$4:$V$3183,0)),"")</f>
        <v/>
      </c>
      <c r="F1554">
        <f>IFERROR(INDEX($S$4:$S$3183,MATCH(SMALL($V$4:$V$3183,1551),$V$4:$V$3183,0)),"")</f>
        <v/>
      </c>
      <c r="I1554" s="29">
        <f>IF($B1554="","",IFERROR(INDEX($U$4:$U$3183,MATCH(SMALL($V$4:$V$3183,1551),$V$4:$V$3183,0)),""))</f>
        <v/>
      </c>
      <c r="J1554">
        <f>IF($B1554="","",IF($D1554&gt;$F$2,"À venir",IF($E1554&lt;$D$2,"Passé","Dans la période")))</f>
        <v/>
      </c>
      <c r="K1554">
        <f>IF(OR($B1554="",NOT(ISNUMBER($D1554))),"",IF(AND($E1554&lt;$D$2,$G1554&lt;&gt;"X",$F1554&lt;&gt;"Réalisé",$F1554&lt;&gt;"Clôturé"),"RETARD",""))</f>
        <v/>
      </c>
      <c r="L1554">
        <f>IF(OR($B1554="",NOT(ISNUMBER($D1554))),"",IF(AND($D1554&gt;=$D$2,$D1554&lt;=$H$2,$G1554&lt;&gt;"X",$F1554&lt;&gt;"Réalisé",$F1554&lt;&gt;"Clôturé"),"≤ 7 j",""))</f>
        <v/>
      </c>
      <c r="M1554" s="29">
        <f>IF($B1554="","",IFERROR(INDEX($T$4:$T$3183,MATCH(SMALL($V$4:$V$3183,1551),$V$4:$V$3183,0)),""))</f>
        <v/>
      </c>
      <c r="O1554">
        <f>IF(INDEX(Suivi!$B:$B,1584)="","",INDEX(Suivi!$B:$B,1584))</f>
        <v/>
      </c>
      <c r="P1554">
        <f>IF($O1554="","",IF(INDEX(Suivi!$D:$D,1584)="",INDEX(Suivi!$C:$C,1584),INDEX(Suivi!$D:$D,1584)))</f>
        <v/>
      </c>
      <c r="Q1554">
        <f>IF($O1554="","",INDEX(Suivi!$E:$E,1584))</f>
        <v/>
      </c>
      <c r="R1554">
        <f>IF($O1554="","",INDEX(Suivi!$F:$F,1584))</f>
        <v/>
      </c>
      <c r="S1554">
        <f>IF($O1554="","",INDEX(Suivi!$G:$G,1584))</f>
        <v/>
      </c>
      <c r="T1554">
        <f>IF($O1554="","",IF(INDEX(Dossiers!$F$4:$F$63,30)="","",INDEX(Dossiers!$F$4:$F$63,30)))</f>
        <v/>
      </c>
      <c r="U1554">
        <f>IF($O1554="","",IF(INDEX(Dossiers!$G$4:$G$63,30)="","",INDEX(Dossiers!$G$4:$G$63,30)))</f>
        <v/>
      </c>
      <c r="V1554">
        <f>IF(OR($O1554="",NOT(ISNUMBER($Q1554))),"",$Q1554*1000000+1554)</f>
        <v/>
      </c>
      <c r="W1554" s="29">
        <f>IF($B1554="","",IFERROR(INDEX($U$4:$U$3183,MATCH(SMALL($V$4:$V$3183,1551),$V$4:$V$3183,0)),""))</f>
        <v/>
      </c>
    </row>
    <row r="1555">
      <c r="A1555">
        <f>IFERROR(INDEX($N$4:$N$3183,MATCH(SMALL($V$4:$V$3183,1552),$V$4:$V$3183,0)),"")</f>
        <v/>
      </c>
      <c r="B1555">
        <f>IFERROR(INDEX($O$4:$O$3183,MATCH(SMALL($V$4:$V$3183,1552),$V$4:$V$3183,0)),"")</f>
        <v/>
      </c>
      <c r="C1555">
        <f>IFERROR(INDEX($P$4:$P$3183,MATCH(SMALL($V$4:$V$3183,1552),$V$4:$V$3183,0)),"")</f>
        <v/>
      </c>
      <c r="D1555" s="29">
        <f>IFERROR(INDEX($Q$4:$Q$3183,MATCH(SMALL($V$4:$V$3183,1552),$V$4:$V$3183,0)),"")</f>
        <v/>
      </c>
      <c r="E1555" s="29">
        <f>IFERROR(INDEX($R$4:$R$3183,MATCH(SMALL($V$4:$V$3183,1552),$V$4:$V$3183,0)),"")</f>
        <v/>
      </c>
      <c r="F1555">
        <f>IFERROR(INDEX($S$4:$S$3183,MATCH(SMALL($V$4:$V$3183,1552),$V$4:$V$3183,0)),"")</f>
        <v/>
      </c>
      <c r="I1555" s="29">
        <f>IF($B1555="","",IFERROR(INDEX($U$4:$U$3183,MATCH(SMALL($V$4:$V$3183,1552),$V$4:$V$3183,0)),""))</f>
        <v/>
      </c>
      <c r="J1555">
        <f>IF($B1555="","",IF($D1555&gt;$F$2,"À venir",IF($E1555&lt;$D$2,"Passé","Dans la période")))</f>
        <v/>
      </c>
      <c r="K1555">
        <f>IF(OR($B1555="",NOT(ISNUMBER($D1555))),"",IF(AND($E1555&lt;$D$2,$G1555&lt;&gt;"X",$F1555&lt;&gt;"Réalisé",$F1555&lt;&gt;"Clôturé"),"RETARD",""))</f>
        <v/>
      </c>
      <c r="L1555">
        <f>IF(OR($B1555="",NOT(ISNUMBER($D1555))),"",IF(AND($D1555&gt;=$D$2,$D1555&lt;=$H$2,$G1555&lt;&gt;"X",$F1555&lt;&gt;"Réalisé",$F1555&lt;&gt;"Clôturé"),"≤ 7 j",""))</f>
        <v/>
      </c>
      <c r="M1555" s="29">
        <f>IF($B1555="","",IFERROR(INDEX($T$4:$T$3183,MATCH(SMALL($V$4:$V$3183,1552),$V$4:$V$3183,0)),""))</f>
        <v/>
      </c>
      <c r="O1555">
        <f>IF(INDEX(Suivi!$B:$B,1585)="","",INDEX(Suivi!$B:$B,1585))</f>
        <v/>
      </c>
      <c r="P1555">
        <f>IF($O1555="","",IF(INDEX(Suivi!$D:$D,1585)="",INDEX(Suivi!$C:$C,1585),INDEX(Suivi!$D:$D,1585)))</f>
        <v/>
      </c>
      <c r="Q1555">
        <f>IF($O1555="","",INDEX(Suivi!$E:$E,1585))</f>
        <v/>
      </c>
      <c r="R1555">
        <f>IF($O1555="","",INDEX(Suivi!$F:$F,1585))</f>
        <v/>
      </c>
      <c r="S1555">
        <f>IF($O1555="","",INDEX(Suivi!$G:$G,1585))</f>
        <v/>
      </c>
      <c r="T1555">
        <f>IF($O1555="","",IF(INDEX(Dossiers!$F$4:$F$63,30)="","",INDEX(Dossiers!$F$4:$F$63,30)))</f>
        <v/>
      </c>
      <c r="U1555">
        <f>IF($O1555="","",IF(INDEX(Dossiers!$G$4:$G$63,30)="","",INDEX(Dossiers!$G$4:$G$63,30)))</f>
        <v/>
      </c>
      <c r="V1555">
        <f>IF(OR($O1555="",NOT(ISNUMBER($Q1555))),"",$Q1555*1000000+1555)</f>
        <v/>
      </c>
      <c r="W1555" s="29">
        <f>IF($B1555="","",IFERROR(INDEX($U$4:$U$3183,MATCH(SMALL($V$4:$V$3183,1552),$V$4:$V$3183,0)),""))</f>
        <v/>
      </c>
    </row>
    <row r="1556">
      <c r="A1556">
        <f>IFERROR(INDEX($N$4:$N$3183,MATCH(SMALL($V$4:$V$3183,1553),$V$4:$V$3183,0)),"")</f>
        <v/>
      </c>
      <c r="B1556">
        <f>IFERROR(INDEX($O$4:$O$3183,MATCH(SMALL($V$4:$V$3183,1553),$V$4:$V$3183,0)),"")</f>
        <v/>
      </c>
      <c r="C1556">
        <f>IFERROR(INDEX($P$4:$P$3183,MATCH(SMALL($V$4:$V$3183,1553),$V$4:$V$3183,0)),"")</f>
        <v/>
      </c>
      <c r="D1556" s="29">
        <f>IFERROR(INDEX($Q$4:$Q$3183,MATCH(SMALL($V$4:$V$3183,1553),$V$4:$V$3183,0)),"")</f>
        <v/>
      </c>
      <c r="E1556" s="29">
        <f>IFERROR(INDEX($R$4:$R$3183,MATCH(SMALL($V$4:$V$3183,1553),$V$4:$V$3183,0)),"")</f>
        <v/>
      </c>
      <c r="F1556">
        <f>IFERROR(INDEX($S$4:$S$3183,MATCH(SMALL($V$4:$V$3183,1553),$V$4:$V$3183,0)),"")</f>
        <v/>
      </c>
      <c r="I1556" s="29">
        <f>IF($B1556="","",IFERROR(INDEX($U$4:$U$3183,MATCH(SMALL($V$4:$V$3183,1553),$V$4:$V$3183,0)),""))</f>
        <v/>
      </c>
      <c r="J1556">
        <f>IF($B1556="","",IF($D1556&gt;$F$2,"À venir",IF($E1556&lt;$D$2,"Passé","Dans la période")))</f>
        <v/>
      </c>
      <c r="K1556">
        <f>IF(OR($B1556="",NOT(ISNUMBER($D1556))),"",IF(AND($E1556&lt;$D$2,$G1556&lt;&gt;"X",$F1556&lt;&gt;"Réalisé",$F1556&lt;&gt;"Clôturé"),"RETARD",""))</f>
        <v/>
      </c>
      <c r="L1556">
        <f>IF(OR($B1556="",NOT(ISNUMBER($D1556))),"",IF(AND($D1556&gt;=$D$2,$D1556&lt;=$H$2,$G1556&lt;&gt;"X",$F1556&lt;&gt;"Réalisé",$F1556&lt;&gt;"Clôturé"),"≤ 7 j",""))</f>
        <v/>
      </c>
      <c r="M1556" s="29">
        <f>IF($B1556="","",IFERROR(INDEX($T$4:$T$3183,MATCH(SMALL($V$4:$V$3183,1553),$V$4:$V$3183,0)),""))</f>
        <v/>
      </c>
      <c r="O1556">
        <f>IF(INDEX(Suivi!$B:$B,1586)="","",INDEX(Suivi!$B:$B,1586))</f>
        <v/>
      </c>
      <c r="P1556">
        <f>IF($O1556="","",IF(INDEX(Suivi!$D:$D,1586)="",INDEX(Suivi!$C:$C,1586),INDEX(Suivi!$D:$D,1586)))</f>
        <v/>
      </c>
      <c r="Q1556">
        <f>IF($O1556="","",INDEX(Suivi!$E:$E,1586))</f>
        <v/>
      </c>
      <c r="R1556">
        <f>IF($O1556="","",INDEX(Suivi!$F:$F,1586))</f>
        <v/>
      </c>
      <c r="S1556">
        <f>IF($O1556="","",INDEX(Suivi!$G:$G,1586))</f>
        <v/>
      </c>
      <c r="T1556">
        <f>IF($O1556="","",IF(INDEX(Dossiers!$F$4:$F$63,30)="","",INDEX(Dossiers!$F$4:$F$63,30)))</f>
        <v/>
      </c>
      <c r="U1556">
        <f>IF($O1556="","",IF(INDEX(Dossiers!$G$4:$G$63,30)="","",INDEX(Dossiers!$G$4:$G$63,30)))</f>
        <v/>
      </c>
      <c r="V1556">
        <f>IF(OR($O1556="",NOT(ISNUMBER($Q1556))),"",$Q1556*1000000+1556)</f>
        <v/>
      </c>
      <c r="W1556" s="29">
        <f>IF($B1556="","",IFERROR(INDEX($U$4:$U$3183,MATCH(SMALL($V$4:$V$3183,1553),$V$4:$V$3183,0)),""))</f>
        <v/>
      </c>
    </row>
    <row r="1557">
      <c r="A1557">
        <f>IFERROR(INDEX($N$4:$N$3183,MATCH(SMALL($V$4:$V$3183,1554),$V$4:$V$3183,0)),"")</f>
        <v/>
      </c>
      <c r="B1557">
        <f>IFERROR(INDEX($O$4:$O$3183,MATCH(SMALL($V$4:$V$3183,1554),$V$4:$V$3183,0)),"")</f>
        <v/>
      </c>
      <c r="C1557">
        <f>IFERROR(INDEX($P$4:$P$3183,MATCH(SMALL($V$4:$V$3183,1554),$V$4:$V$3183,0)),"")</f>
        <v/>
      </c>
      <c r="D1557" s="29">
        <f>IFERROR(INDEX($Q$4:$Q$3183,MATCH(SMALL($V$4:$V$3183,1554),$V$4:$V$3183,0)),"")</f>
        <v/>
      </c>
      <c r="E1557" s="29">
        <f>IFERROR(INDEX($R$4:$R$3183,MATCH(SMALL($V$4:$V$3183,1554),$V$4:$V$3183,0)),"")</f>
        <v/>
      </c>
      <c r="F1557">
        <f>IFERROR(INDEX($S$4:$S$3183,MATCH(SMALL($V$4:$V$3183,1554),$V$4:$V$3183,0)),"")</f>
        <v/>
      </c>
      <c r="I1557" s="29">
        <f>IF($B1557="","",IFERROR(INDEX($U$4:$U$3183,MATCH(SMALL($V$4:$V$3183,1554),$V$4:$V$3183,0)),""))</f>
        <v/>
      </c>
      <c r="J1557">
        <f>IF($B1557="","",IF($D1557&gt;$F$2,"À venir",IF($E1557&lt;$D$2,"Passé","Dans la période")))</f>
        <v/>
      </c>
      <c r="K1557">
        <f>IF(OR($B1557="",NOT(ISNUMBER($D1557))),"",IF(AND($E1557&lt;$D$2,$G1557&lt;&gt;"X",$F1557&lt;&gt;"Réalisé",$F1557&lt;&gt;"Clôturé"),"RETARD",""))</f>
        <v/>
      </c>
      <c r="L1557">
        <f>IF(OR($B1557="",NOT(ISNUMBER($D1557))),"",IF(AND($D1557&gt;=$D$2,$D1557&lt;=$H$2,$G1557&lt;&gt;"X",$F1557&lt;&gt;"Réalisé",$F1557&lt;&gt;"Clôturé"),"≤ 7 j",""))</f>
        <v/>
      </c>
      <c r="M1557" s="29">
        <f>IF($B1557="","",IFERROR(INDEX($T$4:$T$3183,MATCH(SMALL($V$4:$V$3183,1554),$V$4:$V$3183,0)),""))</f>
        <v/>
      </c>
      <c r="O1557">
        <f>IF(INDEX(Suivi!$B:$B,1587)="","",INDEX(Suivi!$B:$B,1587))</f>
        <v/>
      </c>
      <c r="P1557">
        <f>IF($O1557="","",IF(INDEX(Suivi!$D:$D,1587)="",INDEX(Suivi!$C:$C,1587),INDEX(Suivi!$D:$D,1587)))</f>
        <v/>
      </c>
      <c r="Q1557">
        <f>IF($O1557="","",INDEX(Suivi!$E:$E,1587))</f>
        <v/>
      </c>
      <c r="R1557">
        <f>IF($O1557="","",INDEX(Suivi!$F:$F,1587))</f>
        <v/>
      </c>
      <c r="S1557">
        <f>IF($O1557="","",INDEX(Suivi!$G:$G,1587))</f>
        <v/>
      </c>
      <c r="T1557">
        <f>IF($O1557="","",IF(INDEX(Dossiers!$F$4:$F$63,30)="","",INDEX(Dossiers!$F$4:$F$63,30)))</f>
        <v/>
      </c>
      <c r="U1557">
        <f>IF($O1557="","",IF(INDEX(Dossiers!$G$4:$G$63,30)="","",INDEX(Dossiers!$G$4:$G$63,30)))</f>
        <v/>
      </c>
      <c r="V1557">
        <f>IF(OR($O1557="",NOT(ISNUMBER($Q1557))),"",$Q1557*1000000+1557)</f>
        <v/>
      </c>
      <c r="W1557" s="29">
        <f>IF($B1557="","",IFERROR(INDEX($U$4:$U$3183,MATCH(SMALL($V$4:$V$3183,1554),$V$4:$V$3183,0)),""))</f>
        <v/>
      </c>
    </row>
    <row r="1558">
      <c r="A1558">
        <f>IFERROR(INDEX($N$4:$N$3183,MATCH(SMALL($V$4:$V$3183,1555),$V$4:$V$3183,0)),"")</f>
        <v/>
      </c>
      <c r="B1558">
        <f>IFERROR(INDEX($O$4:$O$3183,MATCH(SMALL($V$4:$V$3183,1555),$V$4:$V$3183,0)),"")</f>
        <v/>
      </c>
      <c r="C1558">
        <f>IFERROR(INDEX($P$4:$P$3183,MATCH(SMALL($V$4:$V$3183,1555),$V$4:$V$3183,0)),"")</f>
        <v/>
      </c>
      <c r="D1558" s="29">
        <f>IFERROR(INDEX($Q$4:$Q$3183,MATCH(SMALL($V$4:$V$3183,1555),$V$4:$V$3183,0)),"")</f>
        <v/>
      </c>
      <c r="E1558" s="29">
        <f>IFERROR(INDEX($R$4:$R$3183,MATCH(SMALL($V$4:$V$3183,1555),$V$4:$V$3183,0)),"")</f>
        <v/>
      </c>
      <c r="F1558">
        <f>IFERROR(INDEX($S$4:$S$3183,MATCH(SMALL($V$4:$V$3183,1555),$V$4:$V$3183,0)),"")</f>
        <v/>
      </c>
      <c r="I1558" s="29">
        <f>IF($B1558="","",IFERROR(INDEX($U$4:$U$3183,MATCH(SMALL($V$4:$V$3183,1555),$V$4:$V$3183,0)),""))</f>
        <v/>
      </c>
      <c r="J1558">
        <f>IF($B1558="","",IF($D1558&gt;$F$2,"À venir",IF($E1558&lt;$D$2,"Passé","Dans la période")))</f>
        <v/>
      </c>
      <c r="K1558">
        <f>IF(OR($B1558="",NOT(ISNUMBER($D1558))),"",IF(AND($E1558&lt;$D$2,$G1558&lt;&gt;"X",$F1558&lt;&gt;"Réalisé",$F1558&lt;&gt;"Clôturé"),"RETARD",""))</f>
        <v/>
      </c>
      <c r="L1558">
        <f>IF(OR($B1558="",NOT(ISNUMBER($D1558))),"",IF(AND($D1558&gt;=$D$2,$D1558&lt;=$H$2,$G1558&lt;&gt;"X",$F1558&lt;&gt;"Réalisé",$F1558&lt;&gt;"Clôturé"),"≤ 7 j",""))</f>
        <v/>
      </c>
      <c r="M1558" s="29">
        <f>IF($B1558="","",IFERROR(INDEX($T$4:$T$3183,MATCH(SMALL($V$4:$V$3183,1555),$V$4:$V$3183,0)),""))</f>
        <v/>
      </c>
      <c r="O1558">
        <f>IF(INDEX(Suivi!$B:$B,1588)="","",INDEX(Suivi!$B:$B,1588))</f>
        <v/>
      </c>
      <c r="P1558">
        <f>IF($O1558="","",IF(INDEX(Suivi!$D:$D,1588)="",INDEX(Suivi!$C:$C,1588),INDEX(Suivi!$D:$D,1588)))</f>
        <v/>
      </c>
      <c r="Q1558">
        <f>IF($O1558="","",INDEX(Suivi!$E:$E,1588))</f>
        <v/>
      </c>
      <c r="R1558">
        <f>IF($O1558="","",INDEX(Suivi!$F:$F,1588))</f>
        <v/>
      </c>
      <c r="S1558">
        <f>IF($O1558="","",INDEX(Suivi!$G:$G,1588))</f>
        <v/>
      </c>
      <c r="T1558">
        <f>IF($O1558="","",IF(INDEX(Dossiers!$F$4:$F$63,30)="","",INDEX(Dossiers!$F$4:$F$63,30)))</f>
        <v/>
      </c>
      <c r="U1558">
        <f>IF($O1558="","",IF(INDEX(Dossiers!$G$4:$G$63,30)="","",INDEX(Dossiers!$G$4:$G$63,30)))</f>
        <v/>
      </c>
      <c r="V1558">
        <f>IF(OR($O1558="",NOT(ISNUMBER($Q1558))),"",$Q1558*1000000+1558)</f>
        <v/>
      </c>
      <c r="W1558" s="29">
        <f>IF($B1558="","",IFERROR(INDEX($U$4:$U$3183,MATCH(SMALL($V$4:$V$3183,1555),$V$4:$V$3183,0)),""))</f>
        <v/>
      </c>
    </row>
    <row r="1559">
      <c r="A1559">
        <f>IFERROR(INDEX($N$4:$N$3183,MATCH(SMALL($V$4:$V$3183,1556),$V$4:$V$3183,0)),"")</f>
        <v/>
      </c>
      <c r="B1559">
        <f>IFERROR(INDEX($O$4:$O$3183,MATCH(SMALL($V$4:$V$3183,1556),$V$4:$V$3183,0)),"")</f>
        <v/>
      </c>
      <c r="C1559">
        <f>IFERROR(INDEX($P$4:$P$3183,MATCH(SMALL($V$4:$V$3183,1556),$V$4:$V$3183,0)),"")</f>
        <v/>
      </c>
      <c r="D1559" s="29">
        <f>IFERROR(INDEX($Q$4:$Q$3183,MATCH(SMALL($V$4:$V$3183,1556),$V$4:$V$3183,0)),"")</f>
        <v/>
      </c>
      <c r="E1559" s="29">
        <f>IFERROR(INDEX($R$4:$R$3183,MATCH(SMALL($V$4:$V$3183,1556),$V$4:$V$3183,0)),"")</f>
        <v/>
      </c>
      <c r="F1559">
        <f>IFERROR(INDEX($S$4:$S$3183,MATCH(SMALL($V$4:$V$3183,1556),$V$4:$V$3183,0)),"")</f>
        <v/>
      </c>
      <c r="I1559" s="29">
        <f>IF($B1559="","",IFERROR(INDEX($U$4:$U$3183,MATCH(SMALL($V$4:$V$3183,1556),$V$4:$V$3183,0)),""))</f>
        <v/>
      </c>
      <c r="J1559">
        <f>IF($B1559="","",IF($D1559&gt;$F$2,"À venir",IF($E1559&lt;$D$2,"Passé","Dans la période")))</f>
        <v/>
      </c>
      <c r="K1559">
        <f>IF(OR($B1559="",NOT(ISNUMBER($D1559))),"",IF(AND($E1559&lt;$D$2,$G1559&lt;&gt;"X",$F1559&lt;&gt;"Réalisé",$F1559&lt;&gt;"Clôturé"),"RETARD",""))</f>
        <v/>
      </c>
      <c r="L1559">
        <f>IF(OR($B1559="",NOT(ISNUMBER($D1559))),"",IF(AND($D1559&gt;=$D$2,$D1559&lt;=$H$2,$G1559&lt;&gt;"X",$F1559&lt;&gt;"Réalisé",$F1559&lt;&gt;"Clôturé"),"≤ 7 j",""))</f>
        <v/>
      </c>
      <c r="M1559" s="29">
        <f>IF($B1559="","",IFERROR(INDEX($T$4:$T$3183,MATCH(SMALL($V$4:$V$3183,1556),$V$4:$V$3183,0)),""))</f>
        <v/>
      </c>
      <c r="O1559">
        <f>IF(INDEX(Suivi!$B:$B,1589)="","",INDEX(Suivi!$B:$B,1589))</f>
        <v/>
      </c>
      <c r="P1559">
        <f>IF($O1559="","",IF(INDEX(Suivi!$D:$D,1589)="",INDEX(Suivi!$C:$C,1589),INDEX(Suivi!$D:$D,1589)))</f>
        <v/>
      </c>
      <c r="Q1559">
        <f>IF($O1559="","",INDEX(Suivi!$E:$E,1589))</f>
        <v/>
      </c>
      <c r="R1559">
        <f>IF($O1559="","",INDEX(Suivi!$F:$F,1589))</f>
        <v/>
      </c>
      <c r="S1559">
        <f>IF($O1559="","",INDEX(Suivi!$G:$G,1589))</f>
        <v/>
      </c>
      <c r="T1559">
        <f>IF($O1559="","",IF(INDEX(Dossiers!$F$4:$F$63,30)="","",INDEX(Dossiers!$F$4:$F$63,30)))</f>
        <v/>
      </c>
      <c r="U1559">
        <f>IF($O1559="","",IF(INDEX(Dossiers!$G$4:$G$63,30)="","",INDEX(Dossiers!$G$4:$G$63,30)))</f>
        <v/>
      </c>
      <c r="V1559">
        <f>IF(OR($O1559="",NOT(ISNUMBER($Q1559))),"",$Q1559*1000000+1559)</f>
        <v/>
      </c>
      <c r="W1559" s="29">
        <f>IF($B1559="","",IFERROR(INDEX($U$4:$U$3183,MATCH(SMALL($V$4:$V$3183,1556),$V$4:$V$3183,0)),""))</f>
        <v/>
      </c>
    </row>
    <row r="1560">
      <c r="A1560">
        <f>IFERROR(INDEX($N$4:$N$3183,MATCH(SMALL($V$4:$V$3183,1557),$V$4:$V$3183,0)),"")</f>
        <v/>
      </c>
      <c r="B1560">
        <f>IFERROR(INDEX($O$4:$O$3183,MATCH(SMALL($V$4:$V$3183,1557),$V$4:$V$3183,0)),"")</f>
        <v/>
      </c>
      <c r="C1560">
        <f>IFERROR(INDEX($P$4:$P$3183,MATCH(SMALL($V$4:$V$3183,1557),$V$4:$V$3183,0)),"")</f>
        <v/>
      </c>
      <c r="D1560" s="29">
        <f>IFERROR(INDEX($Q$4:$Q$3183,MATCH(SMALL($V$4:$V$3183,1557),$V$4:$V$3183,0)),"")</f>
        <v/>
      </c>
      <c r="E1560" s="29">
        <f>IFERROR(INDEX($R$4:$R$3183,MATCH(SMALL($V$4:$V$3183,1557),$V$4:$V$3183,0)),"")</f>
        <v/>
      </c>
      <c r="F1560">
        <f>IFERROR(INDEX($S$4:$S$3183,MATCH(SMALL($V$4:$V$3183,1557),$V$4:$V$3183,0)),"")</f>
        <v/>
      </c>
      <c r="I1560" s="29">
        <f>IF($B1560="","",IFERROR(INDEX($U$4:$U$3183,MATCH(SMALL($V$4:$V$3183,1557),$V$4:$V$3183,0)),""))</f>
        <v/>
      </c>
      <c r="J1560">
        <f>IF($B1560="","",IF($D1560&gt;$F$2,"À venir",IF($E1560&lt;$D$2,"Passé","Dans la période")))</f>
        <v/>
      </c>
      <c r="K1560">
        <f>IF(OR($B1560="",NOT(ISNUMBER($D1560))),"",IF(AND($E1560&lt;$D$2,$G1560&lt;&gt;"X",$F1560&lt;&gt;"Réalisé",$F1560&lt;&gt;"Clôturé"),"RETARD",""))</f>
        <v/>
      </c>
      <c r="L1560">
        <f>IF(OR($B1560="",NOT(ISNUMBER($D1560))),"",IF(AND($D1560&gt;=$D$2,$D1560&lt;=$H$2,$G1560&lt;&gt;"X",$F1560&lt;&gt;"Réalisé",$F1560&lt;&gt;"Clôturé"),"≤ 7 j",""))</f>
        <v/>
      </c>
      <c r="M1560" s="29">
        <f>IF($B1560="","",IFERROR(INDEX($T$4:$T$3183,MATCH(SMALL($V$4:$V$3183,1557),$V$4:$V$3183,0)),""))</f>
        <v/>
      </c>
      <c r="O1560">
        <f>IF(INDEX(Suivi!$B:$B,1590)="","",INDEX(Suivi!$B:$B,1590))</f>
        <v/>
      </c>
      <c r="P1560">
        <f>IF($O1560="","",IF(INDEX(Suivi!$D:$D,1590)="",INDEX(Suivi!$C:$C,1590),INDEX(Suivi!$D:$D,1590)))</f>
        <v/>
      </c>
      <c r="Q1560">
        <f>IF($O1560="","",INDEX(Suivi!$E:$E,1590))</f>
        <v/>
      </c>
      <c r="R1560">
        <f>IF($O1560="","",INDEX(Suivi!$F:$F,1590))</f>
        <v/>
      </c>
      <c r="S1560">
        <f>IF($O1560="","",INDEX(Suivi!$G:$G,1590))</f>
        <v/>
      </c>
      <c r="T1560">
        <f>IF($O1560="","",IF(INDEX(Dossiers!$F$4:$F$63,30)="","",INDEX(Dossiers!$F$4:$F$63,30)))</f>
        <v/>
      </c>
      <c r="U1560">
        <f>IF($O1560="","",IF(INDEX(Dossiers!$G$4:$G$63,30)="","",INDEX(Dossiers!$G$4:$G$63,30)))</f>
        <v/>
      </c>
      <c r="V1560">
        <f>IF(OR($O1560="",NOT(ISNUMBER($Q1560))),"",$Q1560*1000000+1560)</f>
        <v/>
      </c>
      <c r="W1560" s="29">
        <f>IF($B1560="","",IFERROR(INDEX($U$4:$U$3183,MATCH(SMALL($V$4:$V$3183,1557),$V$4:$V$3183,0)),""))</f>
        <v/>
      </c>
    </row>
    <row r="1561">
      <c r="A1561">
        <f>IFERROR(INDEX($N$4:$N$3183,MATCH(SMALL($V$4:$V$3183,1558),$V$4:$V$3183,0)),"")</f>
        <v/>
      </c>
      <c r="B1561">
        <f>IFERROR(INDEX($O$4:$O$3183,MATCH(SMALL($V$4:$V$3183,1558),$V$4:$V$3183,0)),"")</f>
        <v/>
      </c>
      <c r="C1561">
        <f>IFERROR(INDEX($P$4:$P$3183,MATCH(SMALL($V$4:$V$3183,1558),$V$4:$V$3183,0)),"")</f>
        <v/>
      </c>
      <c r="D1561" s="29">
        <f>IFERROR(INDEX($Q$4:$Q$3183,MATCH(SMALL($V$4:$V$3183,1558),$V$4:$V$3183,0)),"")</f>
        <v/>
      </c>
      <c r="E1561" s="29">
        <f>IFERROR(INDEX($R$4:$R$3183,MATCH(SMALL($V$4:$V$3183,1558),$V$4:$V$3183,0)),"")</f>
        <v/>
      </c>
      <c r="F1561">
        <f>IFERROR(INDEX($S$4:$S$3183,MATCH(SMALL($V$4:$V$3183,1558),$V$4:$V$3183,0)),"")</f>
        <v/>
      </c>
      <c r="I1561" s="29">
        <f>IF($B1561="","",IFERROR(INDEX($U$4:$U$3183,MATCH(SMALL($V$4:$V$3183,1558),$V$4:$V$3183,0)),""))</f>
        <v/>
      </c>
      <c r="J1561">
        <f>IF($B1561="","",IF($D1561&gt;$F$2,"À venir",IF($E1561&lt;$D$2,"Passé","Dans la période")))</f>
        <v/>
      </c>
      <c r="K1561">
        <f>IF(OR($B1561="",NOT(ISNUMBER($D1561))),"",IF(AND($E1561&lt;$D$2,$G1561&lt;&gt;"X",$F1561&lt;&gt;"Réalisé",$F1561&lt;&gt;"Clôturé"),"RETARD",""))</f>
        <v/>
      </c>
      <c r="L1561">
        <f>IF(OR($B1561="",NOT(ISNUMBER($D1561))),"",IF(AND($D1561&gt;=$D$2,$D1561&lt;=$H$2,$G1561&lt;&gt;"X",$F1561&lt;&gt;"Réalisé",$F1561&lt;&gt;"Clôturé"),"≤ 7 j",""))</f>
        <v/>
      </c>
      <c r="M1561" s="29">
        <f>IF($B1561="","",IFERROR(INDEX($T$4:$T$3183,MATCH(SMALL($V$4:$V$3183,1558),$V$4:$V$3183,0)),""))</f>
        <v/>
      </c>
      <c r="O1561">
        <f>IF(INDEX(Suivi!$B:$B,1591)="","",INDEX(Suivi!$B:$B,1591))</f>
        <v/>
      </c>
      <c r="P1561">
        <f>IF($O1561="","",IF(INDEX(Suivi!$D:$D,1591)="",INDEX(Suivi!$C:$C,1591),INDEX(Suivi!$D:$D,1591)))</f>
        <v/>
      </c>
      <c r="Q1561">
        <f>IF($O1561="","",INDEX(Suivi!$E:$E,1591))</f>
        <v/>
      </c>
      <c r="R1561">
        <f>IF($O1561="","",INDEX(Suivi!$F:$F,1591))</f>
        <v/>
      </c>
      <c r="S1561">
        <f>IF($O1561="","",INDEX(Suivi!$G:$G,1591))</f>
        <v/>
      </c>
      <c r="T1561">
        <f>IF($O1561="","",IF(INDEX(Dossiers!$F$4:$F$63,30)="","",INDEX(Dossiers!$F$4:$F$63,30)))</f>
        <v/>
      </c>
      <c r="U1561">
        <f>IF($O1561="","",IF(INDEX(Dossiers!$G$4:$G$63,30)="","",INDEX(Dossiers!$G$4:$G$63,30)))</f>
        <v/>
      </c>
      <c r="V1561">
        <f>IF(OR($O1561="",NOT(ISNUMBER($Q1561))),"",$Q1561*1000000+1561)</f>
        <v/>
      </c>
      <c r="W1561" s="29">
        <f>IF($B1561="","",IFERROR(INDEX($U$4:$U$3183,MATCH(SMALL($V$4:$V$3183,1558),$V$4:$V$3183,0)),""))</f>
        <v/>
      </c>
    </row>
    <row r="1562">
      <c r="A1562">
        <f>IFERROR(INDEX($N$4:$N$3183,MATCH(SMALL($V$4:$V$3183,1559),$V$4:$V$3183,0)),"")</f>
        <v/>
      </c>
      <c r="B1562">
        <f>IFERROR(INDEX($O$4:$O$3183,MATCH(SMALL($V$4:$V$3183,1559),$V$4:$V$3183,0)),"")</f>
        <v/>
      </c>
      <c r="C1562">
        <f>IFERROR(INDEX($P$4:$P$3183,MATCH(SMALL($V$4:$V$3183,1559),$V$4:$V$3183,0)),"")</f>
        <v/>
      </c>
      <c r="D1562" s="29">
        <f>IFERROR(INDEX($Q$4:$Q$3183,MATCH(SMALL($V$4:$V$3183,1559),$V$4:$V$3183,0)),"")</f>
        <v/>
      </c>
      <c r="E1562" s="29">
        <f>IFERROR(INDEX($R$4:$R$3183,MATCH(SMALL($V$4:$V$3183,1559),$V$4:$V$3183,0)),"")</f>
        <v/>
      </c>
      <c r="F1562">
        <f>IFERROR(INDEX($S$4:$S$3183,MATCH(SMALL($V$4:$V$3183,1559),$V$4:$V$3183,0)),"")</f>
        <v/>
      </c>
      <c r="I1562" s="29">
        <f>IF($B1562="","",IFERROR(INDEX($U$4:$U$3183,MATCH(SMALL($V$4:$V$3183,1559),$V$4:$V$3183,0)),""))</f>
        <v/>
      </c>
      <c r="J1562">
        <f>IF($B1562="","",IF($D1562&gt;$F$2,"À venir",IF($E1562&lt;$D$2,"Passé","Dans la période")))</f>
        <v/>
      </c>
      <c r="K1562">
        <f>IF(OR($B1562="",NOT(ISNUMBER($D1562))),"",IF(AND($E1562&lt;$D$2,$G1562&lt;&gt;"X",$F1562&lt;&gt;"Réalisé",$F1562&lt;&gt;"Clôturé"),"RETARD",""))</f>
        <v/>
      </c>
      <c r="L1562">
        <f>IF(OR($B1562="",NOT(ISNUMBER($D1562))),"",IF(AND($D1562&gt;=$D$2,$D1562&lt;=$H$2,$G1562&lt;&gt;"X",$F1562&lt;&gt;"Réalisé",$F1562&lt;&gt;"Clôturé"),"≤ 7 j",""))</f>
        <v/>
      </c>
      <c r="M1562" s="29">
        <f>IF($B1562="","",IFERROR(INDEX($T$4:$T$3183,MATCH(SMALL($V$4:$V$3183,1559),$V$4:$V$3183,0)),""))</f>
        <v/>
      </c>
      <c r="O1562">
        <f>IF(INDEX(Suivi!$B:$B,1592)="","",INDEX(Suivi!$B:$B,1592))</f>
        <v/>
      </c>
      <c r="P1562">
        <f>IF($O1562="","",IF(INDEX(Suivi!$D:$D,1592)="",INDEX(Suivi!$C:$C,1592),INDEX(Suivi!$D:$D,1592)))</f>
        <v/>
      </c>
      <c r="Q1562">
        <f>IF($O1562="","",INDEX(Suivi!$E:$E,1592))</f>
        <v/>
      </c>
      <c r="R1562">
        <f>IF($O1562="","",INDEX(Suivi!$F:$F,1592))</f>
        <v/>
      </c>
      <c r="S1562">
        <f>IF($O1562="","",INDEX(Suivi!$G:$G,1592))</f>
        <v/>
      </c>
      <c r="T1562">
        <f>IF($O1562="","",IF(INDEX(Dossiers!$F$4:$F$63,30)="","",INDEX(Dossiers!$F$4:$F$63,30)))</f>
        <v/>
      </c>
      <c r="U1562">
        <f>IF($O1562="","",IF(INDEX(Dossiers!$G$4:$G$63,30)="","",INDEX(Dossiers!$G$4:$G$63,30)))</f>
        <v/>
      </c>
      <c r="V1562">
        <f>IF(OR($O1562="",NOT(ISNUMBER($Q1562))),"",$Q1562*1000000+1562)</f>
        <v/>
      </c>
      <c r="W1562" s="29">
        <f>IF($B1562="","",IFERROR(INDEX($U$4:$U$3183,MATCH(SMALL($V$4:$V$3183,1559),$V$4:$V$3183,0)),""))</f>
        <v/>
      </c>
    </row>
    <row r="1563">
      <c r="A1563">
        <f>IFERROR(INDEX($N$4:$N$3183,MATCH(SMALL($V$4:$V$3183,1560),$V$4:$V$3183,0)),"")</f>
        <v/>
      </c>
      <c r="B1563">
        <f>IFERROR(INDEX($O$4:$O$3183,MATCH(SMALL($V$4:$V$3183,1560),$V$4:$V$3183,0)),"")</f>
        <v/>
      </c>
      <c r="C1563">
        <f>IFERROR(INDEX($P$4:$P$3183,MATCH(SMALL($V$4:$V$3183,1560),$V$4:$V$3183,0)),"")</f>
        <v/>
      </c>
      <c r="D1563" s="29">
        <f>IFERROR(INDEX($Q$4:$Q$3183,MATCH(SMALL($V$4:$V$3183,1560),$V$4:$V$3183,0)),"")</f>
        <v/>
      </c>
      <c r="E1563" s="29">
        <f>IFERROR(INDEX($R$4:$R$3183,MATCH(SMALL($V$4:$V$3183,1560),$V$4:$V$3183,0)),"")</f>
        <v/>
      </c>
      <c r="F1563">
        <f>IFERROR(INDEX($S$4:$S$3183,MATCH(SMALL($V$4:$V$3183,1560),$V$4:$V$3183,0)),"")</f>
        <v/>
      </c>
      <c r="I1563" s="29">
        <f>IF($B1563="","",IFERROR(INDEX($U$4:$U$3183,MATCH(SMALL($V$4:$V$3183,1560),$V$4:$V$3183,0)),""))</f>
        <v/>
      </c>
      <c r="J1563">
        <f>IF($B1563="","",IF($D1563&gt;$F$2,"À venir",IF($E1563&lt;$D$2,"Passé","Dans la période")))</f>
        <v/>
      </c>
      <c r="K1563">
        <f>IF(OR($B1563="",NOT(ISNUMBER($D1563))),"",IF(AND($E1563&lt;$D$2,$G1563&lt;&gt;"X",$F1563&lt;&gt;"Réalisé",$F1563&lt;&gt;"Clôturé"),"RETARD",""))</f>
        <v/>
      </c>
      <c r="L1563">
        <f>IF(OR($B1563="",NOT(ISNUMBER($D1563))),"",IF(AND($D1563&gt;=$D$2,$D1563&lt;=$H$2,$G1563&lt;&gt;"X",$F1563&lt;&gt;"Réalisé",$F1563&lt;&gt;"Clôturé"),"≤ 7 j",""))</f>
        <v/>
      </c>
      <c r="M1563" s="29">
        <f>IF($B1563="","",IFERROR(INDEX($T$4:$T$3183,MATCH(SMALL($V$4:$V$3183,1560),$V$4:$V$3183,0)),""))</f>
        <v/>
      </c>
      <c r="O1563">
        <f>IF(INDEX(Suivi!$B:$B,1593)="","",INDEX(Suivi!$B:$B,1593))</f>
        <v/>
      </c>
      <c r="P1563">
        <f>IF($O1563="","",IF(INDEX(Suivi!$D:$D,1593)="",INDEX(Suivi!$C:$C,1593),INDEX(Suivi!$D:$D,1593)))</f>
        <v/>
      </c>
      <c r="Q1563">
        <f>IF($O1563="","",INDEX(Suivi!$E:$E,1593))</f>
        <v/>
      </c>
      <c r="R1563">
        <f>IF($O1563="","",INDEX(Suivi!$F:$F,1593))</f>
        <v/>
      </c>
      <c r="S1563">
        <f>IF($O1563="","",INDEX(Suivi!$G:$G,1593))</f>
        <v/>
      </c>
      <c r="T1563">
        <f>IF($O1563="","",IF(INDEX(Dossiers!$F$4:$F$63,30)="","",INDEX(Dossiers!$F$4:$F$63,30)))</f>
        <v/>
      </c>
      <c r="U1563">
        <f>IF($O1563="","",IF(INDEX(Dossiers!$G$4:$G$63,30)="","",INDEX(Dossiers!$G$4:$G$63,30)))</f>
        <v/>
      </c>
      <c r="V1563">
        <f>IF(OR($O1563="",NOT(ISNUMBER($Q1563))),"",$Q1563*1000000+1563)</f>
        <v/>
      </c>
      <c r="W1563" s="29">
        <f>IF($B1563="","",IFERROR(INDEX($U$4:$U$3183,MATCH(SMALL($V$4:$V$3183,1560),$V$4:$V$3183,0)),""))</f>
        <v/>
      </c>
    </row>
    <row r="1564">
      <c r="A1564">
        <f>IFERROR(INDEX($N$4:$N$3183,MATCH(SMALL($V$4:$V$3183,1561),$V$4:$V$3183,0)),"")</f>
        <v/>
      </c>
      <c r="B1564">
        <f>IFERROR(INDEX($O$4:$O$3183,MATCH(SMALL($V$4:$V$3183,1561),$V$4:$V$3183,0)),"")</f>
        <v/>
      </c>
      <c r="C1564">
        <f>IFERROR(INDEX($P$4:$P$3183,MATCH(SMALL($V$4:$V$3183,1561),$V$4:$V$3183,0)),"")</f>
        <v/>
      </c>
      <c r="D1564" s="29">
        <f>IFERROR(INDEX($Q$4:$Q$3183,MATCH(SMALL($V$4:$V$3183,1561),$V$4:$V$3183,0)),"")</f>
        <v/>
      </c>
      <c r="E1564" s="29">
        <f>IFERROR(INDEX($R$4:$R$3183,MATCH(SMALL($V$4:$V$3183,1561),$V$4:$V$3183,0)),"")</f>
        <v/>
      </c>
      <c r="F1564">
        <f>IFERROR(INDEX($S$4:$S$3183,MATCH(SMALL($V$4:$V$3183,1561),$V$4:$V$3183,0)),"")</f>
        <v/>
      </c>
      <c r="I1564" s="29">
        <f>IF($B1564="","",IFERROR(INDEX($U$4:$U$3183,MATCH(SMALL($V$4:$V$3183,1561),$V$4:$V$3183,0)),""))</f>
        <v/>
      </c>
      <c r="J1564">
        <f>IF($B1564="","",IF($D1564&gt;$F$2,"À venir",IF($E1564&lt;$D$2,"Passé","Dans la période")))</f>
        <v/>
      </c>
      <c r="K1564">
        <f>IF(OR($B1564="",NOT(ISNUMBER($D1564))),"",IF(AND($E1564&lt;$D$2,$G1564&lt;&gt;"X",$F1564&lt;&gt;"Réalisé",$F1564&lt;&gt;"Clôturé"),"RETARD",""))</f>
        <v/>
      </c>
      <c r="L1564">
        <f>IF(OR($B1564="",NOT(ISNUMBER($D1564))),"",IF(AND($D1564&gt;=$D$2,$D1564&lt;=$H$2,$G1564&lt;&gt;"X",$F1564&lt;&gt;"Réalisé",$F1564&lt;&gt;"Clôturé"),"≤ 7 j",""))</f>
        <v/>
      </c>
      <c r="M1564" s="29">
        <f>IF($B1564="","",IFERROR(INDEX($T$4:$T$3183,MATCH(SMALL($V$4:$V$3183,1561),$V$4:$V$3183,0)),""))</f>
        <v/>
      </c>
      <c r="O1564">
        <f>IF(INDEX(Suivi!$B:$B,1594)="","",INDEX(Suivi!$B:$B,1594))</f>
        <v/>
      </c>
      <c r="P1564">
        <f>IF($O1564="","",IF(INDEX(Suivi!$D:$D,1594)="",INDEX(Suivi!$C:$C,1594),INDEX(Suivi!$D:$D,1594)))</f>
        <v/>
      </c>
      <c r="Q1564">
        <f>IF($O1564="","",INDEX(Suivi!$E:$E,1594))</f>
        <v/>
      </c>
      <c r="R1564">
        <f>IF($O1564="","",INDEX(Suivi!$F:$F,1594))</f>
        <v/>
      </c>
      <c r="S1564">
        <f>IF($O1564="","",INDEX(Suivi!$G:$G,1594))</f>
        <v/>
      </c>
      <c r="T1564">
        <f>IF($O1564="","",IF(INDEX(Dossiers!$F$4:$F$63,30)="","",INDEX(Dossiers!$F$4:$F$63,30)))</f>
        <v/>
      </c>
      <c r="U1564">
        <f>IF($O1564="","",IF(INDEX(Dossiers!$G$4:$G$63,30)="","",INDEX(Dossiers!$G$4:$G$63,30)))</f>
        <v/>
      </c>
      <c r="V1564">
        <f>IF(OR($O1564="",NOT(ISNUMBER($Q1564))),"",$Q1564*1000000+1564)</f>
        <v/>
      </c>
      <c r="W1564" s="29">
        <f>IF($B1564="","",IFERROR(INDEX($U$4:$U$3183,MATCH(SMALL($V$4:$V$3183,1561),$V$4:$V$3183,0)),""))</f>
        <v/>
      </c>
    </row>
    <row r="1565">
      <c r="A1565">
        <f>IFERROR(INDEX($N$4:$N$3183,MATCH(SMALL($V$4:$V$3183,1562),$V$4:$V$3183,0)),"")</f>
        <v/>
      </c>
      <c r="B1565">
        <f>IFERROR(INDEX($O$4:$O$3183,MATCH(SMALL($V$4:$V$3183,1562),$V$4:$V$3183,0)),"")</f>
        <v/>
      </c>
      <c r="C1565">
        <f>IFERROR(INDEX($P$4:$P$3183,MATCH(SMALL($V$4:$V$3183,1562),$V$4:$V$3183,0)),"")</f>
        <v/>
      </c>
      <c r="D1565" s="29">
        <f>IFERROR(INDEX($Q$4:$Q$3183,MATCH(SMALL($V$4:$V$3183,1562),$V$4:$V$3183,0)),"")</f>
        <v/>
      </c>
      <c r="E1565" s="29">
        <f>IFERROR(INDEX($R$4:$R$3183,MATCH(SMALL($V$4:$V$3183,1562),$V$4:$V$3183,0)),"")</f>
        <v/>
      </c>
      <c r="F1565">
        <f>IFERROR(INDEX($S$4:$S$3183,MATCH(SMALL($V$4:$V$3183,1562),$V$4:$V$3183,0)),"")</f>
        <v/>
      </c>
      <c r="I1565" s="29">
        <f>IF($B1565="","",IFERROR(INDEX($U$4:$U$3183,MATCH(SMALL($V$4:$V$3183,1562),$V$4:$V$3183,0)),""))</f>
        <v/>
      </c>
      <c r="J1565">
        <f>IF($B1565="","",IF($D1565&gt;$F$2,"À venir",IF($E1565&lt;$D$2,"Passé","Dans la période")))</f>
        <v/>
      </c>
      <c r="K1565">
        <f>IF(OR($B1565="",NOT(ISNUMBER($D1565))),"",IF(AND($E1565&lt;$D$2,$G1565&lt;&gt;"X",$F1565&lt;&gt;"Réalisé",$F1565&lt;&gt;"Clôturé"),"RETARD",""))</f>
        <v/>
      </c>
      <c r="L1565">
        <f>IF(OR($B1565="",NOT(ISNUMBER($D1565))),"",IF(AND($D1565&gt;=$D$2,$D1565&lt;=$H$2,$G1565&lt;&gt;"X",$F1565&lt;&gt;"Réalisé",$F1565&lt;&gt;"Clôturé"),"≤ 7 j",""))</f>
        <v/>
      </c>
      <c r="M1565" s="29">
        <f>IF($B1565="","",IFERROR(INDEX($T$4:$T$3183,MATCH(SMALL($V$4:$V$3183,1562),$V$4:$V$3183,0)),""))</f>
        <v/>
      </c>
      <c r="O1565">
        <f>IF(INDEX(Suivi!$B:$B,1595)="","",INDEX(Suivi!$B:$B,1595))</f>
        <v/>
      </c>
      <c r="P1565">
        <f>IF($O1565="","",IF(INDEX(Suivi!$D:$D,1595)="",INDEX(Suivi!$C:$C,1595),INDEX(Suivi!$D:$D,1595)))</f>
        <v/>
      </c>
      <c r="Q1565">
        <f>IF($O1565="","",INDEX(Suivi!$E:$E,1595))</f>
        <v/>
      </c>
      <c r="R1565">
        <f>IF($O1565="","",INDEX(Suivi!$F:$F,1595))</f>
        <v/>
      </c>
      <c r="S1565">
        <f>IF($O1565="","",INDEX(Suivi!$G:$G,1595))</f>
        <v/>
      </c>
      <c r="T1565">
        <f>IF($O1565="","",IF(INDEX(Dossiers!$F$4:$F$63,30)="","",INDEX(Dossiers!$F$4:$F$63,30)))</f>
        <v/>
      </c>
      <c r="U1565">
        <f>IF($O1565="","",IF(INDEX(Dossiers!$G$4:$G$63,30)="","",INDEX(Dossiers!$G$4:$G$63,30)))</f>
        <v/>
      </c>
      <c r="V1565">
        <f>IF(OR($O1565="",NOT(ISNUMBER($Q1565))),"",$Q1565*1000000+1565)</f>
        <v/>
      </c>
      <c r="W1565" s="29">
        <f>IF($B1565="","",IFERROR(INDEX($U$4:$U$3183,MATCH(SMALL($V$4:$V$3183,1562),$V$4:$V$3183,0)),""))</f>
        <v/>
      </c>
    </row>
    <row r="1566">
      <c r="A1566">
        <f>IFERROR(INDEX($N$4:$N$3183,MATCH(SMALL($V$4:$V$3183,1563),$V$4:$V$3183,0)),"")</f>
        <v/>
      </c>
      <c r="B1566">
        <f>IFERROR(INDEX($O$4:$O$3183,MATCH(SMALL($V$4:$V$3183,1563),$V$4:$V$3183,0)),"")</f>
        <v/>
      </c>
      <c r="C1566">
        <f>IFERROR(INDEX($P$4:$P$3183,MATCH(SMALL($V$4:$V$3183,1563),$V$4:$V$3183,0)),"")</f>
        <v/>
      </c>
      <c r="D1566" s="29">
        <f>IFERROR(INDEX($Q$4:$Q$3183,MATCH(SMALL($V$4:$V$3183,1563),$V$4:$V$3183,0)),"")</f>
        <v/>
      </c>
      <c r="E1566" s="29">
        <f>IFERROR(INDEX($R$4:$R$3183,MATCH(SMALL($V$4:$V$3183,1563),$V$4:$V$3183,0)),"")</f>
        <v/>
      </c>
      <c r="F1566">
        <f>IFERROR(INDEX($S$4:$S$3183,MATCH(SMALL($V$4:$V$3183,1563),$V$4:$V$3183,0)),"")</f>
        <v/>
      </c>
      <c r="I1566" s="29">
        <f>IF($B1566="","",IFERROR(INDEX($U$4:$U$3183,MATCH(SMALL($V$4:$V$3183,1563),$V$4:$V$3183,0)),""))</f>
        <v/>
      </c>
      <c r="J1566">
        <f>IF($B1566="","",IF($D1566&gt;$F$2,"À venir",IF($E1566&lt;$D$2,"Passé","Dans la période")))</f>
        <v/>
      </c>
      <c r="K1566">
        <f>IF(OR($B1566="",NOT(ISNUMBER($D1566))),"",IF(AND($E1566&lt;$D$2,$G1566&lt;&gt;"X",$F1566&lt;&gt;"Réalisé",$F1566&lt;&gt;"Clôturé"),"RETARD",""))</f>
        <v/>
      </c>
      <c r="L1566">
        <f>IF(OR($B1566="",NOT(ISNUMBER($D1566))),"",IF(AND($D1566&gt;=$D$2,$D1566&lt;=$H$2,$G1566&lt;&gt;"X",$F1566&lt;&gt;"Réalisé",$F1566&lt;&gt;"Clôturé"),"≤ 7 j",""))</f>
        <v/>
      </c>
      <c r="M1566" s="29">
        <f>IF($B1566="","",IFERROR(INDEX($T$4:$T$3183,MATCH(SMALL($V$4:$V$3183,1563),$V$4:$V$3183,0)),""))</f>
        <v/>
      </c>
      <c r="O1566">
        <f>IF(INDEX(Suivi!$B:$B,1596)="","",INDEX(Suivi!$B:$B,1596))</f>
        <v/>
      </c>
      <c r="P1566">
        <f>IF($O1566="","",IF(INDEX(Suivi!$D:$D,1596)="",INDEX(Suivi!$C:$C,1596),INDEX(Suivi!$D:$D,1596)))</f>
        <v/>
      </c>
      <c r="Q1566">
        <f>IF($O1566="","",INDEX(Suivi!$E:$E,1596))</f>
        <v/>
      </c>
      <c r="R1566">
        <f>IF($O1566="","",INDEX(Suivi!$F:$F,1596))</f>
        <v/>
      </c>
      <c r="S1566">
        <f>IF($O1566="","",INDEX(Suivi!$G:$G,1596))</f>
        <v/>
      </c>
      <c r="T1566">
        <f>IF($O1566="","",IF(INDEX(Dossiers!$F$4:$F$63,30)="","",INDEX(Dossiers!$F$4:$F$63,30)))</f>
        <v/>
      </c>
      <c r="U1566">
        <f>IF($O1566="","",IF(INDEX(Dossiers!$G$4:$G$63,30)="","",INDEX(Dossiers!$G$4:$G$63,30)))</f>
        <v/>
      </c>
      <c r="V1566">
        <f>IF(OR($O1566="",NOT(ISNUMBER($Q1566))),"",$Q1566*1000000+1566)</f>
        <v/>
      </c>
      <c r="W1566" s="29">
        <f>IF($B1566="","",IFERROR(INDEX($U$4:$U$3183,MATCH(SMALL($V$4:$V$3183,1563),$V$4:$V$3183,0)),""))</f>
        <v/>
      </c>
    </row>
    <row r="1567">
      <c r="A1567">
        <f>IFERROR(INDEX($N$4:$N$3183,MATCH(SMALL($V$4:$V$3183,1564),$V$4:$V$3183,0)),"")</f>
        <v/>
      </c>
      <c r="B1567">
        <f>IFERROR(INDEX($O$4:$O$3183,MATCH(SMALL($V$4:$V$3183,1564),$V$4:$V$3183,0)),"")</f>
        <v/>
      </c>
      <c r="C1567">
        <f>IFERROR(INDEX($P$4:$P$3183,MATCH(SMALL($V$4:$V$3183,1564),$V$4:$V$3183,0)),"")</f>
        <v/>
      </c>
      <c r="D1567" s="29">
        <f>IFERROR(INDEX($Q$4:$Q$3183,MATCH(SMALL($V$4:$V$3183,1564),$V$4:$V$3183,0)),"")</f>
        <v/>
      </c>
      <c r="E1567" s="29">
        <f>IFERROR(INDEX($R$4:$R$3183,MATCH(SMALL($V$4:$V$3183,1564),$V$4:$V$3183,0)),"")</f>
        <v/>
      </c>
      <c r="F1567">
        <f>IFERROR(INDEX($S$4:$S$3183,MATCH(SMALL($V$4:$V$3183,1564),$V$4:$V$3183,0)),"")</f>
        <v/>
      </c>
      <c r="I1567" s="29">
        <f>IF($B1567="","",IFERROR(INDEX($U$4:$U$3183,MATCH(SMALL($V$4:$V$3183,1564),$V$4:$V$3183,0)),""))</f>
        <v/>
      </c>
      <c r="J1567">
        <f>IF($B1567="","",IF($D1567&gt;$F$2,"À venir",IF($E1567&lt;$D$2,"Passé","Dans la période")))</f>
        <v/>
      </c>
      <c r="K1567">
        <f>IF(OR($B1567="",NOT(ISNUMBER($D1567))),"",IF(AND($E1567&lt;$D$2,$G1567&lt;&gt;"X",$F1567&lt;&gt;"Réalisé",$F1567&lt;&gt;"Clôturé"),"RETARD",""))</f>
        <v/>
      </c>
      <c r="L1567">
        <f>IF(OR($B1567="",NOT(ISNUMBER($D1567))),"",IF(AND($D1567&gt;=$D$2,$D1567&lt;=$H$2,$G1567&lt;&gt;"X",$F1567&lt;&gt;"Réalisé",$F1567&lt;&gt;"Clôturé"),"≤ 7 j",""))</f>
        <v/>
      </c>
      <c r="M1567" s="29">
        <f>IF($B1567="","",IFERROR(INDEX($T$4:$T$3183,MATCH(SMALL($V$4:$V$3183,1564),$V$4:$V$3183,0)),""))</f>
        <v/>
      </c>
      <c r="O1567">
        <f>IF(INDEX(Suivi!$B:$B,1597)="","",INDEX(Suivi!$B:$B,1597))</f>
        <v/>
      </c>
      <c r="P1567">
        <f>IF($O1567="","",IF(INDEX(Suivi!$D:$D,1597)="",INDEX(Suivi!$C:$C,1597),INDEX(Suivi!$D:$D,1597)))</f>
        <v/>
      </c>
      <c r="Q1567">
        <f>IF($O1567="","",INDEX(Suivi!$E:$E,1597))</f>
        <v/>
      </c>
      <c r="R1567">
        <f>IF($O1567="","",INDEX(Suivi!$F:$F,1597))</f>
        <v/>
      </c>
      <c r="S1567">
        <f>IF($O1567="","",INDEX(Suivi!$G:$G,1597))</f>
        <v/>
      </c>
      <c r="T1567">
        <f>IF($O1567="","",IF(INDEX(Dossiers!$F$4:$F$63,30)="","",INDEX(Dossiers!$F$4:$F$63,30)))</f>
        <v/>
      </c>
      <c r="U1567">
        <f>IF($O1567="","",IF(INDEX(Dossiers!$G$4:$G$63,30)="","",INDEX(Dossiers!$G$4:$G$63,30)))</f>
        <v/>
      </c>
      <c r="V1567">
        <f>IF(OR($O1567="",NOT(ISNUMBER($Q1567))),"",$Q1567*1000000+1567)</f>
        <v/>
      </c>
      <c r="W1567" s="29">
        <f>IF($B1567="","",IFERROR(INDEX($U$4:$U$3183,MATCH(SMALL($V$4:$V$3183,1564),$V$4:$V$3183,0)),""))</f>
        <v/>
      </c>
    </row>
    <row r="1568">
      <c r="A1568">
        <f>IFERROR(INDEX($N$4:$N$3183,MATCH(SMALL($V$4:$V$3183,1565),$V$4:$V$3183,0)),"")</f>
        <v/>
      </c>
      <c r="B1568">
        <f>IFERROR(INDEX($O$4:$O$3183,MATCH(SMALL($V$4:$V$3183,1565),$V$4:$V$3183,0)),"")</f>
        <v/>
      </c>
      <c r="C1568">
        <f>IFERROR(INDEX($P$4:$P$3183,MATCH(SMALL($V$4:$V$3183,1565),$V$4:$V$3183,0)),"")</f>
        <v/>
      </c>
      <c r="D1568" s="29">
        <f>IFERROR(INDEX($Q$4:$Q$3183,MATCH(SMALL($V$4:$V$3183,1565),$V$4:$V$3183,0)),"")</f>
        <v/>
      </c>
      <c r="E1568" s="29">
        <f>IFERROR(INDEX($R$4:$R$3183,MATCH(SMALL($V$4:$V$3183,1565),$V$4:$V$3183,0)),"")</f>
        <v/>
      </c>
      <c r="F1568">
        <f>IFERROR(INDEX($S$4:$S$3183,MATCH(SMALL($V$4:$V$3183,1565),$V$4:$V$3183,0)),"")</f>
        <v/>
      </c>
      <c r="I1568" s="29">
        <f>IF($B1568="","",IFERROR(INDEX($U$4:$U$3183,MATCH(SMALL($V$4:$V$3183,1565),$V$4:$V$3183,0)),""))</f>
        <v/>
      </c>
      <c r="J1568">
        <f>IF($B1568="","",IF($D1568&gt;$F$2,"À venir",IF($E1568&lt;$D$2,"Passé","Dans la période")))</f>
        <v/>
      </c>
      <c r="K1568">
        <f>IF(OR($B1568="",NOT(ISNUMBER($D1568))),"",IF(AND($E1568&lt;$D$2,$G1568&lt;&gt;"X",$F1568&lt;&gt;"Réalisé",$F1568&lt;&gt;"Clôturé"),"RETARD",""))</f>
        <v/>
      </c>
      <c r="L1568">
        <f>IF(OR($B1568="",NOT(ISNUMBER($D1568))),"",IF(AND($D1568&gt;=$D$2,$D1568&lt;=$H$2,$G1568&lt;&gt;"X",$F1568&lt;&gt;"Réalisé",$F1568&lt;&gt;"Clôturé"),"≤ 7 j",""))</f>
        <v/>
      </c>
      <c r="M1568" s="29">
        <f>IF($B1568="","",IFERROR(INDEX($T$4:$T$3183,MATCH(SMALL($V$4:$V$3183,1565),$V$4:$V$3183,0)),""))</f>
        <v/>
      </c>
      <c r="O1568">
        <f>IF(INDEX(Suivi!$B:$B,1598)="","",INDEX(Suivi!$B:$B,1598))</f>
        <v/>
      </c>
      <c r="P1568">
        <f>IF($O1568="","",IF(INDEX(Suivi!$D:$D,1598)="",INDEX(Suivi!$C:$C,1598),INDEX(Suivi!$D:$D,1598)))</f>
        <v/>
      </c>
      <c r="Q1568">
        <f>IF($O1568="","",INDEX(Suivi!$E:$E,1598))</f>
        <v/>
      </c>
      <c r="R1568">
        <f>IF($O1568="","",INDEX(Suivi!$F:$F,1598))</f>
        <v/>
      </c>
      <c r="S1568">
        <f>IF($O1568="","",INDEX(Suivi!$G:$G,1598))</f>
        <v/>
      </c>
      <c r="T1568">
        <f>IF($O1568="","",IF(INDEX(Dossiers!$F$4:$F$63,30)="","",INDEX(Dossiers!$F$4:$F$63,30)))</f>
        <v/>
      </c>
      <c r="U1568">
        <f>IF($O1568="","",IF(INDEX(Dossiers!$G$4:$G$63,30)="","",INDEX(Dossiers!$G$4:$G$63,30)))</f>
        <v/>
      </c>
      <c r="V1568">
        <f>IF(OR($O1568="",NOT(ISNUMBER($Q1568))),"",$Q1568*1000000+1568)</f>
        <v/>
      </c>
      <c r="W1568" s="29">
        <f>IF($B1568="","",IFERROR(INDEX($U$4:$U$3183,MATCH(SMALL($V$4:$V$3183,1565),$V$4:$V$3183,0)),""))</f>
        <v/>
      </c>
    </row>
    <row r="1569">
      <c r="A1569">
        <f>IFERROR(INDEX($N$4:$N$3183,MATCH(SMALL($V$4:$V$3183,1566),$V$4:$V$3183,0)),"")</f>
        <v/>
      </c>
      <c r="B1569">
        <f>IFERROR(INDEX($O$4:$O$3183,MATCH(SMALL($V$4:$V$3183,1566),$V$4:$V$3183,0)),"")</f>
        <v/>
      </c>
      <c r="C1569">
        <f>IFERROR(INDEX($P$4:$P$3183,MATCH(SMALL($V$4:$V$3183,1566),$V$4:$V$3183,0)),"")</f>
        <v/>
      </c>
      <c r="D1569" s="29">
        <f>IFERROR(INDEX($Q$4:$Q$3183,MATCH(SMALL($V$4:$V$3183,1566),$V$4:$V$3183,0)),"")</f>
        <v/>
      </c>
      <c r="E1569" s="29">
        <f>IFERROR(INDEX($R$4:$R$3183,MATCH(SMALL($V$4:$V$3183,1566),$V$4:$V$3183,0)),"")</f>
        <v/>
      </c>
      <c r="F1569">
        <f>IFERROR(INDEX($S$4:$S$3183,MATCH(SMALL($V$4:$V$3183,1566),$V$4:$V$3183,0)),"")</f>
        <v/>
      </c>
      <c r="I1569" s="29">
        <f>IF($B1569="","",IFERROR(INDEX($U$4:$U$3183,MATCH(SMALL($V$4:$V$3183,1566),$V$4:$V$3183,0)),""))</f>
        <v/>
      </c>
      <c r="J1569">
        <f>IF($B1569="","",IF($D1569&gt;$F$2,"À venir",IF($E1569&lt;$D$2,"Passé","Dans la période")))</f>
        <v/>
      </c>
      <c r="K1569">
        <f>IF(OR($B1569="",NOT(ISNUMBER($D1569))),"",IF(AND($E1569&lt;$D$2,$G1569&lt;&gt;"X",$F1569&lt;&gt;"Réalisé",$F1569&lt;&gt;"Clôturé"),"RETARD",""))</f>
        <v/>
      </c>
      <c r="L1569">
        <f>IF(OR($B1569="",NOT(ISNUMBER($D1569))),"",IF(AND($D1569&gt;=$D$2,$D1569&lt;=$H$2,$G1569&lt;&gt;"X",$F1569&lt;&gt;"Réalisé",$F1569&lt;&gt;"Clôturé"),"≤ 7 j",""))</f>
        <v/>
      </c>
      <c r="M1569" s="29">
        <f>IF($B1569="","",IFERROR(INDEX($T$4:$T$3183,MATCH(SMALL($V$4:$V$3183,1566),$V$4:$V$3183,0)),""))</f>
        <v/>
      </c>
      <c r="O1569">
        <f>IF(INDEX(Suivi!$B:$B,1599)="","",INDEX(Suivi!$B:$B,1599))</f>
        <v/>
      </c>
      <c r="P1569">
        <f>IF($O1569="","",IF(INDEX(Suivi!$D:$D,1599)="",INDEX(Suivi!$C:$C,1599),INDEX(Suivi!$D:$D,1599)))</f>
        <v/>
      </c>
      <c r="Q1569">
        <f>IF($O1569="","",INDEX(Suivi!$E:$E,1599))</f>
        <v/>
      </c>
      <c r="R1569">
        <f>IF($O1569="","",INDEX(Suivi!$F:$F,1599))</f>
        <v/>
      </c>
      <c r="S1569">
        <f>IF($O1569="","",INDEX(Suivi!$G:$G,1599))</f>
        <v/>
      </c>
      <c r="T1569">
        <f>IF($O1569="","",IF(INDEX(Dossiers!$F$4:$F$63,30)="","",INDEX(Dossiers!$F$4:$F$63,30)))</f>
        <v/>
      </c>
      <c r="U1569">
        <f>IF($O1569="","",IF(INDEX(Dossiers!$G$4:$G$63,30)="","",INDEX(Dossiers!$G$4:$G$63,30)))</f>
        <v/>
      </c>
      <c r="V1569">
        <f>IF(OR($O1569="",NOT(ISNUMBER($Q1569))),"",$Q1569*1000000+1569)</f>
        <v/>
      </c>
      <c r="W1569" s="29">
        <f>IF($B1569="","",IFERROR(INDEX($U$4:$U$3183,MATCH(SMALL($V$4:$V$3183,1566),$V$4:$V$3183,0)),""))</f>
        <v/>
      </c>
    </row>
    <row r="1570">
      <c r="A1570">
        <f>IFERROR(INDEX($N$4:$N$3183,MATCH(SMALL($V$4:$V$3183,1567),$V$4:$V$3183,0)),"")</f>
        <v/>
      </c>
      <c r="B1570">
        <f>IFERROR(INDEX($O$4:$O$3183,MATCH(SMALL($V$4:$V$3183,1567),$V$4:$V$3183,0)),"")</f>
        <v/>
      </c>
      <c r="C1570">
        <f>IFERROR(INDEX($P$4:$P$3183,MATCH(SMALL($V$4:$V$3183,1567),$V$4:$V$3183,0)),"")</f>
        <v/>
      </c>
      <c r="D1570" s="29">
        <f>IFERROR(INDEX($Q$4:$Q$3183,MATCH(SMALL($V$4:$V$3183,1567),$V$4:$V$3183,0)),"")</f>
        <v/>
      </c>
      <c r="E1570" s="29">
        <f>IFERROR(INDEX($R$4:$R$3183,MATCH(SMALL($V$4:$V$3183,1567),$V$4:$V$3183,0)),"")</f>
        <v/>
      </c>
      <c r="F1570">
        <f>IFERROR(INDEX($S$4:$S$3183,MATCH(SMALL($V$4:$V$3183,1567),$V$4:$V$3183,0)),"")</f>
        <v/>
      </c>
      <c r="I1570" s="29">
        <f>IF($B1570="","",IFERROR(INDEX($U$4:$U$3183,MATCH(SMALL($V$4:$V$3183,1567),$V$4:$V$3183,0)),""))</f>
        <v/>
      </c>
      <c r="J1570">
        <f>IF($B1570="","",IF($D1570&gt;$F$2,"À venir",IF($E1570&lt;$D$2,"Passé","Dans la période")))</f>
        <v/>
      </c>
      <c r="K1570">
        <f>IF(OR($B1570="",NOT(ISNUMBER($D1570))),"",IF(AND($E1570&lt;$D$2,$G1570&lt;&gt;"X",$F1570&lt;&gt;"Réalisé",$F1570&lt;&gt;"Clôturé"),"RETARD",""))</f>
        <v/>
      </c>
      <c r="L1570">
        <f>IF(OR($B1570="",NOT(ISNUMBER($D1570))),"",IF(AND($D1570&gt;=$D$2,$D1570&lt;=$H$2,$G1570&lt;&gt;"X",$F1570&lt;&gt;"Réalisé",$F1570&lt;&gt;"Clôturé"),"≤ 7 j",""))</f>
        <v/>
      </c>
      <c r="M1570" s="29">
        <f>IF($B1570="","",IFERROR(INDEX($T$4:$T$3183,MATCH(SMALL($V$4:$V$3183,1567),$V$4:$V$3183,0)),""))</f>
        <v/>
      </c>
      <c r="O1570">
        <f>IF(INDEX(Suivi!$B:$B,1600)="","",INDEX(Suivi!$B:$B,1600))</f>
        <v/>
      </c>
      <c r="P1570">
        <f>IF($O1570="","",IF(INDEX(Suivi!$D:$D,1600)="",INDEX(Suivi!$C:$C,1600),INDEX(Suivi!$D:$D,1600)))</f>
        <v/>
      </c>
      <c r="Q1570">
        <f>IF($O1570="","",INDEX(Suivi!$E:$E,1600))</f>
        <v/>
      </c>
      <c r="R1570">
        <f>IF($O1570="","",INDEX(Suivi!$F:$F,1600))</f>
        <v/>
      </c>
      <c r="S1570">
        <f>IF($O1570="","",INDEX(Suivi!$G:$G,1600))</f>
        <v/>
      </c>
      <c r="T1570">
        <f>IF($O1570="","",IF(INDEX(Dossiers!$F$4:$F$63,30)="","",INDEX(Dossiers!$F$4:$F$63,30)))</f>
        <v/>
      </c>
      <c r="U1570">
        <f>IF($O1570="","",IF(INDEX(Dossiers!$G$4:$G$63,30)="","",INDEX(Dossiers!$G$4:$G$63,30)))</f>
        <v/>
      </c>
      <c r="V1570">
        <f>IF(OR($O1570="",NOT(ISNUMBER($Q1570))),"",$Q1570*1000000+1570)</f>
        <v/>
      </c>
      <c r="W1570" s="29">
        <f>IF($B1570="","",IFERROR(INDEX($U$4:$U$3183,MATCH(SMALL($V$4:$V$3183,1567),$V$4:$V$3183,0)),""))</f>
        <v/>
      </c>
    </row>
    <row r="1571">
      <c r="A1571">
        <f>IFERROR(INDEX($N$4:$N$3183,MATCH(SMALL($V$4:$V$3183,1568),$V$4:$V$3183,0)),"")</f>
        <v/>
      </c>
      <c r="B1571">
        <f>IFERROR(INDEX($O$4:$O$3183,MATCH(SMALL($V$4:$V$3183,1568),$V$4:$V$3183,0)),"")</f>
        <v/>
      </c>
      <c r="C1571">
        <f>IFERROR(INDEX($P$4:$P$3183,MATCH(SMALL($V$4:$V$3183,1568),$V$4:$V$3183,0)),"")</f>
        <v/>
      </c>
      <c r="D1571" s="29">
        <f>IFERROR(INDEX($Q$4:$Q$3183,MATCH(SMALL($V$4:$V$3183,1568),$V$4:$V$3183,0)),"")</f>
        <v/>
      </c>
      <c r="E1571" s="29">
        <f>IFERROR(INDEX($R$4:$R$3183,MATCH(SMALL($V$4:$V$3183,1568),$V$4:$V$3183,0)),"")</f>
        <v/>
      </c>
      <c r="F1571">
        <f>IFERROR(INDEX($S$4:$S$3183,MATCH(SMALL($V$4:$V$3183,1568),$V$4:$V$3183,0)),"")</f>
        <v/>
      </c>
      <c r="I1571" s="29">
        <f>IF($B1571="","",IFERROR(INDEX($U$4:$U$3183,MATCH(SMALL($V$4:$V$3183,1568),$V$4:$V$3183,0)),""))</f>
        <v/>
      </c>
      <c r="J1571">
        <f>IF($B1571="","",IF($D1571&gt;$F$2,"À venir",IF($E1571&lt;$D$2,"Passé","Dans la période")))</f>
        <v/>
      </c>
      <c r="K1571">
        <f>IF(OR($B1571="",NOT(ISNUMBER($D1571))),"",IF(AND($E1571&lt;$D$2,$G1571&lt;&gt;"X",$F1571&lt;&gt;"Réalisé",$F1571&lt;&gt;"Clôturé"),"RETARD",""))</f>
        <v/>
      </c>
      <c r="L1571">
        <f>IF(OR($B1571="",NOT(ISNUMBER($D1571))),"",IF(AND($D1571&gt;=$D$2,$D1571&lt;=$H$2,$G1571&lt;&gt;"X",$F1571&lt;&gt;"Réalisé",$F1571&lt;&gt;"Clôturé"),"≤ 7 j",""))</f>
        <v/>
      </c>
      <c r="M1571" s="29">
        <f>IF($B1571="","",IFERROR(INDEX($T$4:$T$3183,MATCH(SMALL($V$4:$V$3183,1568),$V$4:$V$3183,0)),""))</f>
        <v/>
      </c>
      <c r="O1571">
        <f>IF(INDEX(Suivi!$B:$B,1601)="","",INDEX(Suivi!$B:$B,1601))</f>
        <v/>
      </c>
      <c r="P1571">
        <f>IF($O1571="","",IF(INDEX(Suivi!$D:$D,1601)="",INDEX(Suivi!$C:$C,1601),INDEX(Suivi!$D:$D,1601)))</f>
        <v/>
      </c>
      <c r="Q1571">
        <f>IF($O1571="","",INDEX(Suivi!$E:$E,1601))</f>
        <v/>
      </c>
      <c r="R1571">
        <f>IF($O1571="","",INDEX(Suivi!$F:$F,1601))</f>
        <v/>
      </c>
      <c r="S1571">
        <f>IF($O1571="","",INDEX(Suivi!$G:$G,1601))</f>
        <v/>
      </c>
      <c r="T1571">
        <f>IF($O1571="","",IF(INDEX(Dossiers!$F$4:$F$63,30)="","",INDEX(Dossiers!$F$4:$F$63,30)))</f>
        <v/>
      </c>
      <c r="U1571">
        <f>IF($O1571="","",IF(INDEX(Dossiers!$G$4:$G$63,30)="","",INDEX(Dossiers!$G$4:$G$63,30)))</f>
        <v/>
      </c>
      <c r="V1571">
        <f>IF(OR($O1571="",NOT(ISNUMBER($Q1571))),"",$Q1571*1000000+1571)</f>
        <v/>
      </c>
      <c r="W1571" s="29">
        <f>IF($B1571="","",IFERROR(INDEX($U$4:$U$3183,MATCH(SMALL($V$4:$V$3183,1568),$V$4:$V$3183,0)),""))</f>
        <v/>
      </c>
    </row>
    <row r="1572">
      <c r="A1572">
        <f>IFERROR(INDEX($N$4:$N$3183,MATCH(SMALL($V$4:$V$3183,1569),$V$4:$V$3183,0)),"")</f>
        <v/>
      </c>
      <c r="B1572">
        <f>IFERROR(INDEX($O$4:$O$3183,MATCH(SMALL($V$4:$V$3183,1569),$V$4:$V$3183,0)),"")</f>
        <v/>
      </c>
      <c r="C1572">
        <f>IFERROR(INDEX($P$4:$P$3183,MATCH(SMALL($V$4:$V$3183,1569),$V$4:$V$3183,0)),"")</f>
        <v/>
      </c>
      <c r="D1572" s="29">
        <f>IFERROR(INDEX($Q$4:$Q$3183,MATCH(SMALL($V$4:$V$3183,1569),$V$4:$V$3183,0)),"")</f>
        <v/>
      </c>
      <c r="E1572" s="29">
        <f>IFERROR(INDEX($R$4:$R$3183,MATCH(SMALL($V$4:$V$3183,1569),$V$4:$V$3183,0)),"")</f>
        <v/>
      </c>
      <c r="F1572">
        <f>IFERROR(INDEX($S$4:$S$3183,MATCH(SMALL($V$4:$V$3183,1569),$V$4:$V$3183,0)),"")</f>
        <v/>
      </c>
      <c r="I1572" s="29">
        <f>IF($B1572="","",IFERROR(INDEX($U$4:$U$3183,MATCH(SMALL($V$4:$V$3183,1569),$V$4:$V$3183,0)),""))</f>
        <v/>
      </c>
      <c r="J1572">
        <f>IF($B1572="","",IF($D1572&gt;$F$2,"À venir",IF($E1572&lt;$D$2,"Passé","Dans la période")))</f>
        <v/>
      </c>
      <c r="K1572">
        <f>IF(OR($B1572="",NOT(ISNUMBER($D1572))),"",IF(AND($E1572&lt;$D$2,$G1572&lt;&gt;"X",$F1572&lt;&gt;"Réalisé",$F1572&lt;&gt;"Clôturé"),"RETARD",""))</f>
        <v/>
      </c>
      <c r="L1572">
        <f>IF(OR($B1572="",NOT(ISNUMBER($D1572))),"",IF(AND($D1572&gt;=$D$2,$D1572&lt;=$H$2,$G1572&lt;&gt;"X",$F1572&lt;&gt;"Réalisé",$F1572&lt;&gt;"Clôturé"),"≤ 7 j",""))</f>
        <v/>
      </c>
      <c r="M1572" s="29">
        <f>IF($B1572="","",IFERROR(INDEX($T$4:$T$3183,MATCH(SMALL($V$4:$V$3183,1569),$V$4:$V$3183,0)),""))</f>
        <v/>
      </c>
      <c r="O1572">
        <f>IF(INDEX(Suivi!$B:$B,1602)="","",INDEX(Suivi!$B:$B,1602))</f>
        <v/>
      </c>
      <c r="P1572">
        <f>IF($O1572="","",IF(INDEX(Suivi!$D:$D,1602)="",INDEX(Suivi!$C:$C,1602),INDEX(Suivi!$D:$D,1602)))</f>
        <v/>
      </c>
      <c r="Q1572">
        <f>IF($O1572="","",INDEX(Suivi!$E:$E,1602))</f>
        <v/>
      </c>
      <c r="R1572">
        <f>IF($O1572="","",INDEX(Suivi!$F:$F,1602))</f>
        <v/>
      </c>
      <c r="S1572">
        <f>IF($O1572="","",INDEX(Suivi!$G:$G,1602))</f>
        <v/>
      </c>
      <c r="T1572">
        <f>IF($O1572="","",IF(INDEX(Dossiers!$F$4:$F$63,30)="","",INDEX(Dossiers!$F$4:$F$63,30)))</f>
        <v/>
      </c>
      <c r="U1572">
        <f>IF($O1572="","",IF(INDEX(Dossiers!$G$4:$G$63,30)="","",INDEX(Dossiers!$G$4:$G$63,30)))</f>
        <v/>
      </c>
      <c r="V1572">
        <f>IF(OR($O1572="",NOT(ISNUMBER($Q1572))),"",$Q1572*1000000+1572)</f>
        <v/>
      </c>
      <c r="W1572" s="29">
        <f>IF($B1572="","",IFERROR(INDEX($U$4:$U$3183,MATCH(SMALL($V$4:$V$3183,1569),$V$4:$V$3183,0)),""))</f>
        <v/>
      </c>
    </row>
    <row r="1573">
      <c r="A1573">
        <f>IFERROR(INDEX($N$4:$N$3183,MATCH(SMALL($V$4:$V$3183,1570),$V$4:$V$3183,0)),"")</f>
        <v/>
      </c>
      <c r="B1573">
        <f>IFERROR(INDEX($O$4:$O$3183,MATCH(SMALL($V$4:$V$3183,1570),$V$4:$V$3183,0)),"")</f>
        <v/>
      </c>
      <c r="C1573">
        <f>IFERROR(INDEX($P$4:$P$3183,MATCH(SMALL($V$4:$V$3183,1570),$V$4:$V$3183,0)),"")</f>
        <v/>
      </c>
      <c r="D1573" s="29">
        <f>IFERROR(INDEX($Q$4:$Q$3183,MATCH(SMALL($V$4:$V$3183,1570),$V$4:$V$3183,0)),"")</f>
        <v/>
      </c>
      <c r="E1573" s="29">
        <f>IFERROR(INDEX($R$4:$R$3183,MATCH(SMALL($V$4:$V$3183,1570),$V$4:$V$3183,0)),"")</f>
        <v/>
      </c>
      <c r="F1573">
        <f>IFERROR(INDEX($S$4:$S$3183,MATCH(SMALL($V$4:$V$3183,1570),$V$4:$V$3183,0)),"")</f>
        <v/>
      </c>
      <c r="I1573" s="29">
        <f>IF($B1573="","",IFERROR(INDEX($U$4:$U$3183,MATCH(SMALL($V$4:$V$3183,1570),$V$4:$V$3183,0)),""))</f>
        <v/>
      </c>
      <c r="J1573">
        <f>IF($B1573="","",IF($D1573&gt;$F$2,"À venir",IF($E1573&lt;$D$2,"Passé","Dans la période")))</f>
        <v/>
      </c>
      <c r="K1573">
        <f>IF(OR($B1573="",NOT(ISNUMBER($D1573))),"",IF(AND($E1573&lt;$D$2,$G1573&lt;&gt;"X",$F1573&lt;&gt;"Réalisé",$F1573&lt;&gt;"Clôturé"),"RETARD",""))</f>
        <v/>
      </c>
      <c r="L1573">
        <f>IF(OR($B1573="",NOT(ISNUMBER($D1573))),"",IF(AND($D1573&gt;=$D$2,$D1573&lt;=$H$2,$G1573&lt;&gt;"X",$F1573&lt;&gt;"Réalisé",$F1573&lt;&gt;"Clôturé"),"≤ 7 j",""))</f>
        <v/>
      </c>
      <c r="M1573" s="29">
        <f>IF($B1573="","",IFERROR(INDEX($T$4:$T$3183,MATCH(SMALL($V$4:$V$3183,1570),$V$4:$V$3183,0)),""))</f>
        <v/>
      </c>
      <c r="O1573">
        <f>IF(INDEX(Suivi!$B:$B,1603)="","",INDEX(Suivi!$B:$B,1603))</f>
        <v/>
      </c>
      <c r="P1573">
        <f>IF($O1573="","",IF(INDEX(Suivi!$D:$D,1603)="",INDEX(Suivi!$C:$C,1603),INDEX(Suivi!$D:$D,1603)))</f>
        <v/>
      </c>
      <c r="Q1573">
        <f>IF($O1573="","",INDEX(Suivi!$E:$E,1603))</f>
        <v/>
      </c>
      <c r="R1573">
        <f>IF($O1573="","",INDEX(Suivi!$F:$F,1603))</f>
        <v/>
      </c>
      <c r="S1573">
        <f>IF($O1573="","",INDEX(Suivi!$G:$G,1603))</f>
        <v/>
      </c>
      <c r="T1573">
        <f>IF($O1573="","",IF(INDEX(Dossiers!$F$4:$F$63,30)="","",INDEX(Dossiers!$F$4:$F$63,30)))</f>
        <v/>
      </c>
      <c r="U1573">
        <f>IF($O1573="","",IF(INDEX(Dossiers!$G$4:$G$63,30)="","",INDEX(Dossiers!$G$4:$G$63,30)))</f>
        <v/>
      </c>
      <c r="V1573">
        <f>IF(OR($O1573="",NOT(ISNUMBER($Q1573))),"",$Q1573*1000000+1573)</f>
        <v/>
      </c>
      <c r="W1573" s="29">
        <f>IF($B1573="","",IFERROR(INDEX($U$4:$U$3183,MATCH(SMALL($V$4:$V$3183,1570),$V$4:$V$3183,0)),""))</f>
        <v/>
      </c>
    </row>
    <row r="1574">
      <c r="A1574">
        <f>IFERROR(INDEX($N$4:$N$3183,MATCH(SMALL($V$4:$V$3183,1571),$V$4:$V$3183,0)),"")</f>
        <v/>
      </c>
      <c r="B1574">
        <f>IFERROR(INDEX($O$4:$O$3183,MATCH(SMALL($V$4:$V$3183,1571),$V$4:$V$3183,0)),"")</f>
        <v/>
      </c>
      <c r="C1574">
        <f>IFERROR(INDEX($P$4:$P$3183,MATCH(SMALL($V$4:$V$3183,1571),$V$4:$V$3183,0)),"")</f>
        <v/>
      </c>
      <c r="D1574" s="29">
        <f>IFERROR(INDEX($Q$4:$Q$3183,MATCH(SMALL($V$4:$V$3183,1571),$V$4:$V$3183,0)),"")</f>
        <v/>
      </c>
      <c r="E1574" s="29">
        <f>IFERROR(INDEX($R$4:$R$3183,MATCH(SMALL($V$4:$V$3183,1571),$V$4:$V$3183,0)),"")</f>
        <v/>
      </c>
      <c r="F1574">
        <f>IFERROR(INDEX($S$4:$S$3183,MATCH(SMALL($V$4:$V$3183,1571),$V$4:$V$3183,0)),"")</f>
        <v/>
      </c>
      <c r="I1574" s="29">
        <f>IF($B1574="","",IFERROR(INDEX($U$4:$U$3183,MATCH(SMALL($V$4:$V$3183,1571),$V$4:$V$3183,0)),""))</f>
        <v/>
      </c>
      <c r="J1574">
        <f>IF($B1574="","",IF($D1574&gt;$F$2,"À venir",IF($E1574&lt;$D$2,"Passé","Dans la période")))</f>
        <v/>
      </c>
      <c r="K1574">
        <f>IF(OR($B1574="",NOT(ISNUMBER($D1574))),"",IF(AND($E1574&lt;$D$2,$G1574&lt;&gt;"X",$F1574&lt;&gt;"Réalisé",$F1574&lt;&gt;"Clôturé"),"RETARD",""))</f>
        <v/>
      </c>
      <c r="L1574">
        <f>IF(OR($B1574="",NOT(ISNUMBER($D1574))),"",IF(AND($D1574&gt;=$D$2,$D1574&lt;=$H$2,$G1574&lt;&gt;"X",$F1574&lt;&gt;"Réalisé",$F1574&lt;&gt;"Clôturé"),"≤ 7 j",""))</f>
        <v/>
      </c>
      <c r="M1574" s="29">
        <f>IF($B1574="","",IFERROR(INDEX($T$4:$T$3183,MATCH(SMALL($V$4:$V$3183,1571),$V$4:$V$3183,0)),""))</f>
        <v/>
      </c>
      <c r="O1574">
        <f>IF(INDEX(Suivi!$B:$B,1604)="","",INDEX(Suivi!$B:$B,1604))</f>
        <v/>
      </c>
      <c r="P1574">
        <f>IF($O1574="","",IF(INDEX(Suivi!$D:$D,1604)="",INDEX(Suivi!$C:$C,1604),INDEX(Suivi!$D:$D,1604)))</f>
        <v/>
      </c>
      <c r="Q1574">
        <f>IF($O1574="","",INDEX(Suivi!$E:$E,1604))</f>
        <v/>
      </c>
      <c r="R1574">
        <f>IF($O1574="","",INDEX(Suivi!$F:$F,1604))</f>
        <v/>
      </c>
      <c r="S1574">
        <f>IF($O1574="","",INDEX(Suivi!$G:$G,1604))</f>
        <v/>
      </c>
      <c r="T1574">
        <f>IF($O1574="","",IF(INDEX(Dossiers!$F$4:$F$63,30)="","",INDEX(Dossiers!$F$4:$F$63,30)))</f>
        <v/>
      </c>
      <c r="U1574">
        <f>IF($O1574="","",IF(INDEX(Dossiers!$G$4:$G$63,30)="","",INDEX(Dossiers!$G$4:$G$63,30)))</f>
        <v/>
      </c>
      <c r="V1574">
        <f>IF(OR($O1574="",NOT(ISNUMBER($Q1574))),"",$Q1574*1000000+1574)</f>
        <v/>
      </c>
      <c r="W1574" s="29">
        <f>IF($B1574="","",IFERROR(INDEX($U$4:$U$3183,MATCH(SMALL($V$4:$V$3183,1571),$V$4:$V$3183,0)),""))</f>
        <v/>
      </c>
    </row>
    <row r="1575">
      <c r="A1575">
        <f>IFERROR(INDEX($N$4:$N$3183,MATCH(SMALL($V$4:$V$3183,1572),$V$4:$V$3183,0)),"")</f>
        <v/>
      </c>
      <c r="B1575">
        <f>IFERROR(INDEX($O$4:$O$3183,MATCH(SMALL($V$4:$V$3183,1572),$V$4:$V$3183,0)),"")</f>
        <v/>
      </c>
      <c r="C1575">
        <f>IFERROR(INDEX($P$4:$P$3183,MATCH(SMALL($V$4:$V$3183,1572),$V$4:$V$3183,0)),"")</f>
        <v/>
      </c>
      <c r="D1575" s="29">
        <f>IFERROR(INDEX($Q$4:$Q$3183,MATCH(SMALL($V$4:$V$3183,1572),$V$4:$V$3183,0)),"")</f>
        <v/>
      </c>
      <c r="E1575" s="29">
        <f>IFERROR(INDEX($R$4:$R$3183,MATCH(SMALL($V$4:$V$3183,1572),$V$4:$V$3183,0)),"")</f>
        <v/>
      </c>
      <c r="F1575">
        <f>IFERROR(INDEX($S$4:$S$3183,MATCH(SMALL($V$4:$V$3183,1572),$V$4:$V$3183,0)),"")</f>
        <v/>
      </c>
      <c r="I1575" s="29">
        <f>IF($B1575="","",IFERROR(INDEX($U$4:$U$3183,MATCH(SMALL($V$4:$V$3183,1572),$V$4:$V$3183,0)),""))</f>
        <v/>
      </c>
      <c r="J1575">
        <f>IF($B1575="","",IF($D1575&gt;$F$2,"À venir",IF($E1575&lt;$D$2,"Passé","Dans la période")))</f>
        <v/>
      </c>
      <c r="K1575">
        <f>IF(OR($B1575="",NOT(ISNUMBER($D1575))),"",IF(AND($E1575&lt;$D$2,$G1575&lt;&gt;"X",$F1575&lt;&gt;"Réalisé",$F1575&lt;&gt;"Clôturé"),"RETARD",""))</f>
        <v/>
      </c>
      <c r="L1575">
        <f>IF(OR($B1575="",NOT(ISNUMBER($D1575))),"",IF(AND($D1575&gt;=$D$2,$D1575&lt;=$H$2,$G1575&lt;&gt;"X",$F1575&lt;&gt;"Réalisé",$F1575&lt;&gt;"Clôturé"),"≤ 7 j",""))</f>
        <v/>
      </c>
      <c r="M1575" s="29">
        <f>IF($B1575="","",IFERROR(INDEX($T$4:$T$3183,MATCH(SMALL($V$4:$V$3183,1572),$V$4:$V$3183,0)),""))</f>
        <v/>
      </c>
      <c r="O1575">
        <f>IF(INDEX(Suivi!$B:$B,1605)="","",INDEX(Suivi!$B:$B,1605))</f>
        <v/>
      </c>
      <c r="P1575">
        <f>IF($O1575="","",IF(INDEX(Suivi!$D:$D,1605)="",INDEX(Suivi!$C:$C,1605),INDEX(Suivi!$D:$D,1605)))</f>
        <v/>
      </c>
      <c r="Q1575">
        <f>IF($O1575="","",INDEX(Suivi!$E:$E,1605))</f>
        <v/>
      </c>
      <c r="R1575">
        <f>IF($O1575="","",INDEX(Suivi!$F:$F,1605))</f>
        <v/>
      </c>
      <c r="S1575">
        <f>IF($O1575="","",INDEX(Suivi!$G:$G,1605))</f>
        <v/>
      </c>
      <c r="T1575">
        <f>IF($O1575="","",IF(INDEX(Dossiers!$F$4:$F$63,30)="","",INDEX(Dossiers!$F$4:$F$63,30)))</f>
        <v/>
      </c>
      <c r="U1575">
        <f>IF($O1575="","",IF(INDEX(Dossiers!$G$4:$G$63,30)="","",INDEX(Dossiers!$G$4:$G$63,30)))</f>
        <v/>
      </c>
      <c r="V1575">
        <f>IF(OR($O1575="",NOT(ISNUMBER($Q1575))),"",$Q1575*1000000+1575)</f>
        <v/>
      </c>
      <c r="W1575" s="29">
        <f>IF($B1575="","",IFERROR(INDEX($U$4:$U$3183,MATCH(SMALL($V$4:$V$3183,1572),$V$4:$V$3183,0)),""))</f>
        <v/>
      </c>
    </row>
    <row r="1576">
      <c r="A1576">
        <f>IFERROR(INDEX($N$4:$N$3183,MATCH(SMALL($V$4:$V$3183,1573),$V$4:$V$3183,0)),"")</f>
        <v/>
      </c>
      <c r="B1576">
        <f>IFERROR(INDEX($O$4:$O$3183,MATCH(SMALL($V$4:$V$3183,1573),$V$4:$V$3183,0)),"")</f>
        <v/>
      </c>
      <c r="C1576">
        <f>IFERROR(INDEX($P$4:$P$3183,MATCH(SMALL($V$4:$V$3183,1573),$V$4:$V$3183,0)),"")</f>
        <v/>
      </c>
      <c r="D1576" s="29">
        <f>IFERROR(INDEX($Q$4:$Q$3183,MATCH(SMALL($V$4:$V$3183,1573),$V$4:$V$3183,0)),"")</f>
        <v/>
      </c>
      <c r="E1576" s="29">
        <f>IFERROR(INDEX($R$4:$R$3183,MATCH(SMALL($V$4:$V$3183,1573),$V$4:$V$3183,0)),"")</f>
        <v/>
      </c>
      <c r="F1576">
        <f>IFERROR(INDEX($S$4:$S$3183,MATCH(SMALL($V$4:$V$3183,1573),$V$4:$V$3183,0)),"")</f>
        <v/>
      </c>
      <c r="I1576" s="29">
        <f>IF($B1576="","",IFERROR(INDEX($U$4:$U$3183,MATCH(SMALL($V$4:$V$3183,1573),$V$4:$V$3183,0)),""))</f>
        <v/>
      </c>
      <c r="J1576">
        <f>IF($B1576="","",IF($D1576&gt;$F$2,"À venir",IF($E1576&lt;$D$2,"Passé","Dans la période")))</f>
        <v/>
      </c>
      <c r="K1576">
        <f>IF(OR($B1576="",NOT(ISNUMBER($D1576))),"",IF(AND($E1576&lt;$D$2,$G1576&lt;&gt;"X",$F1576&lt;&gt;"Réalisé",$F1576&lt;&gt;"Clôturé"),"RETARD",""))</f>
        <v/>
      </c>
      <c r="L1576">
        <f>IF(OR($B1576="",NOT(ISNUMBER($D1576))),"",IF(AND($D1576&gt;=$D$2,$D1576&lt;=$H$2,$G1576&lt;&gt;"X",$F1576&lt;&gt;"Réalisé",$F1576&lt;&gt;"Clôturé"),"≤ 7 j",""))</f>
        <v/>
      </c>
      <c r="M1576" s="29">
        <f>IF($B1576="","",IFERROR(INDEX($T$4:$T$3183,MATCH(SMALL($V$4:$V$3183,1573),$V$4:$V$3183,0)),""))</f>
        <v/>
      </c>
      <c r="O1576">
        <f>IF(INDEX(Suivi!$B:$B,1606)="","",INDEX(Suivi!$B:$B,1606))</f>
        <v/>
      </c>
      <c r="P1576">
        <f>IF($O1576="","",IF(INDEX(Suivi!$D:$D,1606)="",INDEX(Suivi!$C:$C,1606),INDEX(Suivi!$D:$D,1606)))</f>
        <v/>
      </c>
      <c r="Q1576">
        <f>IF($O1576="","",INDEX(Suivi!$E:$E,1606))</f>
        <v/>
      </c>
      <c r="R1576">
        <f>IF($O1576="","",INDEX(Suivi!$F:$F,1606))</f>
        <v/>
      </c>
      <c r="S1576">
        <f>IF($O1576="","",INDEX(Suivi!$G:$G,1606))</f>
        <v/>
      </c>
      <c r="T1576">
        <f>IF($O1576="","",IF(INDEX(Dossiers!$F$4:$F$63,30)="","",INDEX(Dossiers!$F$4:$F$63,30)))</f>
        <v/>
      </c>
      <c r="U1576">
        <f>IF($O1576="","",IF(INDEX(Dossiers!$G$4:$G$63,30)="","",INDEX(Dossiers!$G$4:$G$63,30)))</f>
        <v/>
      </c>
      <c r="V1576">
        <f>IF(OR($O1576="",NOT(ISNUMBER($Q1576))),"",$Q1576*1000000+1576)</f>
        <v/>
      </c>
      <c r="W1576" s="29">
        <f>IF($B1576="","",IFERROR(INDEX($U$4:$U$3183,MATCH(SMALL($V$4:$V$3183,1573),$V$4:$V$3183,0)),""))</f>
        <v/>
      </c>
    </row>
    <row r="1577">
      <c r="A1577">
        <f>IFERROR(INDEX($N$4:$N$3183,MATCH(SMALL($V$4:$V$3183,1574),$V$4:$V$3183,0)),"")</f>
        <v/>
      </c>
      <c r="B1577">
        <f>IFERROR(INDEX($O$4:$O$3183,MATCH(SMALL($V$4:$V$3183,1574),$V$4:$V$3183,0)),"")</f>
        <v/>
      </c>
      <c r="C1577">
        <f>IFERROR(INDEX($P$4:$P$3183,MATCH(SMALL($V$4:$V$3183,1574),$V$4:$V$3183,0)),"")</f>
        <v/>
      </c>
      <c r="D1577" s="29">
        <f>IFERROR(INDEX($Q$4:$Q$3183,MATCH(SMALL($V$4:$V$3183,1574),$V$4:$V$3183,0)),"")</f>
        <v/>
      </c>
      <c r="E1577" s="29">
        <f>IFERROR(INDEX($R$4:$R$3183,MATCH(SMALL($V$4:$V$3183,1574),$V$4:$V$3183,0)),"")</f>
        <v/>
      </c>
      <c r="F1577">
        <f>IFERROR(INDEX($S$4:$S$3183,MATCH(SMALL($V$4:$V$3183,1574),$V$4:$V$3183,0)),"")</f>
        <v/>
      </c>
      <c r="I1577" s="29">
        <f>IF($B1577="","",IFERROR(INDEX($U$4:$U$3183,MATCH(SMALL($V$4:$V$3183,1574),$V$4:$V$3183,0)),""))</f>
        <v/>
      </c>
      <c r="J1577">
        <f>IF($B1577="","",IF($D1577&gt;$F$2,"À venir",IF($E1577&lt;$D$2,"Passé","Dans la période")))</f>
        <v/>
      </c>
      <c r="K1577">
        <f>IF(OR($B1577="",NOT(ISNUMBER($D1577))),"",IF(AND($E1577&lt;$D$2,$G1577&lt;&gt;"X",$F1577&lt;&gt;"Réalisé",$F1577&lt;&gt;"Clôturé"),"RETARD",""))</f>
        <v/>
      </c>
      <c r="L1577">
        <f>IF(OR($B1577="",NOT(ISNUMBER($D1577))),"",IF(AND($D1577&gt;=$D$2,$D1577&lt;=$H$2,$G1577&lt;&gt;"X",$F1577&lt;&gt;"Réalisé",$F1577&lt;&gt;"Clôturé"),"≤ 7 j",""))</f>
        <v/>
      </c>
      <c r="M1577" s="29">
        <f>IF($B1577="","",IFERROR(INDEX($T$4:$T$3183,MATCH(SMALL($V$4:$V$3183,1574),$V$4:$V$3183,0)),""))</f>
        <v/>
      </c>
      <c r="O1577">
        <f>IF(INDEX(Suivi!$B:$B,1607)="","",INDEX(Suivi!$B:$B,1607))</f>
        <v/>
      </c>
      <c r="P1577">
        <f>IF($O1577="","",IF(INDEX(Suivi!$D:$D,1607)="",INDEX(Suivi!$C:$C,1607),INDEX(Suivi!$D:$D,1607)))</f>
        <v/>
      </c>
      <c r="Q1577">
        <f>IF($O1577="","",INDEX(Suivi!$E:$E,1607))</f>
        <v/>
      </c>
      <c r="R1577">
        <f>IF($O1577="","",INDEX(Suivi!$F:$F,1607))</f>
        <v/>
      </c>
      <c r="S1577">
        <f>IF($O1577="","",INDEX(Suivi!$G:$G,1607))</f>
        <v/>
      </c>
      <c r="T1577">
        <f>IF($O1577="","",IF(INDEX(Dossiers!$F$4:$F$63,30)="","",INDEX(Dossiers!$F$4:$F$63,30)))</f>
        <v/>
      </c>
      <c r="U1577">
        <f>IF($O1577="","",IF(INDEX(Dossiers!$G$4:$G$63,30)="","",INDEX(Dossiers!$G$4:$G$63,30)))</f>
        <v/>
      </c>
      <c r="V1577">
        <f>IF(OR($O1577="",NOT(ISNUMBER($Q1577))),"",$Q1577*1000000+1577)</f>
        <v/>
      </c>
      <c r="W1577" s="29">
        <f>IF($B1577="","",IFERROR(INDEX($U$4:$U$3183,MATCH(SMALL($V$4:$V$3183,1574),$V$4:$V$3183,0)),""))</f>
        <v/>
      </c>
    </row>
    <row r="1578">
      <c r="A1578">
        <f>IFERROR(INDEX($N$4:$N$3183,MATCH(SMALL($V$4:$V$3183,1575),$V$4:$V$3183,0)),"")</f>
        <v/>
      </c>
      <c r="B1578">
        <f>IFERROR(INDEX($O$4:$O$3183,MATCH(SMALL($V$4:$V$3183,1575),$V$4:$V$3183,0)),"")</f>
        <v/>
      </c>
      <c r="C1578">
        <f>IFERROR(INDEX($P$4:$P$3183,MATCH(SMALL($V$4:$V$3183,1575),$V$4:$V$3183,0)),"")</f>
        <v/>
      </c>
      <c r="D1578" s="29">
        <f>IFERROR(INDEX($Q$4:$Q$3183,MATCH(SMALL($V$4:$V$3183,1575),$V$4:$V$3183,0)),"")</f>
        <v/>
      </c>
      <c r="E1578" s="29">
        <f>IFERROR(INDEX($R$4:$R$3183,MATCH(SMALL($V$4:$V$3183,1575),$V$4:$V$3183,0)),"")</f>
        <v/>
      </c>
      <c r="F1578">
        <f>IFERROR(INDEX($S$4:$S$3183,MATCH(SMALL($V$4:$V$3183,1575),$V$4:$V$3183,0)),"")</f>
        <v/>
      </c>
      <c r="I1578" s="29">
        <f>IF($B1578="","",IFERROR(INDEX($U$4:$U$3183,MATCH(SMALL($V$4:$V$3183,1575),$V$4:$V$3183,0)),""))</f>
        <v/>
      </c>
      <c r="J1578">
        <f>IF($B1578="","",IF($D1578&gt;$F$2,"À venir",IF($E1578&lt;$D$2,"Passé","Dans la période")))</f>
        <v/>
      </c>
      <c r="K1578">
        <f>IF(OR($B1578="",NOT(ISNUMBER($D1578))),"",IF(AND($E1578&lt;$D$2,$G1578&lt;&gt;"X",$F1578&lt;&gt;"Réalisé",$F1578&lt;&gt;"Clôturé"),"RETARD",""))</f>
        <v/>
      </c>
      <c r="L1578">
        <f>IF(OR($B1578="",NOT(ISNUMBER($D1578))),"",IF(AND($D1578&gt;=$D$2,$D1578&lt;=$H$2,$G1578&lt;&gt;"X",$F1578&lt;&gt;"Réalisé",$F1578&lt;&gt;"Clôturé"),"≤ 7 j",""))</f>
        <v/>
      </c>
      <c r="M1578" s="29">
        <f>IF($B1578="","",IFERROR(INDEX($T$4:$T$3183,MATCH(SMALL($V$4:$V$3183,1575),$V$4:$V$3183,0)),""))</f>
        <v/>
      </c>
      <c r="O1578">
        <f>IF(INDEX(Suivi!$B:$B,1608)="","",INDEX(Suivi!$B:$B,1608))</f>
        <v/>
      </c>
      <c r="P1578">
        <f>IF($O1578="","",IF(INDEX(Suivi!$D:$D,1608)="",INDEX(Suivi!$C:$C,1608),INDEX(Suivi!$D:$D,1608)))</f>
        <v/>
      </c>
      <c r="Q1578">
        <f>IF($O1578="","",INDEX(Suivi!$E:$E,1608))</f>
        <v/>
      </c>
      <c r="R1578">
        <f>IF($O1578="","",INDEX(Suivi!$F:$F,1608))</f>
        <v/>
      </c>
      <c r="S1578">
        <f>IF($O1578="","",INDEX(Suivi!$G:$G,1608))</f>
        <v/>
      </c>
      <c r="T1578">
        <f>IF($O1578="","",IF(INDEX(Dossiers!$F$4:$F$63,30)="","",INDEX(Dossiers!$F$4:$F$63,30)))</f>
        <v/>
      </c>
      <c r="U1578">
        <f>IF($O1578="","",IF(INDEX(Dossiers!$G$4:$G$63,30)="","",INDEX(Dossiers!$G$4:$G$63,30)))</f>
        <v/>
      </c>
      <c r="V1578">
        <f>IF(OR($O1578="",NOT(ISNUMBER($Q1578))),"",$Q1578*1000000+1578)</f>
        <v/>
      </c>
      <c r="W1578" s="29">
        <f>IF($B1578="","",IFERROR(INDEX($U$4:$U$3183,MATCH(SMALL($V$4:$V$3183,1575),$V$4:$V$3183,0)),""))</f>
        <v/>
      </c>
    </row>
    <row r="1579">
      <c r="A1579">
        <f>IFERROR(INDEX($N$4:$N$3183,MATCH(SMALL($V$4:$V$3183,1576),$V$4:$V$3183,0)),"")</f>
        <v/>
      </c>
      <c r="B1579">
        <f>IFERROR(INDEX($O$4:$O$3183,MATCH(SMALL($V$4:$V$3183,1576),$V$4:$V$3183,0)),"")</f>
        <v/>
      </c>
      <c r="C1579">
        <f>IFERROR(INDEX($P$4:$P$3183,MATCH(SMALL($V$4:$V$3183,1576),$V$4:$V$3183,0)),"")</f>
        <v/>
      </c>
      <c r="D1579" s="29">
        <f>IFERROR(INDEX($Q$4:$Q$3183,MATCH(SMALL($V$4:$V$3183,1576),$V$4:$V$3183,0)),"")</f>
        <v/>
      </c>
      <c r="E1579" s="29">
        <f>IFERROR(INDEX($R$4:$R$3183,MATCH(SMALL($V$4:$V$3183,1576),$V$4:$V$3183,0)),"")</f>
        <v/>
      </c>
      <c r="F1579">
        <f>IFERROR(INDEX($S$4:$S$3183,MATCH(SMALL($V$4:$V$3183,1576),$V$4:$V$3183,0)),"")</f>
        <v/>
      </c>
      <c r="I1579" s="29">
        <f>IF($B1579="","",IFERROR(INDEX($U$4:$U$3183,MATCH(SMALL($V$4:$V$3183,1576),$V$4:$V$3183,0)),""))</f>
        <v/>
      </c>
      <c r="J1579">
        <f>IF($B1579="","",IF($D1579&gt;$F$2,"À venir",IF($E1579&lt;$D$2,"Passé","Dans la période")))</f>
        <v/>
      </c>
      <c r="K1579">
        <f>IF(OR($B1579="",NOT(ISNUMBER($D1579))),"",IF(AND($E1579&lt;$D$2,$G1579&lt;&gt;"X",$F1579&lt;&gt;"Réalisé",$F1579&lt;&gt;"Clôturé"),"RETARD",""))</f>
        <v/>
      </c>
      <c r="L1579">
        <f>IF(OR($B1579="",NOT(ISNUMBER($D1579))),"",IF(AND($D1579&gt;=$D$2,$D1579&lt;=$H$2,$G1579&lt;&gt;"X",$F1579&lt;&gt;"Réalisé",$F1579&lt;&gt;"Clôturé"),"≤ 7 j",""))</f>
        <v/>
      </c>
      <c r="M1579" s="29">
        <f>IF($B1579="","",IFERROR(INDEX($T$4:$T$3183,MATCH(SMALL($V$4:$V$3183,1576),$V$4:$V$3183,0)),""))</f>
        <v/>
      </c>
      <c r="O1579">
        <f>IF(INDEX(Suivi!$B:$B,1609)="","",INDEX(Suivi!$B:$B,1609))</f>
        <v/>
      </c>
      <c r="P1579">
        <f>IF($O1579="","",IF(INDEX(Suivi!$D:$D,1609)="",INDEX(Suivi!$C:$C,1609),INDEX(Suivi!$D:$D,1609)))</f>
        <v/>
      </c>
      <c r="Q1579">
        <f>IF($O1579="","",INDEX(Suivi!$E:$E,1609))</f>
        <v/>
      </c>
      <c r="R1579">
        <f>IF($O1579="","",INDEX(Suivi!$F:$F,1609))</f>
        <v/>
      </c>
      <c r="S1579">
        <f>IF($O1579="","",INDEX(Suivi!$G:$G,1609))</f>
        <v/>
      </c>
      <c r="T1579">
        <f>IF($O1579="","",IF(INDEX(Dossiers!$F$4:$F$63,30)="","",INDEX(Dossiers!$F$4:$F$63,30)))</f>
        <v/>
      </c>
      <c r="U1579">
        <f>IF($O1579="","",IF(INDEX(Dossiers!$G$4:$G$63,30)="","",INDEX(Dossiers!$G$4:$G$63,30)))</f>
        <v/>
      </c>
      <c r="V1579">
        <f>IF(OR($O1579="",NOT(ISNUMBER($Q1579))),"",$Q1579*1000000+1579)</f>
        <v/>
      </c>
      <c r="W1579" s="29">
        <f>IF($B1579="","",IFERROR(INDEX($U$4:$U$3183,MATCH(SMALL($V$4:$V$3183,1576),$V$4:$V$3183,0)),""))</f>
        <v/>
      </c>
    </row>
    <row r="1580">
      <c r="A1580">
        <f>IFERROR(INDEX($N$4:$N$3183,MATCH(SMALL($V$4:$V$3183,1577),$V$4:$V$3183,0)),"")</f>
        <v/>
      </c>
      <c r="B1580">
        <f>IFERROR(INDEX($O$4:$O$3183,MATCH(SMALL($V$4:$V$3183,1577),$V$4:$V$3183,0)),"")</f>
        <v/>
      </c>
      <c r="C1580">
        <f>IFERROR(INDEX($P$4:$P$3183,MATCH(SMALL($V$4:$V$3183,1577),$V$4:$V$3183,0)),"")</f>
        <v/>
      </c>
      <c r="D1580" s="29">
        <f>IFERROR(INDEX($Q$4:$Q$3183,MATCH(SMALL($V$4:$V$3183,1577),$V$4:$V$3183,0)),"")</f>
        <v/>
      </c>
      <c r="E1580" s="29">
        <f>IFERROR(INDEX($R$4:$R$3183,MATCH(SMALL($V$4:$V$3183,1577),$V$4:$V$3183,0)),"")</f>
        <v/>
      </c>
      <c r="F1580">
        <f>IFERROR(INDEX($S$4:$S$3183,MATCH(SMALL($V$4:$V$3183,1577),$V$4:$V$3183,0)),"")</f>
        <v/>
      </c>
      <c r="I1580" s="29">
        <f>IF($B1580="","",IFERROR(INDEX($U$4:$U$3183,MATCH(SMALL($V$4:$V$3183,1577),$V$4:$V$3183,0)),""))</f>
        <v/>
      </c>
      <c r="J1580">
        <f>IF($B1580="","",IF($D1580&gt;$F$2,"À venir",IF($E1580&lt;$D$2,"Passé","Dans la période")))</f>
        <v/>
      </c>
      <c r="K1580">
        <f>IF(OR($B1580="",NOT(ISNUMBER($D1580))),"",IF(AND($E1580&lt;$D$2,$G1580&lt;&gt;"X",$F1580&lt;&gt;"Réalisé",$F1580&lt;&gt;"Clôturé"),"RETARD",""))</f>
        <v/>
      </c>
      <c r="L1580">
        <f>IF(OR($B1580="",NOT(ISNUMBER($D1580))),"",IF(AND($D1580&gt;=$D$2,$D1580&lt;=$H$2,$G1580&lt;&gt;"X",$F1580&lt;&gt;"Réalisé",$F1580&lt;&gt;"Clôturé"),"≤ 7 j",""))</f>
        <v/>
      </c>
      <c r="M1580" s="29">
        <f>IF($B1580="","",IFERROR(INDEX($T$4:$T$3183,MATCH(SMALL($V$4:$V$3183,1577),$V$4:$V$3183,0)),""))</f>
        <v/>
      </c>
      <c r="O1580">
        <f>IF(INDEX(Suivi!$B:$B,1610)="","",INDEX(Suivi!$B:$B,1610))</f>
        <v/>
      </c>
      <c r="P1580">
        <f>IF($O1580="","",IF(INDEX(Suivi!$D:$D,1610)="",INDEX(Suivi!$C:$C,1610),INDEX(Suivi!$D:$D,1610)))</f>
        <v/>
      </c>
      <c r="Q1580">
        <f>IF($O1580="","",INDEX(Suivi!$E:$E,1610))</f>
        <v/>
      </c>
      <c r="R1580">
        <f>IF($O1580="","",INDEX(Suivi!$F:$F,1610))</f>
        <v/>
      </c>
      <c r="S1580">
        <f>IF($O1580="","",INDEX(Suivi!$G:$G,1610))</f>
        <v/>
      </c>
      <c r="T1580">
        <f>IF($O1580="","",IF(INDEX(Dossiers!$F$4:$F$63,30)="","",INDEX(Dossiers!$F$4:$F$63,30)))</f>
        <v/>
      </c>
      <c r="U1580">
        <f>IF($O1580="","",IF(INDEX(Dossiers!$G$4:$G$63,30)="","",INDEX(Dossiers!$G$4:$G$63,30)))</f>
        <v/>
      </c>
      <c r="V1580">
        <f>IF(OR($O1580="",NOT(ISNUMBER($Q1580))),"",$Q1580*1000000+1580)</f>
        <v/>
      </c>
      <c r="W1580" s="29">
        <f>IF($B1580="","",IFERROR(INDEX($U$4:$U$3183,MATCH(SMALL($V$4:$V$3183,1577),$V$4:$V$3183,0)),""))</f>
        <v/>
      </c>
    </row>
    <row r="1581">
      <c r="A1581">
        <f>IFERROR(INDEX($N$4:$N$3183,MATCH(SMALL($V$4:$V$3183,1578),$V$4:$V$3183,0)),"")</f>
        <v/>
      </c>
      <c r="B1581">
        <f>IFERROR(INDEX($O$4:$O$3183,MATCH(SMALL($V$4:$V$3183,1578),$V$4:$V$3183,0)),"")</f>
        <v/>
      </c>
      <c r="C1581">
        <f>IFERROR(INDEX($P$4:$P$3183,MATCH(SMALL($V$4:$V$3183,1578),$V$4:$V$3183,0)),"")</f>
        <v/>
      </c>
      <c r="D1581" s="29">
        <f>IFERROR(INDEX($Q$4:$Q$3183,MATCH(SMALL($V$4:$V$3183,1578),$V$4:$V$3183,0)),"")</f>
        <v/>
      </c>
      <c r="E1581" s="29">
        <f>IFERROR(INDEX($R$4:$R$3183,MATCH(SMALL($V$4:$V$3183,1578),$V$4:$V$3183,0)),"")</f>
        <v/>
      </c>
      <c r="F1581">
        <f>IFERROR(INDEX($S$4:$S$3183,MATCH(SMALL($V$4:$V$3183,1578),$V$4:$V$3183,0)),"")</f>
        <v/>
      </c>
      <c r="I1581" s="29">
        <f>IF($B1581="","",IFERROR(INDEX($U$4:$U$3183,MATCH(SMALL($V$4:$V$3183,1578),$V$4:$V$3183,0)),""))</f>
        <v/>
      </c>
      <c r="J1581">
        <f>IF($B1581="","",IF($D1581&gt;$F$2,"À venir",IF($E1581&lt;$D$2,"Passé","Dans la période")))</f>
        <v/>
      </c>
      <c r="K1581">
        <f>IF(OR($B1581="",NOT(ISNUMBER($D1581))),"",IF(AND($E1581&lt;$D$2,$G1581&lt;&gt;"X",$F1581&lt;&gt;"Réalisé",$F1581&lt;&gt;"Clôturé"),"RETARD",""))</f>
        <v/>
      </c>
      <c r="L1581">
        <f>IF(OR($B1581="",NOT(ISNUMBER($D1581))),"",IF(AND($D1581&gt;=$D$2,$D1581&lt;=$H$2,$G1581&lt;&gt;"X",$F1581&lt;&gt;"Réalisé",$F1581&lt;&gt;"Clôturé"),"≤ 7 j",""))</f>
        <v/>
      </c>
      <c r="M1581" s="29">
        <f>IF($B1581="","",IFERROR(INDEX($T$4:$T$3183,MATCH(SMALL($V$4:$V$3183,1578),$V$4:$V$3183,0)),""))</f>
        <v/>
      </c>
      <c r="O1581">
        <f>IF(INDEX(Suivi!$B:$B,1611)="","",INDEX(Suivi!$B:$B,1611))</f>
        <v/>
      </c>
      <c r="P1581">
        <f>IF($O1581="","",IF(INDEX(Suivi!$D:$D,1611)="",INDEX(Suivi!$C:$C,1611),INDEX(Suivi!$D:$D,1611)))</f>
        <v/>
      </c>
      <c r="Q1581">
        <f>IF($O1581="","",INDEX(Suivi!$E:$E,1611))</f>
        <v/>
      </c>
      <c r="R1581">
        <f>IF($O1581="","",INDEX(Suivi!$F:$F,1611))</f>
        <v/>
      </c>
      <c r="S1581">
        <f>IF($O1581="","",INDEX(Suivi!$G:$G,1611))</f>
        <v/>
      </c>
      <c r="T1581">
        <f>IF($O1581="","",IF(INDEX(Dossiers!$F$4:$F$63,30)="","",INDEX(Dossiers!$F$4:$F$63,30)))</f>
        <v/>
      </c>
      <c r="U1581">
        <f>IF($O1581="","",IF(INDEX(Dossiers!$G$4:$G$63,30)="","",INDEX(Dossiers!$G$4:$G$63,30)))</f>
        <v/>
      </c>
      <c r="V1581">
        <f>IF(OR($O1581="",NOT(ISNUMBER($Q1581))),"",$Q1581*1000000+1581)</f>
        <v/>
      </c>
      <c r="W1581" s="29">
        <f>IF($B1581="","",IFERROR(INDEX($U$4:$U$3183,MATCH(SMALL($V$4:$V$3183,1578),$V$4:$V$3183,0)),""))</f>
        <v/>
      </c>
    </row>
    <row r="1582">
      <c r="A1582">
        <f>IFERROR(INDEX($N$4:$N$3183,MATCH(SMALL($V$4:$V$3183,1579),$V$4:$V$3183,0)),"")</f>
        <v/>
      </c>
      <c r="B1582">
        <f>IFERROR(INDEX($O$4:$O$3183,MATCH(SMALL($V$4:$V$3183,1579),$V$4:$V$3183,0)),"")</f>
        <v/>
      </c>
      <c r="C1582">
        <f>IFERROR(INDEX($P$4:$P$3183,MATCH(SMALL($V$4:$V$3183,1579),$V$4:$V$3183,0)),"")</f>
        <v/>
      </c>
      <c r="D1582" s="29">
        <f>IFERROR(INDEX($Q$4:$Q$3183,MATCH(SMALL($V$4:$V$3183,1579),$V$4:$V$3183,0)),"")</f>
        <v/>
      </c>
      <c r="E1582" s="29">
        <f>IFERROR(INDEX($R$4:$R$3183,MATCH(SMALL($V$4:$V$3183,1579),$V$4:$V$3183,0)),"")</f>
        <v/>
      </c>
      <c r="F1582">
        <f>IFERROR(INDEX($S$4:$S$3183,MATCH(SMALL($V$4:$V$3183,1579),$V$4:$V$3183,0)),"")</f>
        <v/>
      </c>
      <c r="I1582" s="29">
        <f>IF($B1582="","",IFERROR(INDEX($U$4:$U$3183,MATCH(SMALL($V$4:$V$3183,1579),$V$4:$V$3183,0)),""))</f>
        <v/>
      </c>
      <c r="J1582">
        <f>IF($B1582="","",IF($D1582&gt;$F$2,"À venir",IF($E1582&lt;$D$2,"Passé","Dans la période")))</f>
        <v/>
      </c>
      <c r="K1582">
        <f>IF(OR($B1582="",NOT(ISNUMBER($D1582))),"",IF(AND($E1582&lt;$D$2,$G1582&lt;&gt;"X",$F1582&lt;&gt;"Réalisé",$F1582&lt;&gt;"Clôturé"),"RETARD",""))</f>
        <v/>
      </c>
      <c r="L1582">
        <f>IF(OR($B1582="",NOT(ISNUMBER($D1582))),"",IF(AND($D1582&gt;=$D$2,$D1582&lt;=$H$2,$G1582&lt;&gt;"X",$F1582&lt;&gt;"Réalisé",$F1582&lt;&gt;"Clôturé"),"≤ 7 j",""))</f>
        <v/>
      </c>
      <c r="M1582" s="29">
        <f>IF($B1582="","",IFERROR(INDEX($T$4:$T$3183,MATCH(SMALL($V$4:$V$3183,1579),$V$4:$V$3183,0)),""))</f>
        <v/>
      </c>
      <c r="O1582">
        <f>IF(INDEX(Suivi!$B:$B,1612)="","",INDEX(Suivi!$B:$B,1612))</f>
        <v/>
      </c>
      <c r="P1582">
        <f>IF($O1582="","",IF(INDEX(Suivi!$D:$D,1612)="",INDEX(Suivi!$C:$C,1612),INDEX(Suivi!$D:$D,1612)))</f>
        <v/>
      </c>
      <c r="Q1582">
        <f>IF($O1582="","",INDEX(Suivi!$E:$E,1612))</f>
        <v/>
      </c>
      <c r="R1582">
        <f>IF($O1582="","",INDEX(Suivi!$F:$F,1612))</f>
        <v/>
      </c>
      <c r="S1582">
        <f>IF($O1582="","",INDEX(Suivi!$G:$G,1612))</f>
        <v/>
      </c>
      <c r="T1582">
        <f>IF($O1582="","",IF(INDEX(Dossiers!$F$4:$F$63,30)="","",INDEX(Dossiers!$F$4:$F$63,30)))</f>
        <v/>
      </c>
      <c r="U1582">
        <f>IF($O1582="","",IF(INDEX(Dossiers!$G$4:$G$63,30)="","",INDEX(Dossiers!$G$4:$G$63,30)))</f>
        <v/>
      </c>
      <c r="V1582">
        <f>IF(OR($O1582="",NOT(ISNUMBER($Q1582))),"",$Q1582*1000000+1582)</f>
        <v/>
      </c>
      <c r="W1582" s="29">
        <f>IF($B1582="","",IFERROR(INDEX($U$4:$U$3183,MATCH(SMALL($V$4:$V$3183,1579),$V$4:$V$3183,0)),""))</f>
        <v/>
      </c>
    </row>
    <row r="1583">
      <c r="A1583">
        <f>IFERROR(INDEX($N$4:$N$3183,MATCH(SMALL($V$4:$V$3183,1580),$V$4:$V$3183,0)),"")</f>
        <v/>
      </c>
      <c r="B1583">
        <f>IFERROR(INDEX($O$4:$O$3183,MATCH(SMALL($V$4:$V$3183,1580),$V$4:$V$3183,0)),"")</f>
        <v/>
      </c>
      <c r="C1583">
        <f>IFERROR(INDEX($P$4:$P$3183,MATCH(SMALL($V$4:$V$3183,1580),$V$4:$V$3183,0)),"")</f>
        <v/>
      </c>
      <c r="D1583" s="29">
        <f>IFERROR(INDEX($Q$4:$Q$3183,MATCH(SMALL($V$4:$V$3183,1580),$V$4:$V$3183,0)),"")</f>
        <v/>
      </c>
      <c r="E1583" s="29">
        <f>IFERROR(INDEX($R$4:$R$3183,MATCH(SMALL($V$4:$V$3183,1580),$V$4:$V$3183,0)),"")</f>
        <v/>
      </c>
      <c r="F1583">
        <f>IFERROR(INDEX($S$4:$S$3183,MATCH(SMALL($V$4:$V$3183,1580),$V$4:$V$3183,0)),"")</f>
        <v/>
      </c>
      <c r="I1583" s="29">
        <f>IF($B1583="","",IFERROR(INDEX($U$4:$U$3183,MATCH(SMALL($V$4:$V$3183,1580),$V$4:$V$3183,0)),""))</f>
        <v/>
      </c>
      <c r="J1583">
        <f>IF($B1583="","",IF($D1583&gt;$F$2,"À venir",IF($E1583&lt;$D$2,"Passé","Dans la période")))</f>
        <v/>
      </c>
      <c r="K1583">
        <f>IF(OR($B1583="",NOT(ISNUMBER($D1583))),"",IF(AND($E1583&lt;$D$2,$G1583&lt;&gt;"X",$F1583&lt;&gt;"Réalisé",$F1583&lt;&gt;"Clôturé"),"RETARD",""))</f>
        <v/>
      </c>
      <c r="L1583">
        <f>IF(OR($B1583="",NOT(ISNUMBER($D1583))),"",IF(AND($D1583&gt;=$D$2,$D1583&lt;=$H$2,$G1583&lt;&gt;"X",$F1583&lt;&gt;"Réalisé",$F1583&lt;&gt;"Clôturé"),"≤ 7 j",""))</f>
        <v/>
      </c>
      <c r="M1583" s="29">
        <f>IF($B1583="","",IFERROR(INDEX($T$4:$T$3183,MATCH(SMALL($V$4:$V$3183,1580),$V$4:$V$3183,0)),""))</f>
        <v/>
      </c>
      <c r="O1583">
        <f>IF(INDEX(Suivi!$B:$B,1613)="","",INDEX(Suivi!$B:$B,1613))</f>
        <v/>
      </c>
      <c r="P1583">
        <f>IF($O1583="","",IF(INDEX(Suivi!$D:$D,1613)="",INDEX(Suivi!$C:$C,1613),INDEX(Suivi!$D:$D,1613)))</f>
        <v/>
      </c>
      <c r="Q1583">
        <f>IF($O1583="","",INDEX(Suivi!$E:$E,1613))</f>
        <v/>
      </c>
      <c r="R1583">
        <f>IF($O1583="","",INDEX(Suivi!$F:$F,1613))</f>
        <v/>
      </c>
      <c r="S1583">
        <f>IF($O1583="","",INDEX(Suivi!$G:$G,1613))</f>
        <v/>
      </c>
      <c r="T1583">
        <f>IF($O1583="","",IF(INDEX(Dossiers!$F$4:$F$63,30)="","",INDEX(Dossiers!$F$4:$F$63,30)))</f>
        <v/>
      </c>
      <c r="U1583">
        <f>IF($O1583="","",IF(INDEX(Dossiers!$G$4:$G$63,30)="","",INDEX(Dossiers!$G$4:$G$63,30)))</f>
        <v/>
      </c>
      <c r="V1583">
        <f>IF(OR($O1583="",NOT(ISNUMBER($Q1583))),"",$Q1583*1000000+1583)</f>
        <v/>
      </c>
      <c r="W1583" s="29">
        <f>IF($B1583="","",IFERROR(INDEX($U$4:$U$3183,MATCH(SMALL($V$4:$V$3183,1580),$V$4:$V$3183,0)),""))</f>
        <v/>
      </c>
    </row>
    <row r="1584">
      <c r="A1584">
        <f>IFERROR(INDEX($N$4:$N$3183,MATCH(SMALL($V$4:$V$3183,1581),$V$4:$V$3183,0)),"")</f>
        <v/>
      </c>
      <c r="B1584">
        <f>IFERROR(INDEX($O$4:$O$3183,MATCH(SMALL($V$4:$V$3183,1581),$V$4:$V$3183,0)),"")</f>
        <v/>
      </c>
      <c r="C1584">
        <f>IFERROR(INDEX($P$4:$P$3183,MATCH(SMALL($V$4:$V$3183,1581),$V$4:$V$3183,0)),"")</f>
        <v/>
      </c>
      <c r="D1584" s="29">
        <f>IFERROR(INDEX($Q$4:$Q$3183,MATCH(SMALL($V$4:$V$3183,1581),$V$4:$V$3183,0)),"")</f>
        <v/>
      </c>
      <c r="E1584" s="29">
        <f>IFERROR(INDEX($R$4:$R$3183,MATCH(SMALL($V$4:$V$3183,1581),$V$4:$V$3183,0)),"")</f>
        <v/>
      </c>
      <c r="F1584">
        <f>IFERROR(INDEX($S$4:$S$3183,MATCH(SMALL($V$4:$V$3183,1581),$V$4:$V$3183,0)),"")</f>
        <v/>
      </c>
      <c r="I1584" s="29">
        <f>IF($B1584="","",IFERROR(INDEX($U$4:$U$3183,MATCH(SMALL($V$4:$V$3183,1581),$V$4:$V$3183,0)),""))</f>
        <v/>
      </c>
      <c r="J1584">
        <f>IF($B1584="","",IF($D1584&gt;$F$2,"À venir",IF($E1584&lt;$D$2,"Passé","Dans la période")))</f>
        <v/>
      </c>
      <c r="K1584">
        <f>IF(OR($B1584="",NOT(ISNUMBER($D1584))),"",IF(AND($E1584&lt;$D$2,$G1584&lt;&gt;"X",$F1584&lt;&gt;"Réalisé",$F1584&lt;&gt;"Clôturé"),"RETARD",""))</f>
        <v/>
      </c>
      <c r="L1584">
        <f>IF(OR($B1584="",NOT(ISNUMBER($D1584))),"",IF(AND($D1584&gt;=$D$2,$D1584&lt;=$H$2,$G1584&lt;&gt;"X",$F1584&lt;&gt;"Réalisé",$F1584&lt;&gt;"Clôturé"),"≤ 7 j",""))</f>
        <v/>
      </c>
      <c r="M1584" s="29">
        <f>IF($B1584="","",IFERROR(INDEX($T$4:$T$3183,MATCH(SMALL($V$4:$V$3183,1581),$V$4:$V$3183,0)),""))</f>
        <v/>
      </c>
      <c r="O1584">
        <f>IF(INDEX(Suivi!$B:$B,1614)="","",INDEX(Suivi!$B:$B,1614))</f>
        <v/>
      </c>
      <c r="P1584">
        <f>IF($O1584="","",IF(INDEX(Suivi!$D:$D,1614)="",INDEX(Suivi!$C:$C,1614),INDEX(Suivi!$D:$D,1614)))</f>
        <v/>
      </c>
      <c r="Q1584">
        <f>IF($O1584="","",INDEX(Suivi!$E:$E,1614))</f>
        <v/>
      </c>
      <c r="R1584">
        <f>IF($O1584="","",INDEX(Suivi!$F:$F,1614))</f>
        <v/>
      </c>
      <c r="S1584">
        <f>IF($O1584="","",INDEX(Suivi!$G:$G,1614))</f>
        <v/>
      </c>
      <c r="T1584">
        <f>IF($O1584="","",IF(INDEX(Dossiers!$F$4:$F$63,30)="","",INDEX(Dossiers!$F$4:$F$63,30)))</f>
        <v/>
      </c>
      <c r="U1584">
        <f>IF($O1584="","",IF(INDEX(Dossiers!$G$4:$G$63,30)="","",INDEX(Dossiers!$G$4:$G$63,30)))</f>
        <v/>
      </c>
      <c r="V1584">
        <f>IF(OR($O1584="",NOT(ISNUMBER($Q1584))),"",$Q1584*1000000+1584)</f>
        <v/>
      </c>
      <c r="W1584" s="29">
        <f>IF($B1584="","",IFERROR(INDEX($U$4:$U$3183,MATCH(SMALL($V$4:$V$3183,1581),$V$4:$V$3183,0)),""))</f>
        <v/>
      </c>
    </row>
    <row r="1585">
      <c r="A1585">
        <f>IFERROR(INDEX($N$4:$N$3183,MATCH(SMALL($V$4:$V$3183,1582),$V$4:$V$3183,0)),"")</f>
        <v/>
      </c>
      <c r="B1585">
        <f>IFERROR(INDEX($O$4:$O$3183,MATCH(SMALL($V$4:$V$3183,1582),$V$4:$V$3183,0)),"")</f>
        <v/>
      </c>
      <c r="C1585">
        <f>IFERROR(INDEX($P$4:$P$3183,MATCH(SMALL($V$4:$V$3183,1582),$V$4:$V$3183,0)),"")</f>
        <v/>
      </c>
      <c r="D1585" s="29">
        <f>IFERROR(INDEX($Q$4:$Q$3183,MATCH(SMALL($V$4:$V$3183,1582),$V$4:$V$3183,0)),"")</f>
        <v/>
      </c>
      <c r="E1585" s="29">
        <f>IFERROR(INDEX($R$4:$R$3183,MATCH(SMALL($V$4:$V$3183,1582),$V$4:$V$3183,0)),"")</f>
        <v/>
      </c>
      <c r="F1585">
        <f>IFERROR(INDEX($S$4:$S$3183,MATCH(SMALL($V$4:$V$3183,1582),$V$4:$V$3183,0)),"")</f>
        <v/>
      </c>
      <c r="I1585" s="29">
        <f>IF($B1585="","",IFERROR(INDEX($U$4:$U$3183,MATCH(SMALL($V$4:$V$3183,1582),$V$4:$V$3183,0)),""))</f>
        <v/>
      </c>
      <c r="J1585">
        <f>IF($B1585="","",IF($D1585&gt;$F$2,"À venir",IF($E1585&lt;$D$2,"Passé","Dans la période")))</f>
        <v/>
      </c>
      <c r="K1585">
        <f>IF(OR($B1585="",NOT(ISNUMBER($D1585))),"",IF(AND($E1585&lt;$D$2,$G1585&lt;&gt;"X",$F1585&lt;&gt;"Réalisé",$F1585&lt;&gt;"Clôturé"),"RETARD",""))</f>
        <v/>
      </c>
      <c r="L1585">
        <f>IF(OR($B1585="",NOT(ISNUMBER($D1585))),"",IF(AND($D1585&gt;=$D$2,$D1585&lt;=$H$2,$G1585&lt;&gt;"X",$F1585&lt;&gt;"Réalisé",$F1585&lt;&gt;"Clôturé"),"≤ 7 j",""))</f>
        <v/>
      </c>
      <c r="M1585" s="29">
        <f>IF($B1585="","",IFERROR(INDEX($T$4:$T$3183,MATCH(SMALL($V$4:$V$3183,1582),$V$4:$V$3183,0)),""))</f>
        <v/>
      </c>
      <c r="O1585">
        <f>IF(INDEX(Suivi!$B:$B,1615)="","",INDEX(Suivi!$B:$B,1615))</f>
        <v/>
      </c>
      <c r="P1585">
        <f>IF($O1585="","",IF(INDEX(Suivi!$D:$D,1615)="",INDEX(Suivi!$C:$C,1615),INDEX(Suivi!$D:$D,1615)))</f>
        <v/>
      </c>
      <c r="Q1585">
        <f>IF($O1585="","",INDEX(Suivi!$E:$E,1615))</f>
        <v/>
      </c>
      <c r="R1585">
        <f>IF($O1585="","",INDEX(Suivi!$F:$F,1615))</f>
        <v/>
      </c>
      <c r="S1585">
        <f>IF($O1585="","",INDEX(Suivi!$G:$G,1615))</f>
        <v/>
      </c>
      <c r="T1585">
        <f>IF($O1585="","",IF(INDEX(Dossiers!$F$4:$F$63,30)="","",INDEX(Dossiers!$F$4:$F$63,30)))</f>
        <v/>
      </c>
      <c r="U1585">
        <f>IF($O1585="","",IF(INDEX(Dossiers!$G$4:$G$63,30)="","",INDEX(Dossiers!$G$4:$G$63,30)))</f>
        <v/>
      </c>
      <c r="V1585">
        <f>IF(OR($O1585="",NOT(ISNUMBER($Q1585))),"",$Q1585*1000000+1585)</f>
        <v/>
      </c>
      <c r="W1585" s="29">
        <f>IF($B1585="","",IFERROR(INDEX($U$4:$U$3183,MATCH(SMALL($V$4:$V$3183,1582),$V$4:$V$3183,0)),""))</f>
        <v/>
      </c>
    </row>
    <row r="1586">
      <c r="A1586">
        <f>IFERROR(INDEX($N$4:$N$3183,MATCH(SMALL($V$4:$V$3183,1583),$V$4:$V$3183,0)),"")</f>
        <v/>
      </c>
      <c r="B1586">
        <f>IFERROR(INDEX($O$4:$O$3183,MATCH(SMALL($V$4:$V$3183,1583),$V$4:$V$3183,0)),"")</f>
        <v/>
      </c>
      <c r="C1586">
        <f>IFERROR(INDEX($P$4:$P$3183,MATCH(SMALL($V$4:$V$3183,1583),$V$4:$V$3183,0)),"")</f>
        <v/>
      </c>
      <c r="D1586" s="29">
        <f>IFERROR(INDEX($Q$4:$Q$3183,MATCH(SMALL($V$4:$V$3183,1583),$V$4:$V$3183,0)),"")</f>
        <v/>
      </c>
      <c r="E1586" s="29">
        <f>IFERROR(INDEX($R$4:$R$3183,MATCH(SMALL($V$4:$V$3183,1583),$V$4:$V$3183,0)),"")</f>
        <v/>
      </c>
      <c r="F1586">
        <f>IFERROR(INDEX($S$4:$S$3183,MATCH(SMALL($V$4:$V$3183,1583),$V$4:$V$3183,0)),"")</f>
        <v/>
      </c>
      <c r="I1586" s="29">
        <f>IF($B1586="","",IFERROR(INDEX($U$4:$U$3183,MATCH(SMALL($V$4:$V$3183,1583),$V$4:$V$3183,0)),""))</f>
        <v/>
      </c>
      <c r="J1586">
        <f>IF($B1586="","",IF($D1586&gt;$F$2,"À venir",IF($E1586&lt;$D$2,"Passé","Dans la période")))</f>
        <v/>
      </c>
      <c r="K1586">
        <f>IF(OR($B1586="",NOT(ISNUMBER($D1586))),"",IF(AND($E1586&lt;$D$2,$G1586&lt;&gt;"X",$F1586&lt;&gt;"Réalisé",$F1586&lt;&gt;"Clôturé"),"RETARD",""))</f>
        <v/>
      </c>
      <c r="L1586">
        <f>IF(OR($B1586="",NOT(ISNUMBER($D1586))),"",IF(AND($D1586&gt;=$D$2,$D1586&lt;=$H$2,$G1586&lt;&gt;"X",$F1586&lt;&gt;"Réalisé",$F1586&lt;&gt;"Clôturé"),"≤ 7 j",""))</f>
        <v/>
      </c>
      <c r="M1586" s="29">
        <f>IF($B1586="","",IFERROR(INDEX($T$4:$T$3183,MATCH(SMALL($V$4:$V$3183,1583),$V$4:$V$3183,0)),""))</f>
        <v/>
      </c>
      <c r="O1586">
        <f>IF(INDEX(Suivi!$B:$B,1616)="","",INDEX(Suivi!$B:$B,1616))</f>
        <v/>
      </c>
      <c r="P1586">
        <f>IF($O1586="","",IF(INDEX(Suivi!$D:$D,1616)="",INDEX(Suivi!$C:$C,1616),INDEX(Suivi!$D:$D,1616)))</f>
        <v/>
      </c>
      <c r="Q1586">
        <f>IF($O1586="","",INDEX(Suivi!$E:$E,1616))</f>
        <v/>
      </c>
      <c r="R1586">
        <f>IF($O1586="","",INDEX(Suivi!$F:$F,1616))</f>
        <v/>
      </c>
      <c r="S1586">
        <f>IF($O1586="","",INDEX(Suivi!$G:$G,1616))</f>
        <v/>
      </c>
      <c r="T1586">
        <f>IF($O1586="","",IF(INDEX(Dossiers!$F$4:$F$63,30)="","",INDEX(Dossiers!$F$4:$F$63,30)))</f>
        <v/>
      </c>
      <c r="U1586">
        <f>IF($O1586="","",IF(INDEX(Dossiers!$G$4:$G$63,30)="","",INDEX(Dossiers!$G$4:$G$63,30)))</f>
        <v/>
      </c>
      <c r="V1586">
        <f>IF(OR($O1586="",NOT(ISNUMBER($Q1586))),"",$Q1586*1000000+1586)</f>
        <v/>
      </c>
      <c r="W1586" s="29">
        <f>IF($B1586="","",IFERROR(INDEX($U$4:$U$3183,MATCH(SMALL($V$4:$V$3183,1583),$V$4:$V$3183,0)),""))</f>
        <v/>
      </c>
    </row>
    <row r="1587">
      <c r="A1587">
        <f>IFERROR(INDEX($N$4:$N$3183,MATCH(SMALL($V$4:$V$3183,1584),$V$4:$V$3183,0)),"")</f>
        <v/>
      </c>
      <c r="B1587">
        <f>IFERROR(INDEX($O$4:$O$3183,MATCH(SMALL($V$4:$V$3183,1584),$V$4:$V$3183,0)),"")</f>
        <v/>
      </c>
      <c r="C1587">
        <f>IFERROR(INDEX($P$4:$P$3183,MATCH(SMALL($V$4:$V$3183,1584),$V$4:$V$3183,0)),"")</f>
        <v/>
      </c>
      <c r="D1587" s="29">
        <f>IFERROR(INDEX($Q$4:$Q$3183,MATCH(SMALL($V$4:$V$3183,1584),$V$4:$V$3183,0)),"")</f>
        <v/>
      </c>
      <c r="E1587" s="29">
        <f>IFERROR(INDEX($R$4:$R$3183,MATCH(SMALL($V$4:$V$3183,1584),$V$4:$V$3183,0)),"")</f>
        <v/>
      </c>
      <c r="F1587">
        <f>IFERROR(INDEX($S$4:$S$3183,MATCH(SMALL($V$4:$V$3183,1584),$V$4:$V$3183,0)),"")</f>
        <v/>
      </c>
      <c r="I1587" s="29">
        <f>IF($B1587="","",IFERROR(INDEX($U$4:$U$3183,MATCH(SMALL($V$4:$V$3183,1584),$V$4:$V$3183,0)),""))</f>
        <v/>
      </c>
      <c r="J1587">
        <f>IF($B1587="","",IF($D1587&gt;$F$2,"À venir",IF($E1587&lt;$D$2,"Passé","Dans la période")))</f>
        <v/>
      </c>
      <c r="K1587">
        <f>IF(OR($B1587="",NOT(ISNUMBER($D1587))),"",IF(AND($E1587&lt;$D$2,$G1587&lt;&gt;"X",$F1587&lt;&gt;"Réalisé",$F1587&lt;&gt;"Clôturé"),"RETARD",""))</f>
        <v/>
      </c>
      <c r="L1587">
        <f>IF(OR($B1587="",NOT(ISNUMBER($D1587))),"",IF(AND($D1587&gt;=$D$2,$D1587&lt;=$H$2,$G1587&lt;&gt;"X",$F1587&lt;&gt;"Réalisé",$F1587&lt;&gt;"Clôturé"),"≤ 7 j",""))</f>
        <v/>
      </c>
      <c r="M1587" s="29">
        <f>IF($B1587="","",IFERROR(INDEX($T$4:$T$3183,MATCH(SMALL($V$4:$V$3183,1584),$V$4:$V$3183,0)),""))</f>
        <v/>
      </c>
      <c r="O1587">
        <f>IF(INDEX(Suivi!$B:$B,1617)="","",INDEX(Suivi!$B:$B,1617))</f>
        <v/>
      </c>
      <c r="P1587">
        <f>IF($O1587="","",IF(INDEX(Suivi!$D:$D,1617)="",INDEX(Suivi!$C:$C,1617),INDEX(Suivi!$D:$D,1617)))</f>
        <v/>
      </c>
      <c r="Q1587">
        <f>IF($O1587="","",INDEX(Suivi!$E:$E,1617))</f>
        <v/>
      </c>
      <c r="R1587">
        <f>IF($O1587="","",INDEX(Suivi!$F:$F,1617))</f>
        <v/>
      </c>
      <c r="S1587">
        <f>IF($O1587="","",INDEX(Suivi!$G:$G,1617))</f>
        <v/>
      </c>
      <c r="T1587">
        <f>IF($O1587="","",IF(INDEX(Dossiers!$F$4:$F$63,30)="","",INDEX(Dossiers!$F$4:$F$63,30)))</f>
        <v/>
      </c>
      <c r="U1587">
        <f>IF($O1587="","",IF(INDEX(Dossiers!$G$4:$G$63,30)="","",INDEX(Dossiers!$G$4:$G$63,30)))</f>
        <v/>
      </c>
      <c r="V1587">
        <f>IF(OR($O1587="",NOT(ISNUMBER($Q1587))),"",$Q1587*1000000+1587)</f>
        <v/>
      </c>
      <c r="W1587" s="29">
        <f>IF($B1587="","",IFERROR(INDEX($U$4:$U$3183,MATCH(SMALL($V$4:$V$3183,1584),$V$4:$V$3183,0)),""))</f>
        <v/>
      </c>
    </row>
    <row r="1588">
      <c r="A1588">
        <f>IFERROR(INDEX($N$4:$N$3183,MATCH(SMALL($V$4:$V$3183,1585),$V$4:$V$3183,0)),"")</f>
        <v/>
      </c>
      <c r="B1588">
        <f>IFERROR(INDEX($O$4:$O$3183,MATCH(SMALL($V$4:$V$3183,1585),$V$4:$V$3183,0)),"")</f>
        <v/>
      </c>
      <c r="C1588">
        <f>IFERROR(INDEX($P$4:$P$3183,MATCH(SMALL($V$4:$V$3183,1585),$V$4:$V$3183,0)),"")</f>
        <v/>
      </c>
      <c r="D1588" s="29">
        <f>IFERROR(INDEX($Q$4:$Q$3183,MATCH(SMALL($V$4:$V$3183,1585),$V$4:$V$3183,0)),"")</f>
        <v/>
      </c>
      <c r="E1588" s="29">
        <f>IFERROR(INDEX($R$4:$R$3183,MATCH(SMALL($V$4:$V$3183,1585),$V$4:$V$3183,0)),"")</f>
        <v/>
      </c>
      <c r="F1588">
        <f>IFERROR(INDEX($S$4:$S$3183,MATCH(SMALL($V$4:$V$3183,1585),$V$4:$V$3183,0)),"")</f>
        <v/>
      </c>
      <c r="I1588" s="29">
        <f>IF($B1588="","",IFERROR(INDEX($U$4:$U$3183,MATCH(SMALL($V$4:$V$3183,1585),$V$4:$V$3183,0)),""))</f>
        <v/>
      </c>
      <c r="J1588">
        <f>IF($B1588="","",IF($D1588&gt;$F$2,"À venir",IF($E1588&lt;$D$2,"Passé","Dans la période")))</f>
        <v/>
      </c>
      <c r="K1588">
        <f>IF(OR($B1588="",NOT(ISNUMBER($D1588))),"",IF(AND($E1588&lt;$D$2,$G1588&lt;&gt;"X",$F1588&lt;&gt;"Réalisé",$F1588&lt;&gt;"Clôturé"),"RETARD",""))</f>
        <v/>
      </c>
      <c r="L1588">
        <f>IF(OR($B1588="",NOT(ISNUMBER($D1588))),"",IF(AND($D1588&gt;=$D$2,$D1588&lt;=$H$2,$G1588&lt;&gt;"X",$F1588&lt;&gt;"Réalisé",$F1588&lt;&gt;"Clôturé"),"≤ 7 j",""))</f>
        <v/>
      </c>
      <c r="M1588" s="29">
        <f>IF($B1588="","",IFERROR(INDEX($T$4:$T$3183,MATCH(SMALL($V$4:$V$3183,1585),$V$4:$V$3183,0)),""))</f>
        <v/>
      </c>
      <c r="O1588">
        <f>IF(INDEX(Suivi!$B:$B,1618)="","",INDEX(Suivi!$B:$B,1618))</f>
        <v/>
      </c>
      <c r="P1588">
        <f>IF($O1588="","",IF(INDEX(Suivi!$D:$D,1618)="",INDEX(Suivi!$C:$C,1618),INDEX(Suivi!$D:$D,1618)))</f>
        <v/>
      </c>
      <c r="Q1588">
        <f>IF($O1588="","",INDEX(Suivi!$E:$E,1618))</f>
        <v/>
      </c>
      <c r="R1588">
        <f>IF($O1588="","",INDEX(Suivi!$F:$F,1618))</f>
        <v/>
      </c>
      <c r="S1588">
        <f>IF($O1588="","",INDEX(Suivi!$G:$G,1618))</f>
        <v/>
      </c>
      <c r="T1588">
        <f>IF($O1588="","",IF(INDEX(Dossiers!$F$4:$F$63,30)="","",INDEX(Dossiers!$F$4:$F$63,30)))</f>
        <v/>
      </c>
      <c r="U1588">
        <f>IF($O1588="","",IF(INDEX(Dossiers!$G$4:$G$63,30)="","",INDEX(Dossiers!$G$4:$G$63,30)))</f>
        <v/>
      </c>
      <c r="V1588">
        <f>IF(OR($O1588="",NOT(ISNUMBER($Q1588))),"",$Q1588*1000000+1588)</f>
        <v/>
      </c>
      <c r="W1588" s="29">
        <f>IF($B1588="","",IFERROR(INDEX($U$4:$U$3183,MATCH(SMALL($V$4:$V$3183,1585),$V$4:$V$3183,0)),""))</f>
        <v/>
      </c>
    </row>
    <row r="1589">
      <c r="A1589">
        <f>IFERROR(INDEX($N$4:$N$3183,MATCH(SMALL($V$4:$V$3183,1586),$V$4:$V$3183,0)),"")</f>
        <v/>
      </c>
      <c r="B1589">
        <f>IFERROR(INDEX($O$4:$O$3183,MATCH(SMALL($V$4:$V$3183,1586),$V$4:$V$3183,0)),"")</f>
        <v/>
      </c>
      <c r="C1589">
        <f>IFERROR(INDEX($P$4:$P$3183,MATCH(SMALL($V$4:$V$3183,1586),$V$4:$V$3183,0)),"")</f>
        <v/>
      </c>
      <c r="D1589" s="29">
        <f>IFERROR(INDEX($Q$4:$Q$3183,MATCH(SMALL($V$4:$V$3183,1586),$V$4:$V$3183,0)),"")</f>
        <v/>
      </c>
      <c r="E1589" s="29">
        <f>IFERROR(INDEX($R$4:$R$3183,MATCH(SMALL($V$4:$V$3183,1586),$V$4:$V$3183,0)),"")</f>
        <v/>
      </c>
      <c r="F1589">
        <f>IFERROR(INDEX($S$4:$S$3183,MATCH(SMALL($V$4:$V$3183,1586),$V$4:$V$3183,0)),"")</f>
        <v/>
      </c>
      <c r="I1589" s="29">
        <f>IF($B1589="","",IFERROR(INDEX($U$4:$U$3183,MATCH(SMALL($V$4:$V$3183,1586),$V$4:$V$3183,0)),""))</f>
        <v/>
      </c>
      <c r="J1589">
        <f>IF($B1589="","",IF($D1589&gt;$F$2,"À venir",IF($E1589&lt;$D$2,"Passé","Dans la période")))</f>
        <v/>
      </c>
      <c r="K1589">
        <f>IF(OR($B1589="",NOT(ISNUMBER($D1589))),"",IF(AND($E1589&lt;$D$2,$G1589&lt;&gt;"X",$F1589&lt;&gt;"Réalisé",$F1589&lt;&gt;"Clôturé"),"RETARD",""))</f>
        <v/>
      </c>
      <c r="L1589">
        <f>IF(OR($B1589="",NOT(ISNUMBER($D1589))),"",IF(AND($D1589&gt;=$D$2,$D1589&lt;=$H$2,$G1589&lt;&gt;"X",$F1589&lt;&gt;"Réalisé",$F1589&lt;&gt;"Clôturé"),"≤ 7 j",""))</f>
        <v/>
      </c>
      <c r="M1589" s="29">
        <f>IF($B1589="","",IFERROR(INDEX($T$4:$T$3183,MATCH(SMALL($V$4:$V$3183,1586),$V$4:$V$3183,0)),""))</f>
        <v/>
      </c>
      <c r="O1589">
        <f>IF(INDEX(Suivi!$B:$B,1619)="","",INDEX(Suivi!$B:$B,1619))</f>
        <v/>
      </c>
      <c r="P1589">
        <f>IF($O1589="","",IF(INDEX(Suivi!$D:$D,1619)="",INDEX(Suivi!$C:$C,1619),INDEX(Suivi!$D:$D,1619)))</f>
        <v/>
      </c>
      <c r="Q1589">
        <f>IF($O1589="","",INDEX(Suivi!$E:$E,1619))</f>
        <v/>
      </c>
      <c r="R1589">
        <f>IF($O1589="","",INDEX(Suivi!$F:$F,1619))</f>
        <v/>
      </c>
      <c r="S1589">
        <f>IF($O1589="","",INDEX(Suivi!$G:$G,1619))</f>
        <v/>
      </c>
      <c r="T1589">
        <f>IF($O1589="","",IF(INDEX(Dossiers!$F$4:$F$63,30)="","",INDEX(Dossiers!$F$4:$F$63,30)))</f>
        <v/>
      </c>
      <c r="U1589">
        <f>IF($O1589="","",IF(INDEX(Dossiers!$G$4:$G$63,30)="","",INDEX(Dossiers!$G$4:$G$63,30)))</f>
        <v/>
      </c>
      <c r="V1589">
        <f>IF(OR($O1589="",NOT(ISNUMBER($Q1589))),"",$Q1589*1000000+1589)</f>
        <v/>
      </c>
      <c r="W1589" s="29">
        <f>IF($B1589="","",IFERROR(INDEX($U$4:$U$3183,MATCH(SMALL($V$4:$V$3183,1586),$V$4:$V$3183,0)),""))</f>
        <v/>
      </c>
    </row>
    <row r="1590">
      <c r="A1590">
        <f>IFERROR(INDEX($N$4:$N$3183,MATCH(SMALL($V$4:$V$3183,1587),$V$4:$V$3183,0)),"")</f>
        <v/>
      </c>
      <c r="B1590">
        <f>IFERROR(INDEX($O$4:$O$3183,MATCH(SMALL($V$4:$V$3183,1587),$V$4:$V$3183,0)),"")</f>
        <v/>
      </c>
      <c r="C1590">
        <f>IFERROR(INDEX($P$4:$P$3183,MATCH(SMALL($V$4:$V$3183,1587),$V$4:$V$3183,0)),"")</f>
        <v/>
      </c>
      <c r="D1590" s="29">
        <f>IFERROR(INDEX($Q$4:$Q$3183,MATCH(SMALL($V$4:$V$3183,1587),$V$4:$V$3183,0)),"")</f>
        <v/>
      </c>
      <c r="E1590" s="29">
        <f>IFERROR(INDEX($R$4:$R$3183,MATCH(SMALL($V$4:$V$3183,1587),$V$4:$V$3183,0)),"")</f>
        <v/>
      </c>
      <c r="F1590">
        <f>IFERROR(INDEX($S$4:$S$3183,MATCH(SMALL($V$4:$V$3183,1587),$V$4:$V$3183,0)),"")</f>
        <v/>
      </c>
      <c r="I1590" s="29">
        <f>IF($B1590="","",IFERROR(INDEX($U$4:$U$3183,MATCH(SMALL($V$4:$V$3183,1587),$V$4:$V$3183,0)),""))</f>
        <v/>
      </c>
      <c r="J1590">
        <f>IF($B1590="","",IF($D1590&gt;$F$2,"À venir",IF($E1590&lt;$D$2,"Passé","Dans la période")))</f>
        <v/>
      </c>
      <c r="K1590">
        <f>IF(OR($B1590="",NOT(ISNUMBER($D1590))),"",IF(AND($E1590&lt;$D$2,$G1590&lt;&gt;"X",$F1590&lt;&gt;"Réalisé",$F1590&lt;&gt;"Clôturé"),"RETARD",""))</f>
        <v/>
      </c>
      <c r="L1590">
        <f>IF(OR($B1590="",NOT(ISNUMBER($D1590))),"",IF(AND($D1590&gt;=$D$2,$D1590&lt;=$H$2,$G1590&lt;&gt;"X",$F1590&lt;&gt;"Réalisé",$F1590&lt;&gt;"Clôturé"),"≤ 7 j",""))</f>
        <v/>
      </c>
      <c r="M1590" s="29">
        <f>IF($B1590="","",IFERROR(INDEX($T$4:$T$3183,MATCH(SMALL($V$4:$V$3183,1587),$V$4:$V$3183,0)),""))</f>
        <v/>
      </c>
      <c r="O1590">
        <f>IF(INDEX(Suivi!$B:$B,1620)="","",INDEX(Suivi!$B:$B,1620))</f>
        <v/>
      </c>
      <c r="P1590">
        <f>IF($O1590="","",IF(INDEX(Suivi!$D:$D,1620)="",INDEX(Suivi!$C:$C,1620),INDEX(Suivi!$D:$D,1620)))</f>
        <v/>
      </c>
      <c r="Q1590">
        <f>IF($O1590="","",INDEX(Suivi!$E:$E,1620))</f>
        <v/>
      </c>
      <c r="R1590">
        <f>IF($O1590="","",INDEX(Suivi!$F:$F,1620))</f>
        <v/>
      </c>
      <c r="S1590">
        <f>IF($O1590="","",INDEX(Suivi!$G:$G,1620))</f>
        <v/>
      </c>
      <c r="T1590">
        <f>IF($O1590="","",IF(INDEX(Dossiers!$F$4:$F$63,30)="","",INDEX(Dossiers!$F$4:$F$63,30)))</f>
        <v/>
      </c>
      <c r="U1590">
        <f>IF($O1590="","",IF(INDEX(Dossiers!$G$4:$G$63,30)="","",INDEX(Dossiers!$G$4:$G$63,30)))</f>
        <v/>
      </c>
      <c r="V1590">
        <f>IF(OR($O1590="",NOT(ISNUMBER($Q1590))),"",$Q1590*1000000+1590)</f>
        <v/>
      </c>
      <c r="W1590" s="29">
        <f>IF($B1590="","",IFERROR(INDEX($U$4:$U$3183,MATCH(SMALL($V$4:$V$3183,1587),$V$4:$V$3183,0)),""))</f>
        <v/>
      </c>
    </row>
    <row r="1591">
      <c r="A1591">
        <f>IFERROR(INDEX($N$4:$N$3183,MATCH(SMALL($V$4:$V$3183,1588),$V$4:$V$3183,0)),"")</f>
        <v/>
      </c>
      <c r="B1591">
        <f>IFERROR(INDEX($O$4:$O$3183,MATCH(SMALL($V$4:$V$3183,1588),$V$4:$V$3183,0)),"")</f>
        <v/>
      </c>
      <c r="C1591">
        <f>IFERROR(INDEX($P$4:$P$3183,MATCH(SMALL($V$4:$V$3183,1588),$V$4:$V$3183,0)),"")</f>
        <v/>
      </c>
      <c r="D1591" s="29">
        <f>IFERROR(INDEX($Q$4:$Q$3183,MATCH(SMALL($V$4:$V$3183,1588),$V$4:$V$3183,0)),"")</f>
        <v/>
      </c>
      <c r="E1591" s="29">
        <f>IFERROR(INDEX($R$4:$R$3183,MATCH(SMALL($V$4:$V$3183,1588),$V$4:$V$3183,0)),"")</f>
        <v/>
      </c>
      <c r="F1591">
        <f>IFERROR(INDEX($S$4:$S$3183,MATCH(SMALL($V$4:$V$3183,1588),$V$4:$V$3183,0)),"")</f>
        <v/>
      </c>
      <c r="I1591" s="29">
        <f>IF($B1591="","",IFERROR(INDEX($U$4:$U$3183,MATCH(SMALL($V$4:$V$3183,1588),$V$4:$V$3183,0)),""))</f>
        <v/>
      </c>
      <c r="J1591">
        <f>IF($B1591="","",IF($D1591&gt;$F$2,"À venir",IF($E1591&lt;$D$2,"Passé","Dans la période")))</f>
        <v/>
      </c>
      <c r="K1591">
        <f>IF(OR($B1591="",NOT(ISNUMBER($D1591))),"",IF(AND($E1591&lt;$D$2,$G1591&lt;&gt;"X",$F1591&lt;&gt;"Réalisé",$F1591&lt;&gt;"Clôturé"),"RETARD",""))</f>
        <v/>
      </c>
      <c r="L1591">
        <f>IF(OR($B1591="",NOT(ISNUMBER($D1591))),"",IF(AND($D1591&gt;=$D$2,$D1591&lt;=$H$2,$G1591&lt;&gt;"X",$F1591&lt;&gt;"Réalisé",$F1591&lt;&gt;"Clôturé"),"≤ 7 j",""))</f>
        <v/>
      </c>
      <c r="M1591" s="29">
        <f>IF($B1591="","",IFERROR(INDEX($T$4:$T$3183,MATCH(SMALL($V$4:$V$3183,1588),$V$4:$V$3183,0)),""))</f>
        <v/>
      </c>
      <c r="O1591">
        <f>IF(INDEX(Suivi!$B:$B,1621)="","",INDEX(Suivi!$B:$B,1621))</f>
        <v/>
      </c>
      <c r="P1591">
        <f>IF($O1591="","",IF(INDEX(Suivi!$D:$D,1621)="",INDEX(Suivi!$C:$C,1621),INDEX(Suivi!$D:$D,1621)))</f>
        <v/>
      </c>
      <c r="Q1591">
        <f>IF($O1591="","",INDEX(Suivi!$E:$E,1621))</f>
        <v/>
      </c>
      <c r="R1591">
        <f>IF($O1591="","",INDEX(Suivi!$F:$F,1621))</f>
        <v/>
      </c>
      <c r="S1591">
        <f>IF($O1591="","",INDEX(Suivi!$G:$G,1621))</f>
        <v/>
      </c>
      <c r="T1591">
        <f>IF($O1591="","",IF(INDEX(Dossiers!$F$4:$F$63,30)="","",INDEX(Dossiers!$F$4:$F$63,30)))</f>
        <v/>
      </c>
      <c r="U1591">
        <f>IF($O1591="","",IF(INDEX(Dossiers!$G$4:$G$63,30)="","",INDEX(Dossiers!$G$4:$G$63,30)))</f>
        <v/>
      </c>
      <c r="V1591">
        <f>IF(OR($O1591="",NOT(ISNUMBER($Q1591))),"",$Q1591*1000000+1591)</f>
        <v/>
      </c>
      <c r="W1591" s="29">
        <f>IF($B1591="","",IFERROR(INDEX($U$4:$U$3183,MATCH(SMALL($V$4:$V$3183,1588),$V$4:$V$3183,0)),""))</f>
        <v/>
      </c>
    </row>
    <row r="1592">
      <c r="A1592">
        <f>IFERROR(INDEX($N$4:$N$3183,MATCH(SMALL($V$4:$V$3183,1589),$V$4:$V$3183,0)),"")</f>
        <v/>
      </c>
      <c r="B1592">
        <f>IFERROR(INDEX($O$4:$O$3183,MATCH(SMALL($V$4:$V$3183,1589),$V$4:$V$3183,0)),"")</f>
        <v/>
      </c>
      <c r="C1592">
        <f>IFERROR(INDEX($P$4:$P$3183,MATCH(SMALL($V$4:$V$3183,1589),$V$4:$V$3183,0)),"")</f>
        <v/>
      </c>
      <c r="D1592" s="29">
        <f>IFERROR(INDEX($Q$4:$Q$3183,MATCH(SMALL($V$4:$V$3183,1589),$V$4:$V$3183,0)),"")</f>
        <v/>
      </c>
      <c r="E1592" s="29">
        <f>IFERROR(INDEX($R$4:$R$3183,MATCH(SMALL($V$4:$V$3183,1589),$V$4:$V$3183,0)),"")</f>
        <v/>
      </c>
      <c r="F1592">
        <f>IFERROR(INDEX($S$4:$S$3183,MATCH(SMALL($V$4:$V$3183,1589),$V$4:$V$3183,0)),"")</f>
        <v/>
      </c>
      <c r="I1592" s="29">
        <f>IF($B1592="","",IFERROR(INDEX($U$4:$U$3183,MATCH(SMALL($V$4:$V$3183,1589),$V$4:$V$3183,0)),""))</f>
        <v/>
      </c>
      <c r="J1592">
        <f>IF($B1592="","",IF($D1592&gt;$F$2,"À venir",IF($E1592&lt;$D$2,"Passé","Dans la période")))</f>
        <v/>
      </c>
      <c r="K1592">
        <f>IF(OR($B1592="",NOT(ISNUMBER($D1592))),"",IF(AND($E1592&lt;$D$2,$G1592&lt;&gt;"X",$F1592&lt;&gt;"Réalisé",$F1592&lt;&gt;"Clôturé"),"RETARD",""))</f>
        <v/>
      </c>
      <c r="L1592">
        <f>IF(OR($B1592="",NOT(ISNUMBER($D1592))),"",IF(AND($D1592&gt;=$D$2,$D1592&lt;=$H$2,$G1592&lt;&gt;"X",$F1592&lt;&gt;"Réalisé",$F1592&lt;&gt;"Clôturé"),"≤ 7 j",""))</f>
        <v/>
      </c>
      <c r="M1592" s="29">
        <f>IF($B1592="","",IFERROR(INDEX($T$4:$T$3183,MATCH(SMALL($V$4:$V$3183,1589),$V$4:$V$3183,0)),""))</f>
        <v/>
      </c>
      <c r="O1592">
        <f>IF(INDEX(Suivi!$B:$B,1622)="","",INDEX(Suivi!$B:$B,1622))</f>
        <v/>
      </c>
      <c r="P1592">
        <f>IF($O1592="","",IF(INDEX(Suivi!$D:$D,1622)="",INDEX(Suivi!$C:$C,1622),INDEX(Suivi!$D:$D,1622)))</f>
        <v/>
      </c>
      <c r="Q1592">
        <f>IF($O1592="","",INDEX(Suivi!$E:$E,1622))</f>
        <v/>
      </c>
      <c r="R1592">
        <f>IF($O1592="","",INDEX(Suivi!$F:$F,1622))</f>
        <v/>
      </c>
      <c r="S1592">
        <f>IF($O1592="","",INDEX(Suivi!$G:$G,1622))</f>
        <v/>
      </c>
      <c r="T1592">
        <f>IF($O1592="","",IF(INDEX(Dossiers!$F$4:$F$63,30)="","",INDEX(Dossiers!$F$4:$F$63,30)))</f>
        <v/>
      </c>
      <c r="U1592">
        <f>IF($O1592="","",IF(INDEX(Dossiers!$G$4:$G$63,30)="","",INDEX(Dossiers!$G$4:$G$63,30)))</f>
        <v/>
      </c>
      <c r="V1592">
        <f>IF(OR($O1592="",NOT(ISNUMBER($Q1592))),"",$Q1592*1000000+1592)</f>
        <v/>
      </c>
      <c r="W1592" s="29">
        <f>IF($B1592="","",IFERROR(INDEX($U$4:$U$3183,MATCH(SMALL($V$4:$V$3183,1589),$V$4:$V$3183,0)),""))</f>
        <v/>
      </c>
    </row>
    <row r="1593">
      <c r="A1593">
        <f>IFERROR(INDEX($N$4:$N$3183,MATCH(SMALL($V$4:$V$3183,1590),$V$4:$V$3183,0)),"")</f>
        <v/>
      </c>
      <c r="B1593">
        <f>IFERROR(INDEX($O$4:$O$3183,MATCH(SMALL($V$4:$V$3183,1590),$V$4:$V$3183,0)),"")</f>
        <v/>
      </c>
      <c r="C1593">
        <f>IFERROR(INDEX($P$4:$P$3183,MATCH(SMALL($V$4:$V$3183,1590),$V$4:$V$3183,0)),"")</f>
        <v/>
      </c>
      <c r="D1593" s="29">
        <f>IFERROR(INDEX($Q$4:$Q$3183,MATCH(SMALL($V$4:$V$3183,1590),$V$4:$V$3183,0)),"")</f>
        <v/>
      </c>
      <c r="E1593" s="29">
        <f>IFERROR(INDEX($R$4:$R$3183,MATCH(SMALL($V$4:$V$3183,1590),$V$4:$V$3183,0)),"")</f>
        <v/>
      </c>
      <c r="F1593">
        <f>IFERROR(INDEX($S$4:$S$3183,MATCH(SMALL($V$4:$V$3183,1590),$V$4:$V$3183,0)),"")</f>
        <v/>
      </c>
      <c r="I1593" s="29">
        <f>IF($B1593="","",IFERROR(INDEX($U$4:$U$3183,MATCH(SMALL($V$4:$V$3183,1590),$V$4:$V$3183,0)),""))</f>
        <v/>
      </c>
      <c r="J1593">
        <f>IF($B1593="","",IF($D1593&gt;$F$2,"À venir",IF($E1593&lt;$D$2,"Passé","Dans la période")))</f>
        <v/>
      </c>
      <c r="K1593">
        <f>IF(OR($B1593="",NOT(ISNUMBER($D1593))),"",IF(AND($E1593&lt;$D$2,$G1593&lt;&gt;"X",$F1593&lt;&gt;"Réalisé",$F1593&lt;&gt;"Clôturé"),"RETARD",""))</f>
        <v/>
      </c>
      <c r="L1593">
        <f>IF(OR($B1593="",NOT(ISNUMBER($D1593))),"",IF(AND($D1593&gt;=$D$2,$D1593&lt;=$H$2,$G1593&lt;&gt;"X",$F1593&lt;&gt;"Réalisé",$F1593&lt;&gt;"Clôturé"),"≤ 7 j",""))</f>
        <v/>
      </c>
      <c r="M1593" s="29">
        <f>IF($B1593="","",IFERROR(INDEX($T$4:$T$3183,MATCH(SMALL($V$4:$V$3183,1590),$V$4:$V$3183,0)),""))</f>
        <v/>
      </c>
      <c r="O1593">
        <f>IF(INDEX(Suivi!$B:$B,1623)="","",INDEX(Suivi!$B:$B,1623))</f>
        <v/>
      </c>
      <c r="P1593">
        <f>IF($O1593="","",IF(INDEX(Suivi!$D:$D,1623)="",INDEX(Suivi!$C:$C,1623),INDEX(Suivi!$D:$D,1623)))</f>
        <v/>
      </c>
      <c r="Q1593">
        <f>IF($O1593="","",INDEX(Suivi!$E:$E,1623))</f>
        <v/>
      </c>
      <c r="R1593">
        <f>IF($O1593="","",INDEX(Suivi!$F:$F,1623))</f>
        <v/>
      </c>
      <c r="S1593">
        <f>IF($O1593="","",INDEX(Suivi!$G:$G,1623))</f>
        <v/>
      </c>
      <c r="T1593">
        <f>IF($O1593="","",IF(INDEX(Dossiers!$F$4:$F$63,30)="","",INDEX(Dossiers!$F$4:$F$63,30)))</f>
        <v/>
      </c>
      <c r="U1593">
        <f>IF($O1593="","",IF(INDEX(Dossiers!$G$4:$G$63,30)="","",INDEX(Dossiers!$G$4:$G$63,30)))</f>
        <v/>
      </c>
      <c r="V1593">
        <f>IF(OR($O1593="",NOT(ISNUMBER($Q1593))),"",$Q1593*1000000+1593)</f>
        <v/>
      </c>
      <c r="W1593" s="29">
        <f>IF($B1593="","",IFERROR(INDEX($U$4:$U$3183,MATCH(SMALL($V$4:$V$3183,1590),$V$4:$V$3183,0)),""))</f>
        <v/>
      </c>
    </row>
    <row r="1594">
      <c r="A1594">
        <f>IFERROR(INDEX($N$4:$N$3183,MATCH(SMALL($V$4:$V$3183,1591),$V$4:$V$3183,0)),"")</f>
        <v/>
      </c>
      <c r="B1594">
        <f>IFERROR(INDEX($O$4:$O$3183,MATCH(SMALL($V$4:$V$3183,1591),$V$4:$V$3183,0)),"")</f>
        <v/>
      </c>
      <c r="C1594">
        <f>IFERROR(INDEX($P$4:$P$3183,MATCH(SMALL($V$4:$V$3183,1591),$V$4:$V$3183,0)),"")</f>
        <v/>
      </c>
      <c r="D1594" s="29">
        <f>IFERROR(INDEX($Q$4:$Q$3183,MATCH(SMALL($V$4:$V$3183,1591),$V$4:$V$3183,0)),"")</f>
        <v/>
      </c>
      <c r="E1594" s="29">
        <f>IFERROR(INDEX($R$4:$R$3183,MATCH(SMALL($V$4:$V$3183,1591),$V$4:$V$3183,0)),"")</f>
        <v/>
      </c>
      <c r="F1594">
        <f>IFERROR(INDEX($S$4:$S$3183,MATCH(SMALL($V$4:$V$3183,1591),$V$4:$V$3183,0)),"")</f>
        <v/>
      </c>
      <c r="I1594" s="29">
        <f>IF($B1594="","",IFERROR(INDEX($U$4:$U$3183,MATCH(SMALL($V$4:$V$3183,1591),$V$4:$V$3183,0)),""))</f>
        <v/>
      </c>
      <c r="J1594">
        <f>IF($B1594="","",IF($D1594&gt;$F$2,"À venir",IF($E1594&lt;$D$2,"Passé","Dans la période")))</f>
        <v/>
      </c>
      <c r="K1594">
        <f>IF(OR($B1594="",NOT(ISNUMBER($D1594))),"",IF(AND($E1594&lt;$D$2,$G1594&lt;&gt;"X",$F1594&lt;&gt;"Réalisé",$F1594&lt;&gt;"Clôturé"),"RETARD",""))</f>
        <v/>
      </c>
      <c r="L1594">
        <f>IF(OR($B1594="",NOT(ISNUMBER($D1594))),"",IF(AND($D1594&gt;=$D$2,$D1594&lt;=$H$2,$G1594&lt;&gt;"X",$F1594&lt;&gt;"Réalisé",$F1594&lt;&gt;"Clôturé"),"≤ 7 j",""))</f>
        <v/>
      </c>
      <c r="M1594" s="29">
        <f>IF($B1594="","",IFERROR(INDEX($T$4:$T$3183,MATCH(SMALL($V$4:$V$3183,1591),$V$4:$V$3183,0)),""))</f>
        <v/>
      </c>
      <c r="O1594">
        <f>IF(INDEX(Suivi!$B:$B,1625)="","",INDEX(Suivi!$B:$B,1625))</f>
        <v/>
      </c>
      <c r="P1594">
        <f>IF($O1594="","",IF(INDEX(Suivi!$D:$D,1625)="",INDEX(Suivi!$C:$C,1625),INDEX(Suivi!$D:$D,1625)))</f>
        <v/>
      </c>
      <c r="Q1594">
        <f>IF($O1594="","",INDEX(Suivi!$E:$E,1625))</f>
        <v/>
      </c>
      <c r="R1594">
        <f>IF($O1594="","",INDEX(Suivi!$F:$F,1625))</f>
        <v/>
      </c>
      <c r="S1594">
        <f>IF($O1594="","",INDEX(Suivi!$G:$G,1625))</f>
        <v/>
      </c>
      <c r="T1594">
        <f>IF($O1594="","",IF(INDEX(Dossiers!$F$4:$F$63,31)="","",INDEX(Dossiers!$F$4:$F$63,31)))</f>
        <v/>
      </c>
      <c r="U1594">
        <f>IF($O1594="","",IF(INDEX(Dossiers!$G$4:$G$63,31)="","",INDEX(Dossiers!$G$4:$G$63,31)))</f>
        <v/>
      </c>
      <c r="V1594">
        <f>IF(OR($O1594="",NOT(ISNUMBER($Q1594))),"",$Q1594*1000000+1594)</f>
        <v/>
      </c>
      <c r="W1594" s="29">
        <f>IF($B1594="","",IFERROR(INDEX($U$4:$U$3183,MATCH(SMALL($V$4:$V$3183,1591),$V$4:$V$3183,0)),""))</f>
        <v/>
      </c>
    </row>
    <row r="1595">
      <c r="A1595">
        <f>IFERROR(INDEX($N$4:$N$3183,MATCH(SMALL($V$4:$V$3183,1592),$V$4:$V$3183,0)),"")</f>
        <v/>
      </c>
      <c r="B1595">
        <f>IFERROR(INDEX($O$4:$O$3183,MATCH(SMALL($V$4:$V$3183,1592),$V$4:$V$3183,0)),"")</f>
        <v/>
      </c>
      <c r="C1595">
        <f>IFERROR(INDEX($P$4:$P$3183,MATCH(SMALL($V$4:$V$3183,1592),$V$4:$V$3183,0)),"")</f>
        <v/>
      </c>
      <c r="D1595" s="29">
        <f>IFERROR(INDEX($Q$4:$Q$3183,MATCH(SMALL($V$4:$V$3183,1592),$V$4:$V$3183,0)),"")</f>
        <v/>
      </c>
      <c r="E1595" s="29">
        <f>IFERROR(INDEX($R$4:$R$3183,MATCH(SMALL($V$4:$V$3183,1592),$V$4:$V$3183,0)),"")</f>
        <v/>
      </c>
      <c r="F1595">
        <f>IFERROR(INDEX($S$4:$S$3183,MATCH(SMALL($V$4:$V$3183,1592),$V$4:$V$3183,0)),"")</f>
        <v/>
      </c>
      <c r="I1595" s="29">
        <f>IF($B1595="","",IFERROR(INDEX($U$4:$U$3183,MATCH(SMALL($V$4:$V$3183,1592),$V$4:$V$3183,0)),""))</f>
        <v/>
      </c>
      <c r="J1595">
        <f>IF($B1595="","",IF($D1595&gt;$F$2,"À venir",IF($E1595&lt;$D$2,"Passé","Dans la période")))</f>
        <v/>
      </c>
      <c r="K1595">
        <f>IF(OR($B1595="",NOT(ISNUMBER($D1595))),"",IF(AND($E1595&lt;$D$2,$G1595&lt;&gt;"X",$F1595&lt;&gt;"Réalisé",$F1595&lt;&gt;"Clôturé"),"RETARD",""))</f>
        <v/>
      </c>
      <c r="L1595">
        <f>IF(OR($B1595="",NOT(ISNUMBER($D1595))),"",IF(AND($D1595&gt;=$D$2,$D1595&lt;=$H$2,$G1595&lt;&gt;"X",$F1595&lt;&gt;"Réalisé",$F1595&lt;&gt;"Clôturé"),"≤ 7 j",""))</f>
        <v/>
      </c>
      <c r="M1595" s="29">
        <f>IF($B1595="","",IFERROR(INDEX($T$4:$T$3183,MATCH(SMALL($V$4:$V$3183,1592),$V$4:$V$3183,0)),""))</f>
        <v/>
      </c>
      <c r="O1595">
        <f>IF(INDEX(Suivi!$B:$B,1626)="","",INDEX(Suivi!$B:$B,1626))</f>
        <v/>
      </c>
      <c r="P1595">
        <f>IF($O1595="","",IF(INDEX(Suivi!$D:$D,1626)="",INDEX(Suivi!$C:$C,1626),INDEX(Suivi!$D:$D,1626)))</f>
        <v/>
      </c>
      <c r="Q1595">
        <f>IF($O1595="","",INDEX(Suivi!$E:$E,1626))</f>
        <v/>
      </c>
      <c r="R1595">
        <f>IF($O1595="","",INDEX(Suivi!$F:$F,1626))</f>
        <v/>
      </c>
      <c r="S1595">
        <f>IF($O1595="","",INDEX(Suivi!$G:$G,1626))</f>
        <v/>
      </c>
      <c r="T1595">
        <f>IF($O1595="","",IF(INDEX(Dossiers!$F$4:$F$63,31)="","",INDEX(Dossiers!$F$4:$F$63,31)))</f>
        <v/>
      </c>
      <c r="U1595">
        <f>IF($O1595="","",IF(INDEX(Dossiers!$G$4:$G$63,31)="","",INDEX(Dossiers!$G$4:$G$63,31)))</f>
        <v/>
      </c>
      <c r="V1595">
        <f>IF(OR($O1595="",NOT(ISNUMBER($Q1595))),"",$Q1595*1000000+1595)</f>
        <v/>
      </c>
      <c r="W1595" s="29">
        <f>IF($B1595="","",IFERROR(INDEX($U$4:$U$3183,MATCH(SMALL($V$4:$V$3183,1592),$V$4:$V$3183,0)),""))</f>
        <v/>
      </c>
    </row>
    <row r="1596">
      <c r="A1596">
        <f>IFERROR(INDEX($N$4:$N$3183,MATCH(SMALL($V$4:$V$3183,1593),$V$4:$V$3183,0)),"")</f>
        <v/>
      </c>
      <c r="B1596">
        <f>IFERROR(INDEX($O$4:$O$3183,MATCH(SMALL($V$4:$V$3183,1593),$V$4:$V$3183,0)),"")</f>
        <v/>
      </c>
      <c r="C1596">
        <f>IFERROR(INDEX($P$4:$P$3183,MATCH(SMALL($V$4:$V$3183,1593),$V$4:$V$3183,0)),"")</f>
        <v/>
      </c>
      <c r="D1596" s="29">
        <f>IFERROR(INDEX($Q$4:$Q$3183,MATCH(SMALL($V$4:$V$3183,1593),$V$4:$V$3183,0)),"")</f>
        <v/>
      </c>
      <c r="E1596" s="29">
        <f>IFERROR(INDEX($R$4:$R$3183,MATCH(SMALL($V$4:$V$3183,1593),$V$4:$V$3183,0)),"")</f>
        <v/>
      </c>
      <c r="F1596">
        <f>IFERROR(INDEX($S$4:$S$3183,MATCH(SMALL($V$4:$V$3183,1593),$V$4:$V$3183,0)),"")</f>
        <v/>
      </c>
      <c r="I1596" s="29">
        <f>IF($B1596="","",IFERROR(INDEX($U$4:$U$3183,MATCH(SMALL($V$4:$V$3183,1593),$V$4:$V$3183,0)),""))</f>
        <v/>
      </c>
      <c r="J1596">
        <f>IF($B1596="","",IF($D1596&gt;$F$2,"À venir",IF($E1596&lt;$D$2,"Passé","Dans la période")))</f>
        <v/>
      </c>
      <c r="K1596">
        <f>IF(OR($B1596="",NOT(ISNUMBER($D1596))),"",IF(AND($E1596&lt;$D$2,$G1596&lt;&gt;"X",$F1596&lt;&gt;"Réalisé",$F1596&lt;&gt;"Clôturé"),"RETARD",""))</f>
        <v/>
      </c>
      <c r="L1596">
        <f>IF(OR($B1596="",NOT(ISNUMBER($D1596))),"",IF(AND($D1596&gt;=$D$2,$D1596&lt;=$H$2,$G1596&lt;&gt;"X",$F1596&lt;&gt;"Réalisé",$F1596&lt;&gt;"Clôturé"),"≤ 7 j",""))</f>
        <v/>
      </c>
      <c r="M1596" s="29">
        <f>IF($B1596="","",IFERROR(INDEX($T$4:$T$3183,MATCH(SMALL($V$4:$V$3183,1593),$V$4:$V$3183,0)),""))</f>
        <v/>
      </c>
      <c r="O1596">
        <f>IF(INDEX(Suivi!$B:$B,1627)="","",INDEX(Suivi!$B:$B,1627))</f>
        <v/>
      </c>
      <c r="P1596">
        <f>IF($O1596="","",IF(INDEX(Suivi!$D:$D,1627)="",INDEX(Suivi!$C:$C,1627),INDEX(Suivi!$D:$D,1627)))</f>
        <v/>
      </c>
      <c r="Q1596">
        <f>IF($O1596="","",INDEX(Suivi!$E:$E,1627))</f>
        <v/>
      </c>
      <c r="R1596">
        <f>IF($O1596="","",INDEX(Suivi!$F:$F,1627))</f>
        <v/>
      </c>
      <c r="S1596">
        <f>IF($O1596="","",INDEX(Suivi!$G:$G,1627))</f>
        <v/>
      </c>
      <c r="T1596">
        <f>IF($O1596="","",IF(INDEX(Dossiers!$F$4:$F$63,31)="","",INDEX(Dossiers!$F$4:$F$63,31)))</f>
        <v/>
      </c>
      <c r="U1596">
        <f>IF($O1596="","",IF(INDEX(Dossiers!$G$4:$G$63,31)="","",INDEX(Dossiers!$G$4:$G$63,31)))</f>
        <v/>
      </c>
      <c r="V1596">
        <f>IF(OR($O1596="",NOT(ISNUMBER($Q1596))),"",$Q1596*1000000+1596)</f>
        <v/>
      </c>
      <c r="W1596" s="29">
        <f>IF($B1596="","",IFERROR(INDEX($U$4:$U$3183,MATCH(SMALL($V$4:$V$3183,1593),$V$4:$V$3183,0)),""))</f>
        <v/>
      </c>
    </row>
    <row r="1597">
      <c r="A1597">
        <f>IFERROR(INDEX($N$4:$N$3183,MATCH(SMALL($V$4:$V$3183,1594),$V$4:$V$3183,0)),"")</f>
        <v/>
      </c>
      <c r="B1597">
        <f>IFERROR(INDEX($O$4:$O$3183,MATCH(SMALL($V$4:$V$3183,1594),$V$4:$V$3183,0)),"")</f>
        <v/>
      </c>
      <c r="C1597">
        <f>IFERROR(INDEX($P$4:$P$3183,MATCH(SMALL($V$4:$V$3183,1594),$V$4:$V$3183,0)),"")</f>
        <v/>
      </c>
      <c r="D1597" s="29">
        <f>IFERROR(INDEX($Q$4:$Q$3183,MATCH(SMALL($V$4:$V$3183,1594),$V$4:$V$3183,0)),"")</f>
        <v/>
      </c>
      <c r="E1597" s="29">
        <f>IFERROR(INDEX($R$4:$R$3183,MATCH(SMALL($V$4:$V$3183,1594),$V$4:$V$3183,0)),"")</f>
        <v/>
      </c>
      <c r="F1597">
        <f>IFERROR(INDEX($S$4:$S$3183,MATCH(SMALL($V$4:$V$3183,1594),$V$4:$V$3183,0)),"")</f>
        <v/>
      </c>
      <c r="I1597" s="29">
        <f>IF($B1597="","",IFERROR(INDEX($U$4:$U$3183,MATCH(SMALL($V$4:$V$3183,1594),$V$4:$V$3183,0)),""))</f>
        <v/>
      </c>
      <c r="J1597">
        <f>IF($B1597="","",IF($D1597&gt;$F$2,"À venir",IF($E1597&lt;$D$2,"Passé","Dans la période")))</f>
        <v/>
      </c>
      <c r="K1597">
        <f>IF(OR($B1597="",NOT(ISNUMBER($D1597))),"",IF(AND($E1597&lt;$D$2,$G1597&lt;&gt;"X",$F1597&lt;&gt;"Réalisé",$F1597&lt;&gt;"Clôturé"),"RETARD",""))</f>
        <v/>
      </c>
      <c r="L1597">
        <f>IF(OR($B1597="",NOT(ISNUMBER($D1597))),"",IF(AND($D1597&gt;=$D$2,$D1597&lt;=$H$2,$G1597&lt;&gt;"X",$F1597&lt;&gt;"Réalisé",$F1597&lt;&gt;"Clôturé"),"≤ 7 j",""))</f>
        <v/>
      </c>
      <c r="M1597" s="29">
        <f>IF($B1597="","",IFERROR(INDEX($T$4:$T$3183,MATCH(SMALL($V$4:$V$3183,1594),$V$4:$V$3183,0)),""))</f>
        <v/>
      </c>
      <c r="O1597">
        <f>IF(INDEX(Suivi!$B:$B,1628)="","",INDEX(Suivi!$B:$B,1628))</f>
        <v/>
      </c>
      <c r="P1597">
        <f>IF($O1597="","",IF(INDEX(Suivi!$D:$D,1628)="",INDEX(Suivi!$C:$C,1628),INDEX(Suivi!$D:$D,1628)))</f>
        <v/>
      </c>
      <c r="Q1597">
        <f>IF($O1597="","",INDEX(Suivi!$E:$E,1628))</f>
        <v/>
      </c>
      <c r="R1597">
        <f>IF($O1597="","",INDEX(Suivi!$F:$F,1628))</f>
        <v/>
      </c>
      <c r="S1597">
        <f>IF($O1597="","",INDEX(Suivi!$G:$G,1628))</f>
        <v/>
      </c>
      <c r="T1597">
        <f>IF($O1597="","",IF(INDEX(Dossiers!$F$4:$F$63,31)="","",INDEX(Dossiers!$F$4:$F$63,31)))</f>
        <v/>
      </c>
      <c r="U1597">
        <f>IF($O1597="","",IF(INDEX(Dossiers!$G$4:$G$63,31)="","",INDEX(Dossiers!$G$4:$G$63,31)))</f>
        <v/>
      </c>
      <c r="V1597">
        <f>IF(OR($O1597="",NOT(ISNUMBER($Q1597))),"",$Q1597*1000000+1597)</f>
        <v/>
      </c>
      <c r="W1597" s="29">
        <f>IF($B1597="","",IFERROR(INDEX($U$4:$U$3183,MATCH(SMALL($V$4:$V$3183,1594),$V$4:$V$3183,0)),""))</f>
        <v/>
      </c>
    </row>
    <row r="1598">
      <c r="A1598">
        <f>IFERROR(INDEX($N$4:$N$3183,MATCH(SMALL($V$4:$V$3183,1595),$V$4:$V$3183,0)),"")</f>
        <v/>
      </c>
      <c r="B1598">
        <f>IFERROR(INDEX($O$4:$O$3183,MATCH(SMALL($V$4:$V$3183,1595),$V$4:$V$3183,0)),"")</f>
        <v/>
      </c>
      <c r="C1598">
        <f>IFERROR(INDEX($P$4:$P$3183,MATCH(SMALL($V$4:$V$3183,1595),$V$4:$V$3183,0)),"")</f>
        <v/>
      </c>
      <c r="D1598" s="29">
        <f>IFERROR(INDEX($Q$4:$Q$3183,MATCH(SMALL($V$4:$V$3183,1595),$V$4:$V$3183,0)),"")</f>
        <v/>
      </c>
      <c r="E1598" s="29">
        <f>IFERROR(INDEX($R$4:$R$3183,MATCH(SMALL($V$4:$V$3183,1595),$V$4:$V$3183,0)),"")</f>
        <v/>
      </c>
      <c r="F1598">
        <f>IFERROR(INDEX($S$4:$S$3183,MATCH(SMALL($V$4:$V$3183,1595),$V$4:$V$3183,0)),"")</f>
        <v/>
      </c>
      <c r="I1598" s="29">
        <f>IF($B1598="","",IFERROR(INDEX($U$4:$U$3183,MATCH(SMALL($V$4:$V$3183,1595),$V$4:$V$3183,0)),""))</f>
        <v/>
      </c>
      <c r="J1598">
        <f>IF($B1598="","",IF($D1598&gt;$F$2,"À venir",IF($E1598&lt;$D$2,"Passé","Dans la période")))</f>
        <v/>
      </c>
      <c r="K1598">
        <f>IF(OR($B1598="",NOT(ISNUMBER($D1598))),"",IF(AND($E1598&lt;$D$2,$G1598&lt;&gt;"X",$F1598&lt;&gt;"Réalisé",$F1598&lt;&gt;"Clôturé"),"RETARD",""))</f>
        <v/>
      </c>
      <c r="L1598">
        <f>IF(OR($B1598="",NOT(ISNUMBER($D1598))),"",IF(AND($D1598&gt;=$D$2,$D1598&lt;=$H$2,$G1598&lt;&gt;"X",$F1598&lt;&gt;"Réalisé",$F1598&lt;&gt;"Clôturé"),"≤ 7 j",""))</f>
        <v/>
      </c>
      <c r="M1598" s="29">
        <f>IF($B1598="","",IFERROR(INDEX($T$4:$T$3183,MATCH(SMALL($V$4:$V$3183,1595),$V$4:$V$3183,0)),""))</f>
        <v/>
      </c>
      <c r="O1598">
        <f>IF(INDEX(Suivi!$B:$B,1629)="","",INDEX(Suivi!$B:$B,1629))</f>
        <v/>
      </c>
      <c r="P1598">
        <f>IF($O1598="","",IF(INDEX(Suivi!$D:$D,1629)="",INDEX(Suivi!$C:$C,1629),INDEX(Suivi!$D:$D,1629)))</f>
        <v/>
      </c>
      <c r="Q1598">
        <f>IF($O1598="","",INDEX(Suivi!$E:$E,1629))</f>
        <v/>
      </c>
      <c r="R1598">
        <f>IF($O1598="","",INDEX(Suivi!$F:$F,1629))</f>
        <v/>
      </c>
      <c r="S1598">
        <f>IF($O1598="","",INDEX(Suivi!$G:$G,1629))</f>
        <v/>
      </c>
      <c r="T1598">
        <f>IF($O1598="","",IF(INDEX(Dossiers!$F$4:$F$63,31)="","",INDEX(Dossiers!$F$4:$F$63,31)))</f>
        <v/>
      </c>
      <c r="U1598">
        <f>IF($O1598="","",IF(INDEX(Dossiers!$G$4:$G$63,31)="","",INDEX(Dossiers!$G$4:$G$63,31)))</f>
        <v/>
      </c>
      <c r="V1598">
        <f>IF(OR($O1598="",NOT(ISNUMBER($Q1598))),"",$Q1598*1000000+1598)</f>
        <v/>
      </c>
      <c r="W1598" s="29">
        <f>IF($B1598="","",IFERROR(INDEX($U$4:$U$3183,MATCH(SMALL($V$4:$V$3183,1595),$V$4:$V$3183,0)),""))</f>
        <v/>
      </c>
    </row>
    <row r="1599">
      <c r="A1599">
        <f>IFERROR(INDEX($N$4:$N$3183,MATCH(SMALL($V$4:$V$3183,1596),$V$4:$V$3183,0)),"")</f>
        <v/>
      </c>
      <c r="B1599">
        <f>IFERROR(INDEX($O$4:$O$3183,MATCH(SMALL($V$4:$V$3183,1596),$V$4:$V$3183,0)),"")</f>
        <v/>
      </c>
      <c r="C1599">
        <f>IFERROR(INDEX($P$4:$P$3183,MATCH(SMALL($V$4:$V$3183,1596),$V$4:$V$3183,0)),"")</f>
        <v/>
      </c>
      <c r="D1599" s="29">
        <f>IFERROR(INDEX($Q$4:$Q$3183,MATCH(SMALL($V$4:$V$3183,1596),$V$4:$V$3183,0)),"")</f>
        <v/>
      </c>
      <c r="E1599" s="29">
        <f>IFERROR(INDEX($R$4:$R$3183,MATCH(SMALL($V$4:$V$3183,1596),$V$4:$V$3183,0)),"")</f>
        <v/>
      </c>
      <c r="F1599">
        <f>IFERROR(INDEX($S$4:$S$3183,MATCH(SMALL($V$4:$V$3183,1596),$V$4:$V$3183,0)),"")</f>
        <v/>
      </c>
      <c r="I1599" s="29">
        <f>IF($B1599="","",IFERROR(INDEX($U$4:$U$3183,MATCH(SMALL($V$4:$V$3183,1596),$V$4:$V$3183,0)),""))</f>
        <v/>
      </c>
      <c r="J1599">
        <f>IF($B1599="","",IF($D1599&gt;$F$2,"À venir",IF($E1599&lt;$D$2,"Passé","Dans la période")))</f>
        <v/>
      </c>
      <c r="K1599">
        <f>IF(OR($B1599="",NOT(ISNUMBER($D1599))),"",IF(AND($E1599&lt;$D$2,$G1599&lt;&gt;"X",$F1599&lt;&gt;"Réalisé",$F1599&lt;&gt;"Clôturé"),"RETARD",""))</f>
        <v/>
      </c>
      <c r="L1599">
        <f>IF(OR($B1599="",NOT(ISNUMBER($D1599))),"",IF(AND($D1599&gt;=$D$2,$D1599&lt;=$H$2,$G1599&lt;&gt;"X",$F1599&lt;&gt;"Réalisé",$F1599&lt;&gt;"Clôturé"),"≤ 7 j",""))</f>
        <v/>
      </c>
      <c r="M1599" s="29">
        <f>IF($B1599="","",IFERROR(INDEX($T$4:$T$3183,MATCH(SMALL($V$4:$V$3183,1596),$V$4:$V$3183,0)),""))</f>
        <v/>
      </c>
      <c r="O1599">
        <f>IF(INDEX(Suivi!$B:$B,1630)="","",INDEX(Suivi!$B:$B,1630))</f>
        <v/>
      </c>
      <c r="P1599">
        <f>IF($O1599="","",IF(INDEX(Suivi!$D:$D,1630)="",INDEX(Suivi!$C:$C,1630),INDEX(Suivi!$D:$D,1630)))</f>
        <v/>
      </c>
      <c r="Q1599">
        <f>IF($O1599="","",INDEX(Suivi!$E:$E,1630))</f>
        <v/>
      </c>
      <c r="R1599">
        <f>IF($O1599="","",INDEX(Suivi!$F:$F,1630))</f>
        <v/>
      </c>
      <c r="S1599">
        <f>IF($O1599="","",INDEX(Suivi!$G:$G,1630))</f>
        <v/>
      </c>
      <c r="T1599">
        <f>IF($O1599="","",IF(INDEX(Dossiers!$F$4:$F$63,31)="","",INDEX(Dossiers!$F$4:$F$63,31)))</f>
        <v/>
      </c>
      <c r="U1599">
        <f>IF($O1599="","",IF(INDEX(Dossiers!$G$4:$G$63,31)="","",INDEX(Dossiers!$G$4:$G$63,31)))</f>
        <v/>
      </c>
      <c r="V1599">
        <f>IF(OR($O1599="",NOT(ISNUMBER($Q1599))),"",$Q1599*1000000+1599)</f>
        <v/>
      </c>
      <c r="W1599" s="29">
        <f>IF($B1599="","",IFERROR(INDEX($U$4:$U$3183,MATCH(SMALL($V$4:$V$3183,1596),$V$4:$V$3183,0)),""))</f>
        <v/>
      </c>
    </row>
    <row r="1600">
      <c r="A1600">
        <f>IFERROR(INDEX($N$4:$N$3183,MATCH(SMALL($V$4:$V$3183,1597),$V$4:$V$3183,0)),"")</f>
        <v/>
      </c>
      <c r="B1600">
        <f>IFERROR(INDEX($O$4:$O$3183,MATCH(SMALL($V$4:$V$3183,1597),$V$4:$V$3183,0)),"")</f>
        <v/>
      </c>
      <c r="C1600">
        <f>IFERROR(INDEX($P$4:$P$3183,MATCH(SMALL($V$4:$V$3183,1597),$V$4:$V$3183,0)),"")</f>
        <v/>
      </c>
      <c r="D1600" s="29">
        <f>IFERROR(INDEX($Q$4:$Q$3183,MATCH(SMALL($V$4:$V$3183,1597),$V$4:$V$3183,0)),"")</f>
        <v/>
      </c>
      <c r="E1600" s="29">
        <f>IFERROR(INDEX($R$4:$R$3183,MATCH(SMALL($V$4:$V$3183,1597),$V$4:$V$3183,0)),"")</f>
        <v/>
      </c>
      <c r="F1600">
        <f>IFERROR(INDEX($S$4:$S$3183,MATCH(SMALL($V$4:$V$3183,1597),$V$4:$V$3183,0)),"")</f>
        <v/>
      </c>
      <c r="I1600" s="29">
        <f>IF($B1600="","",IFERROR(INDEX($U$4:$U$3183,MATCH(SMALL($V$4:$V$3183,1597),$V$4:$V$3183,0)),""))</f>
        <v/>
      </c>
      <c r="J1600">
        <f>IF($B1600="","",IF($D1600&gt;$F$2,"À venir",IF($E1600&lt;$D$2,"Passé","Dans la période")))</f>
        <v/>
      </c>
      <c r="K1600">
        <f>IF(OR($B1600="",NOT(ISNUMBER($D1600))),"",IF(AND($E1600&lt;$D$2,$G1600&lt;&gt;"X",$F1600&lt;&gt;"Réalisé",$F1600&lt;&gt;"Clôturé"),"RETARD",""))</f>
        <v/>
      </c>
      <c r="L1600">
        <f>IF(OR($B1600="",NOT(ISNUMBER($D1600))),"",IF(AND($D1600&gt;=$D$2,$D1600&lt;=$H$2,$G1600&lt;&gt;"X",$F1600&lt;&gt;"Réalisé",$F1600&lt;&gt;"Clôturé"),"≤ 7 j",""))</f>
        <v/>
      </c>
      <c r="M1600" s="29">
        <f>IF($B1600="","",IFERROR(INDEX($T$4:$T$3183,MATCH(SMALL($V$4:$V$3183,1597),$V$4:$V$3183,0)),""))</f>
        <v/>
      </c>
      <c r="O1600">
        <f>IF(INDEX(Suivi!$B:$B,1631)="","",INDEX(Suivi!$B:$B,1631))</f>
        <v/>
      </c>
      <c r="P1600">
        <f>IF($O1600="","",IF(INDEX(Suivi!$D:$D,1631)="",INDEX(Suivi!$C:$C,1631),INDEX(Suivi!$D:$D,1631)))</f>
        <v/>
      </c>
      <c r="Q1600">
        <f>IF($O1600="","",INDEX(Suivi!$E:$E,1631))</f>
        <v/>
      </c>
      <c r="R1600">
        <f>IF($O1600="","",INDEX(Suivi!$F:$F,1631))</f>
        <v/>
      </c>
      <c r="S1600">
        <f>IF($O1600="","",INDEX(Suivi!$G:$G,1631))</f>
        <v/>
      </c>
      <c r="T1600">
        <f>IF($O1600="","",IF(INDEX(Dossiers!$F$4:$F$63,31)="","",INDEX(Dossiers!$F$4:$F$63,31)))</f>
        <v/>
      </c>
      <c r="U1600">
        <f>IF($O1600="","",IF(INDEX(Dossiers!$G$4:$G$63,31)="","",INDEX(Dossiers!$G$4:$G$63,31)))</f>
        <v/>
      </c>
      <c r="V1600">
        <f>IF(OR($O1600="",NOT(ISNUMBER($Q1600))),"",$Q1600*1000000+1600)</f>
        <v/>
      </c>
      <c r="W1600" s="29">
        <f>IF($B1600="","",IFERROR(INDEX($U$4:$U$3183,MATCH(SMALL($V$4:$V$3183,1597),$V$4:$V$3183,0)),""))</f>
        <v/>
      </c>
    </row>
    <row r="1601">
      <c r="A1601">
        <f>IFERROR(INDEX($N$4:$N$3183,MATCH(SMALL($V$4:$V$3183,1598),$V$4:$V$3183,0)),"")</f>
        <v/>
      </c>
      <c r="B1601">
        <f>IFERROR(INDEX($O$4:$O$3183,MATCH(SMALL($V$4:$V$3183,1598),$V$4:$V$3183,0)),"")</f>
        <v/>
      </c>
      <c r="C1601">
        <f>IFERROR(INDEX($P$4:$P$3183,MATCH(SMALL($V$4:$V$3183,1598),$V$4:$V$3183,0)),"")</f>
        <v/>
      </c>
      <c r="D1601" s="29">
        <f>IFERROR(INDEX($Q$4:$Q$3183,MATCH(SMALL($V$4:$V$3183,1598),$V$4:$V$3183,0)),"")</f>
        <v/>
      </c>
      <c r="E1601" s="29">
        <f>IFERROR(INDEX($R$4:$R$3183,MATCH(SMALL($V$4:$V$3183,1598),$V$4:$V$3183,0)),"")</f>
        <v/>
      </c>
      <c r="F1601">
        <f>IFERROR(INDEX($S$4:$S$3183,MATCH(SMALL($V$4:$V$3183,1598),$V$4:$V$3183,0)),"")</f>
        <v/>
      </c>
      <c r="I1601" s="29">
        <f>IF($B1601="","",IFERROR(INDEX($U$4:$U$3183,MATCH(SMALL($V$4:$V$3183,1598),$V$4:$V$3183,0)),""))</f>
        <v/>
      </c>
      <c r="J1601">
        <f>IF($B1601="","",IF($D1601&gt;$F$2,"À venir",IF($E1601&lt;$D$2,"Passé","Dans la période")))</f>
        <v/>
      </c>
      <c r="K1601">
        <f>IF(OR($B1601="",NOT(ISNUMBER($D1601))),"",IF(AND($E1601&lt;$D$2,$G1601&lt;&gt;"X",$F1601&lt;&gt;"Réalisé",$F1601&lt;&gt;"Clôturé"),"RETARD",""))</f>
        <v/>
      </c>
      <c r="L1601">
        <f>IF(OR($B1601="",NOT(ISNUMBER($D1601))),"",IF(AND($D1601&gt;=$D$2,$D1601&lt;=$H$2,$G1601&lt;&gt;"X",$F1601&lt;&gt;"Réalisé",$F1601&lt;&gt;"Clôturé"),"≤ 7 j",""))</f>
        <v/>
      </c>
      <c r="M1601" s="29">
        <f>IF($B1601="","",IFERROR(INDEX($T$4:$T$3183,MATCH(SMALL($V$4:$V$3183,1598),$V$4:$V$3183,0)),""))</f>
        <v/>
      </c>
      <c r="O1601">
        <f>IF(INDEX(Suivi!$B:$B,1632)="","",INDEX(Suivi!$B:$B,1632))</f>
        <v/>
      </c>
      <c r="P1601">
        <f>IF($O1601="","",IF(INDEX(Suivi!$D:$D,1632)="",INDEX(Suivi!$C:$C,1632),INDEX(Suivi!$D:$D,1632)))</f>
        <v/>
      </c>
      <c r="Q1601">
        <f>IF($O1601="","",INDEX(Suivi!$E:$E,1632))</f>
        <v/>
      </c>
      <c r="R1601">
        <f>IF($O1601="","",INDEX(Suivi!$F:$F,1632))</f>
        <v/>
      </c>
      <c r="S1601">
        <f>IF($O1601="","",INDEX(Suivi!$G:$G,1632))</f>
        <v/>
      </c>
      <c r="T1601">
        <f>IF($O1601="","",IF(INDEX(Dossiers!$F$4:$F$63,31)="","",INDEX(Dossiers!$F$4:$F$63,31)))</f>
        <v/>
      </c>
      <c r="U1601">
        <f>IF($O1601="","",IF(INDEX(Dossiers!$G$4:$G$63,31)="","",INDEX(Dossiers!$G$4:$G$63,31)))</f>
        <v/>
      </c>
      <c r="V1601">
        <f>IF(OR($O1601="",NOT(ISNUMBER($Q1601))),"",$Q1601*1000000+1601)</f>
        <v/>
      </c>
      <c r="W1601" s="29">
        <f>IF($B1601="","",IFERROR(INDEX($U$4:$U$3183,MATCH(SMALL($V$4:$V$3183,1598),$V$4:$V$3183,0)),""))</f>
        <v/>
      </c>
    </row>
    <row r="1602">
      <c r="A1602">
        <f>IFERROR(INDEX($N$4:$N$3183,MATCH(SMALL($V$4:$V$3183,1599),$V$4:$V$3183,0)),"")</f>
        <v/>
      </c>
      <c r="B1602">
        <f>IFERROR(INDEX($O$4:$O$3183,MATCH(SMALL($V$4:$V$3183,1599),$V$4:$V$3183,0)),"")</f>
        <v/>
      </c>
      <c r="C1602">
        <f>IFERROR(INDEX($P$4:$P$3183,MATCH(SMALL($V$4:$V$3183,1599),$V$4:$V$3183,0)),"")</f>
        <v/>
      </c>
      <c r="D1602" s="29">
        <f>IFERROR(INDEX($Q$4:$Q$3183,MATCH(SMALL($V$4:$V$3183,1599),$V$4:$V$3183,0)),"")</f>
        <v/>
      </c>
      <c r="E1602" s="29">
        <f>IFERROR(INDEX($R$4:$R$3183,MATCH(SMALL($V$4:$V$3183,1599),$V$4:$V$3183,0)),"")</f>
        <v/>
      </c>
      <c r="F1602">
        <f>IFERROR(INDEX($S$4:$S$3183,MATCH(SMALL($V$4:$V$3183,1599),$V$4:$V$3183,0)),"")</f>
        <v/>
      </c>
      <c r="I1602" s="29">
        <f>IF($B1602="","",IFERROR(INDEX($U$4:$U$3183,MATCH(SMALL($V$4:$V$3183,1599),$V$4:$V$3183,0)),""))</f>
        <v/>
      </c>
      <c r="J1602">
        <f>IF($B1602="","",IF($D1602&gt;$F$2,"À venir",IF($E1602&lt;$D$2,"Passé","Dans la période")))</f>
        <v/>
      </c>
      <c r="K1602">
        <f>IF(OR($B1602="",NOT(ISNUMBER($D1602))),"",IF(AND($E1602&lt;$D$2,$G1602&lt;&gt;"X",$F1602&lt;&gt;"Réalisé",$F1602&lt;&gt;"Clôturé"),"RETARD",""))</f>
        <v/>
      </c>
      <c r="L1602">
        <f>IF(OR($B1602="",NOT(ISNUMBER($D1602))),"",IF(AND($D1602&gt;=$D$2,$D1602&lt;=$H$2,$G1602&lt;&gt;"X",$F1602&lt;&gt;"Réalisé",$F1602&lt;&gt;"Clôturé"),"≤ 7 j",""))</f>
        <v/>
      </c>
      <c r="M1602" s="29">
        <f>IF($B1602="","",IFERROR(INDEX($T$4:$T$3183,MATCH(SMALL($V$4:$V$3183,1599),$V$4:$V$3183,0)),""))</f>
        <v/>
      </c>
      <c r="O1602">
        <f>IF(INDEX(Suivi!$B:$B,1633)="","",INDEX(Suivi!$B:$B,1633))</f>
        <v/>
      </c>
      <c r="P1602">
        <f>IF($O1602="","",IF(INDEX(Suivi!$D:$D,1633)="",INDEX(Suivi!$C:$C,1633),INDEX(Suivi!$D:$D,1633)))</f>
        <v/>
      </c>
      <c r="Q1602">
        <f>IF($O1602="","",INDEX(Suivi!$E:$E,1633))</f>
        <v/>
      </c>
      <c r="R1602">
        <f>IF($O1602="","",INDEX(Suivi!$F:$F,1633))</f>
        <v/>
      </c>
      <c r="S1602">
        <f>IF($O1602="","",INDEX(Suivi!$G:$G,1633))</f>
        <v/>
      </c>
      <c r="T1602">
        <f>IF($O1602="","",IF(INDEX(Dossiers!$F$4:$F$63,31)="","",INDEX(Dossiers!$F$4:$F$63,31)))</f>
        <v/>
      </c>
      <c r="U1602">
        <f>IF($O1602="","",IF(INDEX(Dossiers!$G$4:$G$63,31)="","",INDEX(Dossiers!$G$4:$G$63,31)))</f>
        <v/>
      </c>
      <c r="V1602">
        <f>IF(OR($O1602="",NOT(ISNUMBER($Q1602))),"",$Q1602*1000000+1602)</f>
        <v/>
      </c>
      <c r="W1602" s="29">
        <f>IF($B1602="","",IFERROR(INDEX($U$4:$U$3183,MATCH(SMALL($V$4:$V$3183,1599),$V$4:$V$3183,0)),""))</f>
        <v/>
      </c>
    </row>
    <row r="1603">
      <c r="A1603">
        <f>IFERROR(INDEX($N$4:$N$3183,MATCH(SMALL($V$4:$V$3183,1600),$V$4:$V$3183,0)),"")</f>
        <v/>
      </c>
      <c r="B1603">
        <f>IFERROR(INDEX($O$4:$O$3183,MATCH(SMALL($V$4:$V$3183,1600),$V$4:$V$3183,0)),"")</f>
        <v/>
      </c>
      <c r="C1603">
        <f>IFERROR(INDEX($P$4:$P$3183,MATCH(SMALL($V$4:$V$3183,1600),$V$4:$V$3183,0)),"")</f>
        <v/>
      </c>
      <c r="D1603" s="29">
        <f>IFERROR(INDEX($Q$4:$Q$3183,MATCH(SMALL($V$4:$V$3183,1600),$V$4:$V$3183,0)),"")</f>
        <v/>
      </c>
      <c r="E1603" s="29">
        <f>IFERROR(INDEX($R$4:$R$3183,MATCH(SMALL($V$4:$V$3183,1600),$V$4:$V$3183,0)),"")</f>
        <v/>
      </c>
      <c r="F1603">
        <f>IFERROR(INDEX($S$4:$S$3183,MATCH(SMALL($V$4:$V$3183,1600),$V$4:$V$3183,0)),"")</f>
        <v/>
      </c>
      <c r="I1603" s="29">
        <f>IF($B1603="","",IFERROR(INDEX($U$4:$U$3183,MATCH(SMALL($V$4:$V$3183,1600),$V$4:$V$3183,0)),""))</f>
        <v/>
      </c>
      <c r="J1603">
        <f>IF($B1603="","",IF($D1603&gt;$F$2,"À venir",IF($E1603&lt;$D$2,"Passé","Dans la période")))</f>
        <v/>
      </c>
      <c r="K1603">
        <f>IF(OR($B1603="",NOT(ISNUMBER($D1603))),"",IF(AND($E1603&lt;$D$2,$G1603&lt;&gt;"X",$F1603&lt;&gt;"Réalisé",$F1603&lt;&gt;"Clôturé"),"RETARD",""))</f>
        <v/>
      </c>
      <c r="L1603">
        <f>IF(OR($B1603="",NOT(ISNUMBER($D1603))),"",IF(AND($D1603&gt;=$D$2,$D1603&lt;=$H$2,$G1603&lt;&gt;"X",$F1603&lt;&gt;"Réalisé",$F1603&lt;&gt;"Clôturé"),"≤ 7 j",""))</f>
        <v/>
      </c>
      <c r="M1603" s="29">
        <f>IF($B1603="","",IFERROR(INDEX($T$4:$T$3183,MATCH(SMALL($V$4:$V$3183,1600),$V$4:$V$3183,0)),""))</f>
        <v/>
      </c>
      <c r="O1603">
        <f>IF(INDEX(Suivi!$B:$B,1634)="","",INDEX(Suivi!$B:$B,1634))</f>
        <v/>
      </c>
      <c r="P1603">
        <f>IF($O1603="","",IF(INDEX(Suivi!$D:$D,1634)="",INDEX(Suivi!$C:$C,1634),INDEX(Suivi!$D:$D,1634)))</f>
        <v/>
      </c>
      <c r="Q1603">
        <f>IF($O1603="","",INDEX(Suivi!$E:$E,1634))</f>
        <v/>
      </c>
      <c r="R1603">
        <f>IF($O1603="","",INDEX(Suivi!$F:$F,1634))</f>
        <v/>
      </c>
      <c r="S1603">
        <f>IF($O1603="","",INDEX(Suivi!$G:$G,1634))</f>
        <v/>
      </c>
      <c r="T1603">
        <f>IF($O1603="","",IF(INDEX(Dossiers!$F$4:$F$63,31)="","",INDEX(Dossiers!$F$4:$F$63,31)))</f>
        <v/>
      </c>
      <c r="U1603">
        <f>IF($O1603="","",IF(INDEX(Dossiers!$G$4:$G$63,31)="","",INDEX(Dossiers!$G$4:$G$63,31)))</f>
        <v/>
      </c>
      <c r="V1603">
        <f>IF(OR($O1603="",NOT(ISNUMBER($Q1603))),"",$Q1603*1000000+1603)</f>
        <v/>
      </c>
      <c r="W1603" s="29">
        <f>IF($B1603="","",IFERROR(INDEX($U$4:$U$3183,MATCH(SMALL($V$4:$V$3183,1600),$V$4:$V$3183,0)),""))</f>
        <v/>
      </c>
    </row>
    <row r="1604">
      <c r="A1604">
        <f>IFERROR(INDEX($N$4:$N$3183,MATCH(SMALL($V$4:$V$3183,1601),$V$4:$V$3183,0)),"")</f>
        <v/>
      </c>
      <c r="B1604">
        <f>IFERROR(INDEX($O$4:$O$3183,MATCH(SMALL($V$4:$V$3183,1601),$V$4:$V$3183,0)),"")</f>
        <v/>
      </c>
      <c r="C1604">
        <f>IFERROR(INDEX($P$4:$P$3183,MATCH(SMALL($V$4:$V$3183,1601),$V$4:$V$3183,0)),"")</f>
        <v/>
      </c>
      <c r="D1604" s="29">
        <f>IFERROR(INDEX($Q$4:$Q$3183,MATCH(SMALL($V$4:$V$3183,1601),$V$4:$V$3183,0)),"")</f>
        <v/>
      </c>
      <c r="E1604" s="29">
        <f>IFERROR(INDEX($R$4:$R$3183,MATCH(SMALL($V$4:$V$3183,1601),$V$4:$V$3183,0)),"")</f>
        <v/>
      </c>
      <c r="F1604">
        <f>IFERROR(INDEX($S$4:$S$3183,MATCH(SMALL($V$4:$V$3183,1601),$V$4:$V$3183,0)),"")</f>
        <v/>
      </c>
      <c r="I1604" s="29">
        <f>IF($B1604="","",IFERROR(INDEX($U$4:$U$3183,MATCH(SMALL($V$4:$V$3183,1601),$V$4:$V$3183,0)),""))</f>
        <v/>
      </c>
      <c r="J1604">
        <f>IF($B1604="","",IF($D1604&gt;$F$2,"À venir",IF($E1604&lt;$D$2,"Passé","Dans la période")))</f>
        <v/>
      </c>
      <c r="K1604">
        <f>IF(OR($B1604="",NOT(ISNUMBER($D1604))),"",IF(AND($E1604&lt;$D$2,$G1604&lt;&gt;"X",$F1604&lt;&gt;"Réalisé",$F1604&lt;&gt;"Clôturé"),"RETARD",""))</f>
        <v/>
      </c>
      <c r="L1604">
        <f>IF(OR($B1604="",NOT(ISNUMBER($D1604))),"",IF(AND($D1604&gt;=$D$2,$D1604&lt;=$H$2,$G1604&lt;&gt;"X",$F1604&lt;&gt;"Réalisé",$F1604&lt;&gt;"Clôturé"),"≤ 7 j",""))</f>
        <v/>
      </c>
      <c r="M1604" s="29">
        <f>IF($B1604="","",IFERROR(INDEX($T$4:$T$3183,MATCH(SMALL($V$4:$V$3183,1601),$V$4:$V$3183,0)),""))</f>
        <v/>
      </c>
      <c r="O1604">
        <f>IF(INDEX(Suivi!$B:$B,1635)="","",INDEX(Suivi!$B:$B,1635))</f>
        <v/>
      </c>
      <c r="P1604">
        <f>IF($O1604="","",IF(INDEX(Suivi!$D:$D,1635)="",INDEX(Suivi!$C:$C,1635),INDEX(Suivi!$D:$D,1635)))</f>
        <v/>
      </c>
      <c r="Q1604">
        <f>IF($O1604="","",INDEX(Suivi!$E:$E,1635))</f>
        <v/>
      </c>
      <c r="R1604">
        <f>IF($O1604="","",INDEX(Suivi!$F:$F,1635))</f>
        <v/>
      </c>
      <c r="S1604">
        <f>IF($O1604="","",INDEX(Suivi!$G:$G,1635))</f>
        <v/>
      </c>
      <c r="T1604">
        <f>IF($O1604="","",IF(INDEX(Dossiers!$F$4:$F$63,31)="","",INDEX(Dossiers!$F$4:$F$63,31)))</f>
        <v/>
      </c>
      <c r="U1604">
        <f>IF($O1604="","",IF(INDEX(Dossiers!$G$4:$G$63,31)="","",INDEX(Dossiers!$G$4:$G$63,31)))</f>
        <v/>
      </c>
      <c r="V1604">
        <f>IF(OR($O1604="",NOT(ISNUMBER($Q1604))),"",$Q1604*1000000+1604)</f>
        <v/>
      </c>
      <c r="W1604" s="29">
        <f>IF($B1604="","",IFERROR(INDEX($U$4:$U$3183,MATCH(SMALL($V$4:$V$3183,1601),$V$4:$V$3183,0)),""))</f>
        <v/>
      </c>
    </row>
    <row r="1605">
      <c r="A1605">
        <f>IFERROR(INDEX($N$4:$N$3183,MATCH(SMALL($V$4:$V$3183,1602),$V$4:$V$3183,0)),"")</f>
        <v/>
      </c>
      <c r="B1605">
        <f>IFERROR(INDEX($O$4:$O$3183,MATCH(SMALL($V$4:$V$3183,1602),$V$4:$V$3183,0)),"")</f>
        <v/>
      </c>
      <c r="C1605">
        <f>IFERROR(INDEX($P$4:$P$3183,MATCH(SMALL($V$4:$V$3183,1602),$V$4:$V$3183,0)),"")</f>
        <v/>
      </c>
      <c r="D1605" s="29">
        <f>IFERROR(INDEX($Q$4:$Q$3183,MATCH(SMALL($V$4:$V$3183,1602),$V$4:$V$3183,0)),"")</f>
        <v/>
      </c>
      <c r="E1605" s="29">
        <f>IFERROR(INDEX($R$4:$R$3183,MATCH(SMALL($V$4:$V$3183,1602),$V$4:$V$3183,0)),"")</f>
        <v/>
      </c>
      <c r="F1605">
        <f>IFERROR(INDEX($S$4:$S$3183,MATCH(SMALL($V$4:$V$3183,1602),$V$4:$V$3183,0)),"")</f>
        <v/>
      </c>
      <c r="I1605" s="29">
        <f>IF($B1605="","",IFERROR(INDEX($U$4:$U$3183,MATCH(SMALL($V$4:$V$3183,1602),$V$4:$V$3183,0)),""))</f>
        <v/>
      </c>
      <c r="J1605">
        <f>IF($B1605="","",IF($D1605&gt;$F$2,"À venir",IF($E1605&lt;$D$2,"Passé","Dans la période")))</f>
        <v/>
      </c>
      <c r="K1605">
        <f>IF(OR($B1605="",NOT(ISNUMBER($D1605))),"",IF(AND($E1605&lt;$D$2,$G1605&lt;&gt;"X",$F1605&lt;&gt;"Réalisé",$F1605&lt;&gt;"Clôturé"),"RETARD",""))</f>
        <v/>
      </c>
      <c r="L1605">
        <f>IF(OR($B1605="",NOT(ISNUMBER($D1605))),"",IF(AND($D1605&gt;=$D$2,$D1605&lt;=$H$2,$G1605&lt;&gt;"X",$F1605&lt;&gt;"Réalisé",$F1605&lt;&gt;"Clôturé"),"≤ 7 j",""))</f>
        <v/>
      </c>
      <c r="M1605" s="29">
        <f>IF($B1605="","",IFERROR(INDEX($T$4:$T$3183,MATCH(SMALL($V$4:$V$3183,1602),$V$4:$V$3183,0)),""))</f>
        <v/>
      </c>
      <c r="O1605">
        <f>IF(INDEX(Suivi!$B:$B,1636)="","",INDEX(Suivi!$B:$B,1636))</f>
        <v/>
      </c>
      <c r="P1605">
        <f>IF($O1605="","",IF(INDEX(Suivi!$D:$D,1636)="",INDEX(Suivi!$C:$C,1636),INDEX(Suivi!$D:$D,1636)))</f>
        <v/>
      </c>
      <c r="Q1605">
        <f>IF($O1605="","",INDEX(Suivi!$E:$E,1636))</f>
        <v/>
      </c>
      <c r="R1605">
        <f>IF($O1605="","",INDEX(Suivi!$F:$F,1636))</f>
        <v/>
      </c>
      <c r="S1605">
        <f>IF($O1605="","",INDEX(Suivi!$G:$G,1636))</f>
        <v/>
      </c>
      <c r="T1605">
        <f>IF($O1605="","",IF(INDEX(Dossiers!$F$4:$F$63,31)="","",INDEX(Dossiers!$F$4:$F$63,31)))</f>
        <v/>
      </c>
      <c r="U1605">
        <f>IF($O1605="","",IF(INDEX(Dossiers!$G$4:$G$63,31)="","",INDEX(Dossiers!$G$4:$G$63,31)))</f>
        <v/>
      </c>
      <c r="V1605">
        <f>IF(OR($O1605="",NOT(ISNUMBER($Q1605))),"",$Q1605*1000000+1605)</f>
        <v/>
      </c>
      <c r="W1605" s="29">
        <f>IF($B1605="","",IFERROR(INDEX($U$4:$U$3183,MATCH(SMALL($V$4:$V$3183,1602),$V$4:$V$3183,0)),""))</f>
        <v/>
      </c>
    </row>
    <row r="1606">
      <c r="A1606">
        <f>IFERROR(INDEX($N$4:$N$3183,MATCH(SMALL($V$4:$V$3183,1603),$V$4:$V$3183,0)),"")</f>
        <v/>
      </c>
      <c r="B1606">
        <f>IFERROR(INDEX($O$4:$O$3183,MATCH(SMALL($V$4:$V$3183,1603),$V$4:$V$3183,0)),"")</f>
        <v/>
      </c>
      <c r="C1606">
        <f>IFERROR(INDEX($P$4:$P$3183,MATCH(SMALL($V$4:$V$3183,1603),$V$4:$V$3183,0)),"")</f>
        <v/>
      </c>
      <c r="D1606" s="29">
        <f>IFERROR(INDEX($Q$4:$Q$3183,MATCH(SMALL($V$4:$V$3183,1603),$V$4:$V$3183,0)),"")</f>
        <v/>
      </c>
      <c r="E1606" s="29">
        <f>IFERROR(INDEX($R$4:$R$3183,MATCH(SMALL($V$4:$V$3183,1603),$V$4:$V$3183,0)),"")</f>
        <v/>
      </c>
      <c r="F1606">
        <f>IFERROR(INDEX($S$4:$S$3183,MATCH(SMALL($V$4:$V$3183,1603),$V$4:$V$3183,0)),"")</f>
        <v/>
      </c>
      <c r="I1606" s="29">
        <f>IF($B1606="","",IFERROR(INDEX($U$4:$U$3183,MATCH(SMALL($V$4:$V$3183,1603),$V$4:$V$3183,0)),""))</f>
        <v/>
      </c>
      <c r="J1606">
        <f>IF($B1606="","",IF($D1606&gt;$F$2,"À venir",IF($E1606&lt;$D$2,"Passé","Dans la période")))</f>
        <v/>
      </c>
      <c r="K1606">
        <f>IF(OR($B1606="",NOT(ISNUMBER($D1606))),"",IF(AND($E1606&lt;$D$2,$G1606&lt;&gt;"X",$F1606&lt;&gt;"Réalisé",$F1606&lt;&gt;"Clôturé"),"RETARD",""))</f>
        <v/>
      </c>
      <c r="L1606">
        <f>IF(OR($B1606="",NOT(ISNUMBER($D1606))),"",IF(AND($D1606&gt;=$D$2,$D1606&lt;=$H$2,$G1606&lt;&gt;"X",$F1606&lt;&gt;"Réalisé",$F1606&lt;&gt;"Clôturé"),"≤ 7 j",""))</f>
        <v/>
      </c>
      <c r="M1606" s="29">
        <f>IF($B1606="","",IFERROR(INDEX($T$4:$T$3183,MATCH(SMALL($V$4:$V$3183,1603),$V$4:$V$3183,0)),""))</f>
        <v/>
      </c>
      <c r="O1606">
        <f>IF(INDEX(Suivi!$B:$B,1637)="","",INDEX(Suivi!$B:$B,1637))</f>
        <v/>
      </c>
      <c r="P1606">
        <f>IF($O1606="","",IF(INDEX(Suivi!$D:$D,1637)="",INDEX(Suivi!$C:$C,1637),INDEX(Suivi!$D:$D,1637)))</f>
        <v/>
      </c>
      <c r="Q1606">
        <f>IF($O1606="","",INDEX(Suivi!$E:$E,1637))</f>
        <v/>
      </c>
      <c r="R1606">
        <f>IF($O1606="","",INDEX(Suivi!$F:$F,1637))</f>
        <v/>
      </c>
      <c r="S1606">
        <f>IF($O1606="","",INDEX(Suivi!$G:$G,1637))</f>
        <v/>
      </c>
      <c r="T1606">
        <f>IF($O1606="","",IF(INDEX(Dossiers!$F$4:$F$63,31)="","",INDEX(Dossiers!$F$4:$F$63,31)))</f>
        <v/>
      </c>
      <c r="U1606">
        <f>IF($O1606="","",IF(INDEX(Dossiers!$G$4:$G$63,31)="","",INDEX(Dossiers!$G$4:$G$63,31)))</f>
        <v/>
      </c>
      <c r="V1606">
        <f>IF(OR($O1606="",NOT(ISNUMBER($Q1606))),"",$Q1606*1000000+1606)</f>
        <v/>
      </c>
      <c r="W1606" s="29">
        <f>IF($B1606="","",IFERROR(INDEX($U$4:$U$3183,MATCH(SMALL($V$4:$V$3183,1603),$V$4:$V$3183,0)),""))</f>
        <v/>
      </c>
    </row>
    <row r="1607">
      <c r="A1607">
        <f>IFERROR(INDEX($N$4:$N$3183,MATCH(SMALL($V$4:$V$3183,1604),$V$4:$V$3183,0)),"")</f>
        <v/>
      </c>
      <c r="B1607">
        <f>IFERROR(INDEX($O$4:$O$3183,MATCH(SMALL($V$4:$V$3183,1604),$V$4:$V$3183,0)),"")</f>
        <v/>
      </c>
      <c r="C1607">
        <f>IFERROR(INDEX($P$4:$P$3183,MATCH(SMALL($V$4:$V$3183,1604),$V$4:$V$3183,0)),"")</f>
        <v/>
      </c>
      <c r="D1607" s="29">
        <f>IFERROR(INDEX($Q$4:$Q$3183,MATCH(SMALL($V$4:$V$3183,1604),$V$4:$V$3183,0)),"")</f>
        <v/>
      </c>
      <c r="E1607" s="29">
        <f>IFERROR(INDEX($R$4:$R$3183,MATCH(SMALL($V$4:$V$3183,1604),$V$4:$V$3183,0)),"")</f>
        <v/>
      </c>
      <c r="F1607">
        <f>IFERROR(INDEX($S$4:$S$3183,MATCH(SMALL($V$4:$V$3183,1604),$V$4:$V$3183,0)),"")</f>
        <v/>
      </c>
      <c r="I1607" s="29">
        <f>IF($B1607="","",IFERROR(INDEX($U$4:$U$3183,MATCH(SMALL($V$4:$V$3183,1604),$V$4:$V$3183,0)),""))</f>
        <v/>
      </c>
      <c r="J1607">
        <f>IF($B1607="","",IF($D1607&gt;$F$2,"À venir",IF($E1607&lt;$D$2,"Passé","Dans la période")))</f>
        <v/>
      </c>
      <c r="K1607">
        <f>IF(OR($B1607="",NOT(ISNUMBER($D1607))),"",IF(AND($E1607&lt;$D$2,$G1607&lt;&gt;"X",$F1607&lt;&gt;"Réalisé",$F1607&lt;&gt;"Clôturé"),"RETARD",""))</f>
        <v/>
      </c>
      <c r="L1607">
        <f>IF(OR($B1607="",NOT(ISNUMBER($D1607))),"",IF(AND($D1607&gt;=$D$2,$D1607&lt;=$H$2,$G1607&lt;&gt;"X",$F1607&lt;&gt;"Réalisé",$F1607&lt;&gt;"Clôturé"),"≤ 7 j",""))</f>
        <v/>
      </c>
      <c r="M1607" s="29">
        <f>IF($B1607="","",IFERROR(INDEX($T$4:$T$3183,MATCH(SMALL($V$4:$V$3183,1604),$V$4:$V$3183,0)),""))</f>
        <v/>
      </c>
      <c r="O1607">
        <f>IF(INDEX(Suivi!$B:$B,1638)="","",INDEX(Suivi!$B:$B,1638))</f>
        <v/>
      </c>
      <c r="P1607">
        <f>IF($O1607="","",IF(INDEX(Suivi!$D:$D,1638)="",INDEX(Suivi!$C:$C,1638),INDEX(Suivi!$D:$D,1638)))</f>
        <v/>
      </c>
      <c r="Q1607">
        <f>IF($O1607="","",INDEX(Suivi!$E:$E,1638))</f>
        <v/>
      </c>
      <c r="R1607">
        <f>IF($O1607="","",INDEX(Suivi!$F:$F,1638))</f>
        <v/>
      </c>
      <c r="S1607">
        <f>IF($O1607="","",INDEX(Suivi!$G:$G,1638))</f>
        <v/>
      </c>
      <c r="T1607">
        <f>IF($O1607="","",IF(INDEX(Dossiers!$F$4:$F$63,31)="","",INDEX(Dossiers!$F$4:$F$63,31)))</f>
        <v/>
      </c>
      <c r="U1607">
        <f>IF($O1607="","",IF(INDEX(Dossiers!$G$4:$G$63,31)="","",INDEX(Dossiers!$G$4:$G$63,31)))</f>
        <v/>
      </c>
      <c r="V1607">
        <f>IF(OR($O1607="",NOT(ISNUMBER($Q1607))),"",$Q1607*1000000+1607)</f>
        <v/>
      </c>
      <c r="W1607" s="29">
        <f>IF($B1607="","",IFERROR(INDEX($U$4:$U$3183,MATCH(SMALL($V$4:$V$3183,1604),$V$4:$V$3183,0)),""))</f>
        <v/>
      </c>
    </row>
    <row r="1608">
      <c r="A1608">
        <f>IFERROR(INDEX($N$4:$N$3183,MATCH(SMALL($V$4:$V$3183,1605),$V$4:$V$3183,0)),"")</f>
        <v/>
      </c>
      <c r="B1608">
        <f>IFERROR(INDEX($O$4:$O$3183,MATCH(SMALL($V$4:$V$3183,1605),$V$4:$V$3183,0)),"")</f>
        <v/>
      </c>
      <c r="C1608">
        <f>IFERROR(INDEX($P$4:$P$3183,MATCH(SMALL($V$4:$V$3183,1605),$V$4:$V$3183,0)),"")</f>
        <v/>
      </c>
      <c r="D1608" s="29">
        <f>IFERROR(INDEX($Q$4:$Q$3183,MATCH(SMALL($V$4:$V$3183,1605),$V$4:$V$3183,0)),"")</f>
        <v/>
      </c>
      <c r="E1608" s="29">
        <f>IFERROR(INDEX($R$4:$R$3183,MATCH(SMALL($V$4:$V$3183,1605),$V$4:$V$3183,0)),"")</f>
        <v/>
      </c>
      <c r="F1608">
        <f>IFERROR(INDEX($S$4:$S$3183,MATCH(SMALL($V$4:$V$3183,1605),$V$4:$V$3183,0)),"")</f>
        <v/>
      </c>
      <c r="I1608" s="29">
        <f>IF($B1608="","",IFERROR(INDEX($U$4:$U$3183,MATCH(SMALL($V$4:$V$3183,1605),$V$4:$V$3183,0)),""))</f>
        <v/>
      </c>
      <c r="J1608">
        <f>IF($B1608="","",IF($D1608&gt;$F$2,"À venir",IF($E1608&lt;$D$2,"Passé","Dans la période")))</f>
        <v/>
      </c>
      <c r="K1608">
        <f>IF(OR($B1608="",NOT(ISNUMBER($D1608))),"",IF(AND($E1608&lt;$D$2,$G1608&lt;&gt;"X",$F1608&lt;&gt;"Réalisé",$F1608&lt;&gt;"Clôturé"),"RETARD",""))</f>
        <v/>
      </c>
      <c r="L1608">
        <f>IF(OR($B1608="",NOT(ISNUMBER($D1608))),"",IF(AND($D1608&gt;=$D$2,$D1608&lt;=$H$2,$G1608&lt;&gt;"X",$F1608&lt;&gt;"Réalisé",$F1608&lt;&gt;"Clôturé"),"≤ 7 j",""))</f>
        <v/>
      </c>
      <c r="M1608" s="29">
        <f>IF($B1608="","",IFERROR(INDEX($T$4:$T$3183,MATCH(SMALL($V$4:$V$3183,1605),$V$4:$V$3183,0)),""))</f>
        <v/>
      </c>
      <c r="O1608">
        <f>IF(INDEX(Suivi!$B:$B,1639)="","",INDEX(Suivi!$B:$B,1639))</f>
        <v/>
      </c>
      <c r="P1608">
        <f>IF($O1608="","",IF(INDEX(Suivi!$D:$D,1639)="",INDEX(Suivi!$C:$C,1639),INDEX(Suivi!$D:$D,1639)))</f>
        <v/>
      </c>
      <c r="Q1608">
        <f>IF($O1608="","",INDEX(Suivi!$E:$E,1639))</f>
        <v/>
      </c>
      <c r="R1608">
        <f>IF($O1608="","",INDEX(Suivi!$F:$F,1639))</f>
        <v/>
      </c>
      <c r="S1608">
        <f>IF($O1608="","",INDEX(Suivi!$G:$G,1639))</f>
        <v/>
      </c>
      <c r="T1608">
        <f>IF($O1608="","",IF(INDEX(Dossiers!$F$4:$F$63,31)="","",INDEX(Dossiers!$F$4:$F$63,31)))</f>
        <v/>
      </c>
      <c r="U1608">
        <f>IF($O1608="","",IF(INDEX(Dossiers!$G$4:$G$63,31)="","",INDEX(Dossiers!$G$4:$G$63,31)))</f>
        <v/>
      </c>
      <c r="V1608">
        <f>IF(OR($O1608="",NOT(ISNUMBER($Q1608))),"",$Q1608*1000000+1608)</f>
        <v/>
      </c>
      <c r="W1608" s="29">
        <f>IF($B1608="","",IFERROR(INDEX($U$4:$U$3183,MATCH(SMALL($V$4:$V$3183,1605),$V$4:$V$3183,0)),""))</f>
        <v/>
      </c>
    </row>
    <row r="1609">
      <c r="A1609">
        <f>IFERROR(INDEX($N$4:$N$3183,MATCH(SMALL($V$4:$V$3183,1606),$V$4:$V$3183,0)),"")</f>
        <v/>
      </c>
      <c r="B1609">
        <f>IFERROR(INDEX($O$4:$O$3183,MATCH(SMALL($V$4:$V$3183,1606),$V$4:$V$3183,0)),"")</f>
        <v/>
      </c>
      <c r="C1609">
        <f>IFERROR(INDEX($P$4:$P$3183,MATCH(SMALL($V$4:$V$3183,1606),$V$4:$V$3183,0)),"")</f>
        <v/>
      </c>
      <c r="D1609" s="29">
        <f>IFERROR(INDEX($Q$4:$Q$3183,MATCH(SMALL($V$4:$V$3183,1606),$V$4:$V$3183,0)),"")</f>
        <v/>
      </c>
      <c r="E1609" s="29">
        <f>IFERROR(INDEX($R$4:$R$3183,MATCH(SMALL($V$4:$V$3183,1606),$V$4:$V$3183,0)),"")</f>
        <v/>
      </c>
      <c r="F1609">
        <f>IFERROR(INDEX($S$4:$S$3183,MATCH(SMALL($V$4:$V$3183,1606),$V$4:$V$3183,0)),"")</f>
        <v/>
      </c>
      <c r="I1609" s="29">
        <f>IF($B1609="","",IFERROR(INDEX($U$4:$U$3183,MATCH(SMALL($V$4:$V$3183,1606),$V$4:$V$3183,0)),""))</f>
        <v/>
      </c>
      <c r="J1609">
        <f>IF($B1609="","",IF($D1609&gt;$F$2,"À venir",IF($E1609&lt;$D$2,"Passé","Dans la période")))</f>
        <v/>
      </c>
      <c r="K1609">
        <f>IF(OR($B1609="",NOT(ISNUMBER($D1609))),"",IF(AND($E1609&lt;$D$2,$G1609&lt;&gt;"X",$F1609&lt;&gt;"Réalisé",$F1609&lt;&gt;"Clôturé"),"RETARD",""))</f>
        <v/>
      </c>
      <c r="L1609">
        <f>IF(OR($B1609="",NOT(ISNUMBER($D1609))),"",IF(AND($D1609&gt;=$D$2,$D1609&lt;=$H$2,$G1609&lt;&gt;"X",$F1609&lt;&gt;"Réalisé",$F1609&lt;&gt;"Clôturé"),"≤ 7 j",""))</f>
        <v/>
      </c>
      <c r="M1609" s="29">
        <f>IF($B1609="","",IFERROR(INDEX($T$4:$T$3183,MATCH(SMALL($V$4:$V$3183,1606),$V$4:$V$3183,0)),""))</f>
        <v/>
      </c>
      <c r="O1609">
        <f>IF(INDEX(Suivi!$B:$B,1640)="","",INDEX(Suivi!$B:$B,1640))</f>
        <v/>
      </c>
      <c r="P1609">
        <f>IF($O1609="","",IF(INDEX(Suivi!$D:$D,1640)="",INDEX(Suivi!$C:$C,1640),INDEX(Suivi!$D:$D,1640)))</f>
        <v/>
      </c>
      <c r="Q1609">
        <f>IF($O1609="","",INDEX(Suivi!$E:$E,1640))</f>
        <v/>
      </c>
      <c r="R1609">
        <f>IF($O1609="","",INDEX(Suivi!$F:$F,1640))</f>
        <v/>
      </c>
      <c r="S1609">
        <f>IF($O1609="","",INDEX(Suivi!$G:$G,1640))</f>
        <v/>
      </c>
      <c r="T1609">
        <f>IF($O1609="","",IF(INDEX(Dossiers!$F$4:$F$63,31)="","",INDEX(Dossiers!$F$4:$F$63,31)))</f>
        <v/>
      </c>
      <c r="U1609">
        <f>IF($O1609="","",IF(INDEX(Dossiers!$G$4:$G$63,31)="","",INDEX(Dossiers!$G$4:$G$63,31)))</f>
        <v/>
      </c>
      <c r="V1609">
        <f>IF(OR($O1609="",NOT(ISNUMBER($Q1609))),"",$Q1609*1000000+1609)</f>
        <v/>
      </c>
      <c r="W1609" s="29">
        <f>IF($B1609="","",IFERROR(INDEX($U$4:$U$3183,MATCH(SMALL($V$4:$V$3183,1606),$V$4:$V$3183,0)),""))</f>
        <v/>
      </c>
    </row>
    <row r="1610">
      <c r="A1610">
        <f>IFERROR(INDEX($N$4:$N$3183,MATCH(SMALL($V$4:$V$3183,1607),$V$4:$V$3183,0)),"")</f>
        <v/>
      </c>
      <c r="B1610">
        <f>IFERROR(INDEX($O$4:$O$3183,MATCH(SMALL($V$4:$V$3183,1607),$V$4:$V$3183,0)),"")</f>
        <v/>
      </c>
      <c r="C1610">
        <f>IFERROR(INDEX($P$4:$P$3183,MATCH(SMALL($V$4:$V$3183,1607),$V$4:$V$3183,0)),"")</f>
        <v/>
      </c>
      <c r="D1610" s="29">
        <f>IFERROR(INDEX($Q$4:$Q$3183,MATCH(SMALL($V$4:$V$3183,1607),$V$4:$V$3183,0)),"")</f>
        <v/>
      </c>
      <c r="E1610" s="29">
        <f>IFERROR(INDEX($R$4:$R$3183,MATCH(SMALL($V$4:$V$3183,1607),$V$4:$V$3183,0)),"")</f>
        <v/>
      </c>
      <c r="F1610">
        <f>IFERROR(INDEX($S$4:$S$3183,MATCH(SMALL($V$4:$V$3183,1607),$V$4:$V$3183,0)),"")</f>
        <v/>
      </c>
      <c r="I1610" s="29">
        <f>IF($B1610="","",IFERROR(INDEX($U$4:$U$3183,MATCH(SMALL($V$4:$V$3183,1607),$V$4:$V$3183,0)),""))</f>
        <v/>
      </c>
      <c r="J1610">
        <f>IF($B1610="","",IF($D1610&gt;$F$2,"À venir",IF($E1610&lt;$D$2,"Passé","Dans la période")))</f>
        <v/>
      </c>
      <c r="K1610">
        <f>IF(OR($B1610="",NOT(ISNUMBER($D1610))),"",IF(AND($E1610&lt;$D$2,$G1610&lt;&gt;"X",$F1610&lt;&gt;"Réalisé",$F1610&lt;&gt;"Clôturé"),"RETARD",""))</f>
        <v/>
      </c>
      <c r="L1610">
        <f>IF(OR($B1610="",NOT(ISNUMBER($D1610))),"",IF(AND($D1610&gt;=$D$2,$D1610&lt;=$H$2,$G1610&lt;&gt;"X",$F1610&lt;&gt;"Réalisé",$F1610&lt;&gt;"Clôturé"),"≤ 7 j",""))</f>
        <v/>
      </c>
      <c r="M1610" s="29">
        <f>IF($B1610="","",IFERROR(INDEX($T$4:$T$3183,MATCH(SMALL($V$4:$V$3183,1607),$V$4:$V$3183,0)),""))</f>
        <v/>
      </c>
      <c r="O1610">
        <f>IF(INDEX(Suivi!$B:$B,1641)="","",INDEX(Suivi!$B:$B,1641))</f>
        <v/>
      </c>
      <c r="P1610">
        <f>IF($O1610="","",IF(INDEX(Suivi!$D:$D,1641)="",INDEX(Suivi!$C:$C,1641),INDEX(Suivi!$D:$D,1641)))</f>
        <v/>
      </c>
      <c r="Q1610">
        <f>IF($O1610="","",INDEX(Suivi!$E:$E,1641))</f>
        <v/>
      </c>
      <c r="R1610">
        <f>IF($O1610="","",INDEX(Suivi!$F:$F,1641))</f>
        <v/>
      </c>
      <c r="S1610">
        <f>IF($O1610="","",INDEX(Suivi!$G:$G,1641))</f>
        <v/>
      </c>
      <c r="T1610">
        <f>IF($O1610="","",IF(INDEX(Dossiers!$F$4:$F$63,31)="","",INDEX(Dossiers!$F$4:$F$63,31)))</f>
        <v/>
      </c>
      <c r="U1610">
        <f>IF($O1610="","",IF(INDEX(Dossiers!$G$4:$G$63,31)="","",INDEX(Dossiers!$G$4:$G$63,31)))</f>
        <v/>
      </c>
      <c r="V1610">
        <f>IF(OR($O1610="",NOT(ISNUMBER($Q1610))),"",$Q1610*1000000+1610)</f>
        <v/>
      </c>
      <c r="W1610" s="29">
        <f>IF($B1610="","",IFERROR(INDEX($U$4:$U$3183,MATCH(SMALL($V$4:$V$3183,1607),$V$4:$V$3183,0)),""))</f>
        <v/>
      </c>
    </row>
    <row r="1611">
      <c r="A1611">
        <f>IFERROR(INDEX($N$4:$N$3183,MATCH(SMALL($V$4:$V$3183,1608),$V$4:$V$3183,0)),"")</f>
        <v/>
      </c>
      <c r="B1611">
        <f>IFERROR(INDEX($O$4:$O$3183,MATCH(SMALL($V$4:$V$3183,1608),$V$4:$V$3183,0)),"")</f>
        <v/>
      </c>
      <c r="C1611">
        <f>IFERROR(INDEX($P$4:$P$3183,MATCH(SMALL($V$4:$V$3183,1608),$V$4:$V$3183,0)),"")</f>
        <v/>
      </c>
      <c r="D1611" s="29">
        <f>IFERROR(INDEX($Q$4:$Q$3183,MATCH(SMALL($V$4:$V$3183,1608),$V$4:$V$3183,0)),"")</f>
        <v/>
      </c>
      <c r="E1611" s="29">
        <f>IFERROR(INDEX($R$4:$R$3183,MATCH(SMALL($V$4:$V$3183,1608),$V$4:$V$3183,0)),"")</f>
        <v/>
      </c>
      <c r="F1611">
        <f>IFERROR(INDEX($S$4:$S$3183,MATCH(SMALL($V$4:$V$3183,1608),$V$4:$V$3183,0)),"")</f>
        <v/>
      </c>
      <c r="I1611" s="29">
        <f>IF($B1611="","",IFERROR(INDEX($U$4:$U$3183,MATCH(SMALL($V$4:$V$3183,1608),$V$4:$V$3183,0)),""))</f>
        <v/>
      </c>
      <c r="J1611">
        <f>IF($B1611="","",IF($D1611&gt;$F$2,"À venir",IF($E1611&lt;$D$2,"Passé","Dans la période")))</f>
        <v/>
      </c>
      <c r="K1611">
        <f>IF(OR($B1611="",NOT(ISNUMBER($D1611))),"",IF(AND($E1611&lt;$D$2,$G1611&lt;&gt;"X",$F1611&lt;&gt;"Réalisé",$F1611&lt;&gt;"Clôturé"),"RETARD",""))</f>
        <v/>
      </c>
      <c r="L1611">
        <f>IF(OR($B1611="",NOT(ISNUMBER($D1611))),"",IF(AND($D1611&gt;=$D$2,$D1611&lt;=$H$2,$G1611&lt;&gt;"X",$F1611&lt;&gt;"Réalisé",$F1611&lt;&gt;"Clôturé"),"≤ 7 j",""))</f>
        <v/>
      </c>
      <c r="M1611" s="29">
        <f>IF($B1611="","",IFERROR(INDEX($T$4:$T$3183,MATCH(SMALL($V$4:$V$3183,1608),$V$4:$V$3183,0)),""))</f>
        <v/>
      </c>
      <c r="O1611">
        <f>IF(INDEX(Suivi!$B:$B,1642)="","",INDEX(Suivi!$B:$B,1642))</f>
        <v/>
      </c>
      <c r="P1611">
        <f>IF($O1611="","",IF(INDEX(Suivi!$D:$D,1642)="",INDEX(Suivi!$C:$C,1642),INDEX(Suivi!$D:$D,1642)))</f>
        <v/>
      </c>
      <c r="Q1611">
        <f>IF($O1611="","",INDEX(Suivi!$E:$E,1642))</f>
        <v/>
      </c>
      <c r="R1611">
        <f>IF($O1611="","",INDEX(Suivi!$F:$F,1642))</f>
        <v/>
      </c>
      <c r="S1611">
        <f>IF($O1611="","",INDEX(Suivi!$G:$G,1642))</f>
        <v/>
      </c>
      <c r="T1611">
        <f>IF($O1611="","",IF(INDEX(Dossiers!$F$4:$F$63,31)="","",INDEX(Dossiers!$F$4:$F$63,31)))</f>
        <v/>
      </c>
      <c r="U1611">
        <f>IF($O1611="","",IF(INDEX(Dossiers!$G$4:$G$63,31)="","",INDEX(Dossiers!$G$4:$G$63,31)))</f>
        <v/>
      </c>
      <c r="V1611">
        <f>IF(OR($O1611="",NOT(ISNUMBER($Q1611))),"",$Q1611*1000000+1611)</f>
        <v/>
      </c>
      <c r="W1611" s="29">
        <f>IF($B1611="","",IFERROR(INDEX($U$4:$U$3183,MATCH(SMALL($V$4:$V$3183,1608),$V$4:$V$3183,0)),""))</f>
        <v/>
      </c>
    </row>
    <row r="1612">
      <c r="A1612">
        <f>IFERROR(INDEX($N$4:$N$3183,MATCH(SMALL($V$4:$V$3183,1609),$V$4:$V$3183,0)),"")</f>
        <v/>
      </c>
      <c r="B1612">
        <f>IFERROR(INDEX($O$4:$O$3183,MATCH(SMALL($V$4:$V$3183,1609),$V$4:$V$3183,0)),"")</f>
        <v/>
      </c>
      <c r="C1612">
        <f>IFERROR(INDEX($P$4:$P$3183,MATCH(SMALL($V$4:$V$3183,1609),$V$4:$V$3183,0)),"")</f>
        <v/>
      </c>
      <c r="D1612" s="29">
        <f>IFERROR(INDEX($Q$4:$Q$3183,MATCH(SMALL($V$4:$V$3183,1609),$V$4:$V$3183,0)),"")</f>
        <v/>
      </c>
      <c r="E1612" s="29">
        <f>IFERROR(INDEX($R$4:$R$3183,MATCH(SMALL($V$4:$V$3183,1609),$V$4:$V$3183,0)),"")</f>
        <v/>
      </c>
      <c r="F1612">
        <f>IFERROR(INDEX($S$4:$S$3183,MATCH(SMALL($V$4:$V$3183,1609),$V$4:$V$3183,0)),"")</f>
        <v/>
      </c>
      <c r="I1612" s="29">
        <f>IF($B1612="","",IFERROR(INDEX($U$4:$U$3183,MATCH(SMALL($V$4:$V$3183,1609),$V$4:$V$3183,0)),""))</f>
        <v/>
      </c>
      <c r="J1612">
        <f>IF($B1612="","",IF($D1612&gt;$F$2,"À venir",IF($E1612&lt;$D$2,"Passé","Dans la période")))</f>
        <v/>
      </c>
      <c r="K1612">
        <f>IF(OR($B1612="",NOT(ISNUMBER($D1612))),"",IF(AND($E1612&lt;$D$2,$G1612&lt;&gt;"X",$F1612&lt;&gt;"Réalisé",$F1612&lt;&gt;"Clôturé"),"RETARD",""))</f>
        <v/>
      </c>
      <c r="L1612">
        <f>IF(OR($B1612="",NOT(ISNUMBER($D1612))),"",IF(AND($D1612&gt;=$D$2,$D1612&lt;=$H$2,$G1612&lt;&gt;"X",$F1612&lt;&gt;"Réalisé",$F1612&lt;&gt;"Clôturé"),"≤ 7 j",""))</f>
        <v/>
      </c>
      <c r="M1612" s="29">
        <f>IF($B1612="","",IFERROR(INDEX($T$4:$T$3183,MATCH(SMALL($V$4:$V$3183,1609),$V$4:$V$3183,0)),""))</f>
        <v/>
      </c>
      <c r="O1612">
        <f>IF(INDEX(Suivi!$B:$B,1643)="","",INDEX(Suivi!$B:$B,1643))</f>
        <v/>
      </c>
      <c r="P1612">
        <f>IF($O1612="","",IF(INDEX(Suivi!$D:$D,1643)="",INDEX(Suivi!$C:$C,1643),INDEX(Suivi!$D:$D,1643)))</f>
        <v/>
      </c>
      <c r="Q1612">
        <f>IF($O1612="","",INDEX(Suivi!$E:$E,1643))</f>
        <v/>
      </c>
      <c r="R1612">
        <f>IF($O1612="","",INDEX(Suivi!$F:$F,1643))</f>
        <v/>
      </c>
      <c r="S1612">
        <f>IF($O1612="","",INDEX(Suivi!$G:$G,1643))</f>
        <v/>
      </c>
      <c r="T1612">
        <f>IF($O1612="","",IF(INDEX(Dossiers!$F$4:$F$63,31)="","",INDEX(Dossiers!$F$4:$F$63,31)))</f>
        <v/>
      </c>
      <c r="U1612">
        <f>IF($O1612="","",IF(INDEX(Dossiers!$G$4:$G$63,31)="","",INDEX(Dossiers!$G$4:$G$63,31)))</f>
        <v/>
      </c>
      <c r="V1612">
        <f>IF(OR($O1612="",NOT(ISNUMBER($Q1612))),"",$Q1612*1000000+1612)</f>
        <v/>
      </c>
      <c r="W1612" s="29">
        <f>IF($B1612="","",IFERROR(INDEX($U$4:$U$3183,MATCH(SMALL($V$4:$V$3183,1609),$V$4:$V$3183,0)),""))</f>
        <v/>
      </c>
    </row>
    <row r="1613">
      <c r="A1613">
        <f>IFERROR(INDEX($N$4:$N$3183,MATCH(SMALL($V$4:$V$3183,1610),$V$4:$V$3183,0)),"")</f>
        <v/>
      </c>
      <c r="B1613">
        <f>IFERROR(INDEX($O$4:$O$3183,MATCH(SMALL($V$4:$V$3183,1610),$V$4:$V$3183,0)),"")</f>
        <v/>
      </c>
      <c r="C1613">
        <f>IFERROR(INDEX($P$4:$P$3183,MATCH(SMALL($V$4:$V$3183,1610),$V$4:$V$3183,0)),"")</f>
        <v/>
      </c>
      <c r="D1613" s="29">
        <f>IFERROR(INDEX($Q$4:$Q$3183,MATCH(SMALL($V$4:$V$3183,1610),$V$4:$V$3183,0)),"")</f>
        <v/>
      </c>
      <c r="E1613" s="29">
        <f>IFERROR(INDEX($R$4:$R$3183,MATCH(SMALL($V$4:$V$3183,1610),$V$4:$V$3183,0)),"")</f>
        <v/>
      </c>
      <c r="F1613">
        <f>IFERROR(INDEX($S$4:$S$3183,MATCH(SMALL($V$4:$V$3183,1610),$V$4:$V$3183,0)),"")</f>
        <v/>
      </c>
      <c r="I1613" s="29">
        <f>IF($B1613="","",IFERROR(INDEX($U$4:$U$3183,MATCH(SMALL($V$4:$V$3183,1610),$V$4:$V$3183,0)),""))</f>
        <v/>
      </c>
      <c r="J1613">
        <f>IF($B1613="","",IF($D1613&gt;$F$2,"À venir",IF($E1613&lt;$D$2,"Passé","Dans la période")))</f>
        <v/>
      </c>
      <c r="K1613">
        <f>IF(OR($B1613="",NOT(ISNUMBER($D1613))),"",IF(AND($E1613&lt;$D$2,$G1613&lt;&gt;"X",$F1613&lt;&gt;"Réalisé",$F1613&lt;&gt;"Clôturé"),"RETARD",""))</f>
        <v/>
      </c>
      <c r="L1613">
        <f>IF(OR($B1613="",NOT(ISNUMBER($D1613))),"",IF(AND($D1613&gt;=$D$2,$D1613&lt;=$H$2,$G1613&lt;&gt;"X",$F1613&lt;&gt;"Réalisé",$F1613&lt;&gt;"Clôturé"),"≤ 7 j",""))</f>
        <v/>
      </c>
      <c r="M1613" s="29">
        <f>IF($B1613="","",IFERROR(INDEX($T$4:$T$3183,MATCH(SMALL($V$4:$V$3183,1610),$V$4:$V$3183,0)),""))</f>
        <v/>
      </c>
      <c r="O1613">
        <f>IF(INDEX(Suivi!$B:$B,1644)="","",INDEX(Suivi!$B:$B,1644))</f>
        <v/>
      </c>
      <c r="P1613">
        <f>IF($O1613="","",IF(INDEX(Suivi!$D:$D,1644)="",INDEX(Suivi!$C:$C,1644),INDEX(Suivi!$D:$D,1644)))</f>
        <v/>
      </c>
      <c r="Q1613">
        <f>IF($O1613="","",INDEX(Suivi!$E:$E,1644))</f>
        <v/>
      </c>
      <c r="R1613">
        <f>IF($O1613="","",INDEX(Suivi!$F:$F,1644))</f>
        <v/>
      </c>
      <c r="S1613">
        <f>IF($O1613="","",INDEX(Suivi!$G:$G,1644))</f>
        <v/>
      </c>
      <c r="T1613">
        <f>IF($O1613="","",IF(INDEX(Dossiers!$F$4:$F$63,31)="","",INDEX(Dossiers!$F$4:$F$63,31)))</f>
        <v/>
      </c>
      <c r="U1613">
        <f>IF($O1613="","",IF(INDEX(Dossiers!$G$4:$G$63,31)="","",INDEX(Dossiers!$G$4:$G$63,31)))</f>
        <v/>
      </c>
      <c r="V1613">
        <f>IF(OR($O1613="",NOT(ISNUMBER($Q1613))),"",$Q1613*1000000+1613)</f>
        <v/>
      </c>
      <c r="W1613" s="29">
        <f>IF($B1613="","",IFERROR(INDEX($U$4:$U$3183,MATCH(SMALL($V$4:$V$3183,1610),$V$4:$V$3183,0)),""))</f>
        <v/>
      </c>
    </row>
    <row r="1614">
      <c r="A1614">
        <f>IFERROR(INDEX($N$4:$N$3183,MATCH(SMALL($V$4:$V$3183,1611),$V$4:$V$3183,0)),"")</f>
        <v/>
      </c>
      <c r="B1614">
        <f>IFERROR(INDEX($O$4:$O$3183,MATCH(SMALL($V$4:$V$3183,1611),$V$4:$V$3183,0)),"")</f>
        <v/>
      </c>
      <c r="C1614">
        <f>IFERROR(INDEX($P$4:$P$3183,MATCH(SMALL($V$4:$V$3183,1611),$V$4:$V$3183,0)),"")</f>
        <v/>
      </c>
      <c r="D1614" s="29">
        <f>IFERROR(INDEX($Q$4:$Q$3183,MATCH(SMALL($V$4:$V$3183,1611),$V$4:$V$3183,0)),"")</f>
        <v/>
      </c>
      <c r="E1614" s="29">
        <f>IFERROR(INDEX($R$4:$R$3183,MATCH(SMALL($V$4:$V$3183,1611),$V$4:$V$3183,0)),"")</f>
        <v/>
      </c>
      <c r="F1614">
        <f>IFERROR(INDEX($S$4:$S$3183,MATCH(SMALL($V$4:$V$3183,1611),$V$4:$V$3183,0)),"")</f>
        <v/>
      </c>
      <c r="I1614" s="29">
        <f>IF($B1614="","",IFERROR(INDEX($U$4:$U$3183,MATCH(SMALL($V$4:$V$3183,1611),$V$4:$V$3183,0)),""))</f>
        <v/>
      </c>
      <c r="J1614">
        <f>IF($B1614="","",IF($D1614&gt;$F$2,"À venir",IF($E1614&lt;$D$2,"Passé","Dans la période")))</f>
        <v/>
      </c>
      <c r="K1614">
        <f>IF(OR($B1614="",NOT(ISNUMBER($D1614))),"",IF(AND($E1614&lt;$D$2,$G1614&lt;&gt;"X",$F1614&lt;&gt;"Réalisé",$F1614&lt;&gt;"Clôturé"),"RETARD",""))</f>
        <v/>
      </c>
      <c r="L1614">
        <f>IF(OR($B1614="",NOT(ISNUMBER($D1614))),"",IF(AND($D1614&gt;=$D$2,$D1614&lt;=$H$2,$G1614&lt;&gt;"X",$F1614&lt;&gt;"Réalisé",$F1614&lt;&gt;"Clôturé"),"≤ 7 j",""))</f>
        <v/>
      </c>
      <c r="M1614" s="29">
        <f>IF($B1614="","",IFERROR(INDEX($T$4:$T$3183,MATCH(SMALL($V$4:$V$3183,1611),$V$4:$V$3183,0)),""))</f>
        <v/>
      </c>
      <c r="O1614">
        <f>IF(INDEX(Suivi!$B:$B,1645)="","",INDEX(Suivi!$B:$B,1645))</f>
        <v/>
      </c>
      <c r="P1614">
        <f>IF($O1614="","",IF(INDEX(Suivi!$D:$D,1645)="",INDEX(Suivi!$C:$C,1645),INDEX(Suivi!$D:$D,1645)))</f>
        <v/>
      </c>
      <c r="Q1614">
        <f>IF($O1614="","",INDEX(Suivi!$E:$E,1645))</f>
        <v/>
      </c>
      <c r="R1614">
        <f>IF($O1614="","",INDEX(Suivi!$F:$F,1645))</f>
        <v/>
      </c>
      <c r="S1614">
        <f>IF($O1614="","",INDEX(Suivi!$G:$G,1645))</f>
        <v/>
      </c>
      <c r="T1614">
        <f>IF($O1614="","",IF(INDEX(Dossiers!$F$4:$F$63,31)="","",INDEX(Dossiers!$F$4:$F$63,31)))</f>
        <v/>
      </c>
      <c r="U1614">
        <f>IF($O1614="","",IF(INDEX(Dossiers!$G$4:$G$63,31)="","",INDEX(Dossiers!$G$4:$G$63,31)))</f>
        <v/>
      </c>
      <c r="V1614">
        <f>IF(OR($O1614="",NOT(ISNUMBER($Q1614))),"",$Q1614*1000000+1614)</f>
        <v/>
      </c>
      <c r="W1614" s="29">
        <f>IF($B1614="","",IFERROR(INDEX($U$4:$U$3183,MATCH(SMALL($V$4:$V$3183,1611),$V$4:$V$3183,0)),""))</f>
        <v/>
      </c>
    </row>
    <row r="1615">
      <c r="A1615">
        <f>IFERROR(INDEX($N$4:$N$3183,MATCH(SMALL($V$4:$V$3183,1612),$V$4:$V$3183,0)),"")</f>
        <v/>
      </c>
      <c r="B1615">
        <f>IFERROR(INDEX($O$4:$O$3183,MATCH(SMALL($V$4:$V$3183,1612),$V$4:$V$3183,0)),"")</f>
        <v/>
      </c>
      <c r="C1615">
        <f>IFERROR(INDEX($P$4:$P$3183,MATCH(SMALL($V$4:$V$3183,1612),$V$4:$V$3183,0)),"")</f>
        <v/>
      </c>
      <c r="D1615" s="29">
        <f>IFERROR(INDEX($Q$4:$Q$3183,MATCH(SMALL($V$4:$V$3183,1612),$V$4:$V$3183,0)),"")</f>
        <v/>
      </c>
      <c r="E1615" s="29">
        <f>IFERROR(INDEX($R$4:$R$3183,MATCH(SMALL($V$4:$V$3183,1612),$V$4:$V$3183,0)),"")</f>
        <v/>
      </c>
      <c r="F1615">
        <f>IFERROR(INDEX($S$4:$S$3183,MATCH(SMALL($V$4:$V$3183,1612),$V$4:$V$3183,0)),"")</f>
        <v/>
      </c>
      <c r="I1615" s="29">
        <f>IF($B1615="","",IFERROR(INDEX($U$4:$U$3183,MATCH(SMALL($V$4:$V$3183,1612),$V$4:$V$3183,0)),""))</f>
        <v/>
      </c>
      <c r="J1615">
        <f>IF($B1615="","",IF($D1615&gt;$F$2,"À venir",IF($E1615&lt;$D$2,"Passé","Dans la période")))</f>
        <v/>
      </c>
      <c r="K1615">
        <f>IF(OR($B1615="",NOT(ISNUMBER($D1615))),"",IF(AND($E1615&lt;$D$2,$G1615&lt;&gt;"X",$F1615&lt;&gt;"Réalisé",$F1615&lt;&gt;"Clôturé"),"RETARD",""))</f>
        <v/>
      </c>
      <c r="L1615">
        <f>IF(OR($B1615="",NOT(ISNUMBER($D1615))),"",IF(AND($D1615&gt;=$D$2,$D1615&lt;=$H$2,$G1615&lt;&gt;"X",$F1615&lt;&gt;"Réalisé",$F1615&lt;&gt;"Clôturé"),"≤ 7 j",""))</f>
        <v/>
      </c>
      <c r="M1615" s="29">
        <f>IF($B1615="","",IFERROR(INDEX($T$4:$T$3183,MATCH(SMALL($V$4:$V$3183,1612),$V$4:$V$3183,0)),""))</f>
        <v/>
      </c>
      <c r="O1615">
        <f>IF(INDEX(Suivi!$B:$B,1646)="","",INDEX(Suivi!$B:$B,1646))</f>
        <v/>
      </c>
      <c r="P1615">
        <f>IF($O1615="","",IF(INDEX(Suivi!$D:$D,1646)="",INDEX(Suivi!$C:$C,1646),INDEX(Suivi!$D:$D,1646)))</f>
        <v/>
      </c>
      <c r="Q1615">
        <f>IF($O1615="","",INDEX(Suivi!$E:$E,1646))</f>
        <v/>
      </c>
      <c r="R1615">
        <f>IF($O1615="","",INDEX(Suivi!$F:$F,1646))</f>
        <v/>
      </c>
      <c r="S1615">
        <f>IF($O1615="","",INDEX(Suivi!$G:$G,1646))</f>
        <v/>
      </c>
      <c r="T1615">
        <f>IF($O1615="","",IF(INDEX(Dossiers!$F$4:$F$63,31)="","",INDEX(Dossiers!$F$4:$F$63,31)))</f>
        <v/>
      </c>
      <c r="U1615">
        <f>IF($O1615="","",IF(INDEX(Dossiers!$G$4:$G$63,31)="","",INDEX(Dossiers!$G$4:$G$63,31)))</f>
        <v/>
      </c>
      <c r="V1615">
        <f>IF(OR($O1615="",NOT(ISNUMBER($Q1615))),"",$Q1615*1000000+1615)</f>
        <v/>
      </c>
      <c r="W1615" s="29">
        <f>IF($B1615="","",IFERROR(INDEX($U$4:$U$3183,MATCH(SMALL($V$4:$V$3183,1612),$V$4:$V$3183,0)),""))</f>
        <v/>
      </c>
    </row>
    <row r="1616">
      <c r="A1616">
        <f>IFERROR(INDEX($N$4:$N$3183,MATCH(SMALL($V$4:$V$3183,1613),$V$4:$V$3183,0)),"")</f>
        <v/>
      </c>
      <c r="B1616">
        <f>IFERROR(INDEX($O$4:$O$3183,MATCH(SMALL($V$4:$V$3183,1613),$V$4:$V$3183,0)),"")</f>
        <v/>
      </c>
      <c r="C1616">
        <f>IFERROR(INDEX($P$4:$P$3183,MATCH(SMALL($V$4:$V$3183,1613),$V$4:$V$3183,0)),"")</f>
        <v/>
      </c>
      <c r="D1616" s="29">
        <f>IFERROR(INDEX($Q$4:$Q$3183,MATCH(SMALL($V$4:$V$3183,1613),$V$4:$V$3183,0)),"")</f>
        <v/>
      </c>
      <c r="E1616" s="29">
        <f>IFERROR(INDEX($R$4:$R$3183,MATCH(SMALL($V$4:$V$3183,1613),$V$4:$V$3183,0)),"")</f>
        <v/>
      </c>
      <c r="F1616">
        <f>IFERROR(INDEX($S$4:$S$3183,MATCH(SMALL($V$4:$V$3183,1613),$V$4:$V$3183,0)),"")</f>
        <v/>
      </c>
      <c r="I1616" s="29">
        <f>IF($B1616="","",IFERROR(INDEX($U$4:$U$3183,MATCH(SMALL($V$4:$V$3183,1613),$V$4:$V$3183,0)),""))</f>
        <v/>
      </c>
      <c r="J1616">
        <f>IF($B1616="","",IF($D1616&gt;$F$2,"À venir",IF($E1616&lt;$D$2,"Passé","Dans la période")))</f>
        <v/>
      </c>
      <c r="K1616">
        <f>IF(OR($B1616="",NOT(ISNUMBER($D1616))),"",IF(AND($E1616&lt;$D$2,$G1616&lt;&gt;"X",$F1616&lt;&gt;"Réalisé",$F1616&lt;&gt;"Clôturé"),"RETARD",""))</f>
        <v/>
      </c>
      <c r="L1616">
        <f>IF(OR($B1616="",NOT(ISNUMBER($D1616))),"",IF(AND($D1616&gt;=$D$2,$D1616&lt;=$H$2,$G1616&lt;&gt;"X",$F1616&lt;&gt;"Réalisé",$F1616&lt;&gt;"Clôturé"),"≤ 7 j",""))</f>
        <v/>
      </c>
      <c r="M1616" s="29">
        <f>IF($B1616="","",IFERROR(INDEX($T$4:$T$3183,MATCH(SMALL($V$4:$V$3183,1613),$V$4:$V$3183,0)),""))</f>
        <v/>
      </c>
      <c r="O1616">
        <f>IF(INDEX(Suivi!$B:$B,1647)="","",INDEX(Suivi!$B:$B,1647))</f>
        <v/>
      </c>
      <c r="P1616">
        <f>IF($O1616="","",IF(INDEX(Suivi!$D:$D,1647)="",INDEX(Suivi!$C:$C,1647),INDEX(Suivi!$D:$D,1647)))</f>
        <v/>
      </c>
      <c r="Q1616">
        <f>IF($O1616="","",INDEX(Suivi!$E:$E,1647))</f>
        <v/>
      </c>
      <c r="R1616">
        <f>IF($O1616="","",INDEX(Suivi!$F:$F,1647))</f>
        <v/>
      </c>
      <c r="S1616">
        <f>IF($O1616="","",INDEX(Suivi!$G:$G,1647))</f>
        <v/>
      </c>
      <c r="T1616">
        <f>IF($O1616="","",IF(INDEX(Dossiers!$F$4:$F$63,31)="","",INDEX(Dossiers!$F$4:$F$63,31)))</f>
        <v/>
      </c>
      <c r="U1616">
        <f>IF($O1616="","",IF(INDEX(Dossiers!$G$4:$G$63,31)="","",INDEX(Dossiers!$G$4:$G$63,31)))</f>
        <v/>
      </c>
      <c r="V1616">
        <f>IF(OR($O1616="",NOT(ISNUMBER($Q1616))),"",$Q1616*1000000+1616)</f>
        <v/>
      </c>
      <c r="W1616" s="29">
        <f>IF($B1616="","",IFERROR(INDEX($U$4:$U$3183,MATCH(SMALL($V$4:$V$3183,1613),$V$4:$V$3183,0)),""))</f>
        <v/>
      </c>
    </row>
    <row r="1617">
      <c r="A1617">
        <f>IFERROR(INDEX($N$4:$N$3183,MATCH(SMALL($V$4:$V$3183,1614),$V$4:$V$3183,0)),"")</f>
        <v/>
      </c>
      <c r="B1617">
        <f>IFERROR(INDEX($O$4:$O$3183,MATCH(SMALL($V$4:$V$3183,1614),$V$4:$V$3183,0)),"")</f>
        <v/>
      </c>
      <c r="C1617">
        <f>IFERROR(INDEX($P$4:$P$3183,MATCH(SMALL($V$4:$V$3183,1614),$V$4:$V$3183,0)),"")</f>
        <v/>
      </c>
      <c r="D1617" s="29">
        <f>IFERROR(INDEX($Q$4:$Q$3183,MATCH(SMALL($V$4:$V$3183,1614),$V$4:$V$3183,0)),"")</f>
        <v/>
      </c>
      <c r="E1617" s="29">
        <f>IFERROR(INDEX($R$4:$R$3183,MATCH(SMALL($V$4:$V$3183,1614),$V$4:$V$3183,0)),"")</f>
        <v/>
      </c>
      <c r="F1617">
        <f>IFERROR(INDEX($S$4:$S$3183,MATCH(SMALL($V$4:$V$3183,1614),$V$4:$V$3183,0)),"")</f>
        <v/>
      </c>
      <c r="I1617" s="29">
        <f>IF($B1617="","",IFERROR(INDEX($U$4:$U$3183,MATCH(SMALL($V$4:$V$3183,1614),$V$4:$V$3183,0)),""))</f>
        <v/>
      </c>
      <c r="J1617">
        <f>IF($B1617="","",IF($D1617&gt;$F$2,"À venir",IF($E1617&lt;$D$2,"Passé","Dans la période")))</f>
        <v/>
      </c>
      <c r="K1617">
        <f>IF(OR($B1617="",NOT(ISNUMBER($D1617))),"",IF(AND($E1617&lt;$D$2,$G1617&lt;&gt;"X",$F1617&lt;&gt;"Réalisé",$F1617&lt;&gt;"Clôturé"),"RETARD",""))</f>
        <v/>
      </c>
      <c r="L1617">
        <f>IF(OR($B1617="",NOT(ISNUMBER($D1617))),"",IF(AND($D1617&gt;=$D$2,$D1617&lt;=$H$2,$G1617&lt;&gt;"X",$F1617&lt;&gt;"Réalisé",$F1617&lt;&gt;"Clôturé"),"≤ 7 j",""))</f>
        <v/>
      </c>
      <c r="M1617" s="29">
        <f>IF($B1617="","",IFERROR(INDEX($T$4:$T$3183,MATCH(SMALL($V$4:$V$3183,1614),$V$4:$V$3183,0)),""))</f>
        <v/>
      </c>
      <c r="O1617">
        <f>IF(INDEX(Suivi!$B:$B,1648)="","",INDEX(Suivi!$B:$B,1648))</f>
        <v/>
      </c>
      <c r="P1617">
        <f>IF($O1617="","",IF(INDEX(Suivi!$D:$D,1648)="",INDEX(Suivi!$C:$C,1648),INDEX(Suivi!$D:$D,1648)))</f>
        <v/>
      </c>
      <c r="Q1617">
        <f>IF($O1617="","",INDEX(Suivi!$E:$E,1648))</f>
        <v/>
      </c>
      <c r="R1617">
        <f>IF($O1617="","",INDEX(Suivi!$F:$F,1648))</f>
        <v/>
      </c>
      <c r="S1617">
        <f>IF($O1617="","",INDEX(Suivi!$G:$G,1648))</f>
        <v/>
      </c>
      <c r="T1617">
        <f>IF($O1617="","",IF(INDEX(Dossiers!$F$4:$F$63,31)="","",INDEX(Dossiers!$F$4:$F$63,31)))</f>
        <v/>
      </c>
      <c r="U1617">
        <f>IF($O1617="","",IF(INDEX(Dossiers!$G$4:$G$63,31)="","",INDEX(Dossiers!$G$4:$G$63,31)))</f>
        <v/>
      </c>
      <c r="V1617">
        <f>IF(OR($O1617="",NOT(ISNUMBER($Q1617))),"",$Q1617*1000000+1617)</f>
        <v/>
      </c>
      <c r="W1617" s="29">
        <f>IF($B1617="","",IFERROR(INDEX($U$4:$U$3183,MATCH(SMALL($V$4:$V$3183,1614),$V$4:$V$3183,0)),""))</f>
        <v/>
      </c>
    </row>
    <row r="1618">
      <c r="A1618">
        <f>IFERROR(INDEX($N$4:$N$3183,MATCH(SMALL($V$4:$V$3183,1615),$V$4:$V$3183,0)),"")</f>
        <v/>
      </c>
      <c r="B1618">
        <f>IFERROR(INDEX($O$4:$O$3183,MATCH(SMALL($V$4:$V$3183,1615),$V$4:$V$3183,0)),"")</f>
        <v/>
      </c>
      <c r="C1618">
        <f>IFERROR(INDEX($P$4:$P$3183,MATCH(SMALL($V$4:$V$3183,1615),$V$4:$V$3183,0)),"")</f>
        <v/>
      </c>
      <c r="D1618" s="29">
        <f>IFERROR(INDEX($Q$4:$Q$3183,MATCH(SMALL($V$4:$V$3183,1615),$V$4:$V$3183,0)),"")</f>
        <v/>
      </c>
      <c r="E1618" s="29">
        <f>IFERROR(INDEX($R$4:$R$3183,MATCH(SMALL($V$4:$V$3183,1615),$V$4:$V$3183,0)),"")</f>
        <v/>
      </c>
      <c r="F1618">
        <f>IFERROR(INDEX($S$4:$S$3183,MATCH(SMALL($V$4:$V$3183,1615),$V$4:$V$3183,0)),"")</f>
        <v/>
      </c>
      <c r="I1618" s="29">
        <f>IF($B1618="","",IFERROR(INDEX($U$4:$U$3183,MATCH(SMALL($V$4:$V$3183,1615),$V$4:$V$3183,0)),""))</f>
        <v/>
      </c>
      <c r="J1618">
        <f>IF($B1618="","",IF($D1618&gt;$F$2,"À venir",IF($E1618&lt;$D$2,"Passé","Dans la période")))</f>
        <v/>
      </c>
      <c r="K1618">
        <f>IF(OR($B1618="",NOT(ISNUMBER($D1618))),"",IF(AND($E1618&lt;$D$2,$G1618&lt;&gt;"X",$F1618&lt;&gt;"Réalisé",$F1618&lt;&gt;"Clôturé"),"RETARD",""))</f>
        <v/>
      </c>
      <c r="L1618">
        <f>IF(OR($B1618="",NOT(ISNUMBER($D1618))),"",IF(AND($D1618&gt;=$D$2,$D1618&lt;=$H$2,$G1618&lt;&gt;"X",$F1618&lt;&gt;"Réalisé",$F1618&lt;&gt;"Clôturé"),"≤ 7 j",""))</f>
        <v/>
      </c>
      <c r="M1618" s="29">
        <f>IF($B1618="","",IFERROR(INDEX($T$4:$T$3183,MATCH(SMALL($V$4:$V$3183,1615),$V$4:$V$3183,0)),""))</f>
        <v/>
      </c>
      <c r="O1618">
        <f>IF(INDEX(Suivi!$B:$B,1649)="","",INDEX(Suivi!$B:$B,1649))</f>
        <v/>
      </c>
      <c r="P1618">
        <f>IF($O1618="","",IF(INDEX(Suivi!$D:$D,1649)="",INDEX(Suivi!$C:$C,1649),INDEX(Suivi!$D:$D,1649)))</f>
        <v/>
      </c>
      <c r="Q1618">
        <f>IF($O1618="","",INDEX(Suivi!$E:$E,1649))</f>
        <v/>
      </c>
      <c r="R1618">
        <f>IF($O1618="","",INDEX(Suivi!$F:$F,1649))</f>
        <v/>
      </c>
      <c r="S1618">
        <f>IF($O1618="","",INDEX(Suivi!$G:$G,1649))</f>
        <v/>
      </c>
      <c r="T1618">
        <f>IF($O1618="","",IF(INDEX(Dossiers!$F$4:$F$63,31)="","",INDEX(Dossiers!$F$4:$F$63,31)))</f>
        <v/>
      </c>
      <c r="U1618">
        <f>IF($O1618="","",IF(INDEX(Dossiers!$G$4:$G$63,31)="","",INDEX(Dossiers!$G$4:$G$63,31)))</f>
        <v/>
      </c>
      <c r="V1618">
        <f>IF(OR($O1618="",NOT(ISNUMBER($Q1618))),"",$Q1618*1000000+1618)</f>
        <v/>
      </c>
      <c r="W1618" s="29">
        <f>IF($B1618="","",IFERROR(INDEX($U$4:$U$3183,MATCH(SMALL($V$4:$V$3183,1615),$V$4:$V$3183,0)),""))</f>
        <v/>
      </c>
    </row>
    <row r="1619">
      <c r="A1619">
        <f>IFERROR(INDEX($N$4:$N$3183,MATCH(SMALL($V$4:$V$3183,1616),$V$4:$V$3183,0)),"")</f>
        <v/>
      </c>
      <c r="B1619">
        <f>IFERROR(INDEX($O$4:$O$3183,MATCH(SMALL($V$4:$V$3183,1616),$V$4:$V$3183,0)),"")</f>
        <v/>
      </c>
      <c r="C1619">
        <f>IFERROR(INDEX($P$4:$P$3183,MATCH(SMALL($V$4:$V$3183,1616),$V$4:$V$3183,0)),"")</f>
        <v/>
      </c>
      <c r="D1619" s="29">
        <f>IFERROR(INDEX($Q$4:$Q$3183,MATCH(SMALL($V$4:$V$3183,1616),$V$4:$V$3183,0)),"")</f>
        <v/>
      </c>
      <c r="E1619" s="29">
        <f>IFERROR(INDEX($R$4:$R$3183,MATCH(SMALL($V$4:$V$3183,1616),$V$4:$V$3183,0)),"")</f>
        <v/>
      </c>
      <c r="F1619">
        <f>IFERROR(INDEX($S$4:$S$3183,MATCH(SMALL($V$4:$V$3183,1616),$V$4:$V$3183,0)),"")</f>
        <v/>
      </c>
      <c r="I1619" s="29">
        <f>IF($B1619="","",IFERROR(INDEX($U$4:$U$3183,MATCH(SMALL($V$4:$V$3183,1616),$V$4:$V$3183,0)),""))</f>
        <v/>
      </c>
      <c r="J1619">
        <f>IF($B1619="","",IF($D1619&gt;$F$2,"À venir",IF($E1619&lt;$D$2,"Passé","Dans la période")))</f>
        <v/>
      </c>
      <c r="K1619">
        <f>IF(OR($B1619="",NOT(ISNUMBER($D1619))),"",IF(AND($E1619&lt;$D$2,$G1619&lt;&gt;"X",$F1619&lt;&gt;"Réalisé",$F1619&lt;&gt;"Clôturé"),"RETARD",""))</f>
        <v/>
      </c>
      <c r="L1619">
        <f>IF(OR($B1619="",NOT(ISNUMBER($D1619))),"",IF(AND($D1619&gt;=$D$2,$D1619&lt;=$H$2,$G1619&lt;&gt;"X",$F1619&lt;&gt;"Réalisé",$F1619&lt;&gt;"Clôturé"),"≤ 7 j",""))</f>
        <v/>
      </c>
      <c r="M1619" s="29">
        <f>IF($B1619="","",IFERROR(INDEX($T$4:$T$3183,MATCH(SMALL($V$4:$V$3183,1616),$V$4:$V$3183,0)),""))</f>
        <v/>
      </c>
      <c r="O1619">
        <f>IF(INDEX(Suivi!$B:$B,1650)="","",INDEX(Suivi!$B:$B,1650))</f>
        <v/>
      </c>
      <c r="P1619">
        <f>IF($O1619="","",IF(INDEX(Suivi!$D:$D,1650)="",INDEX(Suivi!$C:$C,1650),INDEX(Suivi!$D:$D,1650)))</f>
        <v/>
      </c>
      <c r="Q1619">
        <f>IF($O1619="","",INDEX(Suivi!$E:$E,1650))</f>
        <v/>
      </c>
      <c r="R1619">
        <f>IF($O1619="","",INDEX(Suivi!$F:$F,1650))</f>
        <v/>
      </c>
      <c r="S1619">
        <f>IF($O1619="","",INDEX(Suivi!$G:$G,1650))</f>
        <v/>
      </c>
      <c r="T1619">
        <f>IF($O1619="","",IF(INDEX(Dossiers!$F$4:$F$63,31)="","",INDEX(Dossiers!$F$4:$F$63,31)))</f>
        <v/>
      </c>
      <c r="U1619">
        <f>IF($O1619="","",IF(INDEX(Dossiers!$G$4:$G$63,31)="","",INDEX(Dossiers!$G$4:$G$63,31)))</f>
        <v/>
      </c>
      <c r="V1619">
        <f>IF(OR($O1619="",NOT(ISNUMBER($Q1619))),"",$Q1619*1000000+1619)</f>
        <v/>
      </c>
      <c r="W1619" s="29">
        <f>IF($B1619="","",IFERROR(INDEX($U$4:$U$3183,MATCH(SMALL($V$4:$V$3183,1616),$V$4:$V$3183,0)),""))</f>
        <v/>
      </c>
    </row>
    <row r="1620">
      <c r="A1620">
        <f>IFERROR(INDEX($N$4:$N$3183,MATCH(SMALL($V$4:$V$3183,1617),$V$4:$V$3183,0)),"")</f>
        <v/>
      </c>
      <c r="B1620">
        <f>IFERROR(INDEX($O$4:$O$3183,MATCH(SMALL($V$4:$V$3183,1617),$V$4:$V$3183,0)),"")</f>
        <v/>
      </c>
      <c r="C1620">
        <f>IFERROR(INDEX($P$4:$P$3183,MATCH(SMALL($V$4:$V$3183,1617),$V$4:$V$3183,0)),"")</f>
        <v/>
      </c>
      <c r="D1620" s="29">
        <f>IFERROR(INDEX($Q$4:$Q$3183,MATCH(SMALL($V$4:$V$3183,1617),$V$4:$V$3183,0)),"")</f>
        <v/>
      </c>
      <c r="E1620" s="29">
        <f>IFERROR(INDEX($R$4:$R$3183,MATCH(SMALL($V$4:$V$3183,1617),$V$4:$V$3183,0)),"")</f>
        <v/>
      </c>
      <c r="F1620">
        <f>IFERROR(INDEX($S$4:$S$3183,MATCH(SMALL($V$4:$V$3183,1617),$V$4:$V$3183,0)),"")</f>
        <v/>
      </c>
      <c r="I1620" s="29">
        <f>IF($B1620="","",IFERROR(INDEX($U$4:$U$3183,MATCH(SMALL($V$4:$V$3183,1617),$V$4:$V$3183,0)),""))</f>
        <v/>
      </c>
      <c r="J1620">
        <f>IF($B1620="","",IF($D1620&gt;$F$2,"À venir",IF($E1620&lt;$D$2,"Passé","Dans la période")))</f>
        <v/>
      </c>
      <c r="K1620">
        <f>IF(OR($B1620="",NOT(ISNUMBER($D1620))),"",IF(AND($E1620&lt;$D$2,$G1620&lt;&gt;"X",$F1620&lt;&gt;"Réalisé",$F1620&lt;&gt;"Clôturé"),"RETARD",""))</f>
        <v/>
      </c>
      <c r="L1620">
        <f>IF(OR($B1620="",NOT(ISNUMBER($D1620))),"",IF(AND($D1620&gt;=$D$2,$D1620&lt;=$H$2,$G1620&lt;&gt;"X",$F1620&lt;&gt;"Réalisé",$F1620&lt;&gt;"Clôturé"),"≤ 7 j",""))</f>
        <v/>
      </c>
      <c r="M1620" s="29">
        <f>IF($B1620="","",IFERROR(INDEX($T$4:$T$3183,MATCH(SMALL($V$4:$V$3183,1617),$V$4:$V$3183,0)),""))</f>
        <v/>
      </c>
      <c r="O1620">
        <f>IF(INDEX(Suivi!$B:$B,1651)="","",INDEX(Suivi!$B:$B,1651))</f>
        <v/>
      </c>
      <c r="P1620">
        <f>IF($O1620="","",IF(INDEX(Suivi!$D:$D,1651)="",INDEX(Suivi!$C:$C,1651),INDEX(Suivi!$D:$D,1651)))</f>
        <v/>
      </c>
      <c r="Q1620">
        <f>IF($O1620="","",INDEX(Suivi!$E:$E,1651))</f>
        <v/>
      </c>
      <c r="R1620">
        <f>IF($O1620="","",INDEX(Suivi!$F:$F,1651))</f>
        <v/>
      </c>
      <c r="S1620">
        <f>IF($O1620="","",INDEX(Suivi!$G:$G,1651))</f>
        <v/>
      </c>
      <c r="T1620">
        <f>IF($O1620="","",IF(INDEX(Dossiers!$F$4:$F$63,31)="","",INDEX(Dossiers!$F$4:$F$63,31)))</f>
        <v/>
      </c>
      <c r="U1620">
        <f>IF($O1620="","",IF(INDEX(Dossiers!$G$4:$G$63,31)="","",INDEX(Dossiers!$G$4:$G$63,31)))</f>
        <v/>
      </c>
      <c r="V1620">
        <f>IF(OR($O1620="",NOT(ISNUMBER($Q1620))),"",$Q1620*1000000+1620)</f>
        <v/>
      </c>
      <c r="W1620" s="29">
        <f>IF($B1620="","",IFERROR(INDEX($U$4:$U$3183,MATCH(SMALL($V$4:$V$3183,1617),$V$4:$V$3183,0)),""))</f>
        <v/>
      </c>
    </row>
    <row r="1621">
      <c r="A1621">
        <f>IFERROR(INDEX($N$4:$N$3183,MATCH(SMALL($V$4:$V$3183,1618),$V$4:$V$3183,0)),"")</f>
        <v/>
      </c>
      <c r="B1621">
        <f>IFERROR(INDEX($O$4:$O$3183,MATCH(SMALL($V$4:$V$3183,1618),$V$4:$V$3183,0)),"")</f>
        <v/>
      </c>
      <c r="C1621">
        <f>IFERROR(INDEX($P$4:$P$3183,MATCH(SMALL($V$4:$V$3183,1618),$V$4:$V$3183,0)),"")</f>
        <v/>
      </c>
      <c r="D1621" s="29">
        <f>IFERROR(INDEX($Q$4:$Q$3183,MATCH(SMALL($V$4:$V$3183,1618),$V$4:$V$3183,0)),"")</f>
        <v/>
      </c>
      <c r="E1621" s="29">
        <f>IFERROR(INDEX($R$4:$R$3183,MATCH(SMALL($V$4:$V$3183,1618),$V$4:$V$3183,0)),"")</f>
        <v/>
      </c>
      <c r="F1621">
        <f>IFERROR(INDEX($S$4:$S$3183,MATCH(SMALL($V$4:$V$3183,1618),$V$4:$V$3183,0)),"")</f>
        <v/>
      </c>
      <c r="I1621" s="29">
        <f>IF($B1621="","",IFERROR(INDEX($U$4:$U$3183,MATCH(SMALL($V$4:$V$3183,1618),$V$4:$V$3183,0)),""))</f>
        <v/>
      </c>
      <c r="J1621">
        <f>IF($B1621="","",IF($D1621&gt;$F$2,"À venir",IF($E1621&lt;$D$2,"Passé","Dans la période")))</f>
        <v/>
      </c>
      <c r="K1621">
        <f>IF(OR($B1621="",NOT(ISNUMBER($D1621))),"",IF(AND($E1621&lt;$D$2,$G1621&lt;&gt;"X",$F1621&lt;&gt;"Réalisé",$F1621&lt;&gt;"Clôturé"),"RETARD",""))</f>
        <v/>
      </c>
      <c r="L1621">
        <f>IF(OR($B1621="",NOT(ISNUMBER($D1621))),"",IF(AND($D1621&gt;=$D$2,$D1621&lt;=$H$2,$G1621&lt;&gt;"X",$F1621&lt;&gt;"Réalisé",$F1621&lt;&gt;"Clôturé"),"≤ 7 j",""))</f>
        <v/>
      </c>
      <c r="M1621" s="29">
        <f>IF($B1621="","",IFERROR(INDEX($T$4:$T$3183,MATCH(SMALL($V$4:$V$3183,1618),$V$4:$V$3183,0)),""))</f>
        <v/>
      </c>
      <c r="O1621">
        <f>IF(INDEX(Suivi!$B:$B,1652)="","",INDEX(Suivi!$B:$B,1652))</f>
        <v/>
      </c>
      <c r="P1621">
        <f>IF($O1621="","",IF(INDEX(Suivi!$D:$D,1652)="",INDEX(Suivi!$C:$C,1652),INDEX(Suivi!$D:$D,1652)))</f>
        <v/>
      </c>
      <c r="Q1621">
        <f>IF($O1621="","",INDEX(Suivi!$E:$E,1652))</f>
        <v/>
      </c>
      <c r="R1621">
        <f>IF($O1621="","",INDEX(Suivi!$F:$F,1652))</f>
        <v/>
      </c>
      <c r="S1621">
        <f>IF($O1621="","",INDEX(Suivi!$G:$G,1652))</f>
        <v/>
      </c>
      <c r="T1621">
        <f>IF($O1621="","",IF(INDEX(Dossiers!$F$4:$F$63,31)="","",INDEX(Dossiers!$F$4:$F$63,31)))</f>
        <v/>
      </c>
      <c r="U1621">
        <f>IF($O1621="","",IF(INDEX(Dossiers!$G$4:$G$63,31)="","",INDEX(Dossiers!$G$4:$G$63,31)))</f>
        <v/>
      </c>
      <c r="V1621">
        <f>IF(OR($O1621="",NOT(ISNUMBER($Q1621))),"",$Q1621*1000000+1621)</f>
        <v/>
      </c>
      <c r="W1621" s="29">
        <f>IF($B1621="","",IFERROR(INDEX($U$4:$U$3183,MATCH(SMALL($V$4:$V$3183,1618),$V$4:$V$3183,0)),""))</f>
        <v/>
      </c>
    </row>
    <row r="1622">
      <c r="A1622">
        <f>IFERROR(INDEX($N$4:$N$3183,MATCH(SMALL($V$4:$V$3183,1619),$V$4:$V$3183,0)),"")</f>
        <v/>
      </c>
      <c r="B1622">
        <f>IFERROR(INDEX($O$4:$O$3183,MATCH(SMALL($V$4:$V$3183,1619),$V$4:$V$3183,0)),"")</f>
        <v/>
      </c>
      <c r="C1622">
        <f>IFERROR(INDEX($P$4:$P$3183,MATCH(SMALL($V$4:$V$3183,1619),$V$4:$V$3183,0)),"")</f>
        <v/>
      </c>
      <c r="D1622" s="29">
        <f>IFERROR(INDEX($Q$4:$Q$3183,MATCH(SMALL($V$4:$V$3183,1619),$V$4:$V$3183,0)),"")</f>
        <v/>
      </c>
      <c r="E1622" s="29">
        <f>IFERROR(INDEX($R$4:$R$3183,MATCH(SMALL($V$4:$V$3183,1619),$V$4:$V$3183,0)),"")</f>
        <v/>
      </c>
      <c r="F1622">
        <f>IFERROR(INDEX($S$4:$S$3183,MATCH(SMALL($V$4:$V$3183,1619),$V$4:$V$3183,0)),"")</f>
        <v/>
      </c>
      <c r="I1622" s="29">
        <f>IF($B1622="","",IFERROR(INDEX($U$4:$U$3183,MATCH(SMALL($V$4:$V$3183,1619),$V$4:$V$3183,0)),""))</f>
        <v/>
      </c>
      <c r="J1622">
        <f>IF($B1622="","",IF($D1622&gt;$F$2,"À venir",IF($E1622&lt;$D$2,"Passé","Dans la période")))</f>
        <v/>
      </c>
      <c r="K1622">
        <f>IF(OR($B1622="",NOT(ISNUMBER($D1622))),"",IF(AND($E1622&lt;$D$2,$G1622&lt;&gt;"X",$F1622&lt;&gt;"Réalisé",$F1622&lt;&gt;"Clôturé"),"RETARD",""))</f>
        <v/>
      </c>
      <c r="L1622">
        <f>IF(OR($B1622="",NOT(ISNUMBER($D1622))),"",IF(AND($D1622&gt;=$D$2,$D1622&lt;=$H$2,$G1622&lt;&gt;"X",$F1622&lt;&gt;"Réalisé",$F1622&lt;&gt;"Clôturé"),"≤ 7 j",""))</f>
        <v/>
      </c>
      <c r="M1622" s="29">
        <f>IF($B1622="","",IFERROR(INDEX($T$4:$T$3183,MATCH(SMALL($V$4:$V$3183,1619),$V$4:$V$3183,0)),""))</f>
        <v/>
      </c>
      <c r="O1622">
        <f>IF(INDEX(Suivi!$B:$B,1653)="","",INDEX(Suivi!$B:$B,1653))</f>
        <v/>
      </c>
      <c r="P1622">
        <f>IF($O1622="","",IF(INDEX(Suivi!$D:$D,1653)="",INDEX(Suivi!$C:$C,1653),INDEX(Suivi!$D:$D,1653)))</f>
        <v/>
      </c>
      <c r="Q1622">
        <f>IF($O1622="","",INDEX(Suivi!$E:$E,1653))</f>
        <v/>
      </c>
      <c r="R1622">
        <f>IF($O1622="","",INDEX(Suivi!$F:$F,1653))</f>
        <v/>
      </c>
      <c r="S1622">
        <f>IF($O1622="","",INDEX(Suivi!$G:$G,1653))</f>
        <v/>
      </c>
      <c r="T1622">
        <f>IF($O1622="","",IF(INDEX(Dossiers!$F$4:$F$63,31)="","",INDEX(Dossiers!$F$4:$F$63,31)))</f>
        <v/>
      </c>
      <c r="U1622">
        <f>IF($O1622="","",IF(INDEX(Dossiers!$G$4:$G$63,31)="","",INDEX(Dossiers!$G$4:$G$63,31)))</f>
        <v/>
      </c>
      <c r="V1622">
        <f>IF(OR($O1622="",NOT(ISNUMBER($Q1622))),"",$Q1622*1000000+1622)</f>
        <v/>
      </c>
      <c r="W1622" s="29">
        <f>IF($B1622="","",IFERROR(INDEX($U$4:$U$3183,MATCH(SMALL($V$4:$V$3183,1619),$V$4:$V$3183,0)),""))</f>
        <v/>
      </c>
    </row>
    <row r="1623">
      <c r="A1623">
        <f>IFERROR(INDEX($N$4:$N$3183,MATCH(SMALL($V$4:$V$3183,1620),$V$4:$V$3183,0)),"")</f>
        <v/>
      </c>
      <c r="B1623">
        <f>IFERROR(INDEX($O$4:$O$3183,MATCH(SMALL($V$4:$V$3183,1620),$V$4:$V$3183,0)),"")</f>
        <v/>
      </c>
      <c r="C1623">
        <f>IFERROR(INDEX($P$4:$P$3183,MATCH(SMALL($V$4:$V$3183,1620),$V$4:$V$3183,0)),"")</f>
        <v/>
      </c>
      <c r="D1623" s="29">
        <f>IFERROR(INDEX($Q$4:$Q$3183,MATCH(SMALL($V$4:$V$3183,1620),$V$4:$V$3183,0)),"")</f>
        <v/>
      </c>
      <c r="E1623" s="29">
        <f>IFERROR(INDEX($R$4:$R$3183,MATCH(SMALL($V$4:$V$3183,1620),$V$4:$V$3183,0)),"")</f>
        <v/>
      </c>
      <c r="F1623">
        <f>IFERROR(INDEX($S$4:$S$3183,MATCH(SMALL($V$4:$V$3183,1620),$V$4:$V$3183,0)),"")</f>
        <v/>
      </c>
      <c r="I1623" s="29">
        <f>IF($B1623="","",IFERROR(INDEX($U$4:$U$3183,MATCH(SMALL($V$4:$V$3183,1620),$V$4:$V$3183,0)),""))</f>
        <v/>
      </c>
      <c r="J1623">
        <f>IF($B1623="","",IF($D1623&gt;$F$2,"À venir",IF($E1623&lt;$D$2,"Passé","Dans la période")))</f>
        <v/>
      </c>
      <c r="K1623">
        <f>IF(OR($B1623="",NOT(ISNUMBER($D1623))),"",IF(AND($E1623&lt;$D$2,$G1623&lt;&gt;"X",$F1623&lt;&gt;"Réalisé",$F1623&lt;&gt;"Clôturé"),"RETARD",""))</f>
        <v/>
      </c>
      <c r="L1623">
        <f>IF(OR($B1623="",NOT(ISNUMBER($D1623))),"",IF(AND($D1623&gt;=$D$2,$D1623&lt;=$H$2,$G1623&lt;&gt;"X",$F1623&lt;&gt;"Réalisé",$F1623&lt;&gt;"Clôturé"),"≤ 7 j",""))</f>
        <v/>
      </c>
      <c r="M1623" s="29">
        <f>IF($B1623="","",IFERROR(INDEX($T$4:$T$3183,MATCH(SMALL($V$4:$V$3183,1620),$V$4:$V$3183,0)),""))</f>
        <v/>
      </c>
      <c r="O1623">
        <f>IF(INDEX(Suivi!$B:$B,1654)="","",INDEX(Suivi!$B:$B,1654))</f>
        <v/>
      </c>
      <c r="P1623">
        <f>IF($O1623="","",IF(INDEX(Suivi!$D:$D,1654)="",INDEX(Suivi!$C:$C,1654),INDEX(Suivi!$D:$D,1654)))</f>
        <v/>
      </c>
      <c r="Q1623">
        <f>IF($O1623="","",INDEX(Suivi!$E:$E,1654))</f>
        <v/>
      </c>
      <c r="R1623">
        <f>IF($O1623="","",INDEX(Suivi!$F:$F,1654))</f>
        <v/>
      </c>
      <c r="S1623">
        <f>IF($O1623="","",INDEX(Suivi!$G:$G,1654))</f>
        <v/>
      </c>
      <c r="T1623">
        <f>IF($O1623="","",IF(INDEX(Dossiers!$F$4:$F$63,31)="","",INDEX(Dossiers!$F$4:$F$63,31)))</f>
        <v/>
      </c>
      <c r="U1623">
        <f>IF($O1623="","",IF(INDEX(Dossiers!$G$4:$G$63,31)="","",INDEX(Dossiers!$G$4:$G$63,31)))</f>
        <v/>
      </c>
      <c r="V1623">
        <f>IF(OR($O1623="",NOT(ISNUMBER($Q1623))),"",$Q1623*1000000+1623)</f>
        <v/>
      </c>
      <c r="W1623" s="29">
        <f>IF($B1623="","",IFERROR(INDEX($U$4:$U$3183,MATCH(SMALL($V$4:$V$3183,1620),$V$4:$V$3183,0)),""))</f>
        <v/>
      </c>
    </row>
    <row r="1624">
      <c r="A1624">
        <f>IFERROR(INDEX($N$4:$N$3183,MATCH(SMALL($V$4:$V$3183,1621),$V$4:$V$3183,0)),"")</f>
        <v/>
      </c>
      <c r="B1624">
        <f>IFERROR(INDEX($O$4:$O$3183,MATCH(SMALL($V$4:$V$3183,1621),$V$4:$V$3183,0)),"")</f>
        <v/>
      </c>
      <c r="C1624">
        <f>IFERROR(INDEX($P$4:$P$3183,MATCH(SMALL($V$4:$V$3183,1621),$V$4:$V$3183,0)),"")</f>
        <v/>
      </c>
      <c r="D1624" s="29">
        <f>IFERROR(INDEX($Q$4:$Q$3183,MATCH(SMALL($V$4:$V$3183,1621),$V$4:$V$3183,0)),"")</f>
        <v/>
      </c>
      <c r="E1624" s="29">
        <f>IFERROR(INDEX($R$4:$R$3183,MATCH(SMALL($V$4:$V$3183,1621),$V$4:$V$3183,0)),"")</f>
        <v/>
      </c>
      <c r="F1624">
        <f>IFERROR(INDEX($S$4:$S$3183,MATCH(SMALL($V$4:$V$3183,1621),$V$4:$V$3183,0)),"")</f>
        <v/>
      </c>
      <c r="I1624" s="29">
        <f>IF($B1624="","",IFERROR(INDEX($U$4:$U$3183,MATCH(SMALL($V$4:$V$3183,1621),$V$4:$V$3183,0)),""))</f>
        <v/>
      </c>
      <c r="J1624">
        <f>IF($B1624="","",IF($D1624&gt;$F$2,"À venir",IF($E1624&lt;$D$2,"Passé","Dans la période")))</f>
        <v/>
      </c>
      <c r="K1624">
        <f>IF(OR($B1624="",NOT(ISNUMBER($D1624))),"",IF(AND($E1624&lt;$D$2,$G1624&lt;&gt;"X",$F1624&lt;&gt;"Réalisé",$F1624&lt;&gt;"Clôturé"),"RETARD",""))</f>
        <v/>
      </c>
      <c r="L1624">
        <f>IF(OR($B1624="",NOT(ISNUMBER($D1624))),"",IF(AND($D1624&gt;=$D$2,$D1624&lt;=$H$2,$G1624&lt;&gt;"X",$F1624&lt;&gt;"Réalisé",$F1624&lt;&gt;"Clôturé"),"≤ 7 j",""))</f>
        <v/>
      </c>
      <c r="M1624" s="29">
        <f>IF($B1624="","",IFERROR(INDEX($T$4:$T$3183,MATCH(SMALL($V$4:$V$3183,1621),$V$4:$V$3183,0)),""))</f>
        <v/>
      </c>
      <c r="O1624">
        <f>IF(INDEX(Suivi!$B:$B,1655)="","",INDEX(Suivi!$B:$B,1655))</f>
        <v/>
      </c>
      <c r="P1624">
        <f>IF($O1624="","",IF(INDEX(Suivi!$D:$D,1655)="",INDEX(Suivi!$C:$C,1655),INDEX(Suivi!$D:$D,1655)))</f>
        <v/>
      </c>
      <c r="Q1624">
        <f>IF($O1624="","",INDEX(Suivi!$E:$E,1655))</f>
        <v/>
      </c>
      <c r="R1624">
        <f>IF($O1624="","",INDEX(Suivi!$F:$F,1655))</f>
        <v/>
      </c>
      <c r="S1624">
        <f>IF($O1624="","",INDEX(Suivi!$G:$G,1655))</f>
        <v/>
      </c>
      <c r="T1624">
        <f>IF($O1624="","",IF(INDEX(Dossiers!$F$4:$F$63,31)="","",INDEX(Dossiers!$F$4:$F$63,31)))</f>
        <v/>
      </c>
      <c r="U1624">
        <f>IF($O1624="","",IF(INDEX(Dossiers!$G$4:$G$63,31)="","",INDEX(Dossiers!$G$4:$G$63,31)))</f>
        <v/>
      </c>
      <c r="V1624">
        <f>IF(OR($O1624="",NOT(ISNUMBER($Q1624))),"",$Q1624*1000000+1624)</f>
        <v/>
      </c>
      <c r="W1624" s="29">
        <f>IF($B1624="","",IFERROR(INDEX($U$4:$U$3183,MATCH(SMALL($V$4:$V$3183,1621),$V$4:$V$3183,0)),""))</f>
        <v/>
      </c>
    </row>
    <row r="1625">
      <c r="A1625">
        <f>IFERROR(INDEX($N$4:$N$3183,MATCH(SMALL($V$4:$V$3183,1622),$V$4:$V$3183,0)),"")</f>
        <v/>
      </c>
      <c r="B1625">
        <f>IFERROR(INDEX($O$4:$O$3183,MATCH(SMALL($V$4:$V$3183,1622),$V$4:$V$3183,0)),"")</f>
        <v/>
      </c>
      <c r="C1625">
        <f>IFERROR(INDEX($P$4:$P$3183,MATCH(SMALL($V$4:$V$3183,1622),$V$4:$V$3183,0)),"")</f>
        <v/>
      </c>
      <c r="D1625" s="29">
        <f>IFERROR(INDEX($Q$4:$Q$3183,MATCH(SMALL($V$4:$V$3183,1622),$V$4:$V$3183,0)),"")</f>
        <v/>
      </c>
      <c r="E1625" s="29">
        <f>IFERROR(INDEX($R$4:$R$3183,MATCH(SMALL($V$4:$V$3183,1622),$V$4:$V$3183,0)),"")</f>
        <v/>
      </c>
      <c r="F1625">
        <f>IFERROR(INDEX($S$4:$S$3183,MATCH(SMALL($V$4:$V$3183,1622),$V$4:$V$3183,0)),"")</f>
        <v/>
      </c>
      <c r="I1625" s="29">
        <f>IF($B1625="","",IFERROR(INDEX($U$4:$U$3183,MATCH(SMALL($V$4:$V$3183,1622),$V$4:$V$3183,0)),""))</f>
        <v/>
      </c>
      <c r="J1625">
        <f>IF($B1625="","",IF($D1625&gt;$F$2,"À venir",IF($E1625&lt;$D$2,"Passé","Dans la période")))</f>
        <v/>
      </c>
      <c r="K1625">
        <f>IF(OR($B1625="",NOT(ISNUMBER($D1625))),"",IF(AND($E1625&lt;$D$2,$G1625&lt;&gt;"X",$F1625&lt;&gt;"Réalisé",$F1625&lt;&gt;"Clôturé"),"RETARD",""))</f>
        <v/>
      </c>
      <c r="L1625">
        <f>IF(OR($B1625="",NOT(ISNUMBER($D1625))),"",IF(AND($D1625&gt;=$D$2,$D1625&lt;=$H$2,$G1625&lt;&gt;"X",$F1625&lt;&gt;"Réalisé",$F1625&lt;&gt;"Clôturé"),"≤ 7 j",""))</f>
        <v/>
      </c>
      <c r="M1625" s="29">
        <f>IF($B1625="","",IFERROR(INDEX($T$4:$T$3183,MATCH(SMALL($V$4:$V$3183,1622),$V$4:$V$3183,0)),""))</f>
        <v/>
      </c>
      <c r="O1625">
        <f>IF(INDEX(Suivi!$B:$B,1656)="","",INDEX(Suivi!$B:$B,1656))</f>
        <v/>
      </c>
      <c r="P1625">
        <f>IF($O1625="","",IF(INDEX(Suivi!$D:$D,1656)="",INDEX(Suivi!$C:$C,1656),INDEX(Suivi!$D:$D,1656)))</f>
        <v/>
      </c>
      <c r="Q1625">
        <f>IF($O1625="","",INDEX(Suivi!$E:$E,1656))</f>
        <v/>
      </c>
      <c r="R1625">
        <f>IF($O1625="","",INDEX(Suivi!$F:$F,1656))</f>
        <v/>
      </c>
      <c r="S1625">
        <f>IF($O1625="","",INDEX(Suivi!$G:$G,1656))</f>
        <v/>
      </c>
      <c r="T1625">
        <f>IF($O1625="","",IF(INDEX(Dossiers!$F$4:$F$63,31)="","",INDEX(Dossiers!$F$4:$F$63,31)))</f>
        <v/>
      </c>
      <c r="U1625">
        <f>IF($O1625="","",IF(INDEX(Dossiers!$G$4:$G$63,31)="","",INDEX(Dossiers!$G$4:$G$63,31)))</f>
        <v/>
      </c>
      <c r="V1625">
        <f>IF(OR($O1625="",NOT(ISNUMBER($Q1625))),"",$Q1625*1000000+1625)</f>
        <v/>
      </c>
      <c r="W1625" s="29">
        <f>IF($B1625="","",IFERROR(INDEX($U$4:$U$3183,MATCH(SMALL($V$4:$V$3183,1622),$V$4:$V$3183,0)),""))</f>
        <v/>
      </c>
    </row>
    <row r="1626">
      <c r="A1626">
        <f>IFERROR(INDEX($N$4:$N$3183,MATCH(SMALL($V$4:$V$3183,1623),$V$4:$V$3183,0)),"")</f>
        <v/>
      </c>
      <c r="B1626">
        <f>IFERROR(INDEX($O$4:$O$3183,MATCH(SMALL($V$4:$V$3183,1623),$V$4:$V$3183,0)),"")</f>
        <v/>
      </c>
      <c r="C1626">
        <f>IFERROR(INDEX($P$4:$P$3183,MATCH(SMALL($V$4:$V$3183,1623),$V$4:$V$3183,0)),"")</f>
        <v/>
      </c>
      <c r="D1626" s="29">
        <f>IFERROR(INDEX($Q$4:$Q$3183,MATCH(SMALL($V$4:$V$3183,1623),$V$4:$V$3183,0)),"")</f>
        <v/>
      </c>
      <c r="E1626" s="29">
        <f>IFERROR(INDEX($R$4:$R$3183,MATCH(SMALL($V$4:$V$3183,1623),$V$4:$V$3183,0)),"")</f>
        <v/>
      </c>
      <c r="F1626">
        <f>IFERROR(INDEX($S$4:$S$3183,MATCH(SMALL($V$4:$V$3183,1623),$V$4:$V$3183,0)),"")</f>
        <v/>
      </c>
      <c r="I1626" s="29">
        <f>IF($B1626="","",IFERROR(INDEX($U$4:$U$3183,MATCH(SMALL($V$4:$V$3183,1623),$V$4:$V$3183,0)),""))</f>
        <v/>
      </c>
      <c r="J1626">
        <f>IF($B1626="","",IF($D1626&gt;$F$2,"À venir",IF($E1626&lt;$D$2,"Passé","Dans la période")))</f>
        <v/>
      </c>
      <c r="K1626">
        <f>IF(OR($B1626="",NOT(ISNUMBER($D1626))),"",IF(AND($E1626&lt;$D$2,$G1626&lt;&gt;"X",$F1626&lt;&gt;"Réalisé",$F1626&lt;&gt;"Clôturé"),"RETARD",""))</f>
        <v/>
      </c>
      <c r="L1626">
        <f>IF(OR($B1626="",NOT(ISNUMBER($D1626))),"",IF(AND($D1626&gt;=$D$2,$D1626&lt;=$H$2,$G1626&lt;&gt;"X",$F1626&lt;&gt;"Réalisé",$F1626&lt;&gt;"Clôturé"),"≤ 7 j",""))</f>
        <v/>
      </c>
      <c r="M1626" s="29">
        <f>IF($B1626="","",IFERROR(INDEX($T$4:$T$3183,MATCH(SMALL($V$4:$V$3183,1623),$V$4:$V$3183,0)),""))</f>
        <v/>
      </c>
      <c r="O1626">
        <f>IF(INDEX(Suivi!$B:$B,1657)="","",INDEX(Suivi!$B:$B,1657))</f>
        <v/>
      </c>
      <c r="P1626">
        <f>IF($O1626="","",IF(INDEX(Suivi!$D:$D,1657)="",INDEX(Suivi!$C:$C,1657),INDEX(Suivi!$D:$D,1657)))</f>
        <v/>
      </c>
      <c r="Q1626">
        <f>IF($O1626="","",INDEX(Suivi!$E:$E,1657))</f>
        <v/>
      </c>
      <c r="R1626">
        <f>IF($O1626="","",INDEX(Suivi!$F:$F,1657))</f>
        <v/>
      </c>
      <c r="S1626">
        <f>IF($O1626="","",INDEX(Suivi!$G:$G,1657))</f>
        <v/>
      </c>
      <c r="T1626">
        <f>IF($O1626="","",IF(INDEX(Dossiers!$F$4:$F$63,31)="","",INDEX(Dossiers!$F$4:$F$63,31)))</f>
        <v/>
      </c>
      <c r="U1626">
        <f>IF($O1626="","",IF(INDEX(Dossiers!$G$4:$G$63,31)="","",INDEX(Dossiers!$G$4:$G$63,31)))</f>
        <v/>
      </c>
      <c r="V1626">
        <f>IF(OR($O1626="",NOT(ISNUMBER($Q1626))),"",$Q1626*1000000+1626)</f>
        <v/>
      </c>
      <c r="W1626" s="29">
        <f>IF($B1626="","",IFERROR(INDEX($U$4:$U$3183,MATCH(SMALL($V$4:$V$3183,1623),$V$4:$V$3183,0)),""))</f>
        <v/>
      </c>
    </row>
    <row r="1627">
      <c r="A1627">
        <f>IFERROR(INDEX($N$4:$N$3183,MATCH(SMALL($V$4:$V$3183,1624),$V$4:$V$3183,0)),"")</f>
        <v/>
      </c>
      <c r="B1627">
        <f>IFERROR(INDEX($O$4:$O$3183,MATCH(SMALL($V$4:$V$3183,1624),$V$4:$V$3183,0)),"")</f>
        <v/>
      </c>
      <c r="C1627">
        <f>IFERROR(INDEX($P$4:$P$3183,MATCH(SMALL($V$4:$V$3183,1624),$V$4:$V$3183,0)),"")</f>
        <v/>
      </c>
      <c r="D1627" s="29">
        <f>IFERROR(INDEX($Q$4:$Q$3183,MATCH(SMALL($V$4:$V$3183,1624),$V$4:$V$3183,0)),"")</f>
        <v/>
      </c>
      <c r="E1627" s="29">
        <f>IFERROR(INDEX($R$4:$R$3183,MATCH(SMALL($V$4:$V$3183,1624),$V$4:$V$3183,0)),"")</f>
        <v/>
      </c>
      <c r="F1627">
        <f>IFERROR(INDEX($S$4:$S$3183,MATCH(SMALL($V$4:$V$3183,1624),$V$4:$V$3183,0)),"")</f>
        <v/>
      </c>
      <c r="I1627" s="29">
        <f>IF($B1627="","",IFERROR(INDEX($U$4:$U$3183,MATCH(SMALL($V$4:$V$3183,1624),$V$4:$V$3183,0)),""))</f>
        <v/>
      </c>
      <c r="J1627">
        <f>IF($B1627="","",IF($D1627&gt;$F$2,"À venir",IF($E1627&lt;$D$2,"Passé","Dans la période")))</f>
        <v/>
      </c>
      <c r="K1627">
        <f>IF(OR($B1627="",NOT(ISNUMBER($D1627))),"",IF(AND($E1627&lt;$D$2,$G1627&lt;&gt;"X",$F1627&lt;&gt;"Réalisé",$F1627&lt;&gt;"Clôturé"),"RETARD",""))</f>
        <v/>
      </c>
      <c r="L1627">
        <f>IF(OR($B1627="",NOT(ISNUMBER($D1627))),"",IF(AND($D1627&gt;=$D$2,$D1627&lt;=$H$2,$G1627&lt;&gt;"X",$F1627&lt;&gt;"Réalisé",$F1627&lt;&gt;"Clôturé"),"≤ 7 j",""))</f>
        <v/>
      </c>
      <c r="M1627" s="29">
        <f>IF($B1627="","",IFERROR(INDEX($T$4:$T$3183,MATCH(SMALL($V$4:$V$3183,1624),$V$4:$V$3183,0)),""))</f>
        <v/>
      </c>
      <c r="O1627">
        <f>IF(INDEX(Suivi!$B:$B,1658)="","",INDEX(Suivi!$B:$B,1658))</f>
        <v/>
      </c>
      <c r="P1627">
        <f>IF($O1627="","",IF(INDEX(Suivi!$D:$D,1658)="",INDEX(Suivi!$C:$C,1658),INDEX(Suivi!$D:$D,1658)))</f>
        <v/>
      </c>
      <c r="Q1627">
        <f>IF($O1627="","",INDEX(Suivi!$E:$E,1658))</f>
        <v/>
      </c>
      <c r="R1627">
        <f>IF($O1627="","",INDEX(Suivi!$F:$F,1658))</f>
        <v/>
      </c>
      <c r="S1627">
        <f>IF($O1627="","",INDEX(Suivi!$G:$G,1658))</f>
        <v/>
      </c>
      <c r="T1627">
        <f>IF($O1627="","",IF(INDEX(Dossiers!$F$4:$F$63,31)="","",INDEX(Dossiers!$F$4:$F$63,31)))</f>
        <v/>
      </c>
      <c r="U1627">
        <f>IF($O1627="","",IF(INDEX(Dossiers!$G$4:$G$63,31)="","",INDEX(Dossiers!$G$4:$G$63,31)))</f>
        <v/>
      </c>
      <c r="V1627">
        <f>IF(OR($O1627="",NOT(ISNUMBER($Q1627))),"",$Q1627*1000000+1627)</f>
        <v/>
      </c>
      <c r="W1627" s="29">
        <f>IF($B1627="","",IFERROR(INDEX($U$4:$U$3183,MATCH(SMALL($V$4:$V$3183,1624),$V$4:$V$3183,0)),""))</f>
        <v/>
      </c>
    </row>
    <row r="1628">
      <c r="A1628">
        <f>IFERROR(INDEX($N$4:$N$3183,MATCH(SMALL($V$4:$V$3183,1625),$V$4:$V$3183,0)),"")</f>
        <v/>
      </c>
      <c r="B1628">
        <f>IFERROR(INDEX($O$4:$O$3183,MATCH(SMALL($V$4:$V$3183,1625),$V$4:$V$3183,0)),"")</f>
        <v/>
      </c>
      <c r="C1628">
        <f>IFERROR(INDEX($P$4:$P$3183,MATCH(SMALL($V$4:$V$3183,1625),$V$4:$V$3183,0)),"")</f>
        <v/>
      </c>
      <c r="D1628" s="29">
        <f>IFERROR(INDEX($Q$4:$Q$3183,MATCH(SMALL($V$4:$V$3183,1625),$V$4:$V$3183,0)),"")</f>
        <v/>
      </c>
      <c r="E1628" s="29">
        <f>IFERROR(INDEX($R$4:$R$3183,MATCH(SMALL($V$4:$V$3183,1625),$V$4:$V$3183,0)),"")</f>
        <v/>
      </c>
      <c r="F1628">
        <f>IFERROR(INDEX($S$4:$S$3183,MATCH(SMALL($V$4:$V$3183,1625),$V$4:$V$3183,0)),"")</f>
        <v/>
      </c>
      <c r="I1628" s="29">
        <f>IF($B1628="","",IFERROR(INDEX($U$4:$U$3183,MATCH(SMALL($V$4:$V$3183,1625),$V$4:$V$3183,0)),""))</f>
        <v/>
      </c>
      <c r="J1628">
        <f>IF($B1628="","",IF($D1628&gt;$F$2,"À venir",IF($E1628&lt;$D$2,"Passé","Dans la période")))</f>
        <v/>
      </c>
      <c r="K1628">
        <f>IF(OR($B1628="",NOT(ISNUMBER($D1628))),"",IF(AND($E1628&lt;$D$2,$G1628&lt;&gt;"X",$F1628&lt;&gt;"Réalisé",$F1628&lt;&gt;"Clôturé"),"RETARD",""))</f>
        <v/>
      </c>
      <c r="L1628">
        <f>IF(OR($B1628="",NOT(ISNUMBER($D1628))),"",IF(AND($D1628&gt;=$D$2,$D1628&lt;=$H$2,$G1628&lt;&gt;"X",$F1628&lt;&gt;"Réalisé",$F1628&lt;&gt;"Clôturé"),"≤ 7 j",""))</f>
        <v/>
      </c>
      <c r="M1628" s="29">
        <f>IF($B1628="","",IFERROR(INDEX($T$4:$T$3183,MATCH(SMALL($V$4:$V$3183,1625),$V$4:$V$3183,0)),""))</f>
        <v/>
      </c>
      <c r="O1628">
        <f>IF(INDEX(Suivi!$B:$B,1659)="","",INDEX(Suivi!$B:$B,1659))</f>
        <v/>
      </c>
      <c r="P1628">
        <f>IF($O1628="","",IF(INDEX(Suivi!$D:$D,1659)="",INDEX(Suivi!$C:$C,1659),INDEX(Suivi!$D:$D,1659)))</f>
        <v/>
      </c>
      <c r="Q1628">
        <f>IF($O1628="","",INDEX(Suivi!$E:$E,1659))</f>
        <v/>
      </c>
      <c r="R1628">
        <f>IF($O1628="","",INDEX(Suivi!$F:$F,1659))</f>
        <v/>
      </c>
      <c r="S1628">
        <f>IF($O1628="","",INDEX(Suivi!$G:$G,1659))</f>
        <v/>
      </c>
      <c r="T1628">
        <f>IF($O1628="","",IF(INDEX(Dossiers!$F$4:$F$63,31)="","",INDEX(Dossiers!$F$4:$F$63,31)))</f>
        <v/>
      </c>
      <c r="U1628">
        <f>IF($O1628="","",IF(INDEX(Dossiers!$G$4:$G$63,31)="","",INDEX(Dossiers!$G$4:$G$63,31)))</f>
        <v/>
      </c>
      <c r="V1628">
        <f>IF(OR($O1628="",NOT(ISNUMBER($Q1628))),"",$Q1628*1000000+1628)</f>
        <v/>
      </c>
      <c r="W1628" s="29">
        <f>IF($B1628="","",IFERROR(INDEX($U$4:$U$3183,MATCH(SMALL($V$4:$V$3183,1625),$V$4:$V$3183,0)),""))</f>
        <v/>
      </c>
    </row>
    <row r="1629">
      <c r="A1629">
        <f>IFERROR(INDEX($N$4:$N$3183,MATCH(SMALL($V$4:$V$3183,1626),$V$4:$V$3183,0)),"")</f>
        <v/>
      </c>
      <c r="B1629">
        <f>IFERROR(INDEX($O$4:$O$3183,MATCH(SMALL($V$4:$V$3183,1626),$V$4:$V$3183,0)),"")</f>
        <v/>
      </c>
      <c r="C1629">
        <f>IFERROR(INDEX($P$4:$P$3183,MATCH(SMALL($V$4:$V$3183,1626),$V$4:$V$3183,0)),"")</f>
        <v/>
      </c>
      <c r="D1629" s="29">
        <f>IFERROR(INDEX($Q$4:$Q$3183,MATCH(SMALL($V$4:$V$3183,1626),$V$4:$V$3183,0)),"")</f>
        <v/>
      </c>
      <c r="E1629" s="29">
        <f>IFERROR(INDEX($R$4:$R$3183,MATCH(SMALL($V$4:$V$3183,1626),$V$4:$V$3183,0)),"")</f>
        <v/>
      </c>
      <c r="F1629">
        <f>IFERROR(INDEX($S$4:$S$3183,MATCH(SMALL($V$4:$V$3183,1626),$V$4:$V$3183,0)),"")</f>
        <v/>
      </c>
      <c r="I1629" s="29">
        <f>IF($B1629="","",IFERROR(INDEX($U$4:$U$3183,MATCH(SMALL($V$4:$V$3183,1626),$V$4:$V$3183,0)),""))</f>
        <v/>
      </c>
      <c r="J1629">
        <f>IF($B1629="","",IF($D1629&gt;$F$2,"À venir",IF($E1629&lt;$D$2,"Passé","Dans la période")))</f>
        <v/>
      </c>
      <c r="K1629">
        <f>IF(OR($B1629="",NOT(ISNUMBER($D1629))),"",IF(AND($E1629&lt;$D$2,$G1629&lt;&gt;"X",$F1629&lt;&gt;"Réalisé",$F1629&lt;&gt;"Clôturé"),"RETARD",""))</f>
        <v/>
      </c>
      <c r="L1629">
        <f>IF(OR($B1629="",NOT(ISNUMBER($D1629))),"",IF(AND($D1629&gt;=$D$2,$D1629&lt;=$H$2,$G1629&lt;&gt;"X",$F1629&lt;&gt;"Réalisé",$F1629&lt;&gt;"Clôturé"),"≤ 7 j",""))</f>
        <v/>
      </c>
      <c r="M1629" s="29">
        <f>IF($B1629="","",IFERROR(INDEX($T$4:$T$3183,MATCH(SMALL($V$4:$V$3183,1626),$V$4:$V$3183,0)),""))</f>
        <v/>
      </c>
      <c r="O1629">
        <f>IF(INDEX(Suivi!$B:$B,1660)="","",INDEX(Suivi!$B:$B,1660))</f>
        <v/>
      </c>
      <c r="P1629">
        <f>IF($O1629="","",IF(INDEX(Suivi!$D:$D,1660)="",INDEX(Suivi!$C:$C,1660),INDEX(Suivi!$D:$D,1660)))</f>
        <v/>
      </c>
      <c r="Q1629">
        <f>IF($O1629="","",INDEX(Suivi!$E:$E,1660))</f>
        <v/>
      </c>
      <c r="R1629">
        <f>IF($O1629="","",INDEX(Suivi!$F:$F,1660))</f>
        <v/>
      </c>
      <c r="S1629">
        <f>IF($O1629="","",INDEX(Suivi!$G:$G,1660))</f>
        <v/>
      </c>
      <c r="T1629">
        <f>IF($O1629="","",IF(INDEX(Dossiers!$F$4:$F$63,31)="","",INDEX(Dossiers!$F$4:$F$63,31)))</f>
        <v/>
      </c>
      <c r="U1629">
        <f>IF($O1629="","",IF(INDEX(Dossiers!$G$4:$G$63,31)="","",INDEX(Dossiers!$G$4:$G$63,31)))</f>
        <v/>
      </c>
      <c r="V1629">
        <f>IF(OR($O1629="",NOT(ISNUMBER($Q1629))),"",$Q1629*1000000+1629)</f>
        <v/>
      </c>
      <c r="W1629" s="29">
        <f>IF($B1629="","",IFERROR(INDEX($U$4:$U$3183,MATCH(SMALL($V$4:$V$3183,1626),$V$4:$V$3183,0)),""))</f>
        <v/>
      </c>
    </row>
    <row r="1630">
      <c r="A1630">
        <f>IFERROR(INDEX($N$4:$N$3183,MATCH(SMALL($V$4:$V$3183,1627),$V$4:$V$3183,0)),"")</f>
        <v/>
      </c>
      <c r="B1630">
        <f>IFERROR(INDEX($O$4:$O$3183,MATCH(SMALL($V$4:$V$3183,1627),$V$4:$V$3183,0)),"")</f>
        <v/>
      </c>
      <c r="C1630">
        <f>IFERROR(INDEX($P$4:$P$3183,MATCH(SMALL($V$4:$V$3183,1627),$V$4:$V$3183,0)),"")</f>
        <v/>
      </c>
      <c r="D1630" s="29">
        <f>IFERROR(INDEX($Q$4:$Q$3183,MATCH(SMALL($V$4:$V$3183,1627),$V$4:$V$3183,0)),"")</f>
        <v/>
      </c>
      <c r="E1630" s="29">
        <f>IFERROR(INDEX($R$4:$R$3183,MATCH(SMALL($V$4:$V$3183,1627),$V$4:$V$3183,0)),"")</f>
        <v/>
      </c>
      <c r="F1630">
        <f>IFERROR(INDEX($S$4:$S$3183,MATCH(SMALL($V$4:$V$3183,1627),$V$4:$V$3183,0)),"")</f>
        <v/>
      </c>
      <c r="I1630" s="29">
        <f>IF($B1630="","",IFERROR(INDEX($U$4:$U$3183,MATCH(SMALL($V$4:$V$3183,1627),$V$4:$V$3183,0)),""))</f>
        <v/>
      </c>
      <c r="J1630">
        <f>IF($B1630="","",IF($D1630&gt;$F$2,"À venir",IF($E1630&lt;$D$2,"Passé","Dans la période")))</f>
        <v/>
      </c>
      <c r="K1630">
        <f>IF(OR($B1630="",NOT(ISNUMBER($D1630))),"",IF(AND($E1630&lt;$D$2,$G1630&lt;&gt;"X",$F1630&lt;&gt;"Réalisé",$F1630&lt;&gt;"Clôturé"),"RETARD",""))</f>
        <v/>
      </c>
      <c r="L1630">
        <f>IF(OR($B1630="",NOT(ISNUMBER($D1630))),"",IF(AND($D1630&gt;=$D$2,$D1630&lt;=$H$2,$G1630&lt;&gt;"X",$F1630&lt;&gt;"Réalisé",$F1630&lt;&gt;"Clôturé"),"≤ 7 j",""))</f>
        <v/>
      </c>
      <c r="M1630" s="29">
        <f>IF($B1630="","",IFERROR(INDEX($T$4:$T$3183,MATCH(SMALL($V$4:$V$3183,1627),$V$4:$V$3183,0)),""))</f>
        <v/>
      </c>
      <c r="O1630">
        <f>IF(INDEX(Suivi!$B:$B,1661)="","",INDEX(Suivi!$B:$B,1661))</f>
        <v/>
      </c>
      <c r="P1630">
        <f>IF($O1630="","",IF(INDEX(Suivi!$D:$D,1661)="",INDEX(Suivi!$C:$C,1661),INDEX(Suivi!$D:$D,1661)))</f>
        <v/>
      </c>
      <c r="Q1630">
        <f>IF($O1630="","",INDEX(Suivi!$E:$E,1661))</f>
        <v/>
      </c>
      <c r="R1630">
        <f>IF($O1630="","",INDEX(Suivi!$F:$F,1661))</f>
        <v/>
      </c>
      <c r="S1630">
        <f>IF($O1630="","",INDEX(Suivi!$G:$G,1661))</f>
        <v/>
      </c>
      <c r="T1630">
        <f>IF($O1630="","",IF(INDEX(Dossiers!$F$4:$F$63,31)="","",INDEX(Dossiers!$F$4:$F$63,31)))</f>
        <v/>
      </c>
      <c r="U1630">
        <f>IF($O1630="","",IF(INDEX(Dossiers!$G$4:$G$63,31)="","",INDEX(Dossiers!$G$4:$G$63,31)))</f>
        <v/>
      </c>
      <c r="V1630">
        <f>IF(OR($O1630="",NOT(ISNUMBER($Q1630))),"",$Q1630*1000000+1630)</f>
        <v/>
      </c>
      <c r="W1630" s="29">
        <f>IF($B1630="","",IFERROR(INDEX($U$4:$U$3183,MATCH(SMALL($V$4:$V$3183,1627),$V$4:$V$3183,0)),""))</f>
        <v/>
      </c>
    </row>
    <row r="1631">
      <c r="A1631">
        <f>IFERROR(INDEX($N$4:$N$3183,MATCH(SMALL($V$4:$V$3183,1628),$V$4:$V$3183,0)),"")</f>
        <v/>
      </c>
      <c r="B1631">
        <f>IFERROR(INDEX($O$4:$O$3183,MATCH(SMALL($V$4:$V$3183,1628),$V$4:$V$3183,0)),"")</f>
        <v/>
      </c>
      <c r="C1631">
        <f>IFERROR(INDEX($P$4:$P$3183,MATCH(SMALL($V$4:$V$3183,1628),$V$4:$V$3183,0)),"")</f>
        <v/>
      </c>
      <c r="D1631" s="29">
        <f>IFERROR(INDEX($Q$4:$Q$3183,MATCH(SMALL($V$4:$V$3183,1628),$V$4:$V$3183,0)),"")</f>
        <v/>
      </c>
      <c r="E1631" s="29">
        <f>IFERROR(INDEX($R$4:$R$3183,MATCH(SMALL($V$4:$V$3183,1628),$V$4:$V$3183,0)),"")</f>
        <v/>
      </c>
      <c r="F1631">
        <f>IFERROR(INDEX($S$4:$S$3183,MATCH(SMALL($V$4:$V$3183,1628),$V$4:$V$3183,0)),"")</f>
        <v/>
      </c>
      <c r="I1631" s="29">
        <f>IF($B1631="","",IFERROR(INDEX($U$4:$U$3183,MATCH(SMALL($V$4:$V$3183,1628),$V$4:$V$3183,0)),""))</f>
        <v/>
      </c>
      <c r="J1631">
        <f>IF($B1631="","",IF($D1631&gt;$F$2,"À venir",IF($E1631&lt;$D$2,"Passé","Dans la période")))</f>
        <v/>
      </c>
      <c r="K1631">
        <f>IF(OR($B1631="",NOT(ISNUMBER($D1631))),"",IF(AND($E1631&lt;$D$2,$G1631&lt;&gt;"X",$F1631&lt;&gt;"Réalisé",$F1631&lt;&gt;"Clôturé"),"RETARD",""))</f>
        <v/>
      </c>
      <c r="L1631">
        <f>IF(OR($B1631="",NOT(ISNUMBER($D1631))),"",IF(AND($D1631&gt;=$D$2,$D1631&lt;=$H$2,$G1631&lt;&gt;"X",$F1631&lt;&gt;"Réalisé",$F1631&lt;&gt;"Clôturé"),"≤ 7 j",""))</f>
        <v/>
      </c>
      <c r="M1631" s="29">
        <f>IF($B1631="","",IFERROR(INDEX($T$4:$T$3183,MATCH(SMALL($V$4:$V$3183,1628),$V$4:$V$3183,0)),""))</f>
        <v/>
      </c>
      <c r="O1631">
        <f>IF(INDEX(Suivi!$B:$B,1662)="","",INDEX(Suivi!$B:$B,1662))</f>
        <v/>
      </c>
      <c r="P1631">
        <f>IF($O1631="","",IF(INDEX(Suivi!$D:$D,1662)="",INDEX(Suivi!$C:$C,1662),INDEX(Suivi!$D:$D,1662)))</f>
        <v/>
      </c>
      <c r="Q1631">
        <f>IF($O1631="","",INDEX(Suivi!$E:$E,1662))</f>
        <v/>
      </c>
      <c r="R1631">
        <f>IF($O1631="","",INDEX(Suivi!$F:$F,1662))</f>
        <v/>
      </c>
      <c r="S1631">
        <f>IF($O1631="","",INDEX(Suivi!$G:$G,1662))</f>
        <v/>
      </c>
      <c r="T1631">
        <f>IF($O1631="","",IF(INDEX(Dossiers!$F$4:$F$63,31)="","",INDEX(Dossiers!$F$4:$F$63,31)))</f>
        <v/>
      </c>
      <c r="U1631">
        <f>IF($O1631="","",IF(INDEX(Dossiers!$G$4:$G$63,31)="","",INDEX(Dossiers!$G$4:$G$63,31)))</f>
        <v/>
      </c>
      <c r="V1631">
        <f>IF(OR($O1631="",NOT(ISNUMBER($Q1631))),"",$Q1631*1000000+1631)</f>
        <v/>
      </c>
      <c r="W1631" s="29">
        <f>IF($B1631="","",IFERROR(INDEX($U$4:$U$3183,MATCH(SMALL($V$4:$V$3183,1628),$V$4:$V$3183,0)),""))</f>
        <v/>
      </c>
    </row>
    <row r="1632">
      <c r="A1632">
        <f>IFERROR(INDEX($N$4:$N$3183,MATCH(SMALL($V$4:$V$3183,1629),$V$4:$V$3183,0)),"")</f>
        <v/>
      </c>
      <c r="B1632">
        <f>IFERROR(INDEX($O$4:$O$3183,MATCH(SMALL($V$4:$V$3183,1629),$V$4:$V$3183,0)),"")</f>
        <v/>
      </c>
      <c r="C1632">
        <f>IFERROR(INDEX($P$4:$P$3183,MATCH(SMALL($V$4:$V$3183,1629),$V$4:$V$3183,0)),"")</f>
        <v/>
      </c>
      <c r="D1632" s="29">
        <f>IFERROR(INDEX($Q$4:$Q$3183,MATCH(SMALL($V$4:$V$3183,1629),$V$4:$V$3183,0)),"")</f>
        <v/>
      </c>
      <c r="E1632" s="29">
        <f>IFERROR(INDEX($R$4:$R$3183,MATCH(SMALL($V$4:$V$3183,1629),$V$4:$V$3183,0)),"")</f>
        <v/>
      </c>
      <c r="F1632">
        <f>IFERROR(INDEX($S$4:$S$3183,MATCH(SMALL($V$4:$V$3183,1629),$V$4:$V$3183,0)),"")</f>
        <v/>
      </c>
      <c r="I1632" s="29">
        <f>IF($B1632="","",IFERROR(INDEX($U$4:$U$3183,MATCH(SMALL($V$4:$V$3183,1629),$V$4:$V$3183,0)),""))</f>
        <v/>
      </c>
      <c r="J1632">
        <f>IF($B1632="","",IF($D1632&gt;$F$2,"À venir",IF($E1632&lt;$D$2,"Passé","Dans la période")))</f>
        <v/>
      </c>
      <c r="K1632">
        <f>IF(OR($B1632="",NOT(ISNUMBER($D1632))),"",IF(AND($E1632&lt;$D$2,$G1632&lt;&gt;"X",$F1632&lt;&gt;"Réalisé",$F1632&lt;&gt;"Clôturé"),"RETARD",""))</f>
        <v/>
      </c>
      <c r="L1632">
        <f>IF(OR($B1632="",NOT(ISNUMBER($D1632))),"",IF(AND($D1632&gt;=$D$2,$D1632&lt;=$H$2,$G1632&lt;&gt;"X",$F1632&lt;&gt;"Réalisé",$F1632&lt;&gt;"Clôturé"),"≤ 7 j",""))</f>
        <v/>
      </c>
      <c r="M1632" s="29">
        <f>IF($B1632="","",IFERROR(INDEX($T$4:$T$3183,MATCH(SMALL($V$4:$V$3183,1629),$V$4:$V$3183,0)),""))</f>
        <v/>
      </c>
      <c r="O1632">
        <f>IF(INDEX(Suivi!$B:$B,1663)="","",INDEX(Suivi!$B:$B,1663))</f>
        <v/>
      </c>
      <c r="P1632">
        <f>IF($O1632="","",IF(INDEX(Suivi!$D:$D,1663)="",INDEX(Suivi!$C:$C,1663),INDEX(Suivi!$D:$D,1663)))</f>
        <v/>
      </c>
      <c r="Q1632">
        <f>IF($O1632="","",INDEX(Suivi!$E:$E,1663))</f>
        <v/>
      </c>
      <c r="R1632">
        <f>IF($O1632="","",INDEX(Suivi!$F:$F,1663))</f>
        <v/>
      </c>
      <c r="S1632">
        <f>IF($O1632="","",INDEX(Suivi!$G:$G,1663))</f>
        <v/>
      </c>
      <c r="T1632">
        <f>IF($O1632="","",IF(INDEX(Dossiers!$F$4:$F$63,31)="","",INDEX(Dossiers!$F$4:$F$63,31)))</f>
        <v/>
      </c>
      <c r="U1632">
        <f>IF($O1632="","",IF(INDEX(Dossiers!$G$4:$G$63,31)="","",INDEX(Dossiers!$G$4:$G$63,31)))</f>
        <v/>
      </c>
      <c r="V1632">
        <f>IF(OR($O1632="",NOT(ISNUMBER($Q1632))),"",$Q1632*1000000+1632)</f>
        <v/>
      </c>
      <c r="W1632" s="29">
        <f>IF($B1632="","",IFERROR(INDEX($U$4:$U$3183,MATCH(SMALL($V$4:$V$3183,1629),$V$4:$V$3183,0)),""))</f>
        <v/>
      </c>
    </row>
    <row r="1633">
      <c r="A1633">
        <f>IFERROR(INDEX($N$4:$N$3183,MATCH(SMALL($V$4:$V$3183,1630),$V$4:$V$3183,0)),"")</f>
        <v/>
      </c>
      <c r="B1633">
        <f>IFERROR(INDEX($O$4:$O$3183,MATCH(SMALL($V$4:$V$3183,1630),$V$4:$V$3183,0)),"")</f>
        <v/>
      </c>
      <c r="C1633">
        <f>IFERROR(INDEX($P$4:$P$3183,MATCH(SMALL($V$4:$V$3183,1630),$V$4:$V$3183,0)),"")</f>
        <v/>
      </c>
      <c r="D1633" s="29">
        <f>IFERROR(INDEX($Q$4:$Q$3183,MATCH(SMALL($V$4:$V$3183,1630),$V$4:$V$3183,0)),"")</f>
        <v/>
      </c>
      <c r="E1633" s="29">
        <f>IFERROR(INDEX($R$4:$R$3183,MATCH(SMALL($V$4:$V$3183,1630),$V$4:$V$3183,0)),"")</f>
        <v/>
      </c>
      <c r="F1633">
        <f>IFERROR(INDEX($S$4:$S$3183,MATCH(SMALL($V$4:$V$3183,1630),$V$4:$V$3183,0)),"")</f>
        <v/>
      </c>
      <c r="I1633" s="29">
        <f>IF($B1633="","",IFERROR(INDEX($U$4:$U$3183,MATCH(SMALL($V$4:$V$3183,1630),$V$4:$V$3183,0)),""))</f>
        <v/>
      </c>
      <c r="J1633">
        <f>IF($B1633="","",IF($D1633&gt;$F$2,"À venir",IF($E1633&lt;$D$2,"Passé","Dans la période")))</f>
        <v/>
      </c>
      <c r="K1633">
        <f>IF(OR($B1633="",NOT(ISNUMBER($D1633))),"",IF(AND($E1633&lt;$D$2,$G1633&lt;&gt;"X",$F1633&lt;&gt;"Réalisé",$F1633&lt;&gt;"Clôturé"),"RETARD",""))</f>
        <v/>
      </c>
      <c r="L1633">
        <f>IF(OR($B1633="",NOT(ISNUMBER($D1633))),"",IF(AND($D1633&gt;=$D$2,$D1633&lt;=$H$2,$G1633&lt;&gt;"X",$F1633&lt;&gt;"Réalisé",$F1633&lt;&gt;"Clôturé"),"≤ 7 j",""))</f>
        <v/>
      </c>
      <c r="M1633" s="29">
        <f>IF($B1633="","",IFERROR(INDEX($T$4:$T$3183,MATCH(SMALL($V$4:$V$3183,1630),$V$4:$V$3183,0)),""))</f>
        <v/>
      </c>
      <c r="O1633">
        <f>IF(INDEX(Suivi!$B:$B,1664)="","",INDEX(Suivi!$B:$B,1664))</f>
        <v/>
      </c>
      <c r="P1633">
        <f>IF($O1633="","",IF(INDEX(Suivi!$D:$D,1664)="",INDEX(Suivi!$C:$C,1664),INDEX(Suivi!$D:$D,1664)))</f>
        <v/>
      </c>
      <c r="Q1633">
        <f>IF($O1633="","",INDEX(Suivi!$E:$E,1664))</f>
        <v/>
      </c>
      <c r="R1633">
        <f>IF($O1633="","",INDEX(Suivi!$F:$F,1664))</f>
        <v/>
      </c>
      <c r="S1633">
        <f>IF($O1633="","",INDEX(Suivi!$G:$G,1664))</f>
        <v/>
      </c>
      <c r="T1633">
        <f>IF($O1633="","",IF(INDEX(Dossiers!$F$4:$F$63,31)="","",INDEX(Dossiers!$F$4:$F$63,31)))</f>
        <v/>
      </c>
      <c r="U1633">
        <f>IF($O1633="","",IF(INDEX(Dossiers!$G$4:$G$63,31)="","",INDEX(Dossiers!$G$4:$G$63,31)))</f>
        <v/>
      </c>
      <c r="V1633">
        <f>IF(OR($O1633="",NOT(ISNUMBER($Q1633))),"",$Q1633*1000000+1633)</f>
        <v/>
      </c>
      <c r="W1633" s="29">
        <f>IF($B1633="","",IFERROR(INDEX($U$4:$U$3183,MATCH(SMALL($V$4:$V$3183,1630),$V$4:$V$3183,0)),""))</f>
        <v/>
      </c>
    </row>
    <row r="1634">
      <c r="A1634">
        <f>IFERROR(INDEX($N$4:$N$3183,MATCH(SMALL($V$4:$V$3183,1631),$V$4:$V$3183,0)),"")</f>
        <v/>
      </c>
      <c r="B1634">
        <f>IFERROR(INDEX($O$4:$O$3183,MATCH(SMALL($V$4:$V$3183,1631),$V$4:$V$3183,0)),"")</f>
        <v/>
      </c>
      <c r="C1634">
        <f>IFERROR(INDEX($P$4:$P$3183,MATCH(SMALL($V$4:$V$3183,1631),$V$4:$V$3183,0)),"")</f>
        <v/>
      </c>
      <c r="D1634" s="29">
        <f>IFERROR(INDEX($Q$4:$Q$3183,MATCH(SMALL($V$4:$V$3183,1631),$V$4:$V$3183,0)),"")</f>
        <v/>
      </c>
      <c r="E1634" s="29">
        <f>IFERROR(INDEX($R$4:$R$3183,MATCH(SMALL($V$4:$V$3183,1631),$V$4:$V$3183,0)),"")</f>
        <v/>
      </c>
      <c r="F1634">
        <f>IFERROR(INDEX($S$4:$S$3183,MATCH(SMALL($V$4:$V$3183,1631),$V$4:$V$3183,0)),"")</f>
        <v/>
      </c>
      <c r="I1634" s="29">
        <f>IF($B1634="","",IFERROR(INDEX($U$4:$U$3183,MATCH(SMALL($V$4:$V$3183,1631),$V$4:$V$3183,0)),""))</f>
        <v/>
      </c>
      <c r="J1634">
        <f>IF($B1634="","",IF($D1634&gt;$F$2,"À venir",IF($E1634&lt;$D$2,"Passé","Dans la période")))</f>
        <v/>
      </c>
      <c r="K1634">
        <f>IF(OR($B1634="",NOT(ISNUMBER($D1634))),"",IF(AND($E1634&lt;$D$2,$G1634&lt;&gt;"X",$F1634&lt;&gt;"Réalisé",$F1634&lt;&gt;"Clôturé"),"RETARD",""))</f>
        <v/>
      </c>
      <c r="L1634">
        <f>IF(OR($B1634="",NOT(ISNUMBER($D1634))),"",IF(AND($D1634&gt;=$D$2,$D1634&lt;=$H$2,$G1634&lt;&gt;"X",$F1634&lt;&gt;"Réalisé",$F1634&lt;&gt;"Clôturé"),"≤ 7 j",""))</f>
        <v/>
      </c>
      <c r="M1634" s="29">
        <f>IF($B1634="","",IFERROR(INDEX($T$4:$T$3183,MATCH(SMALL($V$4:$V$3183,1631),$V$4:$V$3183,0)),""))</f>
        <v/>
      </c>
      <c r="O1634">
        <f>IF(INDEX(Suivi!$B:$B,1665)="","",INDEX(Suivi!$B:$B,1665))</f>
        <v/>
      </c>
      <c r="P1634">
        <f>IF($O1634="","",IF(INDEX(Suivi!$D:$D,1665)="",INDEX(Suivi!$C:$C,1665),INDEX(Suivi!$D:$D,1665)))</f>
        <v/>
      </c>
      <c r="Q1634">
        <f>IF($O1634="","",INDEX(Suivi!$E:$E,1665))</f>
        <v/>
      </c>
      <c r="R1634">
        <f>IF($O1634="","",INDEX(Suivi!$F:$F,1665))</f>
        <v/>
      </c>
      <c r="S1634">
        <f>IF($O1634="","",INDEX(Suivi!$G:$G,1665))</f>
        <v/>
      </c>
      <c r="T1634">
        <f>IF($O1634="","",IF(INDEX(Dossiers!$F$4:$F$63,31)="","",INDEX(Dossiers!$F$4:$F$63,31)))</f>
        <v/>
      </c>
      <c r="U1634">
        <f>IF($O1634="","",IF(INDEX(Dossiers!$G$4:$G$63,31)="","",INDEX(Dossiers!$G$4:$G$63,31)))</f>
        <v/>
      </c>
      <c r="V1634">
        <f>IF(OR($O1634="",NOT(ISNUMBER($Q1634))),"",$Q1634*1000000+1634)</f>
        <v/>
      </c>
      <c r="W1634" s="29">
        <f>IF($B1634="","",IFERROR(INDEX($U$4:$U$3183,MATCH(SMALL($V$4:$V$3183,1631),$V$4:$V$3183,0)),""))</f>
        <v/>
      </c>
    </row>
    <row r="1635">
      <c r="A1635">
        <f>IFERROR(INDEX($N$4:$N$3183,MATCH(SMALL($V$4:$V$3183,1632),$V$4:$V$3183,0)),"")</f>
        <v/>
      </c>
      <c r="B1635">
        <f>IFERROR(INDEX($O$4:$O$3183,MATCH(SMALL($V$4:$V$3183,1632),$V$4:$V$3183,0)),"")</f>
        <v/>
      </c>
      <c r="C1635">
        <f>IFERROR(INDEX($P$4:$P$3183,MATCH(SMALL($V$4:$V$3183,1632),$V$4:$V$3183,0)),"")</f>
        <v/>
      </c>
      <c r="D1635" s="29">
        <f>IFERROR(INDEX($Q$4:$Q$3183,MATCH(SMALL($V$4:$V$3183,1632),$V$4:$V$3183,0)),"")</f>
        <v/>
      </c>
      <c r="E1635" s="29">
        <f>IFERROR(INDEX($R$4:$R$3183,MATCH(SMALL($V$4:$V$3183,1632),$V$4:$V$3183,0)),"")</f>
        <v/>
      </c>
      <c r="F1635">
        <f>IFERROR(INDEX($S$4:$S$3183,MATCH(SMALL($V$4:$V$3183,1632),$V$4:$V$3183,0)),"")</f>
        <v/>
      </c>
      <c r="I1635" s="29">
        <f>IF($B1635="","",IFERROR(INDEX($U$4:$U$3183,MATCH(SMALL($V$4:$V$3183,1632),$V$4:$V$3183,0)),""))</f>
        <v/>
      </c>
      <c r="J1635">
        <f>IF($B1635="","",IF($D1635&gt;$F$2,"À venir",IF($E1635&lt;$D$2,"Passé","Dans la période")))</f>
        <v/>
      </c>
      <c r="K1635">
        <f>IF(OR($B1635="",NOT(ISNUMBER($D1635))),"",IF(AND($E1635&lt;$D$2,$G1635&lt;&gt;"X",$F1635&lt;&gt;"Réalisé",$F1635&lt;&gt;"Clôturé"),"RETARD",""))</f>
        <v/>
      </c>
      <c r="L1635">
        <f>IF(OR($B1635="",NOT(ISNUMBER($D1635))),"",IF(AND($D1635&gt;=$D$2,$D1635&lt;=$H$2,$G1635&lt;&gt;"X",$F1635&lt;&gt;"Réalisé",$F1635&lt;&gt;"Clôturé"),"≤ 7 j",""))</f>
        <v/>
      </c>
      <c r="M1635" s="29">
        <f>IF($B1635="","",IFERROR(INDEX($T$4:$T$3183,MATCH(SMALL($V$4:$V$3183,1632),$V$4:$V$3183,0)),""))</f>
        <v/>
      </c>
      <c r="O1635">
        <f>IF(INDEX(Suivi!$B:$B,1666)="","",INDEX(Suivi!$B:$B,1666))</f>
        <v/>
      </c>
      <c r="P1635">
        <f>IF($O1635="","",IF(INDEX(Suivi!$D:$D,1666)="",INDEX(Suivi!$C:$C,1666),INDEX(Suivi!$D:$D,1666)))</f>
        <v/>
      </c>
      <c r="Q1635">
        <f>IF($O1635="","",INDEX(Suivi!$E:$E,1666))</f>
        <v/>
      </c>
      <c r="R1635">
        <f>IF($O1635="","",INDEX(Suivi!$F:$F,1666))</f>
        <v/>
      </c>
      <c r="S1635">
        <f>IF($O1635="","",INDEX(Suivi!$G:$G,1666))</f>
        <v/>
      </c>
      <c r="T1635">
        <f>IF($O1635="","",IF(INDEX(Dossiers!$F$4:$F$63,31)="","",INDEX(Dossiers!$F$4:$F$63,31)))</f>
        <v/>
      </c>
      <c r="U1635">
        <f>IF($O1635="","",IF(INDEX(Dossiers!$G$4:$G$63,31)="","",INDEX(Dossiers!$G$4:$G$63,31)))</f>
        <v/>
      </c>
      <c r="V1635">
        <f>IF(OR($O1635="",NOT(ISNUMBER($Q1635))),"",$Q1635*1000000+1635)</f>
        <v/>
      </c>
      <c r="W1635" s="29">
        <f>IF($B1635="","",IFERROR(INDEX($U$4:$U$3183,MATCH(SMALL($V$4:$V$3183,1632),$V$4:$V$3183,0)),""))</f>
        <v/>
      </c>
    </row>
    <row r="1636">
      <c r="A1636">
        <f>IFERROR(INDEX($N$4:$N$3183,MATCH(SMALL($V$4:$V$3183,1633),$V$4:$V$3183,0)),"")</f>
        <v/>
      </c>
      <c r="B1636">
        <f>IFERROR(INDEX($O$4:$O$3183,MATCH(SMALL($V$4:$V$3183,1633),$V$4:$V$3183,0)),"")</f>
        <v/>
      </c>
      <c r="C1636">
        <f>IFERROR(INDEX($P$4:$P$3183,MATCH(SMALL($V$4:$V$3183,1633),$V$4:$V$3183,0)),"")</f>
        <v/>
      </c>
      <c r="D1636" s="29">
        <f>IFERROR(INDEX($Q$4:$Q$3183,MATCH(SMALL($V$4:$V$3183,1633),$V$4:$V$3183,0)),"")</f>
        <v/>
      </c>
      <c r="E1636" s="29">
        <f>IFERROR(INDEX($R$4:$R$3183,MATCH(SMALL($V$4:$V$3183,1633),$V$4:$V$3183,0)),"")</f>
        <v/>
      </c>
      <c r="F1636">
        <f>IFERROR(INDEX($S$4:$S$3183,MATCH(SMALL($V$4:$V$3183,1633),$V$4:$V$3183,0)),"")</f>
        <v/>
      </c>
      <c r="I1636" s="29">
        <f>IF($B1636="","",IFERROR(INDEX($U$4:$U$3183,MATCH(SMALL($V$4:$V$3183,1633),$V$4:$V$3183,0)),""))</f>
        <v/>
      </c>
      <c r="J1636">
        <f>IF($B1636="","",IF($D1636&gt;$F$2,"À venir",IF($E1636&lt;$D$2,"Passé","Dans la période")))</f>
        <v/>
      </c>
      <c r="K1636">
        <f>IF(OR($B1636="",NOT(ISNUMBER($D1636))),"",IF(AND($E1636&lt;$D$2,$G1636&lt;&gt;"X",$F1636&lt;&gt;"Réalisé",$F1636&lt;&gt;"Clôturé"),"RETARD",""))</f>
        <v/>
      </c>
      <c r="L1636">
        <f>IF(OR($B1636="",NOT(ISNUMBER($D1636))),"",IF(AND($D1636&gt;=$D$2,$D1636&lt;=$H$2,$G1636&lt;&gt;"X",$F1636&lt;&gt;"Réalisé",$F1636&lt;&gt;"Clôturé"),"≤ 7 j",""))</f>
        <v/>
      </c>
      <c r="M1636" s="29">
        <f>IF($B1636="","",IFERROR(INDEX($T$4:$T$3183,MATCH(SMALL($V$4:$V$3183,1633),$V$4:$V$3183,0)),""))</f>
        <v/>
      </c>
      <c r="O1636">
        <f>IF(INDEX(Suivi!$B:$B,1667)="","",INDEX(Suivi!$B:$B,1667))</f>
        <v/>
      </c>
      <c r="P1636">
        <f>IF($O1636="","",IF(INDEX(Suivi!$D:$D,1667)="",INDEX(Suivi!$C:$C,1667),INDEX(Suivi!$D:$D,1667)))</f>
        <v/>
      </c>
      <c r="Q1636">
        <f>IF($O1636="","",INDEX(Suivi!$E:$E,1667))</f>
        <v/>
      </c>
      <c r="R1636">
        <f>IF($O1636="","",INDEX(Suivi!$F:$F,1667))</f>
        <v/>
      </c>
      <c r="S1636">
        <f>IF($O1636="","",INDEX(Suivi!$G:$G,1667))</f>
        <v/>
      </c>
      <c r="T1636">
        <f>IF($O1636="","",IF(INDEX(Dossiers!$F$4:$F$63,31)="","",INDEX(Dossiers!$F$4:$F$63,31)))</f>
        <v/>
      </c>
      <c r="U1636">
        <f>IF($O1636="","",IF(INDEX(Dossiers!$G$4:$G$63,31)="","",INDEX(Dossiers!$G$4:$G$63,31)))</f>
        <v/>
      </c>
      <c r="V1636">
        <f>IF(OR($O1636="",NOT(ISNUMBER($Q1636))),"",$Q1636*1000000+1636)</f>
        <v/>
      </c>
      <c r="W1636" s="29">
        <f>IF($B1636="","",IFERROR(INDEX($U$4:$U$3183,MATCH(SMALL($V$4:$V$3183,1633),$V$4:$V$3183,0)),""))</f>
        <v/>
      </c>
    </row>
    <row r="1637">
      <c r="A1637">
        <f>IFERROR(INDEX($N$4:$N$3183,MATCH(SMALL($V$4:$V$3183,1634),$V$4:$V$3183,0)),"")</f>
        <v/>
      </c>
      <c r="B1637">
        <f>IFERROR(INDEX($O$4:$O$3183,MATCH(SMALL($V$4:$V$3183,1634),$V$4:$V$3183,0)),"")</f>
        <v/>
      </c>
      <c r="C1637">
        <f>IFERROR(INDEX($P$4:$P$3183,MATCH(SMALL($V$4:$V$3183,1634),$V$4:$V$3183,0)),"")</f>
        <v/>
      </c>
      <c r="D1637" s="29">
        <f>IFERROR(INDEX($Q$4:$Q$3183,MATCH(SMALL($V$4:$V$3183,1634),$V$4:$V$3183,0)),"")</f>
        <v/>
      </c>
      <c r="E1637" s="29">
        <f>IFERROR(INDEX($R$4:$R$3183,MATCH(SMALL($V$4:$V$3183,1634),$V$4:$V$3183,0)),"")</f>
        <v/>
      </c>
      <c r="F1637">
        <f>IFERROR(INDEX($S$4:$S$3183,MATCH(SMALL($V$4:$V$3183,1634),$V$4:$V$3183,0)),"")</f>
        <v/>
      </c>
      <c r="I1637" s="29">
        <f>IF($B1637="","",IFERROR(INDEX($U$4:$U$3183,MATCH(SMALL($V$4:$V$3183,1634),$V$4:$V$3183,0)),""))</f>
        <v/>
      </c>
      <c r="J1637">
        <f>IF($B1637="","",IF($D1637&gt;$F$2,"À venir",IF($E1637&lt;$D$2,"Passé","Dans la période")))</f>
        <v/>
      </c>
      <c r="K1637">
        <f>IF(OR($B1637="",NOT(ISNUMBER($D1637))),"",IF(AND($E1637&lt;$D$2,$G1637&lt;&gt;"X",$F1637&lt;&gt;"Réalisé",$F1637&lt;&gt;"Clôturé"),"RETARD",""))</f>
        <v/>
      </c>
      <c r="L1637">
        <f>IF(OR($B1637="",NOT(ISNUMBER($D1637))),"",IF(AND($D1637&gt;=$D$2,$D1637&lt;=$H$2,$G1637&lt;&gt;"X",$F1637&lt;&gt;"Réalisé",$F1637&lt;&gt;"Clôturé"),"≤ 7 j",""))</f>
        <v/>
      </c>
      <c r="M1637" s="29">
        <f>IF($B1637="","",IFERROR(INDEX($T$4:$T$3183,MATCH(SMALL($V$4:$V$3183,1634),$V$4:$V$3183,0)),""))</f>
        <v/>
      </c>
      <c r="O1637">
        <f>IF(INDEX(Suivi!$B:$B,1668)="","",INDEX(Suivi!$B:$B,1668))</f>
        <v/>
      </c>
      <c r="P1637">
        <f>IF($O1637="","",IF(INDEX(Suivi!$D:$D,1668)="",INDEX(Suivi!$C:$C,1668),INDEX(Suivi!$D:$D,1668)))</f>
        <v/>
      </c>
      <c r="Q1637">
        <f>IF($O1637="","",INDEX(Suivi!$E:$E,1668))</f>
        <v/>
      </c>
      <c r="R1637">
        <f>IF($O1637="","",INDEX(Suivi!$F:$F,1668))</f>
        <v/>
      </c>
      <c r="S1637">
        <f>IF($O1637="","",INDEX(Suivi!$G:$G,1668))</f>
        <v/>
      </c>
      <c r="T1637">
        <f>IF($O1637="","",IF(INDEX(Dossiers!$F$4:$F$63,31)="","",INDEX(Dossiers!$F$4:$F$63,31)))</f>
        <v/>
      </c>
      <c r="U1637">
        <f>IF($O1637="","",IF(INDEX(Dossiers!$G$4:$G$63,31)="","",INDEX(Dossiers!$G$4:$G$63,31)))</f>
        <v/>
      </c>
      <c r="V1637">
        <f>IF(OR($O1637="",NOT(ISNUMBER($Q1637))),"",$Q1637*1000000+1637)</f>
        <v/>
      </c>
      <c r="W1637" s="29">
        <f>IF($B1637="","",IFERROR(INDEX($U$4:$U$3183,MATCH(SMALL($V$4:$V$3183,1634),$V$4:$V$3183,0)),""))</f>
        <v/>
      </c>
    </row>
    <row r="1638">
      <c r="A1638">
        <f>IFERROR(INDEX($N$4:$N$3183,MATCH(SMALL($V$4:$V$3183,1635),$V$4:$V$3183,0)),"")</f>
        <v/>
      </c>
      <c r="B1638">
        <f>IFERROR(INDEX($O$4:$O$3183,MATCH(SMALL($V$4:$V$3183,1635),$V$4:$V$3183,0)),"")</f>
        <v/>
      </c>
      <c r="C1638">
        <f>IFERROR(INDEX($P$4:$P$3183,MATCH(SMALL($V$4:$V$3183,1635),$V$4:$V$3183,0)),"")</f>
        <v/>
      </c>
      <c r="D1638" s="29">
        <f>IFERROR(INDEX($Q$4:$Q$3183,MATCH(SMALL($V$4:$V$3183,1635),$V$4:$V$3183,0)),"")</f>
        <v/>
      </c>
      <c r="E1638" s="29">
        <f>IFERROR(INDEX($R$4:$R$3183,MATCH(SMALL($V$4:$V$3183,1635),$V$4:$V$3183,0)),"")</f>
        <v/>
      </c>
      <c r="F1638">
        <f>IFERROR(INDEX($S$4:$S$3183,MATCH(SMALL($V$4:$V$3183,1635),$V$4:$V$3183,0)),"")</f>
        <v/>
      </c>
      <c r="I1638" s="29">
        <f>IF($B1638="","",IFERROR(INDEX($U$4:$U$3183,MATCH(SMALL($V$4:$V$3183,1635),$V$4:$V$3183,0)),""))</f>
        <v/>
      </c>
      <c r="J1638">
        <f>IF($B1638="","",IF($D1638&gt;$F$2,"À venir",IF($E1638&lt;$D$2,"Passé","Dans la période")))</f>
        <v/>
      </c>
      <c r="K1638">
        <f>IF(OR($B1638="",NOT(ISNUMBER($D1638))),"",IF(AND($E1638&lt;$D$2,$G1638&lt;&gt;"X",$F1638&lt;&gt;"Réalisé",$F1638&lt;&gt;"Clôturé"),"RETARD",""))</f>
        <v/>
      </c>
      <c r="L1638">
        <f>IF(OR($B1638="",NOT(ISNUMBER($D1638))),"",IF(AND($D1638&gt;=$D$2,$D1638&lt;=$H$2,$G1638&lt;&gt;"X",$F1638&lt;&gt;"Réalisé",$F1638&lt;&gt;"Clôturé"),"≤ 7 j",""))</f>
        <v/>
      </c>
      <c r="M1638" s="29">
        <f>IF($B1638="","",IFERROR(INDEX($T$4:$T$3183,MATCH(SMALL($V$4:$V$3183,1635),$V$4:$V$3183,0)),""))</f>
        <v/>
      </c>
      <c r="O1638">
        <f>IF(INDEX(Suivi!$B:$B,1669)="","",INDEX(Suivi!$B:$B,1669))</f>
        <v/>
      </c>
      <c r="P1638">
        <f>IF($O1638="","",IF(INDEX(Suivi!$D:$D,1669)="",INDEX(Suivi!$C:$C,1669),INDEX(Suivi!$D:$D,1669)))</f>
        <v/>
      </c>
      <c r="Q1638">
        <f>IF($O1638="","",INDEX(Suivi!$E:$E,1669))</f>
        <v/>
      </c>
      <c r="R1638">
        <f>IF($O1638="","",INDEX(Suivi!$F:$F,1669))</f>
        <v/>
      </c>
      <c r="S1638">
        <f>IF($O1638="","",INDEX(Suivi!$G:$G,1669))</f>
        <v/>
      </c>
      <c r="T1638">
        <f>IF($O1638="","",IF(INDEX(Dossiers!$F$4:$F$63,31)="","",INDEX(Dossiers!$F$4:$F$63,31)))</f>
        <v/>
      </c>
      <c r="U1638">
        <f>IF($O1638="","",IF(INDEX(Dossiers!$G$4:$G$63,31)="","",INDEX(Dossiers!$G$4:$G$63,31)))</f>
        <v/>
      </c>
      <c r="V1638">
        <f>IF(OR($O1638="",NOT(ISNUMBER($Q1638))),"",$Q1638*1000000+1638)</f>
        <v/>
      </c>
      <c r="W1638" s="29">
        <f>IF($B1638="","",IFERROR(INDEX($U$4:$U$3183,MATCH(SMALL($V$4:$V$3183,1635),$V$4:$V$3183,0)),""))</f>
        <v/>
      </c>
    </row>
    <row r="1639">
      <c r="A1639">
        <f>IFERROR(INDEX($N$4:$N$3183,MATCH(SMALL($V$4:$V$3183,1636),$V$4:$V$3183,0)),"")</f>
        <v/>
      </c>
      <c r="B1639">
        <f>IFERROR(INDEX($O$4:$O$3183,MATCH(SMALL($V$4:$V$3183,1636),$V$4:$V$3183,0)),"")</f>
        <v/>
      </c>
      <c r="C1639">
        <f>IFERROR(INDEX($P$4:$P$3183,MATCH(SMALL($V$4:$V$3183,1636),$V$4:$V$3183,0)),"")</f>
        <v/>
      </c>
      <c r="D1639" s="29">
        <f>IFERROR(INDEX($Q$4:$Q$3183,MATCH(SMALL($V$4:$V$3183,1636),$V$4:$V$3183,0)),"")</f>
        <v/>
      </c>
      <c r="E1639" s="29">
        <f>IFERROR(INDEX($R$4:$R$3183,MATCH(SMALL($V$4:$V$3183,1636),$V$4:$V$3183,0)),"")</f>
        <v/>
      </c>
      <c r="F1639">
        <f>IFERROR(INDEX($S$4:$S$3183,MATCH(SMALL($V$4:$V$3183,1636),$V$4:$V$3183,0)),"")</f>
        <v/>
      </c>
      <c r="I1639" s="29">
        <f>IF($B1639="","",IFERROR(INDEX($U$4:$U$3183,MATCH(SMALL($V$4:$V$3183,1636),$V$4:$V$3183,0)),""))</f>
        <v/>
      </c>
      <c r="J1639">
        <f>IF($B1639="","",IF($D1639&gt;$F$2,"À venir",IF($E1639&lt;$D$2,"Passé","Dans la période")))</f>
        <v/>
      </c>
      <c r="K1639">
        <f>IF(OR($B1639="",NOT(ISNUMBER($D1639))),"",IF(AND($E1639&lt;$D$2,$G1639&lt;&gt;"X",$F1639&lt;&gt;"Réalisé",$F1639&lt;&gt;"Clôturé"),"RETARD",""))</f>
        <v/>
      </c>
      <c r="L1639">
        <f>IF(OR($B1639="",NOT(ISNUMBER($D1639))),"",IF(AND($D1639&gt;=$D$2,$D1639&lt;=$H$2,$G1639&lt;&gt;"X",$F1639&lt;&gt;"Réalisé",$F1639&lt;&gt;"Clôturé"),"≤ 7 j",""))</f>
        <v/>
      </c>
      <c r="M1639" s="29">
        <f>IF($B1639="","",IFERROR(INDEX($T$4:$T$3183,MATCH(SMALL($V$4:$V$3183,1636),$V$4:$V$3183,0)),""))</f>
        <v/>
      </c>
      <c r="O1639">
        <f>IF(INDEX(Suivi!$B:$B,1670)="","",INDEX(Suivi!$B:$B,1670))</f>
        <v/>
      </c>
      <c r="P1639">
        <f>IF($O1639="","",IF(INDEX(Suivi!$D:$D,1670)="",INDEX(Suivi!$C:$C,1670),INDEX(Suivi!$D:$D,1670)))</f>
        <v/>
      </c>
      <c r="Q1639">
        <f>IF($O1639="","",INDEX(Suivi!$E:$E,1670))</f>
        <v/>
      </c>
      <c r="R1639">
        <f>IF($O1639="","",INDEX(Suivi!$F:$F,1670))</f>
        <v/>
      </c>
      <c r="S1639">
        <f>IF($O1639="","",INDEX(Suivi!$G:$G,1670))</f>
        <v/>
      </c>
      <c r="T1639">
        <f>IF($O1639="","",IF(INDEX(Dossiers!$F$4:$F$63,31)="","",INDEX(Dossiers!$F$4:$F$63,31)))</f>
        <v/>
      </c>
      <c r="U1639">
        <f>IF($O1639="","",IF(INDEX(Dossiers!$G$4:$G$63,31)="","",INDEX(Dossiers!$G$4:$G$63,31)))</f>
        <v/>
      </c>
      <c r="V1639">
        <f>IF(OR($O1639="",NOT(ISNUMBER($Q1639))),"",$Q1639*1000000+1639)</f>
        <v/>
      </c>
      <c r="W1639" s="29">
        <f>IF($B1639="","",IFERROR(INDEX($U$4:$U$3183,MATCH(SMALL($V$4:$V$3183,1636),$V$4:$V$3183,0)),""))</f>
        <v/>
      </c>
    </row>
    <row r="1640">
      <c r="A1640">
        <f>IFERROR(INDEX($N$4:$N$3183,MATCH(SMALL($V$4:$V$3183,1637),$V$4:$V$3183,0)),"")</f>
        <v/>
      </c>
      <c r="B1640">
        <f>IFERROR(INDEX($O$4:$O$3183,MATCH(SMALL($V$4:$V$3183,1637),$V$4:$V$3183,0)),"")</f>
        <v/>
      </c>
      <c r="C1640">
        <f>IFERROR(INDEX($P$4:$P$3183,MATCH(SMALL($V$4:$V$3183,1637),$V$4:$V$3183,0)),"")</f>
        <v/>
      </c>
      <c r="D1640" s="29">
        <f>IFERROR(INDEX($Q$4:$Q$3183,MATCH(SMALL($V$4:$V$3183,1637),$V$4:$V$3183,0)),"")</f>
        <v/>
      </c>
      <c r="E1640" s="29">
        <f>IFERROR(INDEX($R$4:$R$3183,MATCH(SMALL($V$4:$V$3183,1637),$V$4:$V$3183,0)),"")</f>
        <v/>
      </c>
      <c r="F1640">
        <f>IFERROR(INDEX($S$4:$S$3183,MATCH(SMALL($V$4:$V$3183,1637),$V$4:$V$3183,0)),"")</f>
        <v/>
      </c>
      <c r="I1640" s="29">
        <f>IF($B1640="","",IFERROR(INDEX($U$4:$U$3183,MATCH(SMALL($V$4:$V$3183,1637),$V$4:$V$3183,0)),""))</f>
        <v/>
      </c>
      <c r="J1640">
        <f>IF($B1640="","",IF($D1640&gt;$F$2,"À venir",IF($E1640&lt;$D$2,"Passé","Dans la période")))</f>
        <v/>
      </c>
      <c r="K1640">
        <f>IF(OR($B1640="",NOT(ISNUMBER($D1640))),"",IF(AND($E1640&lt;$D$2,$G1640&lt;&gt;"X",$F1640&lt;&gt;"Réalisé",$F1640&lt;&gt;"Clôturé"),"RETARD",""))</f>
        <v/>
      </c>
      <c r="L1640">
        <f>IF(OR($B1640="",NOT(ISNUMBER($D1640))),"",IF(AND($D1640&gt;=$D$2,$D1640&lt;=$H$2,$G1640&lt;&gt;"X",$F1640&lt;&gt;"Réalisé",$F1640&lt;&gt;"Clôturé"),"≤ 7 j",""))</f>
        <v/>
      </c>
      <c r="M1640" s="29">
        <f>IF($B1640="","",IFERROR(INDEX($T$4:$T$3183,MATCH(SMALL($V$4:$V$3183,1637),$V$4:$V$3183,0)),""))</f>
        <v/>
      </c>
      <c r="O1640">
        <f>IF(INDEX(Suivi!$B:$B,1671)="","",INDEX(Suivi!$B:$B,1671))</f>
        <v/>
      </c>
      <c r="P1640">
        <f>IF($O1640="","",IF(INDEX(Suivi!$D:$D,1671)="",INDEX(Suivi!$C:$C,1671),INDEX(Suivi!$D:$D,1671)))</f>
        <v/>
      </c>
      <c r="Q1640">
        <f>IF($O1640="","",INDEX(Suivi!$E:$E,1671))</f>
        <v/>
      </c>
      <c r="R1640">
        <f>IF($O1640="","",INDEX(Suivi!$F:$F,1671))</f>
        <v/>
      </c>
      <c r="S1640">
        <f>IF($O1640="","",INDEX(Suivi!$G:$G,1671))</f>
        <v/>
      </c>
      <c r="T1640">
        <f>IF($O1640="","",IF(INDEX(Dossiers!$F$4:$F$63,31)="","",INDEX(Dossiers!$F$4:$F$63,31)))</f>
        <v/>
      </c>
      <c r="U1640">
        <f>IF($O1640="","",IF(INDEX(Dossiers!$G$4:$G$63,31)="","",INDEX(Dossiers!$G$4:$G$63,31)))</f>
        <v/>
      </c>
      <c r="V1640">
        <f>IF(OR($O1640="",NOT(ISNUMBER($Q1640))),"",$Q1640*1000000+1640)</f>
        <v/>
      </c>
      <c r="W1640" s="29">
        <f>IF($B1640="","",IFERROR(INDEX($U$4:$U$3183,MATCH(SMALL($V$4:$V$3183,1637),$V$4:$V$3183,0)),""))</f>
        <v/>
      </c>
    </row>
    <row r="1641">
      <c r="A1641">
        <f>IFERROR(INDEX($N$4:$N$3183,MATCH(SMALL($V$4:$V$3183,1638),$V$4:$V$3183,0)),"")</f>
        <v/>
      </c>
      <c r="B1641">
        <f>IFERROR(INDEX($O$4:$O$3183,MATCH(SMALL($V$4:$V$3183,1638),$V$4:$V$3183,0)),"")</f>
        <v/>
      </c>
      <c r="C1641">
        <f>IFERROR(INDEX($P$4:$P$3183,MATCH(SMALL($V$4:$V$3183,1638),$V$4:$V$3183,0)),"")</f>
        <v/>
      </c>
      <c r="D1641" s="29">
        <f>IFERROR(INDEX($Q$4:$Q$3183,MATCH(SMALL($V$4:$V$3183,1638),$V$4:$V$3183,0)),"")</f>
        <v/>
      </c>
      <c r="E1641" s="29">
        <f>IFERROR(INDEX($R$4:$R$3183,MATCH(SMALL($V$4:$V$3183,1638),$V$4:$V$3183,0)),"")</f>
        <v/>
      </c>
      <c r="F1641">
        <f>IFERROR(INDEX($S$4:$S$3183,MATCH(SMALL($V$4:$V$3183,1638),$V$4:$V$3183,0)),"")</f>
        <v/>
      </c>
      <c r="I1641" s="29">
        <f>IF($B1641="","",IFERROR(INDEX($U$4:$U$3183,MATCH(SMALL($V$4:$V$3183,1638),$V$4:$V$3183,0)),""))</f>
        <v/>
      </c>
      <c r="J1641">
        <f>IF($B1641="","",IF($D1641&gt;$F$2,"À venir",IF($E1641&lt;$D$2,"Passé","Dans la période")))</f>
        <v/>
      </c>
      <c r="K1641">
        <f>IF(OR($B1641="",NOT(ISNUMBER($D1641))),"",IF(AND($E1641&lt;$D$2,$G1641&lt;&gt;"X",$F1641&lt;&gt;"Réalisé",$F1641&lt;&gt;"Clôturé"),"RETARD",""))</f>
        <v/>
      </c>
      <c r="L1641">
        <f>IF(OR($B1641="",NOT(ISNUMBER($D1641))),"",IF(AND($D1641&gt;=$D$2,$D1641&lt;=$H$2,$G1641&lt;&gt;"X",$F1641&lt;&gt;"Réalisé",$F1641&lt;&gt;"Clôturé"),"≤ 7 j",""))</f>
        <v/>
      </c>
      <c r="M1641" s="29">
        <f>IF($B1641="","",IFERROR(INDEX($T$4:$T$3183,MATCH(SMALL($V$4:$V$3183,1638),$V$4:$V$3183,0)),""))</f>
        <v/>
      </c>
      <c r="O1641">
        <f>IF(INDEX(Suivi!$B:$B,1672)="","",INDEX(Suivi!$B:$B,1672))</f>
        <v/>
      </c>
      <c r="P1641">
        <f>IF($O1641="","",IF(INDEX(Suivi!$D:$D,1672)="",INDEX(Suivi!$C:$C,1672),INDEX(Suivi!$D:$D,1672)))</f>
        <v/>
      </c>
      <c r="Q1641">
        <f>IF($O1641="","",INDEX(Suivi!$E:$E,1672))</f>
        <v/>
      </c>
      <c r="R1641">
        <f>IF($O1641="","",INDEX(Suivi!$F:$F,1672))</f>
        <v/>
      </c>
      <c r="S1641">
        <f>IF($O1641="","",INDEX(Suivi!$G:$G,1672))</f>
        <v/>
      </c>
      <c r="T1641">
        <f>IF($O1641="","",IF(INDEX(Dossiers!$F$4:$F$63,31)="","",INDEX(Dossiers!$F$4:$F$63,31)))</f>
        <v/>
      </c>
      <c r="U1641">
        <f>IF($O1641="","",IF(INDEX(Dossiers!$G$4:$G$63,31)="","",INDEX(Dossiers!$G$4:$G$63,31)))</f>
        <v/>
      </c>
      <c r="V1641">
        <f>IF(OR($O1641="",NOT(ISNUMBER($Q1641))),"",$Q1641*1000000+1641)</f>
        <v/>
      </c>
      <c r="W1641" s="29">
        <f>IF($B1641="","",IFERROR(INDEX($U$4:$U$3183,MATCH(SMALL($V$4:$V$3183,1638),$V$4:$V$3183,0)),""))</f>
        <v/>
      </c>
    </row>
    <row r="1642">
      <c r="A1642">
        <f>IFERROR(INDEX($N$4:$N$3183,MATCH(SMALL($V$4:$V$3183,1639),$V$4:$V$3183,0)),"")</f>
        <v/>
      </c>
      <c r="B1642">
        <f>IFERROR(INDEX($O$4:$O$3183,MATCH(SMALL($V$4:$V$3183,1639),$V$4:$V$3183,0)),"")</f>
        <v/>
      </c>
      <c r="C1642">
        <f>IFERROR(INDEX($P$4:$P$3183,MATCH(SMALL($V$4:$V$3183,1639),$V$4:$V$3183,0)),"")</f>
        <v/>
      </c>
      <c r="D1642" s="29">
        <f>IFERROR(INDEX($Q$4:$Q$3183,MATCH(SMALL($V$4:$V$3183,1639),$V$4:$V$3183,0)),"")</f>
        <v/>
      </c>
      <c r="E1642" s="29">
        <f>IFERROR(INDEX($R$4:$R$3183,MATCH(SMALL($V$4:$V$3183,1639),$V$4:$V$3183,0)),"")</f>
        <v/>
      </c>
      <c r="F1642">
        <f>IFERROR(INDEX($S$4:$S$3183,MATCH(SMALL($V$4:$V$3183,1639),$V$4:$V$3183,0)),"")</f>
        <v/>
      </c>
      <c r="I1642" s="29">
        <f>IF($B1642="","",IFERROR(INDEX($U$4:$U$3183,MATCH(SMALL($V$4:$V$3183,1639),$V$4:$V$3183,0)),""))</f>
        <v/>
      </c>
      <c r="J1642">
        <f>IF($B1642="","",IF($D1642&gt;$F$2,"À venir",IF($E1642&lt;$D$2,"Passé","Dans la période")))</f>
        <v/>
      </c>
      <c r="K1642">
        <f>IF(OR($B1642="",NOT(ISNUMBER($D1642))),"",IF(AND($E1642&lt;$D$2,$G1642&lt;&gt;"X",$F1642&lt;&gt;"Réalisé",$F1642&lt;&gt;"Clôturé"),"RETARD",""))</f>
        <v/>
      </c>
      <c r="L1642">
        <f>IF(OR($B1642="",NOT(ISNUMBER($D1642))),"",IF(AND($D1642&gt;=$D$2,$D1642&lt;=$H$2,$G1642&lt;&gt;"X",$F1642&lt;&gt;"Réalisé",$F1642&lt;&gt;"Clôturé"),"≤ 7 j",""))</f>
        <v/>
      </c>
      <c r="M1642" s="29">
        <f>IF($B1642="","",IFERROR(INDEX($T$4:$T$3183,MATCH(SMALL($V$4:$V$3183,1639),$V$4:$V$3183,0)),""))</f>
        <v/>
      </c>
      <c r="O1642">
        <f>IF(INDEX(Suivi!$B:$B,1673)="","",INDEX(Suivi!$B:$B,1673))</f>
        <v/>
      </c>
      <c r="P1642">
        <f>IF($O1642="","",IF(INDEX(Suivi!$D:$D,1673)="",INDEX(Suivi!$C:$C,1673),INDEX(Suivi!$D:$D,1673)))</f>
        <v/>
      </c>
      <c r="Q1642">
        <f>IF($O1642="","",INDEX(Suivi!$E:$E,1673))</f>
        <v/>
      </c>
      <c r="R1642">
        <f>IF($O1642="","",INDEX(Suivi!$F:$F,1673))</f>
        <v/>
      </c>
      <c r="S1642">
        <f>IF($O1642="","",INDEX(Suivi!$G:$G,1673))</f>
        <v/>
      </c>
      <c r="T1642">
        <f>IF($O1642="","",IF(INDEX(Dossiers!$F$4:$F$63,31)="","",INDEX(Dossiers!$F$4:$F$63,31)))</f>
        <v/>
      </c>
      <c r="U1642">
        <f>IF($O1642="","",IF(INDEX(Dossiers!$G$4:$G$63,31)="","",INDEX(Dossiers!$G$4:$G$63,31)))</f>
        <v/>
      </c>
      <c r="V1642">
        <f>IF(OR($O1642="",NOT(ISNUMBER($Q1642))),"",$Q1642*1000000+1642)</f>
        <v/>
      </c>
      <c r="W1642" s="29">
        <f>IF($B1642="","",IFERROR(INDEX($U$4:$U$3183,MATCH(SMALL($V$4:$V$3183,1639),$V$4:$V$3183,0)),""))</f>
        <v/>
      </c>
    </row>
    <row r="1643">
      <c r="A1643">
        <f>IFERROR(INDEX($N$4:$N$3183,MATCH(SMALL($V$4:$V$3183,1640),$V$4:$V$3183,0)),"")</f>
        <v/>
      </c>
      <c r="B1643">
        <f>IFERROR(INDEX($O$4:$O$3183,MATCH(SMALL($V$4:$V$3183,1640),$V$4:$V$3183,0)),"")</f>
        <v/>
      </c>
      <c r="C1643">
        <f>IFERROR(INDEX($P$4:$P$3183,MATCH(SMALL($V$4:$V$3183,1640),$V$4:$V$3183,0)),"")</f>
        <v/>
      </c>
      <c r="D1643" s="29">
        <f>IFERROR(INDEX($Q$4:$Q$3183,MATCH(SMALL($V$4:$V$3183,1640),$V$4:$V$3183,0)),"")</f>
        <v/>
      </c>
      <c r="E1643" s="29">
        <f>IFERROR(INDEX($R$4:$R$3183,MATCH(SMALL($V$4:$V$3183,1640),$V$4:$V$3183,0)),"")</f>
        <v/>
      </c>
      <c r="F1643">
        <f>IFERROR(INDEX($S$4:$S$3183,MATCH(SMALL($V$4:$V$3183,1640),$V$4:$V$3183,0)),"")</f>
        <v/>
      </c>
      <c r="I1643" s="29">
        <f>IF($B1643="","",IFERROR(INDEX($U$4:$U$3183,MATCH(SMALL($V$4:$V$3183,1640),$V$4:$V$3183,0)),""))</f>
        <v/>
      </c>
      <c r="J1643">
        <f>IF($B1643="","",IF($D1643&gt;$F$2,"À venir",IF($E1643&lt;$D$2,"Passé","Dans la période")))</f>
        <v/>
      </c>
      <c r="K1643">
        <f>IF(OR($B1643="",NOT(ISNUMBER($D1643))),"",IF(AND($E1643&lt;$D$2,$G1643&lt;&gt;"X",$F1643&lt;&gt;"Réalisé",$F1643&lt;&gt;"Clôturé"),"RETARD",""))</f>
        <v/>
      </c>
      <c r="L1643">
        <f>IF(OR($B1643="",NOT(ISNUMBER($D1643))),"",IF(AND($D1643&gt;=$D$2,$D1643&lt;=$H$2,$G1643&lt;&gt;"X",$F1643&lt;&gt;"Réalisé",$F1643&lt;&gt;"Clôturé"),"≤ 7 j",""))</f>
        <v/>
      </c>
      <c r="M1643" s="29">
        <f>IF($B1643="","",IFERROR(INDEX($T$4:$T$3183,MATCH(SMALL($V$4:$V$3183,1640),$V$4:$V$3183,0)),""))</f>
        <v/>
      </c>
      <c r="O1643">
        <f>IF(INDEX(Suivi!$B:$B,1674)="","",INDEX(Suivi!$B:$B,1674))</f>
        <v/>
      </c>
      <c r="P1643">
        <f>IF($O1643="","",IF(INDEX(Suivi!$D:$D,1674)="",INDEX(Suivi!$C:$C,1674),INDEX(Suivi!$D:$D,1674)))</f>
        <v/>
      </c>
      <c r="Q1643">
        <f>IF($O1643="","",INDEX(Suivi!$E:$E,1674))</f>
        <v/>
      </c>
      <c r="R1643">
        <f>IF($O1643="","",INDEX(Suivi!$F:$F,1674))</f>
        <v/>
      </c>
      <c r="S1643">
        <f>IF($O1643="","",INDEX(Suivi!$G:$G,1674))</f>
        <v/>
      </c>
      <c r="T1643">
        <f>IF($O1643="","",IF(INDEX(Dossiers!$F$4:$F$63,31)="","",INDEX(Dossiers!$F$4:$F$63,31)))</f>
        <v/>
      </c>
      <c r="U1643">
        <f>IF($O1643="","",IF(INDEX(Dossiers!$G$4:$G$63,31)="","",INDEX(Dossiers!$G$4:$G$63,31)))</f>
        <v/>
      </c>
      <c r="V1643">
        <f>IF(OR($O1643="",NOT(ISNUMBER($Q1643))),"",$Q1643*1000000+1643)</f>
        <v/>
      </c>
      <c r="W1643" s="29">
        <f>IF($B1643="","",IFERROR(INDEX($U$4:$U$3183,MATCH(SMALL($V$4:$V$3183,1640),$V$4:$V$3183,0)),""))</f>
        <v/>
      </c>
    </row>
    <row r="1644">
      <c r="A1644">
        <f>IFERROR(INDEX($N$4:$N$3183,MATCH(SMALL($V$4:$V$3183,1641),$V$4:$V$3183,0)),"")</f>
        <v/>
      </c>
      <c r="B1644">
        <f>IFERROR(INDEX($O$4:$O$3183,MATCH(SMALL($V$4:$V$3183,1641),$V$4:$V$3183,0)),"")</f>
        <v/>
      </c>
      <c r="C1644">
        <f>IFERROR(INDEX($P$4:$P$3183,MATCH(SMALL($V$4:$V$3183,1641),$V$4:$V$3183,0)),"")</f>
        <v/>
      </c>
      <c r="D1644" s="29">
        <f>IFERROR(INDEX($Q$4:$Q$3183,MATCH(SMALL($V$4:$V$3183,1641),$V$4:$V$3183,0)),"")</f>
        <v/>
      </c>
      <c r="E1644" s="29">
        <f>IFERROR(INDEX($R$4:$R$3183,MATCH(SMALL($V$4:$V$3183,1641),$V$4:$V$3183,0)),"")</f>
        <v/>
      </c>
      <c r="F1644">
        <f>IFERROR(INDEX($S$4:$S$3183,MATCH(SMALL($V$4:$V$3183,1641),$V$4:$V$3183,0)),"")</f>
        <v/>
      </c>
      <c r="I1644" s="29">
        <f>IF($B1644="","",IFERROR(INDEX($U$4:$U$3183,MATCH(SMALL($V$4:$V$3183,1641),$V$4:$V$3183,0)),""))</f>
        <v/>
      </c>
      <c r="J1644">
        <f>IF($B1644="","",IF($D1644&gt;$F$2,"À venir",IF($E1644&lt;$D$2,"Passé","Dans la période")))</f>
        <v/>
      </c>
      <c r="K1644">
        <f>IF(OR($B1644="",NOT(ISNUMBER($D1644))),"",IF(AND($E1644&lt;$D$2,$G1644&lt;&gt;"X",$F1644&lt;&gt;"Réalisé",$F1644&lt;&gt;"Clôturé"),"RETARD",""))</f>
        <v/>
      </c>
      <c r="L1644">
        <f>IF(OR($B1644="",NOT(ISNUMBER($D1644))),"",IF(AND($D1644&gt;=$D$2,$D1644&lt;=$H$2,$G1644&lt;&gt;"X",$F1644&lt;&gt;"Réalisé",$F1644&lt;&gt;"Clôturé"),"≤ 7 j",""))</f>
        <v/>
      </c>
      <c r="M1644" s="29">
        <f>IF($B1644="","",IFERROR(INDEX($T$4:$T$3183,MATCH(SMALL($V$4:$V$3183,1641),$V$4:$V$3183,0)),""))</f>
        <v/>
      </c>
      <c r="O1644">
        <f>IF(INDEX(Suivi!$B:$B,1675)="","",INDEX(Suivi!$B:$B,1675))</f>
        <v/>
      </c>
      <c r="P1644">
        <f>IF($O1644="","",IF(INDEX(Suivi!$D:$D,1675)="",INDEX(Suivi!$C:$C,1675),INDEX(Suivi!$D:$D,1675)))</f>
        <v/>
      </c>
      <c r="Q1644">
        <f>IF($O1644="","",INDEX(Suivi!$E:$E,1675))</f>
        <v/>
      </c>
      <c r="R1644">
        <f>IF($O1644="","",INDEX(Suivi!$F:$F,1675))</f>
        <v/>
      </c>
      <c r="S1644">
        <f>IF($O1644="","",INDEX(Suivi!$G:$G,1675))</f>
        <v/>
      </c>
      <c r="T1644">
        <f>IF($O1644="","",IF(INDEX(Dossiers!$F$4:$F$63,31)="","",INDEX(Dossiers!$F$4:$F$63,31)))</f>
        <v/>
      </c>
      <c r="U1644">
        <f>IF($O1644="","",IF(INDEX(Dossiers!$G$4:$G$63,31)="","",INDEX(Dossiers!$G$4:$G$63,31)))</f>
        <v/>
      </c>
      <c r="V1644">
        <f>IF(OR($O1644="",NOT(ISNUMBER($Q1644))),"",$Q1644*1000000+1644)</f>
        <v/>
      </c>
      <c r="W1644" s="29">
        <f>IF($B1644="","",IFERROR(INDEX($U$4:$U$3183,MATCH(SMALL($V$4:$V$3183,1641),$V$4:$V$3183,0)),""))</f>
        <v/>
      </c>
    </row>
    <row r="1645">
      <c r="A1645">
        <f>IFERROR(INDEX($N$4:$N$3183,MATCH(SMALL($V$4:$V$3183,1642),$V$4:$V$3183,0)),"")</f>
        <v/>
      </c>
      <c r="B1645">
        <f>IFERROR(INDEX($O$4:$O$3183,MATCH(SMALL($V$4:$V$3183,1642),$V$4:$V$3183,0)),"")</f>
        <v/>
      </c>
      <c r="C1645">
        <f>IFERROR(INDEX($P$4:$P$3183,MATCH(SMALL($V$4:$V$3183,1642),$V$4:$V$3183,0)),"")</f>
        <v/>
      </c>
      <c r="D1645" s="29">
        <f>IFERROR(INDEX($Q$4:$Q$3183,MATCH(SMALL($V$4:$V$3183,1642),$V$4:$V$3183,0)),"")</f>
        <v/>
      </c>
      <c r="E1645" s="29">
        <f>IFERROR(INDEX($R$4:$R$3183,MATCH(SMALL($V$4:$V$3183,1642),$V$4:$V$3183,0)),"")</f>
        <v/>
      </c>
      <c r="F1645">
        <f>IFERROR(INDEX($S$4:$S$3183,MATCH(SMALL($V$4:$V$3183,1642),$V$4:$V$3183,0)),"")</f>
        <v/>
      </c>
      <c r="I1645" s="29">
        <f>IF($B1645="","",IFERROR(INDEX($U$4:$U$3183,MATCH(SMALL($V$4:$V$3183,1642),$V$4:$V$3183,0)),""))</f>
        <v/>
      </c>
      <c r="J1645">
        <f>IF($B1645="","",IF($D1645&gt;$F$2,"À venir",IF($E1645&lt;$D$2,"Passé","Dans la période")))</f>
        <v/>
      </c>
      <c r="K1645">
        <f>IF(OR($B1645="",NOT(ISNUMBER($D1645))),"",IF(AND($E1645&lt;$D$2,$G1645&lt;&gt;"X",$F1645&lt;&gt;"Réalisé",$F1645&lt;&gt;"Clôturé"),"RETARD",""))</f>
        <v/>
      </c>
      <c r="L1645">
        <f>IF(OR($B1645="",NOT(ISNUMBER($D1645))),"",IF(AND($D1645&gt;=$D$2,$D1645&lt;=$H$2,$G1645&lt;&gt;"X",$F1645&lt;&gt;"Réalisé",$F1645&lt;&gt;"Clôturé"),"≤ 7 j",""))</f>
        <v/>
      </c>
      <c r="M1645" s="29">
        <f>IF($B1645="","",IFERROR(INDEX($T$4:$T$3183,MATCH(SMALL($V$4:$V$3183,1642),$V$4:$V$3183,0)),""))</f>
        <v/>
      </c>
      <c r="O1645">
        <f>IF(INDEX(Suivi!$B:$B,1676)="","",INDEX(Suivi!$B:$B,1676))</f>
        <v/>
      </c>
      <c r="P1645">
        <f>IF($O1645="","",IF(INDEX(Suivi!$D:$D,1676)="",INDEX(Suivi!$C:$C,1676),INDEX(Suivi!$D:$D,1676)))</f>
        <v/>
      </c>
      <c r="Q1645">
        <f>IF($O1645="","",INDEX(Suivi!$E:$E,1676))</f>
        <v/>
      </c>
      <c r="R1645">
        <f>IF($O1645="","",INDEX(Suivi!$F:$F,1676))</f>
        <v/>
      </c>
      <c r="S1645">
        <f>IF($O1645="","",INDEX(Suivi!$G:$G,1676))</f>
        <v/>
      </c>
      <c r="T1645">
        <f>IF($O1645="","",IF(INDEX(Dossiers!$F$4:$F$63,31)="","",INDEX(Dossiers!$F$4:$F$63,31)))</f>
        <v/>
      </c>
      <c r="U1645">
        <f>IF($O1645="","",IF(INDEX(Dossiers!$G$4:$G$63,31)="","",INDEX(Dossiers!$G$4:$G$63,31)))</f>
        <v/>
      </c>
      <c r="V1645">
        <f>IF(OR($O1645="",NOT(ISNUMBER($Q1645))),"",$Q1645*1000000+1645)</f>
        <v/>
      </c>
      <c r="W1645" s="29">
        <f>IF($B1645="","",IFERROR(INDEX($U$4:$U$3183,MATCH(SMALL($V$4:$V$3183,1642),$V$4:$V$3183,0)),""))</f>
        <v/>
      </c>
    </row>
    <row r="1646">
      <c r="A1646">
        <f>IFERROR(INDEX($N$4:$N$3183,MATCH(SMALL($V$4:$V$3183,1643),$V$4:$V$3183,0)),"")</f>
        <v/>
      </c>
      <c r="B1646">
        <f>IFERROR(INDEX($O$4:$O$3183,MATCH(SMALL($V$4:$V$3183,1643),$V$4:$V$3183,0)),"")</f>
        <v/>
      </c>
      <c r="C1646">
        <f>IFERROR(INDEX($P$4:$P$3183,MATCH(SMALL($V$4:$V$3183,1643),$V$4:$V$3183,0)),"")</f>
        <v/>
      </c>
      <c r="D1646" s="29">
        <f>IFERROR(INDEX($Q$4:$Q$3183,MATCH(SMALL($V$4:$V$3183,1643),$V$4:$V$3183,0)),"")</f>
        <v/>
      </c>
      <c r="E1646" s="29">
        <f>IFERROR(INDEX($R$4:$R$3183,MATCH(SMALL($V$4:$V$3183,1643),$V$4:$V$3183,0)),"")</f>
        <v/>
      </c>
      <c r="F1646">
        <f>IFERROR(INDEX($S$4:$S$3183,MATCH(SMALL($V$4:$V$3183,1643),$V$4:$V$3183,0)),"")</f>
        <v/>
      </c>
      <c r="I1646" s="29">
        <f>IF($B1646="","",IFERROR(INDEX($U$4:$U$3183,MATCH(SMALL($V$4:$V$3183,1643),$V$4:$V$3183,0)),""))</f>
        <v/>
      </c>
      <c r="J1646">
        <f>IF($B1646="","",IF($D1646&gt;$F$2,"À venir",IF($E1646&lt;$D$2,"Passé","Dans la période")))</f>
        <v/>
      </c>
      <c r="K1646">
        <f>IF(OR($B1646="",NOT(ISNUMBER($D1646))),"",IF(AND($E1646&lt;$D$2,$G1646&lt;&gt;"X",$F1646&lt;&gt;"Réalisé",$F1646&lt;&gt;"Clôturé"),"RETARD",""))</f>
        <v/>
      </c>
      <c r="L1646">
        <f>IF(OR($B1646="",NOT(ISNUMBER($D1646))),"",IF(AND($D1646&gt;=$D$2,$D1646&lt;=$H$2,$G1646&lt;&gt;"X",$F1646&lt;&gt;"Réalisé",$F1646&lt;&gt;"Clôturé"),"≤ 7 j",""))</f>
        <v/>
      </c>
      <c r="M1646" s="29">
        <f>IF($B1646="","",IFERROR(INDEX($T$4:$T$3183,MATCH(SMALL($V$4:$V$3183,1643),$V$4:$V$3183,0)),""))</f>
        <v/>
      </c>
      <c r="O1646">
        <f>IF(INDEX(Suivi!$B:$B,1677)="","",INDEX(Suivi!$B:$B,1677))</f>
        <v/>
      </c>
      <c r="P1646">
        <f>IF($O1646="","",IF(INDEX(Suivi!$D:$D,1677)="",INDEX(Suivi!$C:$C,1677),INDEX(Suivi!$D:$D,1677)))</f>
        <v/>
      </c>
      <c r="Q1646">
        <f>IF($O1646="","",INDEX(Suivi!$E:$E,1677))</f>
        <v/>
      </c>
      <c r="R1646">
        <f>IF($O1646="","",INDEX(Suivi!$F:$F,1677))</f>
        <v/>
      </c>
      <c r="S1646">
        <f>IF($O1646="","",INDEX(Suivi!$G:$G,1677))</f>
        <v/>
      </c>
      <c r="T1646">
        <f>IF($O1646="","",IF(INDEX(Dossiers!$F$4:$F$63,31)="","",INDEX(Dossiers!$F$4:$F$63,31)))</f>
        <v/>
      </c>
      <c r="U1646">
        <f>IF($O1646="","",IF(INDEX(Dossiers!$G$4:$G$63,31)="","",INDEX(Dossiers!$G$4:$G$63,31)))</f>
        <v/>
      </c>
      <c r="V1646">
        <f>IF(OR($O1646="",NOT(ISNUMBER($Q1646))),"",$Q1646*1000000+1646)</f>
        <v/>
      </c>
      <c r="W1646" s="29">
        <f>IF($B1646="","",IFERROR(INDEX($U$4:$U$3183,MATCH(SMALL($V$4:$V$3183,1643),$V$4:$V$3183,0)),""))</f>
        <v/>
      </c>
    </row>
    <row r="1647">
      <c r="A1647">
        <f>IFERROR(INDEX($N$4:$N$3183,MATCH(SMALL($V$4:$V$3183,1644),$V$4:$V$3183,0)),"")</f>
        <v/>
      </c>
      <c r="B1647">
        <f>IFERROR(INDEX($O$4:$O$3183,MATCH(SMALL($V$4:$V$3183,1644),$V$4:$V$3183,0)),"")</f>
        <v/>
      </c>
      <c r="C1647">
        <f>IFERROR(INDEX($P$4:$P$3183,MATCH(SMALL($V$4:$V$3183,1644),$V$4:$V$3183,0)),"")</f>
        <v/>
      </c>
      <c r="D1647" s="29">
        <f>IFERROR(INDEX($Q$4:$Q$3183,MATCH(SMALL($V$4:$V$3183,1644),$V$4:$V$3183,0)),"")</f>
        <v/>
      </c>
      <c r="E1647" s="29">
        <f>IFERROR(INDEX($R$4:$R$3183,MATCH(SMALL($V$4:$V$3183,1644),$V$4:$V$3183,0)),"")</f>
        <v/>
      </c>
      <c r="F1647">
        <f>IFERROR(INDEX($S$4:$S$3183,MATCH(SMALL($V$4:$V$3183,1644),$V$4:$V$3183,0)),"")</f>
        <v/>
      </c>
      <c r="I1647" s="29">
        <f>IF($B1647="","",IFERROR(INDEX($U$4:$U$3183,MATCH(SMALL($V$4:$V$3183,1644),$V$4:$V$3183,0)),""))</f>
        <v/>
      </c>
      <c r="J1647">
        <f>IF($B1647="","",IF($D1647&gt;$F$2,"À venir",IF($E1647&lt;$D$2,"Passé","Dans la période")))</f>
        <v/>
      </c>
      <c r="K1647">
        <f>IF(OR($B1647="",NOT(ISNUMBER($D1647))),"",IF(AND($E1647&lt;$D$2,$G1647&lt;&gt;"X",$F1647&lt;&gt;"Réalisé",$F1647&lt;&gt;"Clôturé"),"RETARD",""))</f>
        <v/>
      </c>
      <c r="L1647">
        <f>IF(OR($B1647="",NOT(ISNUMBER($D1647))),"",IF(AND($D1647&gt;=$D$2,$D1647&lt;=$H$2,$G1647&lt;&gt;"X",$F1647&lt;&gt;"Réalisé",$F1647&lt;&gt;"Clôturé"),"≤ 7 j",""))</f>
        <v/>
      </c>
      <c r="M1647" s="29">
        <f>IF($B1647="","",IFERROR(INDEX($T$4:$T$3183,MATCH(SMALL($V$4:$V$3183,1644),$V$4:$V$3183,0)),""))</f>
        <v/>
      </c>
      <c r="O1647">
        <f>IF(INDEX(Suivi!$B:$B,1679)="","",INDEX(Suivi!$B:$B,1679))</f>
        <v/>
      </c>
      <c r="P1647">
        <f>IF($O1647="","",IF(INDEX(Suivi!$D:$D,1679)="",INDEX(Suivi!$C:$C,1679),INDEX(Suivi!$D:$D,1679)))</f>
        <v/>
      </c>
      <c r="Q1647">
        <f>IF($O1647="","",INDEX(Suivi!$E:$E,1679))</f>
        <v/>
      </c>
      <c r="R1647">
        <f>IF($O1647="","",INDEX(Suivi!$F:$F,1679))</f>
        <v/>
      </c>
      <c r="S1647">
        <f>IF($O1647="","",INDEX(Suivi!$G:$G,1679))</f>
        <v/>
      </c>
      <c r="T1647">
        <f>IF($O1647="","",IF(INDEX(Dossiers!$F$4:$F$63,32)="","",INDEX(Dossiers!$F$4:$F$63,32)))</f>
        <v/>
      </c>
      <c r="U1647">
        <f>IF($O1647="","",IF(INDEX(Dossiers!$G$4:$G$63,32)="","",INDEX(Dossiers!$G$4:$G$63,32)))</f>
        <v/>
      </c>
      <c r="V1647">
        <f>IF(OR($O1647="",NOT(ISNUMBER($Q1647))),"",$Q1647*1000000+1647)</f>
        <v/>
      </c>
      <c r="W1647" s="29">
        <f>IF($B1647="","",IFERROR(INDEX($U$4:$U$3183,MATCH(SMALL($V$4:$V$3183,1644),$V$4:$V$3183,0)),""))</f>
        <v/>
      </c>
    </row>
    <row r="1648">
      <c r="A1648">
        <f>IFERROR(INDEX($N$4:$N$3183,MATCH(SMALL($V$4:$V$3183,1645),$V$4:$V$3183,0)),"")</f>
        <v/>
      </c>
      <c r="B1648">
        <f>IFERROR(INDEX($O$4:$O$3183,MATCH(SMALL($V$4:$V$3183,1645),$V$4:$V$3183,0)),"")</f>
        <v/>
      </c>
      <c r="C1648">
        <f>IFERROR(INDEX($P$4:$P$3183,MATCH(SMALL($V$4:$V$3183,1645),$V$4:$V$3183,0)),"")</f>
        <v/>
      </c>
      <c r="D1648" s="29">
        <f>IFERROR(INDEX($Q$4:$Q$3183,MATCH(SMALL($V$4:$V$3183,1645),$V$4:$V$3183,0)),"")</f>
        <v/>
      </c>
      <c r="E1648" s="29">
        <f>IFERROR(INDEX($R$4:$R$3183,MATCH(SMALL($V$4:$V$3183,1645),$V$4:$V$3183,0)),"")</f>
        <v/>
      </c>
      <c r="F1648">
        <f>IFERROR(INDEX($S$4:$S$3183,MATCH(SMALL($V$4:$V$3183,1645),$V$4:$V$3183,0)),"")</f>
        <v/>
      </c>
      <c r="I1648" s="29">
        <f>IF($B1648="","",IFERROR(INDEX($U$4:$U$3183,MATCH(SMALL($V$4:$V$3183,1645),$V$4:$V$3183,0)),""))</f>
        <v/>
      </c>
      <c r="J1648">
        <f>IF($B1648="","",IF($D1648&gt;$F$2,"À venir",IF($E1648&lt;$D$2,"Passé","Dans la période")))</f>
        <v/>
      </c>
      <c r="K1648">
        <f>IF(OR($B1648="",NOT(ISNUMBER($D1648))),"",IF(AND($E1648&lt;$D$2,$G1648&lt;&gt;"X",$F1648&lt;&gt;"Réalisé",$F1648&lt;&gt;"Clôturé"),"RETARD",""))</f>
        <v/>
      </c>
      <c r="L1648">
        <f>IF(OR($B1648="",NOT(ISNUMBER($D1648))),"",IF(AND($D1648&gt;=$D$2,$D1648&lt;=$H$2,$G1648&lt;&gt;"X",$F1648&lt;&gt;"Réalisé",$F1648&lt;&gt;"Clôturé"),"≤ 7 j",""))</f>
        <v/>
      </c>
      <c r="M1648" s="29">
        <f>IF($B1648="","",IFERROR(INDEX($T$4:$T$3183,MATCH(SMALL($V$4:$V$3183,1645),$V$4:$V$3183,0)),""))</f>
        <v/>
      </c>
      <c r="O1648">
        <f>IF(INDEX(Suivi!$B:$B,1680)="","",INDEX(Suivi!$B:$B,1680))</f>
        <v/>
      </c>
      <c r="P1648">
        <f>IF($O1648="","",IF(INDEX(Suivi!$D:$D,1680)="",INDEX(Suivi!$C:$C,1680),INDEX(Suivi!$D:$D,1680)))</f>
        <v/>
      </c>
      <c r="Q1648">
        <f>IF($O1648="","",INDEX(Suivi!$E:$E,1680))</f>
        <v/>
      </c>
      <c r="R1648">
        <f>IF($O1648="","",INDEX(Suivi!$F:$F,1680))</f>
        <v/>
      </c>
      <c r="S1648">
        <f>IF($O1648="","",INDEX(Suivi!$G:$G,1680))</f>
        <v/>
      </c>
      <c r="T1648">
        <f>IF($O1648="","",IF(INDEX(Dossiers!$F$4:$F$63,32)="","",INDEX(Dossiers!$F$4:$F$63,32)))</f>
        <v/>
      </c>
      <c r="U1648">
        <f>IF($O1648="","",IF(INDEX(Dossiers!$G$4:$G$63,32)="","",INDEX(Dossiers!$G$4:$G$63,32)))</f>
        <v/>
      </c>
      <c r="V1648">
        <f>IF(OR($O1648="",NOT(ISNUMBER($Q1648))),"",$Q1648*1000000+1648)</f>
        <v/>
      </c>
      <c r="W1648" s="29">
        <f>IF($B1648="","",IFERROR(INDEX($U$4:$U$3183,MATCH(SMALL($V$4:$V$3183,1645),$V$4:$V$3183,0)),""))</f>
        <v/>
      </c>
    </row>
    <row r="1649">
      <c r="A1649">
        <f>IFERROR(INDEX($N$4:$N$3183,MATCH(SMALL($V$4:$V$3183,1646),$V$4:$V$3183,0)),"")</f>
        <v/>
      </c>
      <c r="B1649">
        <f>IFERROR(INDEX($O$4:$O$3183,MATCH(SMALL($V$4:$V$3183,1646),$V$4:$V$3183,0)),"")</f>
        <v/>
      </c>
      <c r="C1649">
        <f>IFERROR(INDEX($P$4:$P$3183,MATCH(SMALL($V$4:$V$3183,1646),$V$4:$V$3183,0)),"")</f>
        <v/>
      </c>
      <c r="D1649" s="29">
        <f>IFERROR(INDEX($Q$4:$Q$3183,MATCH(SMALL($V$4:$V$3183,1646),$V$4:$V$3183,0)),"")</f>
        <v/>
      </c>
      <c r="E1649" s="29">
        <f>IFERROR(INDEX($R$4:$R$3183,MATCH(SMALL($V$4:$V$3183,1646),$V$4:$V$3183,0)),"")</f>
        <v/>
      </c>
      <c r="F1649">
        <f>IFERROR(INDEX($S$4:$S$3183,MATCH(SMALL($V$4:$V$3183,1646),$V$4:$V$3183,0)),"")</f>
        <v/>
      </c>
      <c r="I1649" s="29">
        <f>IF($B1649="","",IFERROR(INDEX($U$4:$U$3183,MATCH(SMALL($V$4:$V$3183,1646),$V$4:$V$3183,0)),""))</f>
        <v/>
      </c>
      <c r="J1649">
        <f>IF($B1649="","",IF($D1649&gt;$F$2,"À venir",IF($E1649&lt;$D$2,"Passé","Dans la période")))</f>
        <v/>
      </c>
      <c r="K1649">
        <f>IF(OR($B1649="",NOT(ISNUMBER($D1649))),"",IF(AND($E1649&lt;$D$2,$G1649&lt;&gt;"X",$F1649&lt;&gt;"Réalisé",$F1649&lt;&gt;"Clôturé"),"RETARD",""))</f>
        <v/>
      </c>
      <c r="L1649">
        <f>IF(OR($B1649="",NOT(ISNUMBER($D1649))),"",IF(AND($D1649&gt;=$D$2,$D1649&lt;=$H$2,$G1649&lt;&gt;"X",$F1649&lt;&gt;"Réalisé",$F1649&lt;&gt;"Clôturé"),"≤ 7 j",""))</f>
        <v/>
      </c>
      <c r="M1649" s="29">
        <f>IF($B1649="","",IFERROR(INDEX($T$4:$T$3183,MATCH(SMALL($V$4:$V$3183,1646),$V$4:$V$3183,0)),""))</f>
        <v/>
      </c>
      <c r="O1649">
        <f>IF(INDEX(Suivi!$B:$B,1681)="","",INDEX(Suivi!$B:$B,1681))</f>
        <v/>
      </c>
      <c r="P1649">
        <f>IF($O1649="","",IF(INDEX(Suivi!$D:$D,1681)="",INDEX(Suivi!$C:$C,1681),INDEX(Suivi!$D:$D,1681)))</f>
        <v/>
      </c>
      <c r="Q1649">
        <f>IF($O1649="","",INDEX(Suivi!$E:$E,1681))</f>
        <v/>
      </c>
      <c r="R1649">
        <f>IF($O1649="","",INDEX(Suivi!$F:$F,1681))</f>
        <v/>
      </c>
      <c r="S1649">
        <f>IF($O1649="","",INDEX(Suivi!$G:$G,1681))</f>
        <v/>
      </c>
      <c r="T1649">
        <f>IF($O1649="","",IF(INDEX(Dossiers!$F$4:$F$63,32)="","",INDEX(Dossiers!$F$4:$F$63,32)))</f>
        <v/>
      </c>
      <c r="U1649">
        <f>IF($O1649="","",IF(INDEX(Dossiers!$G$4:$G$63,32)="","",INDEX(Dossiers!$G$4:$G$63,32)))</f>
        <v/>
      </c>
      <c r="V1649">
        <f>IF(OR($O1649="",NOT(ISNUMBER($Q1649))),"",$Q1649*1000000+1649)</f>
        <v/>
      </c>
      <c r="W1649" s="29">
        <f>IF($B1649="","",IFERROR(INDEX($U$4:$U$3183,MATCH(SMALL($V$4:$V$3183,1646),$V$4:$V$3183,0)),""))</f>
        <v/>
      </c>
    </row>
    <row r="1650">
      <c r="A1650">
        <f>IFERROR(INDEX($N$4:$N$3183,MATCH(SMALL($V$4:$V$3183,1647),$V$4:$V$3183,0)),"")</f>
        <v/>
      </c>
      <c r="B1650">
        <f>IFERROR(INDEX($O$4:$O$3183,MATCH(SMALL($V$4:$V$3183,1647),$V$4:$V$3183,0)),"")</f>
        <v/>
      </c>
      <c r="C1650">
        <f>IFERROR(INDEX($P$4:$P$3183,MATCH(SMALL($V$4:$V$3183,1647),$V$4:$V$3183,0)),"")</f>
        <v/>
      </c>
      <c r="D1650" s="29">
        <f>IFERROR(INDEX($Q$4:$Q$3183,MATCH(SMALL($V$4:$V$3183,1647),$V$4:$V$3183,0)),"")</f>
        <v/>
      </c>
      <c r="E1650" s="29">
        <f>IFERROR(INDEX($R$4:$R$3183,MATCH(SMALL($V$4:$V$3183,1647),$V$4:$V$3183,0)),"")</f>
        <v/>
      </c>
      <c r="F1650">
        <f>IFERROR(INDEX($S$4:$S$3183,MATCH(SMALL($V$4:$V$3183,1647),$V$4:$V$3183,0)),"")</f>
        <v/>
      </c>
      <c r="I1650" s="29">
        <f>IF($B1650="","",IFERROR(INDEX($U$4:$U$3183,MATCH(SMALL($V$4:$V$3183,1647),$V$4:$V$3183,0)),""))</f>
        <v/>
      </c>
      <c r="J1650">
        <f>IF($B1650="","",IF($D1650&gt;$F$2,"À venir",IF($E1650&lt;$D$2,"Passé","Dans la période")))</f>
        <v/>
      </c>
      <c r="K1650">
        <f>IF(OR($B1650="",NOT(ISNUMBER($D1650))),"",IF(AND($E1650&lt;$D$2,$G1650&lt;&gt;"X",$F1650&lt;&gt;"Réalisé",$F1650&lt;&gt;"Clôturé"),"RETARD",""))</f>
        <v/>
      </c>
      <c r="L1650">
        <f>IF(OR($B1650="",NOT(ISNUMBER($D1650))),"",IF(AND($D1650&gt;=$D$2,$D1650&lt;=$H$2,$G1650&lt;&gt;"X",$F1650&lt;&gt;"Réalisé",$F1650&lt;&gt;"Clôturé"),"≤ 7 j",""))</f>
        <v/>
      </c>
      <c r="M1650" s="29">
        <f>IF($B1650="","",IFERROR(INDEX($T$4:$T$3183,MATCH(SMALL($V$4:$V$3183,1647),$V$4:$V$3183,0)),""))</f>
        <v/>
      </c>
      <c r="O1650">
        <f>IF(INDEX(Suivi!$B:$B,1682)="","",INDEX(Suivi!$B:$B,1682))</f>
        <v/>
      </c>
      <c r="P1650">
        <f>IF($O1650="","",IF(INDEX(Suivi!$D:$D,1682)="",INDEX(Suivi!$C:$C,1682),INDEX(Suivi!$D:$D,1682)))</f>
        <v/>
      </c>
      <c r="Q1650">
        <f>IF($O1650="","",INDEX(Suivi!$E:$E,1682))</f>
        <v/>
      </c>
      <c r="R1650">
        <f>IF($O1650="","",INDEX(Suivi!$F:$F,1682))</f>
        <v/>
      </c>
      <c r="S1650">
        <f>IF($O1650="","",INDEX(Suivi!$G:$G,1682))</f>
        <v/>
      </c>
      <c r="T1650">
        <f>IF($O1650="","",IF(INDEX(Dossiers!$F$4:$F$63,32)="","",INDEX(Dossiers!$F$4:$F$63,32)))</f>
        <v/>
      </c>
      <c r="U1650">
        <f>IF($O1650="","",IF(INDEX(Dossiers!$G$4:$G$63,32)="","",INDEX(Dossiers!$G$4:$G$63,32)))</f>
        <v/>
      </c>
      <c r="V1650">
        <f>IF(OR($O1650="",NOT(ISNUMBER($Q1650))),"",$Q1650*1000000+1650)</f>
        <v/>
      </c>
      <c r="W1650" s="29">
        <f>IF($B1650="","",IFERROR(INDEX($U$4:$U$3183,MATCH(SMALL($V$4:$V$3183,1647),$V$4:$V$3183,0)),""))</f>
        <v/>
      </c>
    </row>
    <row r="1651">
      <c r="A1651">
        <f>IFERROR(INDEX($N$4:$N$3183,MATCH(SMALL($V$4:$V$3183,1648),$V$4:$V$3183,0)),"")</f>
        <v/>
      </c>
      <c r="B1651">
        <f>IFERROR(INDEX($O$4:$O$3183,MATCH(SMALL($V$4:$V$3183,1648),$V$4:$V$3183,0)),"")</f>
        <v/>
      </c>
      <c r="C1651">
        <f>IFERROR(INDEX($P$4:$P$3183,MATCH(SMALL($V$4:$V$3183,1648),$V$4:$V$3183,0)),"")</f>
        <v/>
      </c>
      <c r="D1651" s="29">
        <f>IFERROR(INDEX($Q$4:$Q$3183,MATCH(SMALL($V$4:$V$3183,1648),$V$4:$V$3183,0)),"")</f>
        <v/>
      </c>
      <c r="E1651" s="29">
        <f>IFERROR(INDEX($R$4:$R$3183,MATCH(SMALL($V$4:$V$3183,1648),$V$4:$V$3183,0)),"")</f>
        <v/>
      </c>
      <c r="F1651">
        <f>IFERROR(INDEX($S$4:$S$3183,MATCH(SMALL($V$4:$V$3183,1648),$V$4:$V$3183,0)),"")</f>
        <v/>
      </c>
      <c r="I1651" s="29">
        <f>IF($B1651="","",IFERROR(INDEX($U$4:$U$3183,MATCH(SMALL($V$4:$V$3183,1648),$V$4:$V$3183,0)),""))</f>
        <v/>
      </c>
      <c r="J1651">
        <f>IF($B1651="","",IF($D1651&gt;$F$2,"À venir",IF($E1651&lt;$D$2,"Passé","Dans la période")))</f>
        <v/>
      </c>
      <c r="K1651">
        <f>IF(OR($B1651="",NOT(ISNUMBER($D1651))),"",IF(AND($E1651&lt;$D$2,$G1651&lt;&gt;"X",$F1651&lt;&gt;"Réalisé",$F1651&lt;&gt;"Clôturé"),"RETARD",""))</f>
        <v/>
      </c>
      <c r="L1651">
        <f>IF(OR($B1651="",NOT(ISNUMBER($D1651))),"",IF(AND($D1651&gt;=$D$2,$D1651&lt;=$H$2,$G1651&lt;&gt;"X",$F1651&lt;&gt;"Réalisé",$F1651&lt;&gt;"Clôturé"),"≤ 7 j",""))</f>
        <v/>
      </c>
      <c r="M1651" s="29">
        <f>IF($B1651="","",IFERROR(INDEX($T$4:$T$3183,MATCH(SMALL($V$4:$V$3183,1648),$V$4:$V$3183,0)),""))</f>
        <v/>
      </c>
      <c r="O1651">
        <f>IF(INDEX(Suivi!$B:$B,1683)="","",INDEX(Suivi!$B:$B,1683))</f>
        <v/>
      </c>
      <c r="P1651">
        <f>IF($O1651="","",IF(INDEX(Suivi!$D:$D,1683)="",INDEX(Suivi!$C:$C,1683),INDEX(Suivi!$D:$D,1683)))</f>
        <v/>
      </c>
      <c r="Q1651">
        <f>IF($O1651="","",INDEX(Suivi!$E:$E,1683))</f>
        <v/>
      </c>
      <c r="R1651">
        <f>IF($O1651="","",INDEX(Suivi!$F:$F,1683))</f>
        <v/>
      </c>
      <c r="S1651">
        <f>IF($O1651="","",INDEX(Suivi!$G:$G,1683))</f>
        <v/>
      </c>
      <c r="T1651">
        <f>IF($O1651="","",IF(INDEX(Dossiers!$F$4:$F$63,32)="","",INDEX(Dossiers!$F$4:$F$63,32)))</f>
        <v/>
      </c>
      <c r="U1651">
        <f>IF($O1651="","",IF(INDEX(Dossiers!$G$4:$G$63,32)="","",INDEX(Dossiers!$G$4:$G$63,32)))</f>
        <v/>
      </c>
      <c r="V1651">
        <f>IF(OR($O1651="",NOT(ISNUMBER($Q1651))),"",$Q1651*1000000+1651)</f>
        <v/>
      </c>
      <c r="W1651" s="29">
        <f>IF($B1651="","",IFERROR(INDEX($U$4:$U$3183,MATCH(SMALL($V$4:$V$3183,1648),$V$4:$V$3183,0)),""))</f>
        <v/>
      </c>
    </row>
    <row r="1652">
      <c r="A1652">
        <f>IFERROR(INDEX($N$4:$N$3183,MATCH(SMALL($V$4:$V$3183,1649),$V$4:$V$3183,0)),"")</f>
        <v/>
      </c>
      <c r="B1652">
        <f>IFERROR(INDEX($O$4:$O$3183,MATCH(SMALL($V$4:$V$3183,1649),$V$4:$V$3183,0)),"")</f>
        <v/>
      </c>
      <c r="C1652">
        <f>IFERROR(INDEX($P$4:$P$3183,MATCH(SMALL($V$4:$V$3183,1649),$V$4:$V$3183,0)),"")</f>
        <v/>
      </c>
      <c r="D1652" s="29">
        <f>IFERROR(INDEX($Q$4:$Q$3183,MATCH(SMALL($V$4:$V$3183,1649),$V$4:$V$3183,0)),"")</f>
        <v/>
      </c>
      <c r="E1652" s="29">
        <f>IFERROR(INDEX($R$4:$R$3183,MATCH(SMALL($V$4:$V$3183,1649),$V$4:$V$3183,0)),"")</f>
        <v/>
      </c>
      <c r="F1652">
        <f>IFERROR(INDEX($S$4:$S$3183,MATCH(SMALL($V$4:$V$3183,1649),$V$4:$V$3183,0)),"")</f>
        <v/>
      </c>
      <c r="I1652" s="29">
        <f>IF($B1652="","",IFERROR(INDEX($U$4:$U$3183,MATCH(SMALL($V$4:$V$3183,1649),$V$4:$V$3183,0)),""))</f>
        <v/>
      </c>
      <c r="J1652">
        <f>IF($B1652="","",IF($D1652&gt;$F$2,"À venir",IF($E1652&lt;$D$2,"Passé","Dans la période")))</f>
        <v/>
      </c>
      <c r="K1652">
        <f>IF(OR($B1652="",NOT(ISNUMBER($D1652))),"",IF(AND($E1652&lt;$D$2,$G1652&lt;&gt;"X",$F1652&lt;&gt;"Réalisé",$F1652&lt;&gt;"Clôturé"),"RETARD",""))</f>
        <v/>
      </c>
      <c r="L1652">
        <f>IF(OR($B1652="",NOT(ISNUMBER($D1652))),"",IF(AND($D1652&gt;=$D$2,$D1652&lt;=$H$2,$G1652&lt;&gt;"X",$F1652&lt;&gt;"Réalisé",$F1652&lt;&gt;"Clôturé"),"≤ 7 j",""))</f>
        <v/>
      </c>
      <c r="M1652" s="29">
        <f>IF($B1652="","",IFERROR(INDEX($T$4:$T$3183,MATCH(SMALL($V$4:$V$3183,1649),$V$4:$V$3183,0)),""))</f>
        <v/>
      </c>
      <c r="O1652">
        <f>IF(INDEX(Suivi!$B:$B,1684)="","",INDEX(Suivi!$B:$B,1684))</f>
        <v/>
      </c>
      <c r="P1652">
        <f>IF($O1652="","",IF(INDEX(Suivi!$D:$D,1684)="",INDEX(Suivi!$C:$C,1684),INDEX(Suivi!$D:$D,1684)))</f>
        <v/>
      </c>
      <c r="Q1652">
        <f>IF($O1652="","",INDEX(Suivi!$E:$E,1684))</f>
        <v/>
      </c>
      <c r="R1652">
        <f>IF($O1652="","",INDEX(Suivi!$F:$F,1684))</f>
        <v/>
      </c>
      <c r="S1652">
        <f>IF($O1652="","",INDEX(Suivi!$G:$G,1684))</f>
        <v/>
      </c>
      <c r="T1652">
        <f>IF($O1652="","",IF(INDEX(Dossiers!$F$4:$F$63,32)="","",INDEX(Dossiers!$F$4:$F$63,32)))</f>
        <v/>
      </c>
      <c r="U1652">
        <f>IF($O1652="","",IF(INDEX(Dossiers!$G$4:$G$63,32)="","",INDEX(Dossiers!$G$4:$G$63,32)))</f>
        <v/>
      </c>
      <c r="V1652">
        <f>IF(OR($O1652="",NOT(ISNUMBER($Q1652))),"",$Q1652*1000000+1652)</f>
        <v/>
      </c>
      <c r="W1652" s="29">
        <f>IF($B1652="","",IFERROR(INDEX($U$4:$U$3183,MATCH(SMALL($V$4:$V$3183,1649),$V$4:$V$3183,0)),""))</f>
        <v/>
      </c>
    </row>
    <row r="1653">
      <c r="A1653">
        <f>IFERROR(INDEX($N$4:$N$3183,MATCH(SMALL($V$4:$V$3183,1650),$V$4:$V$3183,0)),"")</f>
        <v/>
      </c>
      <c r="B1653">
        <f>IFERROR(INDEX($O$4:$O$3183,MATCH(SMALL($V$4:$V$3183,1650),$V$4:$V$3183,0)),"")</f>
        <v/>
      </c>
      <c r="C1653">
        <f>IFERROR(INDEX($P$4:$P$3183,MATCH(SMALL($V$4:$V$3183,1650),$V$4:$V$3183,0)),"")</f>
        <v/>
      </c>
      <c r="D1653" s="29">
        <f>IFERROR(INDEX($Q$4:$Q$3183,MATCH(SMALL($V$4:$V$3183,1650),$V$4:$V$3183,0)),"")</f>
        <v/>
      </c>
      <c r="E1653" s="29">
        <f>IFERROR(INDEX($R$4:$R$3183,MATCH(SMALL($V$4:$V$3183,1650),$V$4:$V$3183,0)),"")</f>
        <v/>
      </c>
      <c r="F1653">
        <f>IFERROR(INDEX($S$4:$S$3183,MATCH(SMALL($V$4:$V$3183,1650),$V$4:$V$3183,0)),"")</f>
        <v/>
      </c>
      <c r="I1653" s="29">
        <f>IF($B1653="","",IFERROR(INDEX($U$4:$U$3183,MATCH(SMALL($V$4:$V$3183,1650),$V$4:$V$3183,0)),""))</f>
        <v/>
      </c>
      <c r="J1653">
        <f>IF($B1653="","",IF($D1653&gt;$F$2,"À venir",IF($E1653&lt;$D$2,"Passé","Dans la période")))</f>
        <v/>
      </c>
      <c r="K1653">
        <f>IF(OR($B1653="",NOT(ISNUMBER($D1653))),"",IF(AND($E1653&lt;$D$2,$G1653&lt;&gt;"X",$F1653&lt;&gt;"Réalisé",$F1653&lt;&gt;"Clôturé"),"RETARD",""))</f>
        <v/>
      </c>
      <c r="L1653">
        <f>IF(OR($B1653="",NOT(ISNUMBER($D1653))),"",IF(AND($D1653&gt;=$D$2,$D1653&lt;=$H$2,$G1653&lt;&gt;"X",$F1653&lt;&gt;"Réalisé",$F1653&lt;&gt;"Clôturé"),"≤ 7 j",""))</f>
        <v/>
      </c>
      <c r="M1653" s="29">
        <f>IF($B1653="","",IFERROR(INDEX($T$4:$T$3183,MATCH(SMALL($V$4:$V$3183,1650),$V$4:$V$3183,0)),""))</f>
        <v/>
      </c>
      <c r="O1653">
        <f>IF(INDEX(Suivi!$B:$B,1685)="","",INDEX(Suivi!$B:$B,1685))</f>
        <v/>
      </c>
      <c r="P1653">
        <f>IF($O1653="","",IF(INDEX(Suivi!$D:$D,1685)="",INDEX(Suivi!$C:$C,1685),INDEX(Suivi!$D:$D,1685)))</f>
        <v/>
      </c>
      <c r="Q1653">
        <f>IF($O1653="","",INDEX(Suivi!$E:$E,1685))</f>
        <v/>
      </c>
      <c r="R1653">
        <f>IF($O1653="","",INDEX(Suivi!$F:$F,1685))</f>
        <v/>
      </c>
      <c r="S1653">
        <f>IF($O1653="","",INDEX(Suivi!$G:$G,1685))</f>
        <v/>
      </c>
      <c r="T1653">
        <f>IF($O1653="","",IF(INDEX(Dossiers!$F$4:$F$63,32)="","",INDEX(Dossiers!$F$4:$F$63,32)))</f>
        <v/>
      </c>
      <c r="U1653">
        <f>IF($O1653="","",IF(INDEX(Dossiers!$G$4:$G$63,32)="","",INDEX(Dossiers!$G$4:$G$63,32)))</f>
        <v/>
      </c>
      <c r="V1653">
        <f>IF(OR($O1653="",NOT(ISNUMBER($Q1653))),"",$Q1653*1000000+1653)</f>
        <v/>
      </c>
      <c r="W1653" s="29">
        <f>IF($B1653="","",IFERROR(INDEX($U$4:$U$3183,MATCH(SMALL($V$4:$V$3183,1650),$V$4:$V$3183,0)),""))</f>
        <v/>
      </c>
    </row>
    <row r="1654">
      <c r="A1654">
        <f>IFERROR(INDEX($N$4:$N$3183,MATCH(SMALL($V$4:$V$3183,1651),$V$4:$V$3183,0)),"")</f>
        <v/>
      </c>
      <c r="B1654">
        <f>IFERROR(INDEX($O$4:$O$3183,MATCH(SMALL($V$4:$V$3183,1651),$V$4:$V$3183,0)),"")</f>
        <v/>
      </c>
      <c r="C1654">
        <f>IFERROR(INDEX($P$4:$P$3183,MATCH(SMALL($V$4:$V$3183,1651),$V$4:$V$3183,0)),"")</f>
        <v/>
      </c>
      <c r="D1654" s="29">
        <f>IFERROR(INDEX($Q$4:$Q$3183,MATCH(SMALL($V$4:$V$3183,1651),$V$4:$V$3183,0)),"")</f>
        <v/>
      </c>
      <c r="E1654" s="29">
        <f>IFERROR(INDEX($R$4:$R$3183,MATCH(SMALL($V$4:$V$3183,1651),$V$4:$V$3183,0)),"")</f>
        <v/>
      </c>
      <c r="F1654">
        <f>IFERROR(INDEX($S$4:$S$3183,MATCH(SMALL($V$4:$V$3183,1651),$V$4:$V$3183,0)),"")</f>
        <v/>
      </c>
      <c r="I1654" s="29">
        <f>IF($B1654="","",IFERROR(INDEX($U$4:$U$3183,MATCH(SMALL($V$4:$V$3183,1651),$V$4:$V$3183,0)),""))</f>
        <v/>
      </c>
      <c r="J1654">
        <f>IF($B1654="","",IF($D1654&gt;$F$2,"À venir",IF($E1654&lt;$D$2,"Passé","Dans la période")))</f>
        <v/>
      </c>
      <c r="K1654">
        <f>IF(OR($B1654="",NOT(ISNUMBER($D1654))),"",IF(AND($E1654&lt;$D$2,$G1654&lt;&gt;"X",$F1654&lt;&gt;"Réalisé",$F1654&lt;&gt;"Clôturé"),"RETARD",""))</f>
        <v/>
      </c>
      <c r="L1654">
        <f>IF(OR($B1654="",NOT(ISNUMBER($D1654))),"",IF(AND($D1654&gt;=$D$2,$D1654&lt;=$H$2,$G1654&lt;&gt;"X",$F1654&lt;&gt;"Réalisé",$F1654&lt;&gt;"Clôturé"),"≤ 7 j",""))</f>
        <v/>
      </c>
      <c r="M1654" s="29">
        <f>IF($B1654="","",IFERROR(INDEX($T$4:$T$3183,MATCH(SMALL($V$4:$V$3183,1651),$V$4:$V$3183,0)),""))</f>
        <v/>
      </c>
      <c r="O1654">
        <f>IF(INDEX(Suivi!$B:$B,1686)="","",INDEX(Suivi!$B:$B,1686))</f>
        <v/>
      </c>
      <c r="P1654">
        <f>IF($O1654="","",IF(INDEX(Suivi!$D:$D,1686)="",INDEX(Suivi!$C:$C,1686),INDEX(Suivi!$D:$D,1686)))</f>
        <v/>
      </c>
      <c r="Q1654">
        <f>IF($O1654="","",INDEX(Suivi!$E:$E,1686))</f>
        <v/>
      </c>
      <c r="R1654">
        <f>IF($O1654="","",INDEX(Suivi!$F:$F,1686))</f>
        <v/>
      </c>
      <c r="S1654">
        <f>IF($O1654="","",INDEX(Suivi!$G:$G,1686))</f>
        <v/>
      </c>
      <c r="T1654">
        <f>IF($O1654="","",IF(INDEX(Dossiers!$F$4:$F$63,32)="","",INDEX(Dossiers!$F$4:$F$63,32)))</f>
        <v/>
      </c>
      <c r="U1654">
        <f>IF($O1654="","",IF(INDEX(Dossiers!$G$4:$G$63,32)="","",INDEX(Dossiers!$G$4:$G$63,32)))</f>
        <v/>
      </c>
      <c r="V1654">
        <f>IF(OR($O1654="",NOT(ISNUMBER($Q1654))),"",$Q1654*1000000+1654)</f>
        <v/>
      </c>
      <c r="W1654" s="29">
        <f>IF($B1654="","",IFERROR(INDEX($U$4:$U$3183,MATCH(SMALL($V$4:$V$3183,1651),$V$4:$V$3183,0)),""))</f>
        <v/>
      </c>
    </row>
    <row r="1655">
      <c r="A1655">
        <f>IFERROR(INDEX($N$4:$N$3183,MATCH(SMALL($V$4:$V$3183,1652),$V$4:$V$3183,0)),"")</f>
        <v/>
      </c>
      <c r="B1655">
        <f>IFERROR(INDEX($O$4:$O$3183,MATCH(SMALL($V$4:$V$3183,1652),$V$4:$V$3183,0)),"")</f>
        <v/>
      </c>
      <c r="C1655">
        <f>IFERROR(INDEX($P$4:$P$3183,MATCH(SMALL($V$4:$V$3183,1652),$V$4:$V$3183,0)),"")</f>
        <v/>
      </c>
      <c r="D1655" s="29">
        <f>IFERROR(INDEX($Q$4:$Q$3183,MATCH(SMALL($V$4:$V$3183,1652),$V$4:$V$3183,0)),"")</f>
        <v/>
      </c>
      <c r="E1655" s="29">
        <f>IFERROR(INDEX($R$4:$R$3183,MATCH(SMALL($V$4:$V$3183,1652),$V$4:$V$3183,0)),"")</f>
        <v/>
      </c>
      <c r="F1655">
        <f>IFERROR(INDEX($S$4:$S$3183,MATCH(SMALL($V$4:$V$3183,1652),$V$4:$V$3183,0)),"")</f>
        <v/>
      </c>
      <c r="I1655" s="29">
        <f>IF($B1655="","",IFERROR(INDEX($U$4:$U$3183,MATCH(SMALL($V$4:$V$3183,1652),$V$4:$V$3183,0)),""))</f>
        <v/>
      </c>
      <c r="J1655">
        <f>IF($B1655="","",IF($D1655&gt;$F$2,"À venir",IF($E1655&lt;$D$2,"Passé","Dans la période")))</f>
        <v/>
      </c>
      <c r="K1655">
        <f>IF(OR($B1655="",NOT(ISNUMBER($D1655))),"",IF(AND($E1655&lt;$D$2,$G1655&lt;&gt;"X",$F1655&lt;&gt;"Réalisé",$F1655&lt;&gt;"Clôturé"),"RETARD",""))</f>
        <v/>
      </c>
      <c r="L1655">
        <f>IF(OR($B1655="",NOT(ISNUMBER($D1655))),"",IF(AND($D1655&gt;=$D$2,$D1655&lt;=$H$2,$G1655&lt;&gt;"X",$F1655&lt;&gt;"Réalisé",$F1655&lt;&gt;"Clôturé"),"≤ 7 j",""))</f>
        <v/>
      </c>
      <c r="M1655" s="29">
        <f>IF($B1655="","",IFERROR(INDEX($T$4:$T$3183,MATCH(SMALL($V$4:$V$3183,1652),$V$4:$V$3183,0)),""))</f>
        <v/>
      </c>
      <c r="O1655">
        <f>IF(INDEX(Suivi!$B:$B,1687)="","",INDEX(Suivi!$B:$B,1687))</f>
        <v/>
      </c>
      <c r="P1655">
        <f>IF($O1655="","",IF(INDEX(Suivi!$D:$D,1687)="",INDEX(Suivi!$C:$C,1687),INDEX(Suivi!$D:$D,1687)))</f>
        <v/>
      </c>
      <c r="Q1655">
        <f>IF($O1655="","",INDEX(Suivi!$E:$E,1687))</f>
        <v/>
      </c>
      <c r="R1655">
        <f>IF($O1655="","",INDEX(Suivi!$F:$F,1687))</f>
        <v/>
      </c>
      <c r="S1655">
        <f>IF($O1655="","",INDEX(Suivi!$G:$G,1687))</f>
        <v/>
      </c>
      <c r="T1655">
        <f>IF($O1655="","",IF(INDEX(Dossiers!$F$4:$F$63,32)="","",INDEX(Dossiers!$F$4:$F$63,32)))</f>
        <v/>
      </c>
      <c r="U1655">
        <f>IF($O1655="","",IF(INDEX(Dossiers!$G$4:$G$63,32)="","",INDEX(Dossiers!$G$4:$G$63,32)))</f>
        <v/>
      </c>
      <c r="V1655">
        <f>IF(OR($O1655="",NOT(ISNUMBER($Q1655))),"",$Q1655*1000000+1655)</f>
        <v/>
      </c>
      <c r="W1655" s="29">
        <f>IF($B1655="","",IFERROR(INDEX($U$4:$U$3183,MATCH(SMALL($V$4:$V$3183,1652),$V$4:$V$3183,0)),""))</f>
        <v/>
      </c>
    </row>
    <row r="1656">
      <c r="A1656">
        <f>IFERROR(INDEX($N$4:$N$3183,MATCH(SMALL($V$4:$V$3183,1653),$V$4:$V$3183,0)),"")</f>
        <v/>
      </c>
      <c r="B1656">
        <f>IFERROR(INDEX($O$4:$O$3183,MATCH(SMALL($V$4:$V$3183,1653),$V$4:$V$3183,0)),"")</f>
        <v/>
      </c>
      <c r="C1656">
        <f>IFERROR(INDEX($P$4:$P$3183,MATCH(SMALL($V$4:$V$3183,1653),$V$4:$V$3183,0)),"")</f>
        <v/>
      </c>
      <c r="D1656" s="29">
        <f>IFERROR(INDEX($Q$4:$Q$3183,MATCH(SMALL($V$4:$V$3183,1653),$V$4:$V$3183,0)),"")</f>
        <v/>
      </c>
      <c r="E1656" s="29">
        <f>IFERROR(INDEX($R$4:$R$3183,MATCH(SMALL($V$4:$V$3183,1653),$V$4:$V$3183,0)),"")</f>
        <v/>
      </c>
      <c r="F1656">
        <f>IFERROR(INDEX($S$4:$S$3183,MATCH(SMALL($V$4:$V$3183,1653),$V$4:$V$3183,0)),"")</f>
        <v/>
      </c>
      <c r="I1656" s="29">
        <f>IF($B1656="","",IFERROR(INDEX($U$4:$U$3183,MATCH(SMALL($V$4:$V$3183,1653),$V$4:$V$3183,0)),""))</f>
        <v/>
      </c>
      <c r="J1656">
        <f>IF($B1656="","",IF($D1656&gt;$F$2,"À venir",IF($E1656&lt;$D$2,"Passé","Dans la période")))</f>
        <v/>
      </c>
      <c r="K1656">
        <f>IF(OR($B1656="",NOT(ISNUMBER($D1656))),"",IF(AND($E1656&lt;$D$2,$G1656&lt;&gt;"X",$F1656&lt;&gt;"Réalisé",$F1656&lt;&gt;"Clôturé"),"RETARD",""))</f>
        <v/>
      </c>
      <c r="L1656">
        <f>IF(OR($B1656="",NOT(ISNUMBER($D1656))),"",IF(AND($D1656&gt;=$D$2,$D1656&lt;=$H$2,$G1656&lt;&gt;"X",$F1656&lt;&gt;"Réalisé",$F1656&lt;&gt;"Clôturé"),"≤ 7 j",""))</f>
        <v/>
      </c>
      <c r="M1656" s="29">
        <f>IF($B1656="","",IFERROR(INDEX($T$4:$T$3183,MATCH(SMALL($V$4:$V$3183,1653),$V$4:$V$3183,0)),""))</f>
        <v/>
      </c>
      <c r="O1656">
        <f>IF(INDEX(Suivi!$B:$B,1688)="","",INDEX(Suivi!$B:$B,1688))</f>
        <v/>
      </c>
      <c r="P1656">
        <f>IF($O1656="","",IF(INDEX(Suivi!$D:$D,1688)="",INDEX(Suivi!$C:$C,1688),INDEX(Suivi!$D:$D,1688)))</f>
        <v/>
      </c>
      <c r="Q1656">
        <f>IF($O1656="","",INDEX(Suivi!$E:$E,1688))</f>
        <v/>
      </c>
      <c r="R1656">
        <f>IF($O1656="","",INDEX(Suivi!$F:$F,1688))</f>
        <v/>
      </c>
      <c r="S1656">
        <f>IF($O1656="","",INDEX(Suivi!$G:$G,1688))</f>
        <v/>
      </c>
      <c r="T1656">
        <f>IF($O1656="","",IF(INDEX(Dossiers!$F$4:$F$63,32)="","",INDEX(Dossiers!$F$4:$F$63,32)))</f>
        <v/>
      </c>
      <c r="U1656">
        <f>IF($O1656="","",IF(INDEX(Dossiers!$G$4:$G$63,32)="","",INDEX(Dossiers!$G$4:$G$63,32)))</f>
        <v/>
      </c>
      <c r="V1656">
        <f>IF(OR($O1656="",NOT(ISNUMBER($Q1656))),"",$Q1656*1000000+1656)</f>
        <v/>
      </c>
      <c r="W1656" s="29">
        <f>IF($B1656="","",IFERROR(INDEX($U$4:$U$3183,MATCH(SMALL($V$4:$V$3183,1653),$V$4:$V$3183,0)),""))</f>
        <v/>
      </c>
    </row>
    <row r="1657">
      <c r="A1657">
        <f>IFERROR(INDEX($N$4:$N$3183,MATCH(SMALL($V$4:$V$3183,1654),$V$4:$V$3183,0)),"")</f>
        <v/>
      </c>
      <c r="B1657">
        <f>IFERROR(INDEX($O$4:$O$3183,MATCH(SMALL($V$4:$V$3183,1654),$V$4:$V$3183,0)),"")</f>
        <v/>
      </c>
      <c r="C1657">
        <f>IFERROR(INDEX($P$4:$P$3183,MATCH(SMALL($V$4:$V$3183,1654),$V$4:$V$3183,0)),"")</f>
        <v/>
      </c>
      <c r="D1657" s="29">
        <f>IFERROR(INDEX($Q$4:$Q$3183,MATCH(SMALL($V$4:$V$3183,1654),$V$4:$V$3183,0)),"")</f>
        <v/>
      </c>
      <c r="E1657" s="29">
        <f>IFERROR(INDEX($R$4:$R$3183,MATCH(SMALL($V$4:$V$3183,1654),$V$4:$V$3183,0)),"")</f>
        <v/>
      </c>
      <c r="F1657">
        <f>IFERROR(INDEX($S$4:$S$3183,MATCH(SMALL($V$4:$V$3183,1654),$V$4:$V$3183,0)),"")</f>
        <v/>
      </c>
      <c r="I1657" s="29">
        <f>IF($B1657="","",IFERROR(INDEX($U$4:$U$3183,MATCH(SMALL($V$4:$V$3183,1654),$V$4:$V$3183,0)),""))</f>
        <v/>
      </c>
      <c r="J1657">
        <f>IF($B1657="","",IF($D1657&gt;$F$2,"À venir",IF($E1657&lt;$D$2,"Passé","Dans la période")))</f>
        <v/>
      </c>
      <c r="K1657">
        <f>IF(OR($B1657="",NOT(ISNUMBER($D1657))),"",IF(AND($E1657&lt;$D$2,$G1657&lt;&gt;"X",$F1657&lt;&gt;"Réalisé",$F1657&lt;&gt;"Clôturé"),"RETARD",""))</f>
        <v/>
      </c>
      <c r="L1657">
        <f>IF(OR($B1657="",NOT(ISNUMBER($D1657))),"",IF(AND($D1657&gt;=$D$2,$D1657&lt;=$H$2,$G1657&lt;&gt;"X",$F1657&lt;&gt;"Réalisé",$F1657&lt;&gt;"Clôturé"),"≤ 7 j",""))</f>
        <v/>
      </c>
      <c r="M1657" s="29">
        <f>IF($B1657="","",IFERROR(INDEX($T$4:$T$3183,MATCH(SMALL($V$4:$V$3183,1654),$V$4:$V$3183,0)),""))</f>
        <v/>
      </c>
      <c r="O1657">
        <f>IF(INDEX(Suivi!$B:$B,1689)="","",INDEX(Suivi!$B:$B,1689))</f>
        <v/>
      </c>
      <c r="P1657">
        <f>IF($O1657="","",IF(INDEX(Suivi!$D:$D,1689)="",INDEX(Suivi!$C:$C,1689),INDEX(Suivi!$D:$D,1689)))</f>
        <v/>
      </c>
      <c r="Q1657">
        <f>IF($O1657="","",INDEX(Suivi!$E:$E,1689))</f>
        <v/>
      </c>
      <c r="R1657">
        <f>IF($O1657="","",INDEX(Suivi!$F:$F,1689))</f>
        <v/>
      </c>
      <c r="S1657">
        <f>IF($O1657="","",INDEX(Suivi!$G:$G,1689))</f>
        <v/>
      </c>
      <c r="T1657">
        <f>IF($O1657="","",IF(INDEX(Dossiers!$F$4:$F$63,32)="","",INDEX(Dossiers!$F$4:$F$63,32)))</f>
        <v/>
      </c>
      <c r="U1657">
        <f>IF($O1657="","",IF(INDEX(Dossiers!$G$4:$G$63,32)="","",INDEX(Dossiers!$G$4:$G$63,32)))</f>
        <v/>
      </c>
      <c r="V1657">
        <f>IF(OR($O1657="",NOT(ISNUMBER($Q1657))),"",$Q1657*1000000+1657)</f>
        <v/>
      </c>
      <c r="W1657" s="29">
        <f>IF($B1657="","",IFERROR(INDEX($U$4:$U$3183,MATCH(SMALL($V$4:$V$3183,1654),$V$4:$V$3183,0)),""))</f>
        <v/>
      </c>
    </row>
    <row r="1658">
      <c r="A1658">
        <f>IFERROR(INDEX($N$4:$N$3183,MATCH(SMALL($V$4:$V$3183,1655),$V$4:$V$3183,0)),"")</f>
        <v/>
      </c>
      <c r="B1658">
        <f>IFERROR(INDEX($O$4:$O$3183,MATCH(SMALL($V$4:$V$3183,1655),$V$4:$V$3183,0)),"")</f>
        <v/>
      </c>
      <c r="C1658">
        <f>IFERROR(INDEX($P$4:$P$3183,MATCH(SMALL($V$4:$V$3183,1655),$V$4:$V$3183,0)),"")</f>
        <v/>
      </c>
      <c r="D1658" s="29">
        <f>IFERROR(INDEX($Q$4:$Q$3183,MATCH(SMALL($V$4:$V$3183,1655),$V$4:$V$3183,0)),"")</f>
        <v/>
      </c>
      <c r="E1658" s="29">
        <f>IFERROR(INDEX($R$4:$R$3183,MATCH(SMALL($V$4:$V$3183,1655),$V$4:$V$3183,0)),"")</f>
        <v/>
      </c>
      <c r="F1658">
        <f>IFERROR(INDEX($S$4:$S$3183,MATCH(SMALL($V$4:$V$3183,1655),$V$4:$V$3183,0)),"")</f>
        <v/>
      </c>
      <c r="I1658" s="29">
        <f>IF($B1658="","",IFERROR(INDEX($U$4:$U$3183,MATCH(SMALL($V$4:$V$3183,1655),$V$4:$V$3183,0)),""))</f>
        <v/>
      </c>
      <c r="J1658">
        <f>IF($B1658="","",IF($D1658&gt;$F$2,"À venir",IF($E1658&lt;$D$2,"Passé","Dans la période")))</f>
        <v/>
      </c>
      <c r="K1658">
        <f>IF(OR($B1658="",NOT(ISNUMBER($D1658))),"",IF(AND($E1658&lt;$D$2,$G1658&lt;&gt;"X",$F1658&lt;&gt;"Réalisé",$F1658&lt;&gt;"Clôturé"),"RETARD",""))</f>
        <v/>
      </c>
      <c r="L1658">
        <f>IF(OR($B1658="",NOT(ISNUMBER($D1658))),"",IF(AND($D1658&gt;=$D$2,$D1658&lt;=$H$2,$G1658&lt;&gt;"X",$F1658&lt;&gt;"Réalisé",$F1658&lt;&gt;"Clôturé"),"≤ 7 j",""))</f>
        <v/>
      </c>
      <c r="M1658" s="29">
        <f>IF($B1658="","",IFERROR(INDEX($T$4:$T$3183,MATCH(SMALL($V$4:$V$3183,1655),$V$4:$V$3183,0)),""))</f>
        <v/>
      </c>
      <c r="O1658">
        <f>IF(INDEX(Suivi!$B:$B,1690)="","",INDEX(Suivi!$B:$B,1690))</f>
        <v/>
      </c>
      <c r="P1658">
        <f>IF($O1658="","",IF(INDEX(Suivi!$D:$D,1690)="",INDEX(Suivi!$C:$C,1690),INDEX(Suivi!$D:$D,1690)))</f>
        <v/>
      </c>
      <c r="Q1658">
        <f>IF($O1658="","",INDEX(Suivi!$E:$E,1690))</f>
        <v/>
      </c>
      <c r="R1658">
        <f>IF($O1658="","",INDEX(Suivi!$F:$F,1690))</f>
        <v/>
      </c>
      <c r="S1658">
        <f>IF($O1658="","",INDEX(Suivi!$G:$G,1690))</f>
        <v/>
      </c>
      <c r="T1658">
        <f>IF($O1658="","",IF(INDEX(Dossiers!$F$4:$F$63,32)="","",INDEX(Dossiers!$F$4:$F$63,32)))</f>
        <v/>
      </c>
      <c r="U1658">
        <f>IF($O1658="","",IF(INDEX(Dossiers!$G$4:$G$63,32)="","",INDEX(Dossiers!$G$4:$G$63,32)))</f>
        <v/>
      </c>
      <c r="V1658">
        <f>IF(OR($O1658="",NOT(ISNUMBER($Q1658))),"",$Q1658*1000000+1658)</f>
        <v/>
      </c>
      <c r="W1658" s="29">
        <f>IF($B1658="","",IFERROR(INDEX($U$4:$U$3183,MATCH(SMALL($V$4:$V$3183,1655),$V$4:$V$3183,0)),""))</f>
        <v/>
      </c>
    </row>
    <row r="1659">
      <c r="A1659">
        <f>IFERROR(INDEX($N$4:$N$3183,MATCH(SMALL($V$4:$V$3183,1656),$V$4:$V$3183,0)),"")</f>
        <v/>
      </c>
      <c r="B1659">
        <f>IFERROR(INDEX($O$4:$O$3183,MATCH(SMALL($V$4:$V$3183,1656),$V$4:$V$3183,0)),"")</f>
        <v/>
      </c>
      <c r="C1659">
        <f>IFERROR(INDEX($P$4:$P$3183,MATCH(SMALL($V$4:$V$3183,1656),$V$4:$V$3183,0)),"")</f>
        <v/>
      </c>
      <c r="D1659" s="29">
        <f>IFERROR(INDEX($Q$4:$Q$3183,MATCH(SMALL($V$4:$V$3183,1656),$V$4:$V$3183,0)),"")</f>
        <v/>
      </c>
      <c r="E1659" s="29">
        <f>IFERROR(INDEX($R$4:$R$3183,MATCH(SMALL($V$4:$V$3183,1656),$V$4:$V$3183,0)),"")</f>
        <v/>
      </c>
      <c r="F1659">
        <f>IFERROR(INDEX($S$4:$S$3183,MATCH(SMALL($V$4:$V$3183,1656),$V$4:$V$3183,0)),"")</f>
        <v/>
      </c>
      <c r="I1659" s="29">
        <f>IF($B1659="","",IFERROR(INDEX($U$4:$U$3183,MATCH(SMALL($V$4:$V$3183,1656),$V$4:$V$3183,0)),""))</f>
        <v/>
      </c>
      <c r="J1659">
        <f>IF($B1659="","",IF($D1659&gt;$F$2,"À venir",IF($E1659&lt;$D$2,"Passé","Dans la période")))</f>
        <v/>
      </c>
      <c r="K1659">
        <f>IF(OR($B1659="",NOT(ISNUMBER($D1659))),"",IF(AND($E1659&lt;$D$2,$G1659&lt;&gt;"X",$F1659&lt;&gt;"Réalisé",$F1659&lt;&gt;"Clôturé"),"RETARD",""))</f>
        <v/>
      </c>
      <c r="L1659">
        <f>IF(OR($B1659="",NOT(ISNUMBER($D1659))),"",IF(AND($D1659&gt;=$D$2,$D1659&lt;=$H$2,$G1659&lt;&gt;"X",$F1659&lt;&gt;"Réalisé",$F1659&lt;&gt;"Clôturé"),"≤ 7 j",""))</f>
        <v/>
      </c>
      <c r="M1659" s="29">
        <f>IF($B1659="","",IFERROR(INDEX($T$4:$T$3183,MATCH(SMALL($V$4:$V$3183,1656),$V$4:$V$3183,0)),""))</f>
        <v/>
      </c>
      <c r="O1659">
        <f>IF(INDEX(Suivi!$B:$B,1691)="","",INDEX(Suivi!$B:$B,1691))</f>
        <v/>
      </c>
      <c r="P1659">
        <f>IF($O1659="","",IF(INDEX(Suivi!$D:$D,1691)="",INDEX(Suivi!$C:$C,1691),INDEX(Suivi!$D:$D,1691)))</f>
        <v/>
      </c>
      <c r="Q1659">
        <f>IF($O1659="","",INDEX(Suivi!$E:$E,1691))</f>
        <v/>
      </c>
      <c r="R1659">
        <f>IF($O1659="","",INDEX(Suivi!$F:$F,1691))</f>
        <v/>
      </c>
      <c r="S1659">
        <f>IF($O1659="","",INDEX(Suivi!$G:$G,1691))</f>
        <v/>
      </c>
      <c r="T1659">
        <f>IF($O1659="","",IF(INDEX(Dossiers!$F$4:$F$63,32)="","",INDEX(Dossiers!$F$4:$F$63,32)))</f>
        <v/>
      </c>
      <c r="U1659">
        <f>IF($O1659="","",IF(INDEX(Dossiers!$G$4:$G$63,32)="","",INDEX(Dossiers!$G$4:$G$63,32)))</f>
        <v/>
      </c>
      <c r="V1659">
        <f>IF(OR($O1659="",NOT(ISNUMBER($Q1659))),"",$Q1659*1000000+1659)</f>
        <v/>
      </c>
      <c r="W1659" s="29">
        <f>IF($B1659="","",IFERROR(INDEX($U$4:$U$3183,MATCH(SMALL($V$4:$V$3183,1656),$V$4:$V$3183,0)),""))</f>
        <v/>
      </c>
    </row>
    <row r="1660">
      <c r="A1660">
        <f>IFERROR(INDEX($N$4:$N$3183,MATCH(SMALL($V$4:$V$3183,1657),$V$4:$V$3183,0)),"")</f>
        <v/>
      </c>
      <c r="B1660">
        <f>IFERROR(INDEX($O$4:$O$3183,MATCH(SMALL($V$4:$V$3183,1657),$V$4:$V$3183,0)),"")</f>
        <v/>
      </c>
      <c r="C1660">
        <f>IFERROR(INDEX($P$4:$P$3183,MATCH(SMALL($V$4:$V$3183,1657),$V$4:$V$3183,0)),"")</f>
        <v/>
      </c>
      <c r="D1660" s="29">
        <f>IFERROR(INDEX($Q$4:$Q$3183,MATCH(SMALL($V$4:$V$3183,1657),$V$4:$V$3183,0)),"")</f>
        <v/>
      </c>
      <c r="E1660" s="29">
        <f>IFERROR(INDEX($R$4:$R$3183,MATCH(SMALL($V$4:$V$3183,1657),$V$4:$V$3183,0)),"")</f>
        <v/>
      </c>
      <c r="F1660">
        <f>IFERROR(INDEX($S$4:$S$3183,MATCH(SMALL($V$4:$V$3183,1657),$V$4:$V$3183,0)),"")</f>
        <v/>
      </c>
      <c r="I1660" s="29">
        <f>IF($B1660="","",IFERROR(INDEX($U$4:$U$3183,MATCH(SMALL($V$4:$V$3183,1657),$V$4:$V$3183,0)),""))</f>
        <v/>
      </c>
      <c r="J1660">
        <f>IF($B1660="","",IF($D1660&gt;$F$2,"À venir",IF($E1660&lt;$D$2,"Passé","Dans la période")))</f>
        <v/>
      </c>
      <c r="K1660">
        <f>IF(OR($B1660="",NOT(ISNUMBER($D1660))),"",IF(AND($E1660&lt;$D$2,$G1660&lt;&gt;"X",$F1660&lt;&gt;"Réalisé",$F1660&lt;&gt;"Clôturé"),"RETARD",""))</f>
        <v/>
      </c>
      <c r="L1660">
        <f>IF(OR($B1660="",NOT(ISNUMBER($D1660))),"",IF(AND($D1660&gt;=$D$2,$D1660&lt;=$H$2,$G1660&lt;&gt;"X",$F1660&lt;&gt;"Réalisé",$F1660&lt;&gt;"Clôturé"),"≤ 7 j",""))</f>
        <v/>
      </c>
      <c r="M1660" s="29">
        <f>IF($B1660="","",IFERROR(INDEX($T$4:$T$3183,MATCH(SMALL($V$4:$V$3183,1657),$V$4:$V$3183,0)),""))</f>
        <v/>
      </c>
      <c r="O1660">
        <f>IF(INDEX(Suivi!$B:$B,1692)="","",INDEX(Suivi!$B:$B,1692))</f>
        <v/>
      </c>
      <c r="P1660">
        <f>IF($O1660="","",IF(INDEX(Suivi!$D:$D,1692)="",INDEX(Suivi!$C:$C,1692),INDEX(Suivi!$D:$D,1692)))</f>
        <v/>
      </c>
      <c r="Q1660">
        <f>IF($O1660="","",INDEX(Suivi!$E:$E,1692))</f>
        <v/>
      </c>
      <c r="R1660">
        <f>IF($O1660="","",INDEX(Suivi!$F:$F,1692))</f>
        <v/>
      </c>
      <c r="S1660">
        <f>IF($O1660="","",INDEX(Suivi!$G:$G,1692))</f>
        <v/>
      </c>
      <c r="T1660">
        <f>IF($O1660="","",IF(INDEX(Dossiers!$F$4:$F$63,32)="","",INDEX(Dossiers!$F$4:$F$63,32)))</f>
        <v/>
      </c>
      <c r="U1660">
        <f>IF($O1660="","",IF(INDEX(Dossiers!$G$4:$G$63,32)="","",INDEX(Dossiers!$G$4:$G$63,32)))</f>
        <v/>
      </c>
      <c r="V1660">
        <f>IF(OR($O1660="",NOT(ISNUMBER($Q1660))),"",$Q1660*1000000+1660)</f>
        <v/>
      </c>
      <c r="W1660" s="29">
        <f>IF($B1660="","",IFERROR(INDEX($U$4:$U$3183,MATCH(SMALL($V$4:$V$3183,1657),$V$4:$V$3183,0)),""))</f>
        <v/>
      </c>
    </row>
    <row r="1661">
      <c r="A1661">
        <f>IFERROR(INDEX($N$4:$N$3183,MATCH(SMALL($V$4:$V$3183,1658),$V$4:$V$3183,0)),"")</f>
        <v/>
      </c>
      <c r="B1661">
        <f>IFERROR(INDEX($O$4:$O$3183,MATCH(SMALL($V$4:$V$3183,1658),$V$4:$V$3183,0)),"")</f>
        <v/>
      </c>
      <c r="C1661">
        <f>IFERROR(INDEX($P$4:$P$3183,MATCH(SMALL($V$4:$V$3183,1658),$V$4:$V$3183,0)),"")</f>
        <v/>
      </c>
      <c r="D1661" s="29">
        <f>IFERROR(INDEX($Q$4:$Q$3183,MATCH(SMALL($V$4:$V$3183,1658),$V$4:$V$3183,0)),"")</f>
        <v/>
      </c>
      <c r="E1661" s="29">
        <f>IFERROR(INDEX($R$4:$R$3183,MATCH(SMALL($V$4:$V$3183,1658),$V$4:$V$3183,0)),"")</f>
        <v/>
      </c>
      <c r="F1661">
        <f>IFERROR(INDEX($S$4:$S$3183,MATCH(SMALL($V$4:$V$3183,1658),$V$4:$V$3183,0)),"")</f>
        <v/>
      </c>
      <c r="I1661" s="29">
        <f>IF($B1661="","",IFERROR(INDEX($U$4:$U$3183,MATCH(SMALL($V$4:$V$3183,1658),$V$4:$V$3183,0)),""))</f>
        <v/>
      </c>
      <c r="J1661">
        <f>IF($B1661="","",IF($D1661&gt;$F$2,"À venir",IF($E1661&lt;$D$2,"Passé","Dans la période")))</f>
        <v/>
      </c>
      <c r="K1661">
        <f>IF(OR($B1661="",NOT(ISNUMBER($D1661))),"",IF(AND($E1661&lt;$D$2,$G1661&lt;&gt;"X",$F1661&lt;&gt;"Réalisé",$F1661&lt;&gt;"Clôturé"),"RETARD",""))</f>
        <v/>
      </c>
      <c r="L1661">
        <f>IF(OR($B1661="",NOT(ISNUMBER($D1661))),"",IF(AND($D1661&gt;=$D$2,$D1661&lt;=$H$2,$G1661&lt;&gt;"X",$F1661&lt;&gt;"Réalisé",$F1661&lt;&gt;"Clôturé"),"≤ 7 j",""))</f>
        <v/>
      </c>
      <c r="M1661" s="29">
        <f>IF($B1661="","",IFERROR(INDEX($T$4:$T$3183,MATCH(SMALL($V$4:$V$3183,1658),$V$4:$V$3183,0)),""))</f>
        <v/>
      </c>
      <c r="O1661">
        <f>IF(INDEX(Suivi!$B:$B,1693)="","",INDEX(Suivi!$B:$B,1693))</f>
        <v/>
      </c>
      <c r="P1661">
        <f>IF($O1661="","",IF(INDEX(Suivi!$D:$D,1693)="",INDEX(Suivi!$C:$C,1693),INDEX(Suivi!$D:$D,1693)))</f>
        <v/>
      </c>
      <c r="Q1661">
        <f>IF($O1661="","",INDEX(Suivi!$E:$E,1693))</f>
        <v/>
      </c>
      <c r="R1661">
        <f>IF($O1661="","",INDEX(Suivi!$F:$F,1693))</f>
        <v/>
      </c>
      <c r="S1661">
        <f>IF($O1661="","",INDEX(Suivi!$G:$G,1693))</f>
        <v/>
      </c>
      <c r="T1661">
        <f>IF($O1661="","",IF(INDEX(Dossiers!$F$4:$F$63,32)="","",INDEX(Dossiers!$F$4:$F$63,32)))</f>
        <v/>
      </c>
      <c r="U1661">
        <f>IF($O1661="","",IF(INDEX(Dossiers!$G$4:$G$63,32)="","",INDEX(Dossiers!$G$4:$G$63,32)))</f>
        <v/>
      </c>
      <c r="V1661">
        <f>IF(OR($O1661="",NOT(ISNUMBER($Q1661))),"",$Q1661*1000000+1661)</f>
        <v/>
      </c>
      <c r="W1661" s="29">
        <f>IF($B1661="","",IFERROR(INDEX($U$4:$U$3183,MATCH(SMALL($V$4:$V$3183,1658),$V$4:$V$3183,0)),""))</f>
        <v/>
      </c>
    </row>
    <row r="1662">
      <c r="A1662">
        <f>IFERROR(INDEX($N$4:$N$3183,MATCH(SMALL($V$4:$V$3183,1659),$V$4:$V$3183,0)),"")</f>
        <v/>
      </c>
      <c r="B1662">
        <f>IFERROR(INDEX($O$4:$O$3183,MATCH(SMALL($V$4:$V$3183,1659),$V$4:$V$3183,0)),"")</f>
        <v/>
      </c>
      <c r="C1662">
        <f>IFERROR(INDEX($P$4:$P$3183,MATCH(SMALL($V$4:$V$3183,1659),$V$4:$V$3183,0)),"")</f>
        <v/>
      </c>
      <c r="D1662" s="29">
        <f>IFERROR(INDEX($Q$4:$Q$3183,MATCH(SMALL($V$4:$V$3183,1659),$V$4:$V$3183,0)),"")</f>
        <v/>
      </c>
      <c r="E1662" s="29">
        <f>IFERROR(INDEX($R$4:$R$3183,MATCH(SMALL($V$4:$V$3183,1659),$V$4:$V$3183,0)),"")</f>
        <v/>
      </c>
      <c r="F1662">
        <f>IFERROR(INDEX($S$4:$S$3183,MATCH(SMALL($V$4:$V$3183,1659),$V$4:$V$3183,0)),"")</f>
        <v/>
      </c>
      <c r="I1662" s="29">
        <f>IF($B1662="","",IFERROR(INDEX($U$4:$U$3183,MATCH(SMALL($V$4:$V$3183,1659),$V$4:$V$3183,0)),""))</f>
        <v/>
      </c>
      <c r="J1662">
        <f>IF($B1662="","",IF($D1662&gt;$F$2,"À venir",IF($E1662&lt;$D$2,"Passé","Dans la période")))</f>
        <v/>
      </c>
      <c r="K1662">
        <f>IF(OR($B1662="",NOT(ISNUMBER($D1662))),"",IF(AND($E1662&lt;$D$2,$G1662&lt;&gt;"X",$F1662&lt;&gt;"Réalisé",$F1662&lt;&gt;"Clôturé"),"RETARD",""))</f>
        <v/>
      </c>
      <c r="L1662">
        <f>IF(OR($B1662="",NOT(ISNUMBER($D1662))),"",IF(AND($D1662&gt;=$D$2,$D1662&lt;=$H$2,$G1662&lt;&gt;"X",$F1662&lt;&gt;"Réalisé",$F1662&lt;&gt;"Clôturé"),"≤ 7 j",""))</f>
        <v/>
      </c>
      <c r="M1662" s="29">
        <f>IF($B1662="","",IFERROR(INDEX($T$4:$T$3183,MATCH(SMALL($V$4:$V$3183,1659),$V$4:$V$3183,0)),""))</f>
        <v/>
      </c>
      <c r="O1662">
        <f>IF(INDEX(Suivi!$B:$B,1694)="","",INDEX(Suivi!$B:$B,1694))</f>
        <v/>
      </c>
      <c r="P1662">
        <f>IF($O1662="","",IF(INDEX(Suivi!$D:$D,1694)="",INDEX(Suivi!$C:$C,1694),INDEX(Suivi!$D:$D,1694)))</f>
        <v/>
      </c>
      <c r="Q1662">
        <f>IF($O1662="","",INDEX(Suivi!$E:$E,1694))</f>
        <v/>
      </c>
      <c r="R1662">
        <f>IF($O1662="","",INDEX(Suivi!$F:$F,1694))</f>
        <v/>
      </c>
      <c r="S1662">
        <f>IF($O1662="","",INDEX(Suivi!$G:$G,1694))</f>
        <v/>
      </c>
      <c r="T1662">
        <f>IF($O1662="","",IF(INDEX(Dossiers!$F$4:$F$63,32)="","",INDEX(Dossiers!$F$4:$F$63,32)))</f>
        <v/>
      </c>
      <c r="U1662">
        <f>IF($O1662="","",IF(INDEX(Dossiers!$G$4:$G$63,32)="","",INDEX(Dossiers!$G$4:$G$63,32)))</f>
        <v/>
      </c>
      <c r="V1662">
        <f>IF(OR($O1662="",NOT(ISNUMBER($Q1662))),"",$Q1662*1000000+1662)</f>
        <v/>
      </c>
      <c r="W1662" s="29">
        <f>IF($B1662="","",IFERROR(INDEX($U$4:$U$3183,MATCH(SMALL($V$4:$V$3183,1659),$V$4:$V$3183,0)),""))</f>
        <v/>
      </c>
    </row>
    <row r="1663">
      <c r="A1663">
        <f>IFERROR(INDEX($N$4:$N$3183,MATCH(SMALL($V$4:$V$3183,1660),$V$4:$V$3183,0)),"")</f>
        <v/>
      </c>
      <c r="B1663">
        <f>IFERROR(INDEX($O$4:$O$3183,MATCH(SMALL($V$4:$V$3183,1660),$V$4:$V$3183,0)),"")</f>
        <v/>
      </c>
      <c r="C1663">
        <f>IFERROR(INDEX($P$4:$P$3183,MATCH(SMALL($V$4:$V$3183,1660),$V$4:$V$3183,0)),"")</f>
        <v/>
      </c>
      <c r="D1663" s="29">
        <f>IFERROR(INDEX($Q$4:$Q$3183,MATCH(SMALL($V$4:$V$3183,1660),$V$4:$V$3183,0)),"")</f>
        <v/>
      </c>
      <c r="E1663" s="29">
        <f>IFERROR(INDEX($R$4:$R$3183,MATCH(SMALL($V$4:$V$3183,1660),$V$4:$V$3183,0)),"")</f>
        <v/>
      </c>
      <c r="F1663">
        <f>IFERROR(INDEX($S$4:$S$3183,MATCH(SMALL($V$4:$V$3183,1660),$V$4:$V$3183,0)),"")</f>
        <v/>
      </c>
      <c r="I1663" s="29">
        <f>IF($B1663="","",IFERROR(INDEX($U$4:$U$3183,MATCH(SMALL($V$4:$V$3183,1660),$V$4:$V$3183,0)),""))</f>
        <v/>
      </c>
      <c r="J1663">
        <f>IF($B1663="","",IF($D1663&gt;$F$2,"À venir",IF($E1663&lt;$D$2,"Passé","Dans la période")))</f>
        <v/>
      </c>
      <c r="K1663">
        <f>IF(OR($B1663="",NOT(ISNUMBER($D1663))),"",IF(AND($E1663&lt;$D$2,$G1663&lt;&gt;"X",$F1663&lt;&gt;"Réalisé",$F1663&lt;&gt;"Clôturé"),"RETARD",""))</f>
        <v/>
      </c>
      <c r="L1663">
        <f>IF(OR($B1663="",NOT(ISNUMBER($D1663))),"",IF(AND($D1663&gt;=$D$2,$D1663&lt;=$H$2,$G1663&lt;&gt;"X",$F1663&lt;&gt;"Réalisé",$F1663&lt;&gt;"Clôturé"),"≤ 7 j",""))</f>
        <v/>
      </c>
      <c r="M1663" s="29">
        <f>IF($B1663="","",IFERROR(INDEX($T$4:$T$3183,MATCH(SMALL($V$4:$V$3183,1660),$V$4:$V$3183,0)),""))</f>
        <v/>
      </c>
      <c r="O1663">
        <f>IF(INDEX(Suivi!$B:$B,1695)="","",INDEX(Suivi!$B:$B,1695))</f>
        <v/>
      </c>
      <c r="P1663">
        <f>IF($O1663="","",IF(INDEX(Suivi!$D:$D,1695)="",INDEX(Suivi!$C:$C,1695),INDEX(Suivi!$D:$D,1695)))</f>
        <v/>
      </c>
      <c r="Q1663">
        <f>IF($O1663="","",INDEX(Suivi!$E:$E,1695))</f>
        <v/>
      </c>
      <c r="R1663">
        <f>IF($O1663="","",INDEX(Suivi!$F:$F,1695))</f>
        <v/>
      </c>
      <c r="S1663">
        <f>IF($O1663="","",INDEX(Suivi!$G:$G,1695))</f>
        <v/>
      </c>
      <c r="T1663">
        <f>IF($O1663="","",IF(INDEX(Dossiers!$F$4:$F$63,32)="","",INDEX(Dossiers!$F$4:$F$63,32)))</f>
        <v/>
      </c>
      <c r="U1663">
        <f>IF($O1663="","",IF(INDEX(Dossiers!$G$4:$G$63,32)="","",INDEX(Dossiers!$G$4:$G$63,32)))</f>
        <v/>
      </c>
      <c r="V1663">
        <f>IF(OR($O1663="",NOT(ISNUMBER($Q1663))),"",$Q1663*1000000+1663)</f>
        <v/>
      </c>
      <c r="W1663" s="29">
        <f>IF($B1663="","",IFERROR(INDEX($U$4:$U$3183,MATCH(SMALL($V$4:$V$3183,1660),$V$4:$V$3183,0)),""))</f>
        <v/>
      </c>
    </row>
    <row r="1664">
      <c r="A1664">
        <f>IFERROR(INDEX($N$4:$N$3183,MATCH(SMALL($V$4:$V$3183,1661),$V$4:$V$3183,0)),"")</f>
        <v/>
      </c>
      <c r="B1664">
        <f>IFERROR(INDEX($O$4:$O$3183,MATCH(SMALL($V$4:$V$3183,1661),$V$4:$V$3183,0)),"")</f>
        <v/>
      </c>
      <c r="C1664">
        <f>IFERROR(INDEX($P$4:$P$3183,MATCH(SMALL($V$4:$V$3183,1661),$V$4:$V$3183,0)),"")</f>
        <v/>
      </c>
      <c r="D1664" s="29">
        <f>IFERROR(INDEX($Q$4:$Q$3183,MATCH(SMALL($V$4:$V$3183,1661),$V$4:$V$3183,0)),"")</f>
        <v/>
      </c>
      <c r="E1664" s="29">
        <f>IFERROR(INDEX($R$4:$R$3183,MATCH(SMALL($V$4:$V$3183,1661),$V$4:$V$3183,0)),"")</f>
        <v/>
      </c>
      <c r="F1664">
        <f>IFERROR(INDEX($S$4:$S$3183,MATCH(SMALL($V$4:$V$3183,1661),$V$4:$V$3183,0)),"")</f>
        <v/>
      </c>
      <c r="I1664" s="29">
        <f>IF($B1664="","",IFERROR(INDEX($U$4:$U$3183,MATCH(SMALL($V$4:$V$3183,1661),$V$4:$V$3183,0)),""))</f>
        <v/>
      </c>
      <c r="J1664">
        <f>IF($B1664="","",IF($D1664&gt;$F$2,"À venir",IF($E1664&lt;$D$2,"Passé","Dans la période")))</f>
        <v/>
      </c>
      <c r="K1664">
        <f>IF(OR($B1664="",NOT(ISNUMBER($D1664))),"",IF(AND($E1664&lt;$D$2,$G1664&lt;&gt;"X",$F1664&lt;&gt;"Réalisé",$F1664&lt;&gt;"Clôturé"),"RETARD",""))</f>
        <v/>
      </c>
      <c r="L1664">
        <f>IF(OR($B1664="",NOT(ISNUMBER($D1664))),"",IF(AND($D1664&gt;=$D$2,$D1664&lt;=$H$2,$G1664&lt;&gt;"X",$F1664&lt;&gt;"Réalisé",$F1664&lt;&gt;"Clôturé"),"≤ 7 j",""))</f>
        <v/>
      </c>
      <c r="M1664" s="29">
        <f>IF($B1664="","",IFERROR(INDEX($T$4:$T$3183,MATCH(SMALL($V$4:$V$3183,1661),$V$4:$V$3183,0)),""))</f>
        <v/>
      </c>
      <c r="O1664">
        <f>IF(INDEX(Suivi!$B:$B,1696)="","",INDEX(Suivi!$B:$B,1696))</f>
        <v/>
      </c>
      <c r="P1664">
        <f>IF($O1664="","",IF(INDEX(Suivi!$D:$D,1696)="",INDEX(Suivi!$C:$C,1696),INDEX(Suivi!$D:$D,1696)))</f>
        <v/>
      </c>
      <c r="Q1664">
        <f>IF($O1664="","",INDEX(Suivi!$E:$E,1696))</f>
        <v/>
      </c>
      <c r="R1664">
        <f>IF($O1664="","",INDEX(Suivi!$F:$F,1696))</f>
        <v/>
      </c>
      <c r="S1664">
        <f>IF($O1664="","",INDEX(Suivi!$G:$G,1696))</f>
        <v/>
      </c>
      <c r="T1664">
        <f>IF($O1664="","",IF(INDEX(Dossiers!$F$4:$F$63,32)="","",INDEX(Dossiers!$F$4:$F$63,32)))</f>
        <v/>
      </c>
      <c r="U1664">
        <f>IF($O1664="","",IF(INDEX(Dossiers!$G$4:$G$63,32)="","",INDEX(Dossiers!$G$4:$G$63,32)))</f>
        <v/>
      </c>
      <c r="V1664">
        <f>IF(OR($O1664="",NOT(ISNUMBER($Q1664))),"",$Q1664*1000000+1664)</f>
        <v/>
      </c>
      <c r="W1664" s="29">
        <f>IF($B1664="","",IFERROR(INDEX($U$4:$U$3183,MATCH(SMALL($V$4:$V$3183,1661),$V$4:$V$3183,0)),""))</f>
        <v/>
      </c>
    </row>
    <row r="1665">
      <c r="A1665">
        <f>IFERROR(INDEX($N$4:$N$3183,MATCH(SMALL($V$4:$V$3183,1662),$V$4:$V$3183,0)),"")</f>
        <v/>
      </c>
      <c r="B1665">
        <f>IFERROR(INDEX($O$4:$O$3183,MATCH(SMALL($V$4:$V$3183,1662),$V$4:$V$3183,0)),"")</f>
        <v/>
      </c>
      <c r="C1665">
        <f>IFERROR(INDEX($P$4:$P$3183,MATCH(SMALL($V$4:$V$3183,1662),$V$4:$V$3183,0)),"")</f>
        <v/>
      </c>
      <c r="D1665" s="29">
        <f>IFERROR(INDEX($Q$4:$Q$3183,MATCH(SMALL($V$4:$V$3183,1662),$V$4:$V$3183,0)),"")</f>
        <v/>
      </c>
      <c r="E1665" s="29">
        <f>IFERROR(INDEX($R$4:$R$3183,MATCH(SMALL($V$4:$V$3183,1662),$V$4:$V$3183,0)),"")</f>
        <v/>
      </c>
      <c r="F1665">
        <f>IFERROR(INDEX($S$4:$S$3183,MATCH(SMALL($V$4:$V$3183,1662),$V$4:$V$3183,0)),"")</f>
        <v/>
      </c>
      <c r="I1665" s="29">
        <f>IF($B1665="","",IFERROR(INDEX($U$4:$U$3183,MATCH(SMALL($V$4:$V$3183,1662),$V$4:$V$3183,0)),""))</f>
        <v/>
      </c>
      <c r="J1665">
        <f>IF($B1665="","",IF($D1665&gt;$F$2,"À venir",IF($E1665&lt;$D$2,"Passé","Dans la période")))</f>
        <v/>
      </c>
      <c r="K1665">
        <f>IF(OR($B1665="",NOT(ISNUMBER($D1665))),"",IF(AND($E1665&lt;$D$2,$G1665&lt;&gt;"X",$F1665&lt;&gt;"Réalisé",$F1665&lt;&gt;"Clôturé"),"RETARD",""))</f>
        <v/>
      </c>
      <c r="L1665">
        <f>IF(OR($B1665="",NOT(ISNUMBER($D1665))),"",IF(AND($D1665&gt;=$D$2,$D1665&lt;=$H$2,$G1665&lt;&gt;"X",$F1665&lt;&gt;"Réalisé",$F1665&lt;&gt;"Clôturé"),"≤ 7 j",""))</f>
        <v/>
      </c>
      <c r="M1665" s="29">
        <f>IF($B1665="","",IFERROR(INDEX($T$4:$T$3183,MATCH(SMALL($V$4:$V$3183,1662),$V$4:$V$3183,0)),""))</f>
        <v/>
      </c>
      <c r="O1665">
        <f>IF(INDEX(Suivi!$B:$B,1697)="","",INDEX(Suivi!$B:$B,1697))</f>
        <v/>
      </c>
      <c r="P1665">
        <f>IF($O1665="","",IF(INDEX(Suivi!$D:$D,1697)="",INDEX(Suivi!$C:$C,1697),INDEX(Suivi!$D:$D,1697)))</f>
        <v/>
      </c>
      <c r="Q1665">
        <f>IF($O1665="","",INDEX(Suivi!$E:$E,1697))</f>
        <v/>
      </c>
      <c r="R1665">
        <f>IF($O1665="","",INDEX(Suivi!$F:$F,1697))</f>
        <v/>
      </c>
      <c r="S1665">
        <f>IF($O1665="","",INDEX(Suivi!$G:$G,1697))</f>
        <v/>
      </c>
      <c r="T1665">
        <f>IF($O1665="","",IF(INDEX(Dossiers!$F$4:$F$63,32)="","",INDEX(Dossiers!$F$4:$F$63,32)))</f>
        <v/>
      </c>
      <c r="U1665">
        <f>IF($O1665="","",IF(INDEX(Dossiers!$G$4:$G$63,32)="","",INDEX(Dossiers!$G$4:$G$63,32)))</f>
        <v/>
      </c>
      <c r="V1665">
        <f>IF(OR($O1665="",NOT(ISNUMBER($Q1665))),"",$Q1665*1000000+1665)</f>
        <v/>
      </c>
      <c r="W1665" s="29">
        <f>IF($B1665="","",IFERROR(INDEX($U$4:$U$3183,MATCH(SMALL($V$4:$V$3183,1662),$V$4:$V$3183,0)),""))</f>
        <v/>
      </c>
    </row>
    <row r="1666">
      <c r="A1666">
        <f>IFERROR(INDEX($N$4:$N$3183,MATCH(SMALL($V$4:$V$3183,1663),$V$4:$V$3183,0)),"")</f>
        <v/>
      </c>
      <c r="B1666">
        <f>IFERROR(INDEX($O$4:$O$3183,MATCH(SMALL($V$4:$V$3183,1663),$V$4:$V$3183,0)),"")</f>
        <v/>
      </c>
      <c r="C1666">
        <f>IFERROR(INDEX($P$4:$P$3183,MATCH(SMALL($V$4:$V$3183,1663),$V$4:$V$3183,0)),"")</f>
        <v/>
      </c>
      <c r="D1666" s="29">
        <f>IFERROR(INDEX($Q$4:$Q$3183,MATCH(SMALL($V$4:$V$3183,1663),$V$4:$V$3183,0)),"")</f>
        <v/>
      </c>
      <c r="E1666" s="29">
        <f>IFERROR(INDEX($R$4:$R$3183,MATCH(SMALL($V$4:$V$3183,1663),$V$4:$V$3183,0)),"")</f>
        <v/>
      </c>
      <c r="F1666">
        <f>IFERROR(INDEX($S$4:$S$3183,MATCH(SMALL($V$4:$V$3183,1663),$V$4:$V$3183,0)),"")</f>
        <v/>
      </c>
      <c r="I1666" s="29">
        <f>IF($B1666="","",IFERROR(INDEX($U$4:$U$3183,MATCH(SMALL($V$4:$V$3183,1663),$V$4:$V$3183,0)),""))</f>
        <v/>
      </c>
      <c r="J1666">
        <f>IF($B1666="","",IF($D1666&gt;$F$2,"À venir",IF($E1666&lt;$D$2,"Passé","Dans la période")))</f>
        <v/>
      </c>
      <c r="K1666">
        <f>IF(OR($B1666="",NOT(ISNUMBER($D1666))),"",IF(AND($E1666&lt;$D$2,$G1666&lt;&gt;"X",$F1666&lt;&gt;"Réalisé",$F1666&lt;&gt;"Clôturé"),"RETARD",""))</f>
        <v/>
      </c>
      <c r="L1666">
        <f>IF(OR($B1666="",NOT(ISNUMBER($D1666))),"",IF(AND($D1666&gt;=$D$2,$D1666&lt;=$H$2,$G1666&lt;&gt;"X",$F1666&lt;&gt;"Réalisé",$F1666&lt;&gt;"Clôturé"),"≤ 7 j",""))</f>
        <v/>
      </c>
      <c r="M1666" s="29">
        <f>IF($B1666="","",IFERROR(INDEX($T$4:$T$3183,MATCH(SMALL($V$4:$V$3183,1663),$V$4:$V$3183,0)),""))</f>
        <v/>
      </c>
      <c r="O1666">
        <f>IF(INDEX(Suivi!$B:$B,1698)="","",INDEX(Suivi!$B:$B,1698))</f>
        <v/>
      </c>
      <c r="P1666">
        <f>IF($O1666="","",IF(INDEX(Suivi!$D:$D,1698)="",INDEX(Suivi!$C:$C,1698),INDEX(Suivi!$D:$D,1698)))</f>
        <v/>
      </c>
      <c r="Q1666">
        <f>IF($O1666="","",INDEX(Suivi!$E:$E,1698))</f>
        <v/>
      </c>
      <c r="R1666">
        <f>IF($O1666="","",INDEX(Suivi!$F:$F,1698))</f>
        <v/>
      </c>
      <c r="S1666">
        <f>IF($O1666="","",INDEX(Suivi!$G:$G,1698))</f>
        <v/>
      </c>
      <c r="T1666">
        <f>IF($O1666="","",IF(INDEX(Dossiers!$F$4:$F$63,32)="","",INDEX(Dossiers!$F$4:$F$63,32)))</f>
        <v/>
      </c>
      <c r="U1666">
        <f>IF($O1666="","",IF(INDEX(Dossiers!$G$4:$G$63,32)="","",INDEX(Dossiers!$G$4:$G$63,32)))</f>
        <v/>
      </c>
      <c r="V1666">
        <f>IF(OR($O1666="",NOT(ISNUMBER($Q1666))),"",$Q1666*1000000+1666)</f>
        <v/>
      </c>
      <c r="W1666" s="29">
        <f>IF($B1666="","",IFERROR(INDEX($U$4:$U$3183,MATCH(SMALL($V$4:$V$3183,1663),$V$4:$V$3183,0)),""))</f>
        <v/>
      </c>
    </row>
    <row r="1667">
      <c r="A1667">
        <f>IFERROR(INDEX($N$4:$N$3183,MATCH(SMALL($V$4:$V$3183,1664),$V$4:$V$3183,0)),"")</f>
        <v/>
      </c>
      <c r="B1667">
        <f>IFERROR(INDEX($O$4:$O$3183,MATCH(SMALL($V$4:$V$3183,1664),$V$4:$V$3183,0)),"")</f>
        <v/>
      </c>
      <c r="C1667">
        <f>IFERROR(INDEX($P$4:$P$3183,MATCH(SMALL($V$4:$V$3183,1664),$V$4:$V$3183,0)),"")</f>
        <v/>
      </c>
      <c r="D1667" s="29">
        <f>IFERROR(INDEX($Q$4:$Q$3183,MATCH(SMALL($V$4:$V$3183,1664),$V$4:$V$3183,0)),"")</f>
        <v/>
      </c>
      <c r="E1667" s="29">
        <f>IFERROR(INDEX($R$4:$R$3183,MATCH(SMALL($V$4:$V$3183,1664),$V$4:$V$3183,0)),"")</f>
        <v/>
      </c>
      <c r="F1667">
        <f>IFERROR(INDEX($S$4:$S$3183,MATCH(SMALL($V$4:$V$3183,1664),$V$4:$V$3183,0)),"")</f>
        <v/>
      </c>
      <c r="I1667" s="29">
        <f>IF($B1667="","",IFERROR(INDEX($U$4:$U$3183,MATCH(SMALL($V$4:$V$3183,1664),$V$4:$V$3183,0)),""))</f>
        <v/>
      </c>
      <c r="J1667">
        <f>IF($B1667="","",IF($D1667&gt;$F$2,"À venir",IF($E1667&lt;$D$2,"Passé","Dans la période")))</f>
        <v/>
      </c>
      <c r="K1667">
        <f>IF(OR($B1667="",NOT(ISNUMBER($D1667))),"",IF(AND($E1667&lt;$D$2,$G1667&lt;&gt;"X",$F1667&lt;&gt;"Réalisé",$F1667&lt;&gt;"Clôturé"),"RETARD",""))</f>
        <v/>
      </c>
      <c r="L1667">
        <f>IF(OR($B1667="",NOT(ISNUMBER($D1667))),"",IF(AND($D1667&gt;=$D$2,$D1667&lt;=$H$2,$G1667&lt;&gt;"X",$F1667&lt;&gt;"Réalisé",$F1667&lt;&gt;"Clôturé"),"≤ 7 j",""))</f>
        <v/>
      </c>
      <c r="M1667" s="29">
        <f>IF($B1667="","",IFERROR(INDEX($T$4:$T$3183,MATCH(SMALL($V$4:$V$3183,1664),$V$4:$V$3183,0)),""))</f>
        <v/>
      </c>
      <c r="O1667">
        <f>IF(INDEX(Suivi!$B:$B,1699)="","",INDEX(Suivi!$B:$B,1699))</f>
        <v/>
      </c>
      <c r="P1667">
        <f>IF($O1667="","",IF(INDEX(Suivi!$D:$D,1699)="",INDEX(Suivi!$C:$C,1699),INDEX(Suivi!$D:$D,1699)))</f>
        <v/>
      </c>
      <c r="Q1667">
        <f>IF($O1667="","",INDEX(Suivi!$E:$E,1699))</f>
        <v/>
      </c>
      <c r="R1667">
        <f>IF($O1667="","",INDEX(Suivi!$F:$F,1699))</f>
        <v/>
      </c>
      <c r="S1667">
        <f>IF($O1667="","",INDEX(Suivi!$G:$G,1699))</f>
        <v/>
      </c>
      <c r="T1667">
        <f>IF($O1667="","",IF(INDEX(Dossiers!$F$4:$F$63,32)="","",INDEX(Dossiers!$F$4:$F$63,32)))</f>
        <v/>
      </c>
      <c r="U1667">
        <f>IF($O1667="","",IF(INDEX(Dossiers!$G$4:$G$63,32)="","",INDEX(Dossiers!$G$4:$G$63,32)))</f>
        <v/>
      </c>
      <c r="V1667">
        <f>IF(OR($O1667="",NOT(ISNUMBER($Q1667))),"",$Q1667*1000000+1667)</f>
        <v/>
      </c>
      <c r="W1667" s="29">
        <f>IF($B1667="","",IFERROR(INDEX($U$4:$U$3183,MATCH(SMALL($V$4:$V$3183,1664),$V$4:$V$3183,0)),""))</f>
        <v/>
      </c>
    </row>
    <row r="1668">
      <c r="A1668">
        <f>IFERROR(INDEX($N$4:$N$3183,MATCH(SMALL($V$4:$V$3183,1665),$V$4:$V$3183,0)),"")</f>
        <v/>
      </c>
      <c r="B1668">
        <f>IFERROR(INDEX($O$4:$O$3183,MATCH(SMALL($V$4:$V$3183,1665),$V$4:$V$3183,0)),"")</f>
        <v/>
      </c>
      <c r="C1668">
        <f>IFERROR(INDEX($P$4:$P$3183,MATCH(SMALL($V$4:$V$3183,1665),$V$4:$V$3183,0)),"")</f>
        <v/>
      </c>
      <c r="D1668" s="29">
        <f>IFERROR(INDEX($Q$4:$Q$3183,MATCH(SMALL($V$4:$V$3183,1665),$V$4:$V$3183,0)),"")</f>
        <v/>
      </c>
      <c r="E1668" s="29">
        <f>IFERROR(INDEX($R$4:$R$3183,MATCH(SMALL($V$4:$V$3183,1665),$V$4:$V$3183,0)),"")</f>
        <v/>
      </c>
      <c r="F1668">
        <f>IFERROR(INDEX($S$4:$S$3183,MATCH(SMALL($V$4:$V$3183,1665),$V$4:$V$3183,0)),"")</f>
        <v/>
      </c>
      <c r="I1668" s="29">
        <f>IF($B1668="","",IFERROR(INDEX($U$4:$U$3183,MATCH(SMALL($V$4:$V$3183,1665),$V$4:$V$3183,0)),""))</f>
        <v/>
      </c>
      <c r="J1668">
        <f>IF($B1668="","",IF($D1668&gt;$F$2,"À venir",IF($E1668&lt;$D$2,"Passé","Dans la période")))</f>
        <v/>
      </c>
      <c r="K1668">
        <f>IF(OR($B1668="",NOT(ISNUMBER($D1668))),"",IF(AND($E1668&lt;$D$2,$G1668&lt;&gt;"X",$F1668&lt;&gt;"Réalisé",$F1668&lt;&gt;"Clôturé"),"RETARD",""))</f>
        <v/>
      </c>
      <c r="L1668">
        <f>IF(OR($B1668="",NOT(ISNUMBER($D1668))),"",IF(AND($D1668&gt;=$D$2,$D1668&lt;=$H$2,$G1668&lt;&gt;"X",$F1668&lt;&gt;"Réalisé",$F1668&lt;&gt;"Clôturé"),"≤ 7 j",""))</f>
        <v/>
      </c>
      <c r="M1668" s="29">
        <f>IF($B1668="","",IFERROR(INDEX($T$4:$T$3183,MATCH(SMALL($V$4:$V$3183,1665),$V$4:$V$3183,0)),""))</f>
        <v/>
      </c>
      <c r="O1668">
        <f>IF(INDEX(Suivi!$B:$B,1700)="","",INDEX(Suivi!$B:$B,1700))</f>
        <v/>
      </c>
      <c r="P1668">
        <f>IF($O1668="","",IF(INDEX(Suivi!$D:$D,1700)="",INDEX(Suivi!$C:$C,1700),INDEX(Suivi!$D:$D,1700)))</f>
        <v/>
      </c>
      <c r="Q1668">
        <f>IF($O1668="","",INDEX(Suivi!$E:$E,1700))</f>
        <v/>
      </c>
      <c r="R1668">
        <f>IF($O1668="","",INDEX(Suivi!$F:$F,1700))</f>
        <v/>
      </c>
      <c r="S1668">
        <f>IF($O1668="","",INDEX(Suivi!$G:$G,1700))</f>
        <v/>
      </c>
      <c r="T1668">
        <f>IF($O1668="","",IF(INDEX(Dossiers!$F$4:$F$63,32)="","",INDEX(Dossiers!$F$4:$F$63,32)))</f>
        <v/>
      </c>
      <c r="U1668">
        <f>IF($O1668="","",IF(INDEX(Dossiers!$G$4:$G$63,32)="","",INDEX(Dossiers!$G$4:$G$63,32)))</f>
        <v/>
      </c>
      <c r="V1668">
        <f>IF(OR($O1668="",NOT(ISNUMBER($Q1668))),"",$Q1668*1000000+1668)</f>
        <v/>
      </c>
      <c r="W1668" s="29">
        <f>IF($B1668="","",IFERROR(INDEX($U$4:$U$3183,MATCH(SMALL($V$4:$V$3183,1665),$V$4:$V$3183,0)),""))</f>
        <v/>
      </c>
    </row>
    <row r="1669">
      <c r="A1669">
        <f>IFERROR(INDEX($N$4:$N$3183,MATCH(SMALL($V$4:$V$3183,1666),$V$4:$V$3183,0)),"")</f>
        <v/>
      </c>
      <c r="B1669">
        <f>IFERROR(INDEX($O$4:$O$3183,MATCH(SMALL($V$4:$V$3183,1666),$V$4:$V$3183,0)),"")</f>
        <v/>
      </c>
      <c r="C1669">
        <f>IFERROR(INDEX($P$4:$P$3183,MATCH(SMALL($V$4:$V$3183,1666),$V$4:$V$3183,0)),"")</f>
        <v/>
      </c>
      <c r="D1669" s="29">
        <f>IFERROR(INDEX($Q$4:$Q$3183,MATCH(SMALL($V$4:$V$3183,1666),$V$4:$V$3183,0)),"")</f>
        <v/>
      </c>
      <c r="E1669" s="29">
        <f>IFERROR(INDEX($R$4:$R$3183,MATCH(SMALL($V$4:$V$3183,1666),$V$4:$V$3183,0)),"")</f>
        <v/>
      </c>
      <c r="F1669">
        <f>IFERROR(INDEX($S$4:$S$3183,MATCH(SMALL($V$4:$V$3183,1666),$V$4:$V$3183,0)),"")</f>
        <v/>
      </c>
      <c r="I1669" s="29">
        <f>IF($B1669="","",IFERROR(INDEX($U$4:$U$3183,MATCH(SMALL($V$4:$V$3183,1666),$V$4:$V$3183,0)),""))</f>
        <v/>
      </c>
      <c r="J1669">
        <f>IF($B1669="","",IF($D1669&gt;$F$2,"À venir",IF($E1669&lt;$D$2,"Passé","Dans la période")))</f>
        <v/>
      </c>
      <c r="K1669">
        <f>IF(OR($B1669="",NOT(ISNUMBER($D1669))),"",IF(AND($E1669&lt;$D$2,$G1669&lt;&gt;"X",$F1669&lt;&gt;"Réalisé",$F1669&lt;&gt;"Clôturé"),"RETARD",""))</f>
        <v/>
      </c>
      <c r="L1669">
        <f>IF(OR($B1669="",NOT(ISNUMBER($D1669))),"",IF(AND($D1669&gt;=$D$2,$D1669&lt;=$H$2,$G1669&lt;&gt;"X",$F1669&lt;&gt;"Réalisé",$F1669&lt;&gt;"Clôturé"),"≤ 7 j",""))</f>
        <v/>
      </c>
      <c r="M1669" s="29">
        <f>IF($B1669="","",IFERROR(INDEX($T$4:$T$3183,MATCH(SMALL($V$4:$V$3183,1666),$V$4:$V$3183,0)),""))</f>
        <v/>
      </c>
      <c r="O1669">
        <f>IF(INDEX(Suivi!$B:$B,1701)="","",INDEX(Suivi!$B:$B,1701))</f>
        <v/>
      </c>
      <c r="P1669">
        <f>IF($O1669="","",IF(INDEX(Suivi!$D:$D,1701)="",INDEX(Suivi!$C:$C,1701),INDEX(Suivi!$D:$D,1701)))</f>
        <v/>
      </c>
      <c r="Q1669">
        <f>IF($O1669="","",INDEX(Suivi!$E:$E,1701))</f>
        <v/>
      </c>
      <c r="R1669">
        <f>IF($O1669="","",INDEX(Suivi!$F:$F,1701))</f>
        <v/>
      </c>
      <c r="S1669">
        <f>IF($O1669="","",INDEX(Suivi!$G:$G,1701))</f>
        <v/>
      </c>
      <c r="T1669">
        <f>IF($O1669="","",IF(INDEX(Dossiers!$F$4:$F$63,32)="","",INDEX(Dossiers!$F$4:$F$63,32)))</f>
        <v/>
      </c>
      <c r="U1669">
        <f>IF($O1669="","",IF(INDEX(Dossiers!$G$4:$G$63,32)="","",INDEX(Dossiers!$G$4:$G$63,32)))</f>
        <v/>
      </c>
      <c r="V1669">
        <f>IF(OR($O1669="",NOT(ISNUMBER($Q1669))),"",$Q1669*1000000+1669)</f>
        <v/>
      </c>
      <c r="W1669" s="29">
        <f>IF($B1669="","",IFERROR(INDEX($U$4:$U$3183,MATCH(SMALL($V$4:$V$3183,1666),$V$4:$V$3183,0)),""))</f>
        <v/>
      </c>
    </row>
    <row r="1670">
      <c r="A1670">
        <f>IFERROR(INDEX($N$4:$N$3183,MATCH(SMALL($V$4:$V$3183,1667),$V$4:$V$3183,0)),"")</f>
        <v/>
      </c>
      <c r="B1670">
        <f>IFERROR(INDEX($O$4:$O$3183,MATCH(SMALL($V$4:$V$3183,1667),$V$4:$V$3183,0)),"")</f>
        <v/>
      </c>
      <c r="C1670">
        <f>IFERROR(INDEX($P$4:$P$3183,MATCH(SMALL($V$4:$V$3183,1667),$V$4:$V$3183,0)),"")</f>
        <v/>
      </c>
      <c r="D1670" s="29">
        <f>IFERROR(INDEX($Q$4:$Q$3183,MATCH(SMALL($V$4:$V$3183,1667),$V$4:$V$3183,0)),"")</f>
        <v/>
      </c>
      <c r="E1670" s="29">
        <f>IFERROR(INDEX($R$4:$R$3183,MATCH(SMALL($V$4:$V$3183,1667),$V$4:$V$3183,0)),"")</f>
        <v/>
      </c>
      <c r="F1670">
        <f>IFERROR(INDEX($S$4:$S$3183,MATCH(SMALL($V$4:$V$3183,1667),$V$4:$V$3183,0)),"")</f>
        <v/>
      </c>
      <c r="I1670" s="29">
        <f>IF($B1670="","",IFERROR(INDEX($U$4:$U$3183,MATCH(SMALL($V$4:$V$3183,1667),$V$4:$V$3183,0)),""))</f>
        <v/>
      </c>
      <c r="J1670">
        <f>IF($B1670="","",IF($D1670&gt;$F$2,"À venir",IF($E1670&lt;$D$2,"Passé","Dans la période")))</f>
        <v/>
      </c>
      <c r="K1670">
        <f>IF(OR($B1670="",NOT(ISNUMBER($D1670))),"",IF(AND($E1670&lt;$D$2,$G1670&lt;&gt;"X",$F1670&lt;&gt;"Réalisé",$F1670&lt;&gt;"Clôturé"),"RETARD",""))</f>
        <v/>
      </c>
      <c r="L1670">
        <f>IF(OR($B1670="",NOT(ISNUMBER($D1670))),"",IF(AND($D1670&gt;=$D$2,$D1670&lt;=$H$2,$G1670&lt;&gt;"X",$F1670&lt;&gt;"Réalisé",$F1670&lt;&gt;"Clôturé"),"≤ 7 j",""))</f>
        <v/>
      </c>
      <c r="M1670" s="29">
        <f>IF($B1670="","",IFERROR(INDEX($T$4:$T$3183,MATCH(SMALL($V$4:$V$3183,1667),$V$4:$V$3183,0)),""))</f>
        <v/>
      </c>
      <c r="O1670">
        <f>IF(INDEX(Suivi!$B:$B,1702)="","",INDEX(Suivi!$B:$B,1702))</f>
        <v/>
      </c>
      <c r="P1670">
        <f>IF($O1670="","",IF(INDEX(Suivi!$D:$D,1702)="",INDEX(Suivi!$C:$C,1702),INDEX(Suivi!$D:$D,1702)))</f>
        <v/>
      </c>
      <c r="Q1670">
        <f>IF($O1670="","",INDEX(Suivi!$E:$E,1702))</f>
        <v/>
      </c>
      <c r="R1670">
        <f>IF($O1670="","",INDEX(Suivi!$F:$F,1702))</f>
        <v/>
      </c>
      <c r="S1670">
        <f>IF($O1670="","",INDEX(Suivi!$G:$G,1702))</f>
        <v/>
      </c>
      <c r="T1670">
        <f>IF($O1670="","",IF(INDEX(Dossiers!$F$4:$F$63,32)="","",INDEX(Dossiers!$F$4:$F$63,32)))</f>
        <v/>
      </c>
      <c r="U1670">
        <f>IF($O1670="","",IF(INDEX(Dossiers!$G$4:$G$63,32)="","",INDEX(Dossiers!$G$4:$G$63,32)))</f>
        <v/>
      </c>
      <c r="V1670">
        <f>IF(OR($O1670="",NOT(ISNUMBER($Q1670))),"",$Q1670*1000000+1670)</f>
        <v/>
      </c>
      <c r="W1670" s="29">
        <f>IF($B1670="","",IFERROR(INDEX($U$4:$U$3183,MATCH(SMALL($V$4:$V$3183,1667),$V$4:$V$3183,0)),""))</f>
        <v/>
      </c>
    </row>
    <row r="1671">
      <c r="A1671">
        <f>IFERROR(INDEX($N$4:$N$3183,MATCH(SMALL($V$4:$V$3183,1668),$V$4:$V$3183,0)),"")</f>
        <v/>
      </c>
      <c r="B1671">
        <f>IFERROR(INDEX($O$4:$O$3183,MATCH(SMALL($V$4:$V$3183,1668),$V$4:$V$3183,0)),"")</f>
        <v/>
      </c>
      <c r="C1671">
        <f>IFERROR(INDEX($P$4:$P$3183,MATCH(SMALL($V$4:$V$3183,1668),$V$4:$V$3183,0)),"")</f>
        <v/>
      </c>
      <c r="D1671" s="29">
        <f>IFERROR(INDEX($Q$4:$Q$3183,MATCH(SMALL($V$4:$V$3183,1668),$V$4:$V$3183,0)),"")</f>
        <v/>
      </c>
      <c r="E1671" s="29">
        <f>IFERROR(INDEX($R$4:$R$3183,MATCH(SMALL($V$4:$V$3183,1668),$V$4:$V$3183,0)),"")</f>
        <v/>
      </c>
      <c r="F1671">
        <f>IFERROR(INDEX($S$4:$S$3183,MATCH(SMALL($V$4:$V$3183,1668),$V$4:$V$3183,0)),"")</f>
        <v/>
      </c>
      <c r="I1671" s="29">
        <f>IF($B1671="","",IFERROR(INDEX($U$4:$U$3183,MATCH(SMALL($V$4:$V$3183,1668),$V$4:$V$3183,0)),""))</f>
        <v/>
      </c>
      <c r="J1671">
        <f>IF($B1671="","",IF($D1671&gt;$F$2,"À venir",IF($E1671&lt;$D$2,"Passé","Dans la période")))</f>
        <v/>
      </c>
      <c r="K1671">
        <f>IF(OR($B1671="",NOT(ISNUMBER($D1671))),"",IF(AND($E1671&lt;$D$2,$G1671&lt;&gt;"X",$F1671&lt;&gt;"Réalisé",$F1671&lt;&gt;"Clôturé"),"RETARD",""))</f>
        <v/>
      </c>
      <c r="L1671">
        <f>IF(OR($B1671="",NOT(ISNUMBER($D1671))),"",IF(AND($D1671&gt;=$D$2,$D1671&lt;=$H$2,$G1671&lt;&gt;"X",$F1671&lt;&gt;"Réalisé",$F1671&lt;&gt;"Clôturé"),"≤ 7 j",""))</f>
        <v/>
      </c>
      <c r="M1671" s="29">
        <f>IF($B1671="","",IFERROR(INDEX($T$4:$T$3183,MATCH(SMALL($V$4:$V$3183,1668),$V$4:$V$3183,0)),""))</f>
        <v/>
      </c>
      <c r="O1671">
        <f>IF(INDEX(Suivi!$B:$B,1703)="","",INDEX(Suivi!$B:$B,1703))</f>
        <v/>
      </c>
      <c r="P1671">
        <f>IF($O1671="","",IF(INDEX(Suivi!$D:$D,1703)="",INDEX(Suivi!$C:$C,1703),INDEX(Suivi!$D:$D,1703)))</f>
        <v/>
      </c>
      <c r="Q1671">
        <f>IF($O1671="","",INDEX(Suivi!$E:$E,1703))</f>
        <v/>
      </c>
      <c r="R1671">
        <f>IF($O1671="","",INDEX(Suivi!$F:$F,1703))</f>
        <v/>
      </c>
      <c r="S1671">
        <f>IF($O1671="","",INDEX(Suivi!$G:$G,1703))</f>
        <v/>
      </c>
      <c r="T1671">
        <f>IF($O1671="","",IF(INDEX(Dossiers!$F$4:$F$63,32)="","",INDEX(Dossiers!$F$4:$F$63,32)))</f>
        <v/>
      </c>
      <c r="U1671">
        <f>IF($O1671="","",IF(INDEX(Dossiers!$G$4:$G$63,32)="","",INDEX(Dossiers!$G$4:$G$63,32)))</f>
        <v/>
      </c>
      <c r="V1671">
        <f>IF(OR($O1671="",NOT(ISNUMBER($Q1671))),"",$Q1671*1000000+1671)</f>
        <v/>
      </c>
      <c r="W1671" s="29">
        <f>IF($B1671="","",IFERROR(INDEX($U$4:$U$3183,MATCH(SMALL($V$4:$V$3183,1668),$V$4:$V$3183,0)),""))</f>
        <v/>
      </c>
    </row>
    <row r="1672">
      <c r="A1672">
        <f>IFERROR(INDEX($N$4:$N$3183,MATCH(SMALL($V$4:$V$3183,1669),$V$4:$V$3183,0)),"")</f>
        <v/>
      </c>
      <c r="B1672">
        <f>IFERROR(INDEX($O$4:$O$3183,MATCH(SMALL($V$4:$V$3183,1669),$V$4:$V$3183,0)),"")</f>
        <v/>
      </c>
      <c r="C1672">
        <f>IFERROR(INDEX($P$4:$P$3183,MATCH(SMALL($V$4:$V$3183,1669),$V$4:$V$3183,0)),"")</f>
        <v/>
      </c>
      <c r="D1672" s="29">
        <f>IFERROR(INDEX($Q$4:$Q$3183,MATCH(SMALL($V$4:$V$3183,1669),$V$4:$V$3183,0)),"")</f>
        <v/>
      </c>
      <c r="E1672" s="29">
        <f>IFERROR(INDEX($R$4:$R$3183,MATCH(SMALL($V$4:$V$3183,1669),$V$4:$V$3183,0)),"")</f>
        <v/>
      </c>
      <c r="F1672">
        <f>IFERROR(INDEX($S$4:$S$3183,MATCH(SMALL($V$4:$V$3183,1669),$V$4:$V$3183,0)),"")</f>
        <v/>
      </c>
      <c r="I1672" s="29">
        <f>IF($B1672="","",IFERROR(INDEX($U$4:$U$3183,MATCH(SMALL($V$4:$V$3183,1669),$V$4:$V$3183,0)),""))</f>
        <v/>
      </c>
      <c r="J1672">
        <f>IF($B1672="","",IF($D1672&gt;$F$2,"À venir",IF($E1672&lt;$D$2,"Passé","Dans la période")))</f>
        <v/>
      </c>
      <c r="K1672">
        <f>IF(OR($B1672="",NOT(ISNUMBER($D1672))),"",IF(AND($E1672&lt;$D$2,$G1672&lt;&gt;"X",$F1672&lt;&gt;"Réalisé",$F1672&lt;&gt;"Clôturé"),"RETARD",""))</f>
        <v/>
      </c>
      <c r="L1672">
        <f>IF(OR($B1672="",NOT(ISNUMBER($D1672))),"",IF(AND($D1672&gt;=$D$2,$D1672&lt;=$H$2,$G1672&lt;&gt;"X",$F1672&lt;&gt;"Réalisé",$F1672&lt;&gt;"Clôturé"),"≤ 7 j",""))</f>
        <v/>
      </c>
      <c r="M1672" s="29">
        <f>IF($B1672="","",IFERROR(INDEX($T$4:$T$3183,MATCH(SMALL($V$4:$V$3183,1669),$V$4:$V$3183,0)),""))</f>
        <v/>
      </c>
      <c r="O1672">
        <f>IF(INDEX(Suivi!$B:$B,1704)="","",INDEX(Suivi!$B:$B,1704))</f>
        <v/>
      </c>
      <c r="P1672">
        <f>IF($O1672="","",IF(INDEX(Suivi!$D:$D,1704)="",INDEX(Suivi!$C:$C,1704),INDEX(Suivi!$D:$D,1704)))</f>
        <v/>
      </c>
      <c r="Q1672">
        <f>IF($O1672="","",INDEX(Suivi!$E:$E,1704))</f>
        <v/>
      </c>
      <c r="R1672">
        <f>IF($O1672="","",INDEX(Suivi!$F:$F,1704))</f>
        <v/>
      </c>
      <c r="S1672">
        <f>IF($O1672="","",INDEX(Suivi!$G:$G,1704))</f>
        <v/>
      </c>
      <c r="T1672">
        <f>IF($O1672="","",IF(INDEX(Dossiers!$F$4:$F$63,32)="","",INDEX(Dossiers!$F$4:$F$63,32)))</f>
        <v/>
      </c>
      <c r="U1672">
        <f>IF($O1672="","",IF(INDEX(Dossiers!$G$4:$G$63,32)="","",INDEX(Dossiers!$G$4:$G$63,32)))</f>
        <v/>
      </c>
      <c r="V1672">
        <f>IF(OR($O1672="",NOT(ISNUMBER($Q1672))),"",$Q1672*1000000+1672)</f>
        <v/>
      </c>
      <c r="W1672" s="29">
        <f>IF($B1672="","",IFERROR(INDEX($U$4:$U$3183,MATCH(SMALL($V$4:$V$3183,1669),$V$4:$V$3183,0)),""))</f>
        <v/>
      </c>
    </row>
    <row r="1673">
      <c r="A1673">
        <f>IFERROR(INDEX($N$4:$N$3183,MATCH(SMALL($V$4:$V$3183,1670),$V$4:$V$3183,0)),"")</f>
        <v/>
      </c>
      <c r="B1673">
        <f>IFERROR(INDEX($O$4:$O$3183,MATCH(SMALL($V$4:$V$3183,1670),$V$4:$V$3183,0)),"")</f>
        <v/>
      </c>
      <c r="C1673">
        <f>IFERROR(INDEX($P$4:$P$3183,MATCH(SMALL($V$4:$V$3183,1670),$V$4:$V$3183,0)),"")</f>
        <v/>
      </c>
      <c r="D1673" s="29">
        <f>IFERROR(INDEX($Q$4:$Q$3183,MATCH(SMALL($V$4:$V$3183,1670),$V$4:$V$3183,0)),"")</f>
        <v/>
      </c>
      <c r="E1673" s="29">
        <f>IFERROR(INDEX($R$4:$R$3183,MATCH(SMALL($V$4:$V$3183,1670),$V$4:$V$3183,0)),"")</f>
        <v/>
      </c>
      <c r="F1673">
        <f>IFERROR(INDEX($S$4:$S$3183,MATCH(SMALL($V$4:$V$3183,1670),$V$4:$V$3183,0)),"")</f>
        <v/>
      </c>
      <c r="I1673" s="29">
        <f>IF($B1673="","",IFERROR(INDEX($U$4:$U$3183,MATCH(SMALL($V$4:$V$3183,1670),$V$4:$V$3183,0)),""))</f>
        <v/>
      </c>
      <c r="J1673">
        <f>IF($B1673="","",IF($D1673&gt;$F$2,"À venir",IF($E1673&lt;$D$2,"Passé","Dans la période")))</f>
        <v/>
      </c>
      <c r="K1673">
        <f>IF(OR($B1673="",NOT(ISNUMBER($D1673))),"",IF(AND($E1673&lt;$D$2,$G1673&lt;&gt;"X",$F1673&lt;&gt;"Réalisé",$F1673&lt;&gt;"Clôturé"),"RETARD",""))</f>
        <v/>
      </c>
      <c r="L1673">
        <f>IF(OR($B1673="",NOT(ISNUMBER($D1673))),"",IF(AND($D1673&gt;=$D$2,$D1673&lt;=$H$2,$G1673&lt;&gt;"X",$F1673&lt;&gt;"Réalisé",$F1673&lt;&gt;"Clôturé"),"≤ 7 j",""))</f>
        <v/>
      </c>
      <c r="M1673" s="29">
        <f>IF($B1673="","",IFERROR(INDEX($T$4:$T$3183,MATCH(SMALL($V$4:$V$3183,1670),$V$4:$V$3183,0)),""))</f>
        <v/>
      </c>
      <c r="O1673">
        <f>IF(INDEX(Suivi!$B:$B,1705)="","",INDEX(Suivi!$B:$B,1705))</f>
        <v/>
      </c>
      <c r="P1673">
        <f>IF($O1673="","",IF(INDEX(Suivi!$D:$D,1705)="",INDEX(Suivi!$C:$C,1705),INDEX(Suivi!$D:$D,1705)))</f>
        <v/>
      </c>
      <c r="Q1673">
        <f>IF($O1673="","",INDEX(Suivi!$E:$E,1705))</f>
        <v/>
      </c>
      <c r="R1673">
        <f>IF($O1673="","",INDEX(Suivi!$F:$F,1705))</f>
        <v/>
      </c>
      <c r="S1673">
        <f>IF($O1673="","",INDEX(Suivi!$G:$G,1705))</f>
        <v/>
      </c>
      <c r="T1673">
        <f>IF($O1673="","",IF(INDEX(Dossiers!$F$4:$F$63,32)="","",INDEX(Dossiers!$F$4:$F$63,32)))</f>
        <v/>
      </c>
      <c r="U1673">
        <f>IF($O1673="","",IF(INDEX(Dossiers!$G$4:$G$63,32)="","",INDEX(Dossiers!$G$4:$G$63,32)))</f>
        <v/>
      </c>
      <c r="V1673">
        <f>IF(OR($O1673="",NOT(ISNUMBER($Q1673))),"",$Q1673*1000000+1673)</f>
        <v/>
      </c>
      <c r="W1673" s="29">
        <f>IF($B1673="","",IFERROR(INDEX($U$4:$U$3183,MATCH(SMALL($V$4:$V$3183,1670),$V$4:$V$3183,0)),""))</f>
        <v/>
      </c>
    </row>
    <row r="1674">
      <c r="A1674">
        <f>IFERROR(INDEX($N$4:$N$3183,MATCH(SMALL($V$4:$V$3183,1671),$V$4:$V$3183,0)),"")</f>
        <v/>
      </c>
      <c r="B1674">
        <f>IFERROR(INDEX($O$4:$O$3183,MATCH(SMALL($V$4:$V$3183,1671),$V$4:$V$3183,0)),"")</f>
        <v/>
      </c>
      <c r="C1674">
        <f>IFERROR(INDEX($P$4:$P$3183,MATCH(SMALL($V$4:$V$3183,1671),$V$4:$V$3183,0)),"")</f>
        <v/>
      </c>
      <c r="D1674" s="29">
        <f>IFERROR(INDEX($Q$4:$Q$3183,MATCH(SMALL($V$4:$V$3183,1671),$V$4:$V$3183,0)),"")</f>
        <v/>
      </c>
      <c r="E1674" s="29">
        <f>IFERROR(INDEX($R$4:$R$3183,MATCH(SMALL($V$4:$V$3183,1671),$V$4:$V$3183,0)),"")</f>
        <v/>
      </c>
      <c r="F1674">
        <f>IFERROR(INDEX($S$4:$S$3183,MATCH(SMALL($V$4:$V$3183,1671),$V$4:$V$3183,0)),"")</f>
        <v/>
      </c>
      <c r="I1674" s="29">
        <f>IF($B1674="","",IFERROR(INDEX($U$4:$U$3183,MATCH(SMALL($V$4:$V$3183,1671),$V$4:$V$3183,0)),""))</f>
        <v/>
      </c>
      <c r="J1674">
        <f>IF($B1674="","",IF($D1674&gt;$F$2,"À venir",IF($E1674&lt;$D$2,"Passé","Dans la période")))</f>
        <v/>
      </c>
      <c r="K1674">
        <f>IF(OR($B1674="",NOT(ISNUMBER($D1674))),"",IF(AND($E1674&lt;$D$2,$G1674&lt;&gt;"X",$F1674&lt;&gt;"Réalisé",$F1674&lt;&gt;"Clôturé"),"RETARD",""))</f>
        <v/>
      </c>
      <c r="L1674">
        <f>IF(OR($B1674="",NOT(ISNUMBER($D1674))),"",IF(AND($D1674&gt;=$D$2,$D1674&lt;=$H$2,$G1674&lt;&gt;"X",$F1674&lt;&gt;"Réalisé",$F1674&lt;&gt;"Clôturé"),"≤ 7 j",""))</f>
        <v/>
      </c>
      <c r="M1674" s="29">
        <f>IF($B1674="","",IFERROR(INDEX($T$4:$T$3183,MATCH(SMALL($V$4:$V$3183,1671),$V$4:$V$3183,0)),""))</f>
        <v/>
      </c>
      <c r="O1674">
        <f>IF(INDEX(Suivi!$B:$B,1706)="","",INDEX(Suivi!$B:$B,1706))</f>
        <v/>
      </c>
      <c r="P1674">
        <f>IF($O1674="","",IF(INDEX(Suivi!$D:$D,1706)="",INDEX(Suivi!$C:$C,1706),INDEX(Suivi!$D:$D,1706)))</f>
        <v/>
      </c>
      <c r="Q1674">
        <f>IF($O1674="","",INDEX(Suivi!$E:$E,1706))</f>
        <v/>
      </c>
      <c r="R1674">
        <f>IF($O1674="","",INDEX(Suivi!$F:$F,1706))</f>
        <v/>
      </c>
      <c r="S1674">
        <f>IF($O1674="","",INDEX(Suivi!$G:$G,1706))</f>
        <v/>
      </c>
      <c r="T1674">
        <f>IF($O1674="","",IF(INDEX(Dossiers!$F$4:$F$63,32)="","",INDEX(Dossiers!$F$4:$F$63,32)))</f>
        <v/>
      </c>
      <c r="U1674">
        <f>IF($O1674="","",IF(INDEX(Dossiers!$G$4:$G$63,32)="","",INDEX(Dossiers!$G$4:$G$63,32)))</f>
        <v/>
      </c>
      <c r="V1674">
        <f>IF(OR($O1674="",NOT(ISNUMBER($Q1674))),"",$Q1674*1000000+1674)</f>
        <v/>
      </c>
      <c r="W1674" s="29">
        <f>IF($B1674="","",IFERROR(INDEX($U$4:$U$3183,MATCH(SMALL($V$4:$V$3183,1671),$V$4:$V$3183,0)),""))</f>
        <v/>
      </c>
    </row>
    <row r="1675">
      <c r="A1675">
        <f>IFERROR(INDEX($N$4:$N$3183,MATCH(SMALL($V$4:$V$3183,1672),$V$4:$V$3183,0)),"")</f>
        <v/>
      </c>
      <c r="B1675">
        <f>IFERROR(INDEX($O$4:$O$3183,MATCH(SMALL($V$4:$V$3183,1672),$V$4:$V$3183,0)),"")</f>
        <v/>
      </c>
      <c r="C1675">
        <f>IFERROR(INDEX($P$4:$P$3183,MATCH(SMALL($V$4:$V$3183,1672),$V$4:$V$3183,0)),"")</f>
        <v/>
      </c>
      <c r="D1675" s="29">
        <f>IFERROR(INDEX($Q$4:$Q$3183,MATCH(SMALL($V$4:$V$3183,1672),$V$4:$V$3183,0)),"")</f>
        <v/>
      </c>
      <c r="E1675" s="29">
        <f>IFERROR(INDEX($R$4:$R$3183,MATCH(SMALL($V$4:$V$3183,1672),$V$4:$V$3183,0)),"")</f>
        <v/>
      </c>
      <c r="F1675">
        <f>IFERROR(INDEX($S$4:$S$3183,MATCH(SMALL($V$4:$V$3183,1672),$V$4:$V$3183,0)),"")</f>
        <v/>
      </c>
      <c r="I1675" s="29">
        <f>IF($B1675="","",IFERROR(INDEX($U$4:$U$3183,MATCH(SMALL($V$4:$V$3183,1672),$V$4:$V$3183,0)),""))</f>
        <v/>
      </c>
      <c r="J1675">
        <f>IF($B1675="","",IF($D1675&gt;$F$2,"À venir",IF($E1675&lt;$D$2,"Passé","Dans la période")))</f>
        <v/>
      </c>
      <c r="K1675">
        <f>IF(OR($B1675="",NOT(ISNUMBER($D1675))),"",IF(AND($E1675&lt;$D$2,$G1675&lt;&gt;"X",$F1675&lt;&gt;"Réalisé",$F1675&lt;&gt;"Clôturé"),"RETARD",""))</f>
        <v/>
      </c>
      <c r="L1675">
        <f>IF(OR($B1675="",NOT(ISNUMBER($D1675))),"",IF(AND($D1675&gt;=$D$2,$D1675&lt;=$H$2,$G1675&lt;&gt;"X",$F1675&lt;&gt;"Réalisé",$F1675&lt;&gt;"Clôturé"),"≤ 7 j",""))</f>
        <v/>
      </c>
      <c r="M1675" s="29">
        <f>IF($B1675="","",IFERROR(INDEX($T$4:$T$3183,MATCH(SMALL($V$4:$V$3183,1672),$V$4:$V$3183,0)),""))</f>
        <v/>
      </c>
      <c r="O1675">
        <f>IF(INDEX(Suivi!$B:$B,1707)="","",INDEX(Suivi!$B:$B,1707))</f>
        <v/>
      </c>
      <c r="P1675">
        <f>IF($O1675="","",IF(INDEX(Suivi!$D:$D,1707)="",INDEX(Suivi!$C:$C,1707),INDEX(Suivi!$D:$D,1707)))</f>
        <v/>
      </c>
      <c r="Q1675">
        <f>IF($O1675="","",INDEX(Suivi!$E:$E,1707))</f>
        <v/>
      </c>
      <c r="R1675">
        <f>IF($O1675="","",INDEX(Suivi!$F:$F,1707))</f>
        <v/>
      </c>
      <c r="S1675">
        <f>IF($O1675="","",INDEX(Suivi!$G:$G,1707))</f>
        <v/>
      </c>
      <c r="T1675">
        <f>IF($O1675="","",IF(INDEX(Dossiers!$F$4:$F$63,32)="","",INDEX(Dossiers!$F$4:$F$63,32)))</f>
        <v/>
      </c>
      <c r="U1675">
        <f>IF($O1675="","",IF(INDEX(Dossiers!$G$4:$G$63,32)="","",INDEX(Dossiers!$G$4:$G$63,32)))</f>
        <v/>
      </c>
      <c r="V1675">
        <f>IF(OR($O1675="",NOT(ISNUMBER($Q1675))),"",$Q1675*1000000+1675)</f>
        <v/>
      </c>
      <c r="W1675" s="29">
        <f>IF($B1675="","",IFERROR(INDEX($U$4:$U$3183,MATCH(SMALL($V$4:$V$3183,1672),$V$4:$V$3183,0)),""))</f>
        <v/>
      </c>
    </row>
    <row r="1676">
      <c r="A1676">
        <f>IFERROR(INDEX($N$4:$N$3183,MATCH(SMALL($V$4:$V$3183,1673),$V$4:$V$3183,0)),"")</f>
        <v/>
      </c>
      <c r="B1676">
        <f>IFERROR(INDEX($O$4:$O$3183,MATCH(SMALL($V$4:$V$3183,1673),$V$4:$V$3183,0)),"")</f>
        <v/>
      </c>
      <c r="C1676">
        <f>IFERROR(INDEX($P$4:$P$3183,MATCH(SMALL($V$4:$V$3183,1673),$V$4:$V$3183,0)),"")</f>
        <v/>
      </c>
      <c r="D1676" s="29">
        <f>IFERROR(INDEX($Q$4:$Q$3183,MATCH(SMALL($V$4:$V$3183,1673),$V$4:$V$3183,0)),"")</f>
        <v/>
      </c>
      <c r="E1676" s="29">
        <f>IFERROR(INDEX($R$4:$R$3183,MATCH(SMALL($V$4:$V$3183,1673),$V$4:$V$3183,0)),"")</f>
        <v/>
      </c>
      <c r="F1676">
        <f>IFERROR(INDEX($S$4:$S$3183,MATCH(SMALL($V$4:$V$3183,1673),$V$4:$V$3183,0)),"")</f>
        <v/>
      </c>
      <c r="I1676" s="29">
        <f>IF($B1676="","",IFERROR(INDEX($U$4:$U$3183,MATCH(SMALL($V$4:$V$3183,1673),$V$4:$V$3183,0)),""))</f>
        <v/>
      </c>
      <c r="J1676">
        <f>IF($B1676="","",IF($D1676&gt;$F$2,"À venir",IF($E1676&lt;$D$2,"Passé","Dans la période")))</f>
        <v/>
      </c>
      <c r="K1676">
        <f>IF(OR($B1676="",NOT(ISNUMBER($D1676))),"",IF(AND($E1676&lt;$D$2,$G1676&lt;&gt;"X",$F1676&lt;&gt;"Réalisé",$F1676&lt;&gt;"Clôturé"),"RETARD",""))</f>
        <v/>
      </c>
      <c r="L1676">
        <f>IF(OR($B1676="",NOT(ISNUMBER($D1676))),"",IF(AND($D1676&gt;=$D$2,$D1676&lt;=$H$2,$G1676&lt;&gt;"X",$F1676&lt;&gt;"Réalisé",$F1676&lt;&gt;"Clôturé"),"≤ 7 j",""))</f>
        <v/>
      </c>
      <c r="M1676" s="29">
        <f>IF($B1676="","",IFERROR(INDEX($T$4:$T$3183,MATCH(SMALL($V$4:$V$3183,1673),$V$4:$V$3183,0)),""))</f>
        <v/>
      </c>
      <c r="O1676">
        <f>IF(INDEX(Suivi!$B:$B,1708)="","",INDEX(Suivi!$B:$B,1708))</f>
        <v/>
      </c>
      <c r="P1676">
        <f>IF($O1676="","",IF(INDEX(Suivi!$D:$D,1708)="",INDEX(Suivi!$C:$C,1708),INDEX(Suivi!$D:$D,1708)))</f>
        <v/>
      </c>
      <c r="Q1676">
        <f>IF($O1676="","",INDEX(Suivi!$E:$E,1708))</f>
        <v/>
      </c>
      <c r="R1676">
        <f>IF($O1676="","",INDEX(Suivi!$F:$F,1708))</f>
        <v/>
      </c>
      <c r="S1676">
        <f>IF($O1676="","",INDEX(Suivi!$G:$G,1708))</f>
        <v/>
      </c>
      <c r="T1676">
        <f>IF($O1676="","",IF(INDEX(Dossiers!$F$4:$F$63,32)="","",INDEX(Dossiers!$F$4:$F$63,32)))</f>
        <v/>
      </c>
      <c r="U1676">
        <f>IF($O1676="","",IF(INDEX(Dossiers!$G$4:$G$63,32)="","",INDEX(Dossiers!$G$4:$G$63,32)))</f>
        <v/>
      </c>
      <c r="V1676">
        <f>IF(OR($O1676="",NOT(ISNUMBER($Q1676))),"",$Q1676*1000000+1676)</f>
        <v/>
      </c>
      <c r="W1676" s="29">
        <f>IF($B1676="","",IFERROR(INDEX($U$4:$U$3183,MATCH(SMALL($V$4:$V$3183,1673),$V$4:$V$3183,0)),""))</f>
        <v/>
      </c>
    </row>
    <row r="1677">
      <c r="A1677">
        <f>IFERROR(INDEX($N$4:$N$3183,MATCH(SMALL($V$4:$V$3183,1674),$V$4:$V$3183,0)),"")</f>
        <v/>
      </c>
      <c r="B1677">
        <f>IFERROR(INDEX($O$4:$O$3183,MATCH(SMALL($V$4:$V$3183,1674),$V$4:$V$3183,0)),"")</f>
        <v/>
      </c>
      <c r="C1677">
        <f>IFERROR(INDEX($P$4:$P$3183,MATCH(SMALL($V$4:$V$3183,1674),$V$4:$V$3183,0)),"")</f>
        <v/>
      </c>
      <c r="D1677" s="29">
        <f>IFERROR(INDEX($Q$4:$Q$3183,MATCH(SMALL($V$4:$V$3183,1674),$V$4:$V$3183,0)),"")</f>
        <v/>
      </c>
      <c r="E1677" s="29">
        <f>IFERROR(INDEX($R$4:$R$3183,MATCH(SMALL($V$4:$V$3183,1674),$V$4:$V$3183,0)),"")</f>
        <v/>
      </c>
      <c r="F1677">
        <f>IFERROR(INDEX($S$4:$S$3183,MATCH(SMALL($V$4:$V$3183,1674),$V$4:$V$3183,0)),"")</f>
        <v/>
      </c>
      <c r="I1677" s="29">
        <f>IF($B1677="","",IFERROR(INDEX($U$4:$U$3183,MATCH(SMALL($V$4:$V$3183,1674),$V$4:$V$3183,0)),""))</f>
        <v/>
      </c>
      <c r="J1677">
        <f>IF($B1677="","",IF($D1677&gt;$F$2,"À venir",IF($E1677&lt;$D$2,"Passé","Dans la période")))</f>
        <v/>
      </c>
      <c r="K1677">
        <f>IF(OR($B1677="",NOT(ISNUMBER($D1677))),"",IF(AND($E1677&lt;$D$2,$G1677&lt;&gt;"X",$F1677&lt;&gt;"Réalisé",$F1677&lt;&gt;"Clôturé"),"RETARD",""))</f>
        <v/>
      </c>
      <c r="L1677">
        <f>IF(OR($B1677="",NOT(ISNUMBER($D1677))),"",IF(AND($D1677&gt;=$D$2,$D1677&lt;=$H$2,$G1677&lt;&gt;"X",$F1677&lt;&gt;"Réalisé",$F1677&lt;&gt;"Clôturé"),"≤ 7 j",""))</f>
        <v/>
      </c>
      <c r="M1677" s="29">
        <f>IF($B1677="","",IFERROR(INDEX($T$4:$T$3183,MATCH(SMALL($V$4:$V$3183,1674),$V$4:$V$3183,0)),""))</f>
        <v/>
      </c>
      <c r="O1677">
        <f>IF(INDEX(Suivi!$B:$B,1709)="","",INDEX(Suivi!$B:$B,1709))</f>
        <v/>
      </c>
      <c r="P1677">
        <f>IF($O1677="","",IF(INDEX(Suivi!$D:$D,1709)="",INDEX(Suivi!$C:$C,1709),INDEX(Suivi!$D:$D,1709)))</f>
        <v/>
      </c>
      <c r="Q1677">
        <f>IF($O1677="","",INDEX(Suivi!$E:$E,1709))</f>
        <v/>
      </c>
      <c r="R1677">
        <f>IF($O1677="","",INDEX(Suivi!$F:$F,1709))</f>
        <v/>
      </c>
      <c r="S1677">
        <f>IF($O1677="","",INDEX(Suivi!$G:$G,1709))</f>
        <v/>
      </c>
      <c r="T1677">
        <f>IF($O1677="","",IF(INDEX(Dossiers!$F$4:$F$63,32)="","",INDEX(Dossiers!$F$4:$F$63,32)))</f>
        <v/>
      </c>
      <c r="U1677">
        <f>IF($O1677="","",IF(INDEX(Dossiers!$G$4:$G$63,32)="","",INDEX(Dossiers!$G$4:$G$63,32)))</f>
        <v/>
      </c>
      <c r="V1677">
        <f>IF(OR($O1677="",NOT(ISNUMBER($Q1677))),"",$Q1677*1000000+1677)</f>
        <v/>
      </c>
      <c r="W1677" s="29">
        <f>IF($B1677="","",IFERROR(INDEX($U$4:$U$3183,MATCH(SMALL($V$4:$V$3183,1674),$V$4:$V$3183,0)),""))</f>
        <v/>
      </c>
    </row>
    <row r="1678">
      <c r="A1678">
        <f>IFERROR(INDEX($N$4:$N$3183,MATCH(SMALL($V$4:$V$3183,1675),$V$4:$V$3183,0)),"")</f>
        <v/>
      </c>
      <c r="B1678">
        <f>IFERROR(INDEX($O$4:$O$3183,MATCH(SMALL($V$4:$V$3183,1675),$V$4:$V$3183,0)),"")</f>
        <v/>
      </c>
      <c r="C1678">
        <f>IFERROR(INDEX($P$4:$P$3183,MATCH(SMALL($V$4:$V$3183,1675),$V$4:$V$3183,0)),"")</f>
        <v/>
      </c>
      <c r="D1678" s="29">
        <f>IFERROR(INDEX($Q$4:$Q$3183,MATCH(SMALL($V$4:$V$3183,1675),$V$4:$V$3183,0)),"")</f>
        <v/>
      </c>
      <c r="E1678" s="29">
        <f>IFERROR(INDEX($R$4:$R$3183,MATCH(SMALL($V$4:$V$3183,1675),$V$4:$V$3183,0)),"")</f>
        <v/>
      </c>
      <c r="F1678">
        <f>IFERROR(INDEX($S$4:$S$3183,MATCH(SMALL($V$4:$V$3183,1675),$V$4:$V$3183,0)),"")</f>
        <v/>
      </c>
      <c r="I1678" s="29">
        <f>IF($B1678="","",IFERROR(INDEX($U$4:$U$3183,MATCH(SMALL($V$4:$V$3183,1675),$V$4:$V$3183,0)),""))</f>
        <v/>
      </c>
      <c r="J1678">
        <f>IF($B1678="","",IF($D1678&gt;$F$2,"À venir",IF($E1678&lt;$D$2,"Passé","Dans la période")))</f>
        <v/>
      </c>
      <c r="K1678">
        <f>IF(OR($B1678="",NOT(ISNUMBER($D1678))),"",IF(AND($E1678&lt;$D$2,$G1678&lt;&gt;"X",$F1678&lt;&gt;"Réalisé",$F1678&lt;&gt;"Clôturé"),"RETARD",""))</f>
        <v/>
      </c>
      <c r="L1678">
        <f>IF(OR($B1678="",NOT(ISNUMBER($D1678))),"",IF(AND($D1678&gt;=$D$2,$D1678&lt;=$H$2,$G1678&lt;&gt;"X",$F1678&lt;&gt;"Réalisé",$F1678&lt;&gt;"Clôturé"),"≤ 7 j",""))</f>
        <v/>
      </c>
      <c r="M1678" s="29">
        <f>IF($B1678="","",IFERROR(INDEX($T$4:$T$3183,MATCH(SMALL($V$4:$V$3183,1675),$V$4:$V$3183,0)),""))</f>
        <v/>
      </c>
      <c r="O1678">
        <f>IF(INDEX(Suivi!$B:$B,1710)="","",INDEX(Suivi!$B:$B,1710))</f>
        <v/>
      </c>
      <c r="P1678">
        <f>IF($O1678="","",IF(INDEX(Suivi!$D:$D,1710)="",INDEX(Suivi!$C:$C,1710),INDEX(Suivi!$D:$D,1710)))</f>
        <v/>
      </c>
      <c r="Q1678">
        <f>IF($O1678="","",INDEX(Suivi!$E:$E,1710))</f>
        <v/>
      </c>
      <c r="R1678">
        <f>IF($O1678="","",INDEX(Suivi!$F:$F,1710))</f>
        <v/>
      </c>
      <c r="S1678">
        <f>IF($O1678="","",INDEX(Suivi!$G:$G,1710))</f>
        <v/>
      </c>
      <c r="T1678">
        <f>IF($O1678="","",IF(INDEX(Dossiers!$F$4:$F$63,32)="","",INDEX(Dossiers!$F$4:$F$63,32)))</f>
        <v/>
      </c>
      <c r="U1678">
        <f>IF($O1678="","",IF(INDEX(Dossiers!$G$4:$G$63,32)="","",INDEX(Dossiers!$G$4:$G$63,32)))</f>
        <v/>
      </c>
      <c r="V1678">
        <f>IF(OR($O1678="",NOT(ISNUMBER($Q1678))),"",$Q1678*1000000+1678)</f>
        <v/>
      </c>
      <c r="W1678" s="29">
        <f>IF($B1678="","",IFERROR(INDEX($U$4:$U$3183,MATCH(SMALL($V$4:$V$3183,1675),$V$4:$V$3183,0)),""))</f>
        <v/>
      </c>
    </row>
    <row r="1679">
      <c r="A1679">
        <f>IFERROR(INDEX($N$4:$N$3183,MATCH(SMALL($V$4:$V$3183,1676),$V$4:$V$3183,0)),"")</f>
        <v/>
      </c>
      <c r="B1679">
        <f>IFERROR(INDEX($O$4:$O$3183,MATCH(SMALL($V$4:$V$3183,1676),$V$4:$V$3183,0)),"")</f>
        <v/>
      </c>
      <c r="C1679">
        <f>IFERROR(INDEX($P$4:$P$3183,MATCH(SMALL($V$4:$V$3183,1676),$V$4:$V$3183,0)),"")</f>
        <v/>
      </c>
      <c r="D1679" s="29">
        <f>IFERROR(INDEX($Q$4:$Q$3183,MATCH(SMALL($V$4:$V$3183,1676),$V$4:$V$3183,0)),"")</f>
        <v/>
      </c>
      <c r="E1679" s="29">
        <f>IFERROR(INDEX($R$4:$R$3183,MATCH(SMALL($V$4:$V$3183,1676),$V$4:$V$3183,0)),"")</f>
        <v/>
      </c>
      <c r="F1679">
        <f>IFERROR(INDEX($S$4:$S$3183,MATCH(SMALL($V$4:$V$3183,1676),$V$4:$V$3183,0)),"")</f>
        <v/>
      </c>
      <c r="I1679" s="29">
        <f>IF($B1679="","",IFERROR(INDEX($U$4:$U$3183,MATCH(SMALL($V$4:$V$3183,1676),$V$4:$V$3183,0)),""))</f>
        <v/>
      </c>
      <c r="J1679">
        <f>IF($B1679="","",IF($D1679&gt;$F$2,"À venir",IF($E1679&lt;$D$2,"Passé","Dans la période")))</f>
        <v/>
      </c>
      <c r="K1679">
        <f>IF(OR($B1679="",NOT(ISNUMBER($D1679))),"",IF(AND($E1679&lt;$D$2,$G1679&lt;&gt;"X",$F1679&lt;&gt;"Réalisé",$F1679&lt;&gt;"Clôturé"),"RETARD",""))</f>
        <v/>
      </c>
      <c r="L1679">
        <f>IF(OR($B1679="",NOT(ISNUMBER($D1679))),"",IF(AND($D1679&gt;=$D$2,$D1679&lt;=$H$2,$G1679&lt;&gt;"X",$F1679&lt;&gt;"Réalisé",$F1679&lt;&gt;"Clôturé"),"≤ 7 j",""))</f>
        <v/>
      </c>
      <c r="M1679" s="29">
        <f>IF($B1679="","",IFERROR(INDEX($T$4:$T$3183,MATCH(SMALL($V$4:$V$3183,1676),$V$4:$V$3183,0)),""))</f>
        <v/>
      </c>
      <c r="O1679">
        <f>IF(INDEX(Suivi!$B:$B,1711)="","",INDEX(Suivi!$B:$B,1711))</f>
        <v/>
      </c>
      <c r="P1679">
        <f>IF($O1679="","",IF(INDEX(Suivi!$D:$D,1711)="",INDEX(Suivi!$C:$C,1711),INDEX(Suivi!$D:$D,1711)))</f>
        <v/>
      </c>
      <c r="Q1679">
        <f>IF($O1679="","",INDEX(Suivi!$E:$E,1711))</f>
        <v/>
      </c>
      <c r="R1679">
        <f>IF($O1679="","",INDEX(Suivi!$F:$F,1711))</f>
        <v/>
      </c>
      <c r="S1679">
        <f>IF($O1679="","",INDEX(Suivi!$G:$G,1711))</f>
        <v/>
      </c>
      <c r="T1679">
        <f>IF($O1679="","",IF(INDEX(Dossiers!$F$4:$F$63,32)="","",INDEX(Dossiers!$F$4:$F$63,32)))</f>
        <v/>
      </c>
      <c r="U1679">
        <f>IF($O1679="","",IF(INDEX(Dossiers!$G$4:$G$63,32)="","",INDEX(Dossiers!$G$4:$G$63,32)))</f>
        <v/>
      </c>
      <c r="V1679">
        <f>IF(OR($O1679="",NOT(ISNUMBER($Q1679))),"",$Q1679*1000000+1679)</f>
        <v/>
      </c>
      <c r="W1679" s="29">
        <f>IF($B1679="","",IFERROR(INDEX($U$4:$U$3183,MATCH(SMALL($V$4:$V$3183,1676),$V$4:$V$3183,0)),""))</f>
        <v/>
      </c>
    </row>
    <row r="1680">
      <c r="A1680">
        <f>IFERROR(INDEX($N$4:$N$3183,MATCH(SMALL($V$4:$V$3183,1677),$V$4:$V$3183,0)),"")</f>
        <v/>
      </c>
      <c r="B1680">
        <f>IFERROR(INDEX($O$4:$O$3183,MATCH(SMALL($V$4:$V$3183,1677),$V$4:$V$3183,0)),"")</f>
        <v/>
      </c>
      <c r="C1680">
        <f>IFERROR(INDEX($P$4:$P$3183,MATCH(SMALL($V$4:$V$3183,1677),$V$4:$V$3183,0)),"")</f>
        <v/>
      </c>
      <c r="D1680" s="29">
        <f>IFERROR(INDEX($Q$4:$Q$3183,MATCH(SMALL($V$4:$V$3183,1677),$V$4:$V$3183,0)),"")</f>
        <v/>
      </c>
      <c r="E1680" s="29">
        <f>IFERROR(INDEX($R$4:$R$3183,MATCH(SMALL($V$4:$V$3183,1677),$V$4:$V$3183,0)),"")</f>
        <v/>
      </c>
      <c r="F1680">
        <f>IFERROR(INDEX($S$4:$S$3183,MATCH(SMALL($V$4:$V$3183,1677),$V$4:$V$3183,0)),"")</f>
        <v/>
      </c>
      <c r="I1680" s="29">
        <f>IF($B1680="","",IFERROR(INDEX($U$4:$U$3183,MATCH(SMALL($V$4:$V$3183,1677),$V$4:$V$3183,0)),""))</f>
        <v/>
      </c>
      <c r="J1680">
        <f>IF($B1680="","",IF($D1680&gt;$F$2,"À venir",IF($E1680&lt;$D$2,"Passé","Dans la période")))</f>
        <v/>
      </c>
      <c r="K1680">
        <f>IF(OR($B1680="",NOT(ISNUMBER($D1680))),"",IF(AND($E1680&lt;$D$2,$G1680&lt;&gt;"X",$F1680&lt;&gt;"Réalisé",$F1680&lt;&gt;"Clôturé"),"RETARD",""))</f>
        <v/>
      </c>
      <c r="L1680">
        <f>IF(OR($B1680="",NOT(ISNUMBER($D1680))),"",IF(AND($D1680&gt;=$D$2,$D1680&lt;=$H$2,$G1680&lt;&gt;"X",$F1680&lt;&gt;"Réalisé",$F1680&lt;&gt;"Clôturé"),"≤ 7 j",""))</f>
        <v/>
      </c>
      <c r="M1680" s="29">
        <f>IF($B1680="","",IFERROR(INDEX($T$4:$T$3183,MATCH(SMALL($V$4:$V$3183,1677),$V$4:$V$3183,0)),""))</f>
        <v/>
      </c>
      <c r="O1680">
        <f>IF(INDEX(Suivi!$B:$B,1712)="","",INDEX(Suivi!$B:$B,1712))</f>
        <v/>
      </c>
      <c r="P1680">
        <f>IF($O1680="","",IF(INDEX(Suivi!$D:$D,1712)="",INDEX(Suivi!$C:$C,1712),INDEX(Suivi!$D:$D,1712)))</f>
        <v/>
      </c>
      <c r="Q1680">
        <f>IF($O1680="","",INDEX(Suivi!$E:$E,1712))</f>
        <v/>
      </c>
      <c r="R1680">
        <f>IF($O1680="","",INDEX(Suivi!$F:$F,1712))</f>
        <v/>
      </c>
      <c r="S1680">
        <f>IF($O1680="","",INDEX(Suivi!$G:$G,1712))</f>
        <v/>
      </c>
      <c r="T1680">
        <f>IF($O1680="","",IF(INDEX(Dossiers!$F$4:$F$63,32)="","",INDEX(Dossiers!$F$4:$F$63,32)))</f>
        <v/>
      </c>
      <c r="U1680">
        <f>IF($O1680="","",IF(INDEX(Dossiers!$G$4:$G$63,32)="","",INDEX(Dossiers!$G$4:$G$63,32)))</f>
        <v/>
      </c>
      <c r="V1680">
        <f>IF(OR($O1680="",NOT(ISNUMBER($Q1680))),"",$Q1680*1000000+1680)</f>
        <v/>
      </c>
      <c r="W1680" s="29">
        <f>IF($B1680="","",IFERROR(INDEX($U$4:$U$3183,MATCH(SMALL($V$4:$V$3183,1677),$V$4:$V$3183,0)),""))</f>
        <v/>
      </c>
    </row>
    <row r="1681">
      <c r="A1681">
        <f>IFERROR(INDEX($N$4:$N$3183,MATCH(SMALL($V$4:$V$3183,1678),$V$4:$V$3183,0)),"")</f>
        <v/>
      </c>
      <c r="B1681">
        <f>IFERROR(INDEX($O$4:$O$3183,MATCH(SMALL($V$4:$V$3183,1678),$V$4:$V$3183,0)),"")</f>
        <v/>
      </c>
      <c r="C1681">
        <f>IFERROR(INDEX($P$4:$P$3183,MATCH(SMALL($V$4:$V$3183,1678),$V$4:$V$3183,0)),"")</f>
        <v/>
      </c>
      <c r="D1681" s="29">
        <f>IFERROR(INDEX($Q$4:$Q$3183,MATCH(SMALL($V$4:$V$3183,1678),$V$4:$V$3183,0)),"")</f>
        <v/>
      </c>
      <c r="E1681" s="29">
        <f>IFERROR(INDEX($R$4:$R$3183,MATCH(SMALL($V$4:$V$3183,1678),$V$4:$V$3183,0)),"")</f>
        <v/>
      </c>
      <c r="F1681">
        <f>IFERROR(INDEX($S$4:$S$3183,MATCH(SMALL($V$4:$V$3183,1678),$V$4:$V$3183,0)),"")</f>
        <v/>
      </c>
      <c r="I1681" s="29">
        <f>IF($B1681="","",IFERROR(INDEX($U$4:$U$3183,MATCH(SMALL($V$4:$V$3183,1678),$V$4:$V$3183,0)),""))</f>
        <v/>
      </c>
      <c r="J1681">
        <f>IF($B1681="","",IF($D1681&gt;$F$2,"À venir",IF($E1681&lt;$D$2,"Passé","Dans la période")))</f>
        <v/>
      </c>
      <c r="K1681">
        <f>IF(OR($B1681="",NOT(ISNUMBER($D1681))),"",IF(AND($E1681&lt;$D$2,$G1681&lt;&gt;"X",$F1681&lt;&gt;"Réalisé",$F1681&lt;&gt;"Clôturé"),"RETARD",""))</f>
        <v/>
      </c>
      <c r="L1681">
        <f>IF(OR($B1681="",NOT(ISNUMBER($D1681))),"",IF(AND($D1681&gt;=$D$2,$D1681&lt;=$H$2,$G1681&lt;&gt;"X",$F1681&lt;&gt;"Réalisé",$F1681&lt;&gt;"Clôturé"),"≤ 7 j",""))</f>
        <v/>
      </c>
      <c r="M1681" s="29">
        <f>IF($B1681="","",IFERROR(INDEX($T$4:$T$3183,MATCH(SMALL($V$4:$V$3183,1678),$V$4:$V$3183,0)),""))</f>
        <v/>
      </c>
      <c r="O1681">
        <f>IF(INDEX(Suivi!$B:$B,1713)="","",INDEX(Suivi!$B:$B,1713))</f>
        <v/>
      </c>
      <c r="P1681">
        <f>IF($O1681="","",IF(INDEX(Suivi!$D:$D,1713)="",INDEX(Suivi!$C:$C,1713),INDEX(Suivi!$D:$D,1713)))</f>
        <v/>
      </c>
      <c r="Q1681">
        <f>IF($O1681="","",INDEX(Suivi!$E:$E,1713))</f>
        <v/>
      </c>
      <c r="R1681">
        <f>IF($O1681="","",INDEX(Suivi!$F:$F,1713))</f>
        <v/>
      </c>
      <c r="S1681">
        <f>IF($O1681="","",INDEX(Suivi!$G:$G,1713))</f>
        <v/>
      </c>
      <c r="T1681">
        <f>IF($O1681="","",IF(INDEX(Dossiers!$F$4:$F$63,32)="","",INDEX(Dossiers!$F$4:$F$63,32)))</f>
        <v/>
      </c>
      <c r="U1681">
        <f>IF($O1681="","",IF(INDEX(Dossiers!$G$4:$G$63,32)="","",INDEX(Dossiers!$G$4:$G$63,32)))</f>
        <v/>
      </c>
      <c r="V1681">
        <f>IF(OR($O1681="",NOT(ISNUMBER($Q1681))),"",$Q1681*1000000+1681)</f>
        <v/>
      </c>
      <c r="W1681" s="29">
        <f>IF($B1681="","",IFERROR(INDEX($U$4:$U$3183,MATCH(SMALL($V$4:$V$3183,1678),$V$4:$V$3183,0)),""))</f>
        <v/>
      </c>
    </row>
    <row r="1682">
      <c r="A1682">
        <f>IFERROR(INDEX($N$4:$N$3183,MATCH(SMALL($V$4:$V$3183,1679),$V$4:$V$3183,0)),"")</f>
        <v/>
      </c>
      <c r="B1682">
        <f>IFERROR(INDEX($O$4:$O$3183,MATCH(SMALL($V$4:$V$3183,1679),$V$4:$V$3183,0)),"")</f>
        <v/>
      </c>
      <c r="C1682">
        <f>IFERROR(INDEX($P$4:$P$3183,MATCH(SMALL($V$4:$V$3183,1679),$V$4:$V$3183,0)),"")</f>
        <v/>
      </c>
      <c r="D1682" s="29">
        <f>IFERROR(INDEX($Q$4:$Q$3183,MATCH(SMALL($V$4:$V$3183,1679),$V$4:$V$3183,0)),"")</f>
        <v/>
      </c>
      <c r="E1682" s="29">
        <f>IFERROR(INDEX($R$4:$R$3183,MATCH(SMALL($V$4:$V$3183,1679),$V$4:$V$3183,0)),"")</f>
        <v/>
      </c>
      <c r="F1682">
        <f>IFERROR(INDEX($S$4:$S$3183,MATCH(SMALL($V$4:$V$3183,1679),$V$4:$V$3183,0)),"")</f>
        <v/>
      </c>
      <c r="I1682" s="29">
        <f>IF($B1682="","",IFERROR(INDEX($U$4:$U$3183,MATCH(SMALL($V$4:$V$3183,1679),$V$4:$V$3183,0)),""))</f>
        <v/>
      </c>
      <c r="J1682">
        <f>IF($B1682="","",IF($D1682&gt;$F$2,"À venir",IF($E1682&lt;$D$2,"Passé","Dans la période")))</f>
        <v/>
      </c>
      <c r="K1682">
        <f>IF(OR($B1682="",NOT(ISNUMBER($D1682))),"",IF(AND($E1682&lt;$D$2,$G1682&lt;&gt;"X",$F1682&lt;&gt;"Réalisé",$F1682&lt;&gt;"Clôturé"),"RETARD",""))</f>
        <v/>
      </c>
      <c r="L1682">
        <f>IF(OR($B1682="",NOT(ISNUMBER($D1682))),"",IF(AND($D1682&gt;=$D$2,$D1682&lt;=$H$2,$G1682&lt;&gt;"X",$F1682&lt;&gt;"Réalisé",$F1682&lt;&gt;"Clôturé"),"≤ 7 j",""))</f>
        <v/>
      </c>
      <c r="M1682" s="29">
        <f>IF($B1682="","",IFERROR(INDEX($T$4:$T$3183,MATCH(SMALL($V$4:$V$3183,1679),$V$4:$V$3183,0)),""))</f>
        <v/>
      </c>
      <c r="O1682">
        <f>IF(INDEX(Suivi!$B:$B,1714)="","",INDEX(Suivi!$B:$B,1714))</f>
        <v/>
      </c>
      <c r="P1682">
        <f>IF($O1682="","",IF(INDEX(Suivi!$D:$D,1714)="",INDEX(Suivi!$C:$C,1714),INDEX(Suivi!$D:$D,1714)))</f>
        <v/>
      </c>
      <c r="Q1682">
        <f>IF($O1682="","",INDEX(Suivi!$E:$E,1714))</f>
        <v/>
      </c>
      <c r="R1682">
        <f>IF($O1682="","",INDEX(Suivi!$F:$F,1714))</f>
        <v/>
      </c>
      <c r="S1682">
        <f>IF($O1682="","",INDEX(Suivi!$G:$G,1714))</f>
        <v/>
      </c>
      <c r="T1682">
        <f>IF($O1682="","",IF(INDEX(Dossiers!$F$4:$F$63,32)="","",INDEX(Dossiers!$F$4:$F$63,32)))</f>
        <v/>
      </c>
      <c r="U1682">
        <f>IF($O1682="","",IF(INDEX(Dossiers!$G$4:$G$63,32)="","",INDEX(Dossiers!$G$4:$G$63,32)))</f>
        <v/>
      </c>
      <c r="V1682">
        <f>IF(OR($O1682="",NOT(ISNUMBER($Q1682))),"",$Q1682*1000000+1682)</f>
        <v/>
      </c>
      <c r="W1682" s="29">
        <f>IF($B1682="","",IFERROR(INDEX($U$4:$U$3183,MATCH(SMALL($V$4:$V$3183,1679),$V$4:$V$3183,0)),""))</f>
        <v/>
      </c>
    </row>
    <row r="1683">
      <c r="A1683">
        <f>IFERROR(INDEX($N$4:$N$3183,MATCH(SMALL($V$4:$V$3183,1680),$V$4:$V$3183,0)),"")</f>
        <v/>
      </c>
      <c r="B1683">
        <f>IFERROR(INDEX($O$4:$O$3183,MATCH(SMALL($V$4:$V$3183,1680),$V$4:$V$3183,0)),"")</f>
        <v/>
      </c>
      <c r="C1683">
        <f>IFERROR(INDEX($P$4:$P$3183,MATCH(SMALL($V$4:$V$3183,1680),$V$4:$V$3183,0)),"")</f>
        <v/>
      </c>
      <c r="D1683" s="29">
        <f>IFERROR(INDEX($Q$4:$Q$3183,MATCH(SMALL($V$4:$V$3183,1680),$V$4:$V$3183,0)),"")</f>
        <v/>
      </c>
      <c r="E1683" s="29">
        <f>IFERROR(INDEX($R$4:$R$3183,MATCH(SMALL($V$4:$V$3183,1680),$V$4:$V$3183,0)),"")</f>
        <v/>
      </c>
      <c r="F1683">
        <f>IFERROR(INDEX($S$4:$S$3183,MATCH(SMALL($V$4:$V$3183,1680),$V$4:$V$3183,0)),"")</f>
        <v/>
      </c>
      <c r="I1683" s="29">
        <f>IF($B1683="","",IFERROR(INDEX($U$4:$U$3183,MATCH(SMALL($V$4:$V$3183,1680),$V$4:$V$3183,0)),""))</f>
        <v/>
      </c>
      <c r="J1683">
        <f>IF($B1683="","",IF($D1683&gt;$F$2,"À venir",IF($E1683&lt;$D$2,"Passé","Dans la période")))</f>
        <v/>
      </c>
      <c r="K1683">
        <f>IF(OR($B1683="",NOT(ISNUMBER($D1683))),"",IF(AND($E1683&lt;$D$2,$G1683&lt;&gt;"X",$F1683&lt;&gt;"Réalisé",$F1683&lt;&gt;"Clôturé"),"RETARD",""))</f>
        <v/>
      </c>
      <c r="L1683">
        <f>IF(OR($B1683="",NOT(ISNUMBER($D1683))),"",IF(AND($D1683&gt;=$D$2,$D1683&lt;=$H$2,$G1683&lt;&gt;"X",$F1683&lt;&gt;"Réalisé",$F1683&lt;&gt;"Clôturé"),"≤ 7 j",""))</f>
        <v/>
      </c>
      <c r="M1683" s="29">
        <f>IF($B1683="","",IFERROR(INDEX($T$4:$T$3183,MATCH(SMALL($V$4:$V$3183,1680),$V$4:$V$3183,0)),""))</f>
        <v/>
      </c>
      <c r="O1683">
        <f>IF(INDEX(Suivi!$B:$B,1715)="","",INDEX(Suivi!$B:$B,1715))</f>
        <v/>
      </c>
      <c r="P1683">
        <f>IF($O1683="","",IF(INDEX(Suivi!$D:$D,1715)="",INDEX(Suivi!$C:$C,1715),INDEX(Suivi!$D:$D,1715)))</f>
        <v/>
      </c>
      <c r="Q1683">
        <f>IF($O1683="","",INDEX(Suivi!$E:$E,1715))</f>
        <v/>
      </c>
      <c r="R1683">
        <f>IF($O1683="","",INDEX(Suivi!$F:$F,1715))</f>
        <v/>
      </c>
      <c r="S1683">
        <f>IF($O1683="","",INDEX(Suivi!$G:$G,1715))</f>
        <v/>
      </c>
      <c r="T1683">
        <f>IF($O1683="","",IF(INDEX(Dossiers!$F$4:$F$63,32)="","",INDEX(Dossiers!$F$4:$F$63,32)))</f>
        <v/>
      </c>
      <c r="U1683">
        <f>IF($O1683="","",IF(INDEX(Dossiers!$G$4:$G$63,32)="","",INDEX(Dossiers!$G$4:$G$63,32)))</f>
        <v/>
      </c>
      <c r="V1683">
        <f>IF(OR($O1683="",NOT(ISNUMBER($Q1683))),"",$Q1683*1000000+1683)</f>
        <v/>
      </c>
      <c r="W1683" s="29">
        <f>IF($B1683="","",IFERROR(INDEX($U$4:$U$3183,MATCH(SMALL($V$4:$V$3183,1680),$V$4:$V$3183,0)),""))</f>
        <v/>
      </c>
    </row>
    <row r="1684">
      <c r="A1684">
        <f>IFERROR(INDEX($N$4:$N$3183,MATCH(SMALL($V$4:$V$3183,1681),$V$4:$V$3183,0)),"")</f>
        <v/>
      </c>
      <c r="B1684">
        <f>IFERROR(INDEX($O$4:$O$3183,MATCH(SMALL($V$4:$V$3183,1681),$V$4:$V$3183,0)),"")</f>
        <v/>
      </c>
      <c r="C1684">
        <f>IFERROR(INDEX($P$4:$P$3183,MATCH(SMALL($V$4:$V$3183,1681),$V$4:$V$3183,0)),"")</f>
        <v/>
      </c>
      <c r="D1684" s="29">
        <f>IFERROR(INDEX($Q$4:$Q$3183,MATCH(SMALL($V$4:$V$3183,1681),$V$4:$V$3183,0)),"")</f>
        <v/>
      </c>
      <c r="E1684" s="29">
        <f>IFERROR(INDEX($R$4:$R$3183,MATCH(SMALL($V$4:$V$3183,1681),$V$4:$V$3183,0)),"")</f>
        <v/>
      </c>
      <c r="F1684">
        <f>IFERROR(INDEX($S$4:$S$3183,MATCH(SMALL($V$4:$V$3183,1681),$V$4:$V$3183,0)),"")</f>
        <v/>
      </c>
      <c r="I1684" s="29">
        <f>IF($B1684="","",IFERROR(INDEX($U$4:$U$3183,MATCH(SMALL($V$4:$V$3183,1681),$V$4:$V$3183,0)),""))</f>
        <v/>
      </c>
      <c r="J1684">
        <f>IF($B1684="","",IF($D1684&gt;$F$2,"À venir",IF($E1684&lt;$D$2,"Passé","Dans la période")))</f>
        <v/>
      </c>
      <c r="K1684">
        <f>IF(OR($B1684="",NOT(ISNUMBER($D1684))),"",IF(AND($E1684&lt;$D$2,$G1684&lt;&gt;"X",$F1684&lt;&gt;"Réalisé",$F1684&lt;&gt;"Clôturé"),"RETARD",""))</f>
        <v/>
      </c>
      <c r="L1684">
        <f>IF(OR($B1684="",NOT(ISNUMBER($D1684))),"",IF(AND($D1684&gt;=$D$2,$D1684&lt;=$H$2,$G1684&lt;&gt;"X",$F1684&lt;&gt;"Réalisé",$F1684&lt;&gt;"Clôturé"),"≤ 7 j",""))</f>
        <v/>
      </c>
      <c r="M1684" s="29">
        <f>IF($B1684="","",IFERROR(INDEX($T$4:$T$3183,MATCH(SMALL($V$4:$V$3183,1681),$V$4:$V$3183,0)),""))</f>
        <v/>
      </c>
      <c r="O1684">
        <f>IF(INDEX(Suivi!$B:$B,1716)="","",INDEX(Suivi!$B:$B,1716))</f>
        <v/>
      </c>
      <c r="P1684">
        <f>IF($O1684="","",IF(INDEX(Suivi!$D:$D,1716)="",INDEX(Suivi!$C:$C,1716),INDEX(Suivi!$D:$D,1716)))</f>
        <v/>
      </c>
      <c r="Q1684">
        <f>IF($O1684="","",INDEX(Suivi!$E:$E,1716))</f>
        <v/>
      </c>
      <c r="R1684">
        <f>IF($O1684="","",INDEX(Suivi!$F:$F,1716))</f>
        <v/>
      </c>
      <c r="S1684">
        <f>IF($O1684="","",INDEX(Suivi!$G:$G,1716))</f>
        <v/>
      </c>
      <c r="T1684">
        <f>IF($O1684="","",IF(INDEX(Dossiers!$F$4:$F$63,32)="","",INDEX(Dossiers!$F$4:$F$63,32)))</f>
        <v/>
      </c>
      <c r="U1684">
        <f>IF($O1684="","",IF(INDEX(Dossiers!$G$4:$G$63,32)="","",INDEX(Dossiers!$G$4:$G$63,32)))</f>
        <v/>
      </c>
      <c r="V1684">
        <f>IF(OR($O1684="",NOT(ISNUMBER($Q1684))),"",$Q1684*1000000+1684)</f>
        <v/>
      </c>
      <c r="W1684" s="29">
        <f>IF($B1684="","",IFERROR(INDEX($U$4:$U$3183,MATCH(SMALL($V$4:$V$3183,1681),$V$4:$V$3183,0)),""))</f>
        <v/>
      </c>
    </row>
    <row r="1685">
      <c r="A1685">
        <f>IFERROR(INDEX($N$4:$N$3183,MATCH(SMALL($V$4:$V$3183,1682),$V$4:$V$3183,0)),"")</f>
        <v/>
      </c>
      <c r="B1685">
        <f>IFERROR(INDEX($O$4:$O$3183,MATCH(SMALL($V$4:$V$3183,1682),$V$4:$V$3183,0)),"")</f>
        <v/>
      </c>
      <c r="C1685">
        <f>IFERROR(INDEX($P$4:$P$3183,MATCH(SMALL($V$4:$V$3183,1682),$V$4:$V$3183,0)),"")</f>
        <v/>
      </c>
      <c r="D1685" s="29">
        <f>IFERROR(INDEX($Q$4:$Q$3183,MATCH(SMALL($V$4:$V$3183,1682),$V$4:$V$3183,0)),"")</f>
        <v/>
      </c>
      <c r="E1685" s="29">
        <f>IFERROR(INDEX($R$4:$R$3183,MATCH(SMALL($V$4:$V$3183,1682),$V$4:$V$3183,0)),"")</f>
        <v/>
      </c>
      <c r="F1685">
        <f>IFERROR(INDEX($S$4:$S$3183,MATCH(SMALL($V$4:$V$3183,1682),$V$4:$V$3183,0)),"")</f>
        <v/>
      </c>
      <c r="I1685" s="29">
        <f>IF($B1685="","",IFERROR(INDEX($U$4:$U$3183,MATCH(SMALL($V$4:$V$3183,1682),$V$4:$V$3183,0)),""))</f>
        <v/>
      </c>
      <c r="J1685">
        <f>IF($B1685="","",IF($D1685&gt;$F$2,"À venir",IF($E1685&lt;$D$2,"Passé","Dans la période")))</f>
        <v/>
      </c>
      <c r="K1685">
        <f>IF(OR($B1685="",NOT(ISNUMBER($D1685))),"",IF(AND($E1685&lt;$D$2,$G1685&lt;&gt;"X",$F1685&lt;&gt;"Réalisé",$F1685&lt;&gt;"Clôturé"),"RETARD",""))</f>
        <v/>
      </c>
      <c r="L1685">
        <f>IF(OR($B1685="",NOT(ISNUMBER($D1685))),"",IF(AND($D1685&gt;=$D$2,$D1685&lt;=$H$2,$G1685&lt;&gt;"X",$F1685&lt;&gt;"Réalisé",$F1685&lt;&gt;"Clôturé"),"≤ 7 j",""))</f>
        <v/>
      </c>
      <c r="M1685" s="29">
        <f>IF($B1685="","",IFERROR(INDEX($T$4:$T$3183,MATCH(SMALL($V$4:$V$3183,1682),$V$4:$V$3183,0)),""))</f>
        <v/>
      </c>
      <c r="O1685">
        <f>IF(INDEX(Suivi!$B:$B,1717)="","",INDEX(Suivi!$B:$B,1717))</f>
        <v/>
      </c>
      <c r="P1685">
        <f>IF($O1685="","",IF(INDEX(Suivi!$D:$D,1717)="",INDEX(Suivi!$C:$C,1717),INDEX(Suivi!$D:$D,1717)))</f>
        <v/>
      </c>
      <c r="Q1685">
        <f>IF($O1685="","",INDEX(Suivi!$E:$E,1717))</f>
        <v/>
      </c>
      <c r="R1685">
        <f>IF($O1685="","",INDEX(Suivi!$F:$F,1717))</f>
        <v/>
      </c>
      <c r="S1685">
        <f>IF($O1685="","",INDEX(Suivi!$G:$G,1717))</f>
        <v/>
      </c>
      <c r="T1685">
        <f>IF($O1685="","",IF(INDEX(Dossiers!$F$4:$F$63,32)="","",INDEX(Dossiers!$F$4:$F$63,32)))</f>
        <v/>
      </c>
      <c r="U1685">
        <f>IF($O1685="","",IF(INDEX(Dossiers!$G$4:$G$63,32)="","",INDEX(Dossiers!$G$4:$G$63,32)))</f>
        <v/>
      </c>
      <c r="V1685">
        <f>IF(OR($O1685="",NOT(ISNUMBER($Q1685))),"",$Q1685*1000000+1685)</f>
        <v/>
      </c>
      <c r="W1685" s="29">
        <f>IF($B1685="","",IFERROR(INDEX($U$4:$U$3183,MATCH(SMALL($V$4:$V$3183,1682),$V$4:$V$3183,0)),""))</f>
        <v/>
      </c>
    </row>
    <row r="1686">
      <c r="A1686">
        <f>IFERROR(INDEX($N$4:$N$3183,MATCH(SMALL($V$4:$V$3183,1683),$V$4:$V$3183,0)),"")</f>
        <v/>
      </c>
      <c r="B1686">
        <f>IFERROR(INDEX($O$4:$O$3183,MATCH(SMALL($V$4:$V$3183,1683),$V$4:$V$3183,0)),"")</f>
        <v/>
      </c>
      <c r="C1686">
        <f>IFERROR(INDEX($P$4:$P$3183,MATCH(SMALL($V$4:$V$3183,1683),$V$4:$V$3183,0)),"")</f>
        <v/>
      </c>
      <c r="D1686" s="29">
        <f>IFERROR(INDEX($Q$4:$Q$3183,MATCH(SMALL($V$4:$V$3183,1683),$V$4:$V$3183,0)),"")</f>
        <v/>
      </c>
      <c r="E1686" s="29">
        <f>IFERROR(INDEX($R$4:$R$3183,MATCH(SMALL($V$4:$V$3183,1683),$V$4:$V$3183,0)),"")</f>
        <v/>
      </c>
      <c r="F1686">
        <f>IFERROR(INDEX($S$4:$S$3183,MATCH(SMALL($V$4:$V$3183,1683),$V$4:$V$3183,0)),"")</f>
        <v/>
      </c>
      <c r="I1686" s="29">
        <f>IF($B1686="","",IFERROR(INDEX($U$4:$U$3183,MATCH(SMALL($V$4:$V$3183,1683),$V$4:$V$3183,0)),""))</f>
        <v/>
      </c>
      <c r="J1686">
        <f>IF($B1686="","",IF($D1686&gt;$F$2,"À venir",IF($E1686&lt;$D$2,"Passé","Dans la période")))</f>
        <v/>
      </c>
      <c r="K1686">
        <f>IF(OR($B1686="",NOT(ISNUMBER($D1686))),"",IF(AND($E1686&lt;$D$2,$G1686&lt;&gt;"X",$F1686&lt;&gt;"Réalisé",$F1686&lt;&gt;"Clôturé"),"RETARD",""))</f>
        <v/>
      </c>
      <c r="L1686">
        <f>IF(OR($B1686="",NOT(ISNUMBER($D1686))),"",IF(AND($D1686&gt;=$D$2,$D1686&lt;=$H$2,$G1686&lt;&gt;"X",$F1686&lt;&gt;"Réalisé",$F1686&lt;&gt;"Clôturé"),"≤ 7 j",""))</f>
        <v/>
      </c>
      <c r="M1686" s="29">
        <f>IF($B1686="","",IFERROR(INDEX($T$4:$T$3183,MATCH(SMALL($V$4:$V$3183,1683),$V$4:$V$3183,0)),""))</f>
        <v/>
      </c>
      <c r="O1686">
        <f>IF(INDEX(Suivi!$B:$B,1718)="","",INDEX(Suivi!$B:$B,1718))</f>
        <v/>
      </c>
      <c r="P1686">
        <f>IF($O1686="","",IF(INDEX(Suivi!$D:$D,1718)="",INDEX(Suivi!$C:$C,1718),INDEX(Suivi!$D:$D,1718)))</f>
        <v/>
      </c>
      <c r="Q1686">
        <f>IF($O1686="","",INDEX(Suivi!$E:$E,1718))</f>
        <v/>
      </c>
      <c r="R1686">
        <f>IF($O1686="","",INDEX(Suivi!$F:$F,1718))</f>
        <v/>
      </c>
      <c r="S1686">
        <f>IF($O1686="","",INDEX(Suivi!$G:$G,1718))</f>
        <v/>
      </c>
      <c r="T1686">
        <f>IF($O1686="","",IF(INDEX(Dossiers!$F$4:$F$63,32)="","",INDEX(Dossiers!$F$4:$F$63,32)))</f>
        <v/>
      </c>
      <c r="U1686">
        <f>IF($O1686="","",IF(INDEX(Dossiers!$G$4:$G$63,32)="","",INDEX(Dossiers!$G$4:$G$63,32)))</f>
        <v/>
      </c>
      <c r="V1686">
        <f>IF(OR($O1686="",NOT(ISNUMBER($Q1686))),"",$Q1686*1000000+1686)</f>
        <v/>
      </c>
      <c r="W1686" s="29">
        <f>IF($B1686="","",IFERROR(INDEX($U$4:$U$3183,MATCH(SMALL($V$4:$V$3183,1683),$V$4:$V$3183,0)),""))</f>
        <v/>
      </c>
    </row>
    <row r="1687">
      <c r="A1687">
        <f>IFERROR(INDEX($N$4:$N$3183,MATCH(SMALL($V$4:$V$3183,1684),$V$4:$V$3183,0)),"")</f>
        <v/>
      </c>
      <c r="B1687">
        <f>IFERROR(INDEX($O$4:$O$3183,MATCH(SMALL($V$4:$V$3183,1684),$V$4:$V$3183,0)),"")</f>
        <v/>
      </c>
      <c r="C1687">
        <f>IFERROR(INDEX($P$4:$P$3183,MATCH(SMALL($V$4:$V$3183,1684),$V$4:$V$3183,0)),"")</f>
        <v/>
      </c>
      <c r="D1687" s="29">
        <f>IFERROR(INDEX($Q$4:$Q$3183,MATCH(SMALL($V$4:$V$3183,1684),$V$4:$V$3183,0)),"")</f>
        <v/>
      </c>
      <c r="E1687" s="29">
        <f>IFERROR(INDEX($R$4:$R$3183,MATCH(SMALL($V$4:$V$3183,1684),$V$4:$V$3183,0)),"")</f>
        <v/>
      </c>
      <c r="F1687">
        <f>IFERROR(INDEX($S$4:$S$3183,MATCH(SMALL($V$4:$V$3183,1684),$V$4:$V$3183,0)),"")</f>
        <v/>
      </c>
      <c r="I1687" s="29">
        <f>IF($B1687="","",IFERROR(INDEX($U$4:$U$3183,MATCH(SMALL($V$4:$V$3183,1684),$V$4:$V$3183,0)),""))</f>
        <v/>
      </c>
      <c r="J1687">
        <f>IF($B1687="","",IF($D1687&gt;$F$2,"À venir",IF($E1687&lt;$D$2,"Passé","Dans la période")))</f>
        <v/>
      </c>
      <c r="K1687">
        <f>IF(OR($B1687="",NOT(ISNUMBER($D1687))),"",IF(AND($E1687&lt;$D$2,$G1687&lt;&gt;"X",$F1687&lt;&gt;"Réalisé",$F1687&lt;&gt;"Clôturé"),"RETARD",""))</f>
        <v/>
      </c>
      <c r="L1687">
        <f>IF(OR($B1687="",NOT(ISNUMBER($D1687))),"",IF(AND($D1687&gt;=$D$2,$D1687&lt;=$H$2,$G1687&lt;&gt;"X",$F1687&lt;&gt;"Réalisé",$F1687&lt;&gt;"Clôturé"),"≤ 7 j",""))</f>
        <v/>
      </c>
      <c r="M1687" s="29">
        <f>IF($B1687="","",IFERROR(INDEX($T$4:$T$3183,MATCH(SMALL($V$4:$V$3183,1684),$V$4:$V$3183,0)),""))</f>
        <v/>
      </c>
      <c r="O1687">
        <f>IF(INDEX(Suivi!$B:$B,1719)="","",INDEX(Suivi!$B:$B,1719))</f>
        <v/>
      </c>
      <c r="P1687">
        <f>IF($O1687="","",IF(INDEX(Suivi!$D:$D,1719)="",INDEX(Suivi!$C:$C,1719),INDEX(Suivi!$D:$D,1719)))</f>
        <v/>
      </c>
      <c r="Q1687">
        <f>IF($O1687="","",INDEX(Suivi!$E:$E,1719))</f>
        <v/>
      </c>
      <c r="R1687">
        <f>IF($O1687="","",INDEX(Suivi!$F:$F,1719))</f>
        <v/>
      </c>
      <c r="S1687">
        <f>IF($O1687="","",INDEX(Suivi!$G:$G,1719))</f>
        <v/>
      </c>
      <c r="T1687">
        <f>IF($O1687="","",IF(INDEX(Dossiers!$F$4:$F$63,32)="","",INDEX(Dossiers!$F$4:$F$63,32)))</f>
        <v/>
      </c>
      <c r="U1687">
        <f>IF($O1687="","",IF(INDEX(Dossiers!$G$4:$G$63,32)="","",INDEX(Dossiers!$G$4:$G$63,32)))</f>
        <v/>
      </c>
      <c r="V1687">
        <f>IF(OR($O1687="",NOT(ISNUMBER($Q1687))),"",$Q1687*1000000+1687)</f>
        <v/>
      </c>
      <c r="W1687" s="29">
        <f>IF($B1687="","",IFERROR(INDEX($U$4:$U$3183,MATCH(SMALL($V$4:$V$3183,1684),$V$4:$V$3183,0)),""))</f>
        <v/>
      </c>
    </row>
    <row r="1688">
      <c r="A1688">
        <f>IFERROR(INDEX($N$4:$N$3183,MATCH(SMALL($V$4:$V$3183,1685),$V$4:$V$3183,0)),"")</f>
        <v/>
      </c>
      <c r="B1688">
        <f>IFERROR(INDEX($O$4:$O$3183,MATCH(SMALL($V$4:$V$3183,1685),$V$4:$V$3183,0)),"")</f>
        <v/>
      </c>
      <c r="C1688">
        <f>IFERROR(INDEX($P$4:$P$3183,MATCH(SMALL($V$4:$V$3183,1685),$V$4:$V$3183,0)),"")</f>
        <v/>
      </c>
      <c r="D1688" s="29">
        <f>IFERROR(INDEX($Q$4:$Q$3183,MATCH(SMALL($V$4:$V$3183,1685),$V$4:$V$3183,0)),"")</f>
        <v/>
      </c>
      <c r="E1688" s="29">
        <f>IFERROR(INDEX($R$4:$R$3183,MATCH(SMALL($V$4:$V$3183,1685),$V$4:$V$3183,0)),"")</f>
        <v/>
      </c>
      <c r="F1688">
        <f>IFERROR(INDEX($S$4:$S$3183,MATCH(SMALL($V$4:$V$3183,1685),$V$4:$V$3183,0)),"")</f>
        <v/>
      </c>
      <c r="I1688" s="29">
        <f>IF($B1688="","",IFERROR(INDEX($U$4:$U$3183,MATCH(SMALL($V$4:$V$3183,1685),$V$4:$V$3183,0)),""))</f>
        <v/>
      </c>
      <c r="J1688">
        <f>IF($B1688="","",IF($D1688&gt;$F$2,"À venir",IF($E1688&lt;$D$2,"Passé","Dans la période")))</f>
        <v/>
      </c>
      <c r="K1688">
        <f>IF(OR($B1688="",NOT(ISNUMBER($D1688))),"",IF(AND($E1688&lt;$D$2,$G1688&lt;&gt;"X",$F1688&lt;&gt;"Réalisé",$F1688&lt;&gt;"Clôturé"),"RETARD",""))</f>
        <v/>
      </c>
      <c r="L1688">
        <f>IF(OR($B1688="",NOT(ISNUMBER($D1688))),"",IF(AND($D1688&gt;=$D$2,$D1688&lt;=$H$2,$G1688&lt;&gt;"X",$F1688&lt;&gt;"Réalisé",$F1688&lt;&gt;"Clôturé"),"≤ 7 j",""))</f>
        <v/>
      </c>
      <c r="M1688" s="29">
        <f>IF($B1688="","",IFERROR(INDEX($T$4:$T$3183,MATCH(SMALL($V$4:$V$3183,1685),$V$4:$V$3183,0)),""))</f>
        <v/>
      </c>
      <c r="O1688">
        <f>IF(INDEX(Suivi!$B:$B,1720)="","",INDEX(Suivi!$B:$B,1720))</f>
        <v/>
      </c>
      <c r="P1688">
        <f>IF($O1688="","",IF(INDEX(Suivi!$D:$D,1720)="",INDEX(Suivi!$C:$C,1720),INDEX(Suivi!$D:$D,1720)))</f>
        <v/>
      </c>
      <c r="Q1688">
        <f>IF($O1688="","",INDEX(Suivi!$E:$E,1720))</f>
        <v/>
      </c>
      <c r="R1688">
        <f>IF($O1688="","",INDEX(Suivi!$F:$F,1720))</f>
        <v/>
      </c>
      <c r="S1688">
        <f>IF($O1688="","",INDEX(Suivi!$G:$G,1720))</f>
        <v/>
      </c>
      <c r="T1688">
        <f>IF($O1688="","",IF(INDEX(Dossiers!$F$4:$F$63,32)="","",INDEX(Dossiers!$F$4:$F$63,32)))</f>
        <v/>
      </c>
      <c r="U1688">
        <f>IF($O1688="","",IF(INDEX(Dossiers!$G$4:$G$63,32)="","",INDEX(Dossiers!$G$4:$G$63,32)))</f>
        <v/>
      </c>
      <c r="V1688">
        <f>IF(OR($O1688="",NOT(ISNUMBER($Q1688))),"",$Q1688*1000000+1688)</f>
        <v/>
      </c>
      <c r="W1688" s="29">
        <f>IF($B1688="","",IFERROR(INDEX($U$4:$U$3183,MATCH(SMALL($V$4:$V$3183,1685),$V$4:$V$3183,0)),""))</f>
        <v/>
      </c>
    </row>
    <row r="1689">
      <c r="A1689">
        <f>IFERROR(INDEX($N$4:$N$3183,MATCH(SMALL($V$4:$V$3183,1686),$V$4:$V$3183,0)),"")</f>
        <v/>
      </c>
      <c r="B1689">
        <f>IFERROR(INDEX($O$4:$O$3183,MATCH(SMALL($V$4:$V$3183,1686),$V$4:$V$3183,0)),"")</f>
        <v/>
      </c>
      <c r="C1689">
        <f>IFERROR(INDEX($P$4:$P$3183,MATCH(SMALL($V$4:$V$3183,1686),$V$4:$V$3183,0)),"")</f>
        <v/>
      </c>
      <c r="D1689" s="29">
        <f>IFERROR(INDEX($Q$4:$Q$3183,MATCH(SMALL($V$4:$V$3183,1686),$V$4:$V$3183,0)),"")</f>
        <v/>
      </c>
      <c r="E1689" s="29">
        <f>IFERROR(INDEX($R$4:$R$3183,MATCH(SMALL($V$4:$V$3183,1686),$V$4:$V$3183,0)),"")</f>
        <v/>
      </c>
      <c r="F1689">
        <f>IFERROR(INDEX($S$4:$S$3183,MATCH(SMALL($V$4:$V$3183,1686),$V$4:$V$3183,0)),"")</f>
        <v/>
      </c>
      <c r="I1689" s="29">
        <f>IF($B1689="","",IFERROR(INDEX($U$4:$U$3183,MATCH(SMALL($V$4:$V$3183,1686),$V$4:$V$3183,0)),""))</f>
        <v/>
      </c>
      <c r="J1689">
        <f>IF($B1689="","",IF($D1689&gt;$F$2,"À venir",IF($E1689&lt;$D$2,"Passé","Dans la période")))</f>
        <v/>
      </c>
      <c r="K1689">
        <f>IF(OR($B1689="",NOT(ISNUMBER($D1689))),"",IF(AND($E1689&lt;$D$2,$G1689&lt;&gt;"X",$F1689&lt;&gt;"Réalisé",$F1689&lt;&gt;"Clôturé"),"RETARD",""))</f>
        <v/>
      </c>
      <c r="L1689">
        <f>IF(OR($B1689="",NOT(ISNUMBER($D1689))),"",IF(AND($D1689&gt;=$D$2,$D1689&lt;=$H$2,$G1689&lt;&gt;"X",$F1689&lt;&gt;"Réalisé",$F1689&lt;&gt;"Clôturé"),"≤ 7 j",""))</f>
        <v/>
      </c>
      <c r="M1689" s="29">
        <f>IF($B1689="","",IFERROR(INDEX($T$4:$T$3183,MATCH(SMALL($V$4:$V$3183,1686),$V$4:$V$3183,0)),""))</f>
        <v/>
      </c>
      <c r="O1689">
        <f>IF(INDEX(Suivi!$B:$B,1721)="","",INDEX(Suivi!$B:$B,1721))</f>
        <v/>
      </c>
      <c r="P1689">
        <f>IF($O1689="","",IF(INDEX(Suivi!$D:$D,1721)="",INDEX(Suivi!$C:$C,1721),INDEX(Suivi!$D:$D,1721)))</f>
        <v/>
      </c>
      <c r="Q1689">
        <f>IF($O1689="","",INDEX(Suivi!$E:$E,1721))</f>
        <v/>
      </c>
      <c r="R1689">
        <f>IF($O1689="","",INDEX(Suivi!$F:$F,1721))</f>
        <v/>
      </c>
      <c r="S1689">
        <f>IF($O1689="","",INDEX(Suivi!$G:$G,1721))</f>
        <v/>
      </c>
      <c r="T1689">
        <f>IF($O1689="","",IF(INDEX(Dossiers!$F$4:$F$63,32)="","",INDEX(Dossiers!$F$4:$F$63,32)))</f>
        <v/>
      </c>
      <c r="U1689">
        <f>IF($O1689="","",IF(INDEX(Dossiers!$G$4:$G$63,32)="","",INDEX(Dossiers!$G$4:$G$63,32)))</f>
        <v/>
      </c>
      <c r="V1689">
        <f>IF(OR($O1689="",NOT(ISNUMBER($Q1689))),"",$Q1689*1000000+1689)</f>
        <v/>
      </c>
      <c r="W1689" s="29">
        <f>IF($B1689="","",IFERROR(INDEX($U$4:$U$3183,MATCH(SMALL($V$4:$V$3183,1686),$V$4:$V$3183,0)),""))</f>
        <v/>
      </c>
    </row>
    <row r="1690">
      <c r="A1690">
        <f>IFERROR(INDEX($N$4:$N$3183,MATCH(SMALL($V$4:$V$3183,1687),$V$4:$V$3183,0)),"")</f>
        <v/>
      </c>
      <c r="B1690">
        <f>IFERROR(INDEX($O$4:$O$3183,MATCH(SMALL($V$4:$V$3183,1687),$V$4:$V$3183,0)),"")</f>
        <v/>
      </c>
      <c r="C1690">
        <f>IFERROR(INDEX($P$4:$P$3183,MATCH(SMALL($V$4:$V$3183,1687),$V$4:$V$3183,0)),"")</f>
        <v/>
      </c>
      <c r="D1690" s="29">
        <f>IFERROR(INDEX($Q$4:$Q$3183,MATCH(SMALL($V$4:$V$3183,1687),$V$4:$V$3183,0)),"")</f>
        <v/>
      </c>
      <c r="E1690" s="29">
        <f>IFERROR(INDEX($R$4:$R$3183,MATCH(SMALL($V$4:$V$3183,1687),$V$4:$V$3183,0)),"")</f>
        <v/>
      </c>
      <c r="F1690">
        <f>IFERROR(INDEX($S$4:$S$3183,MATCH(SMALL($V$4:$V$3183,1687),$V$4:$V$3183,0)),"")</f>
        <v/>
      </c>
      <c r="I1690" s="29">
        <f>IF($B1690="","",IFERROR(INDEX($U$4:$U$3183,MATCH(SMALL($V$4:$V$3183,1687),$V$4:$V$3183,0)),""))</f>
        <v/>
      </c>
      <c r="J1690">
        <f>IF($B1690="","",IF($D1690&gt;$F$2,"À venir",IF($E1690&lt;$D$2,"Passé","Dans la période")))</f>
        <v/>
      </c>
      <c r="K1690">
        <f>IF(OR($B1690="",NOT(ISNUMBER($D1690))),"",IF(AND($E1690&lt;$D$2,$G1690&lt;&gt;"X",$F1690&lt;&gt;"Réalisé",$F1690&lt;&gt;"Clôturé"),"RETARD",""))</f>
        <v/>
      </c>
      <c r="L1690">
        <f>IF(OR($B1690="",NOT(ISNUMBER($D1690))),"",IF(AND($D1690&gt;=$D$2,$D1690&lt;=$H$2,$G1690&lt;&gt;"X",$F1690&lt;&gt;"Réalisé",$F1690&lt;&gt;"Clôturé"),"≤ 7 j",""))</f>
        <v/>
      </c>
      <c r="M1690" s="29">
        <f>IF($B1690="","",IFERROR(INDEX($T$4:$T$3183,MATCH(SMALL($V$4:$V$3183,1687),$V$4:$V$3183,0)),""))</f>
        <v/>
      </c>
      <c r="O1690">
        <f>IF(INDEX(Suivi!$B:$B,1722)="","",INDEX(Suivi!$B:$B,1722))</f>
        <v/>
      </c>
      <c r="P1690">
        <f>IF($O1690="","",IF(INDEX(Suivi!$D:$D,1722)="",INDEX(Suivi!$C:$C,1722),INDEX(Suivi!$D:$D,1722)))</f>
        <v/>
      </c>
      <c r="Q1690">
        <f>IF($O1690="","",INDEX(Suivi!$E:$E,1722))</f>
        <v/>
      </c>
      <c r="R1690">
        <f>IF($O1690="","",INDEX(Suivi!$F:$F,1722))</f>
        <v/>
      </c>
      <c r="S1690">
        <f>IF($O1690="","",INDEX(Suivi!$G:$G,1722))</f>
        <v/>
      </c>
      <c r="T1690">
        <f>IF($O1690="","",IF(INDEX(Dossiers!$F$4:$F$63,32)="","",INDEX(Dossiers!$F$4:$F$63,32)))</f>
        <v/>
      </c>
      <c r="U1690">
        <f>IF($O1690="","",IF(INDEX(Dossiers!$G$4:$G$63,32)="","",INDEX(Dossiers!$G$4:$G$63,32)))</f>
        <v/>
      </c>
      <c r="V1690">
        <f>IF(OR($O1690="",NOT(ISNUMBER($Q1690))),"",$Q1690*1000000+1690)</f>
        <v/>
      </c>
      <c r="W1690" s="29">
        <f>IF($B1690="","",IFERROR(INDEX($U$4:$U$3183,MATCH(SMALL($V$4:$V$3183,1687),$V$4:$V$3183,0)),""))</f>
        <v/>
      </c>
    </row>
    <row r="1691">
      <c r="A1691">
        <f>IFERROR(INDEX($N$4:$N$3183,MATCH(SMALL($V$4:$V$3183,1688),$V$4:$V$3183,0)),"")</f>
        <v/>
      </c>
      <c r="B1691">
        <f>IFERROR(INDEX($O$4:$O$3183,MATCH(SMALL($V$4:$V$3183,1688),$V$4:$V$3183,0)),"")</f>
        <v/>
      </c>
      <c r="C1691">
        <f>IFERROR(INDEX($P$4:$P$3183,MATCH(SMALL($V$4:$V$3183,1688),$V$4:$V$3183,0)),"")</f>
        <v/>
      </c>
      <c r="D1691" s="29">
        <f>IFERROR(INDEX($Q$4:$Q$3183,MATCH(SMALL($V$4:$V$3183,1688),$V$4:$V$3183,0)),"")</f>
        <v/>
      </c>
      <c r="E1691" s="29">
        <f>IFERROR(INDEX($R$4:$R$3183,MATCH(SMALL($V$4:$V$3183,1688),$V$4:$V$3183,0)),"")</f>
        <v/>
      </c>
      <c r="F1691">
        <f>IFERROR(INDEX($S$4:$S$3183,MATCH(SMALL($V$4:$V$3183,1688),$V$4:$V$3183,0)),"")</f>
        <v/>
      </c>
      <c r="I1691" s="29">
        <f>IF($B1691="","",IFERROR(INDEX($U$4:$U$3183,MATCH(SMALL($V$4:$V$3183,1688),$V$4:$V$3183,0)),""))</f>
        <v/>
      </c>
      <c r="J1691">
        <f>IF($B1691="","",IF($D1691&gt;$F$2,"À venir",IF($E1691&lt;$D$2,"Passé","Dans la période")))</f>
        <v/>
      </c>
      <c r="K1691">
        <f>IF(OR($B1691="",NOT(ISNUMBER($D1691))),"",IF(AND($E1691&lt;$D$2,$G1691&lt;&gt;"X",$F1691&lt;&gt;"Réalisé",$F1691&lt;&gt;"Clôturé"),"RETARD",""))</f>
        <v/>
      </c>
      <c r="L1691">
        <f>IF(OR($B1691="",NOT(ISNUMBER($D1691))),"",IF(AND($D1691&gt;=$D$2,$D1691&lt;=$H$2,$G1691&lt;&gt;"X",$F1691&lt;&gt;"Réalisé",$F1691&lt;&gt;"Clôturé"),"≤ 7 j",""))</f>
        <v/>
      </c>
      <c r="M1691" s="29">
        <f>IF($B1691="","",IFERROR(INDEX($T$4:$T$3183,MATCH(SMALL($V$4:$V$3183,1688),$V$4:$V$3183,0)),""))</f>
        <v/>
      </c>
      <c r="O1691">
        <f>IF(INDEX(Suivi!$B:$B,1723)="","",INDEX(Suivi!$B:$B,1723))</f>
        <v/>
      </c>
      <c r="P1691">
        <f>IF($O1691="","",IF(INDEX(Suivi!$D:$D,1723)="",INDEX(Suivi!$C:$C,1723),INDEX(Suivi!$D:$D,1723)))</f>
        <v/>
      </c>
      <c r="Q1691">
        <f>IF($O1691="","",INDEX(Suivi!$E:$E,1723))</f>
        <v/>
      </c>
      <c r="R1691">
        <f>IF($O1691="","",INDEX(Suivi!$F:$F,1723))</f>
        <v/>
      </c>
      <c r="S1691">
        <f>IF($O1691="","",INDEX(Suivi!$G:$G,1723))</f>
        <v/>
      </c>
      <c r="T1691">
        <f>IF($O1691="","",IF(INDEX(Dossiers!$F$4:$F$63,32)="","",INDEX(Dossiers!$F$4:$F$63,32)))</f>
        <v/>
      </c>
      <c r="U1691">
        <f>IF($O1691="","",IF(INDEX(Dossiers!$G$4:$G$63,32)="","",INDEX(Dossiers!$G$4:$G$63,32)))</f>
        <v/>
      </c>
      <c r="V1691">
        <f>IF(OR($O1691="",NOT(ISNUMBER($Q1691))),"",$Q1691*1000000+1691)</f>
        <v/>
      </c>
      <c r="W1691" s="29">
        <f>IF($B1691="","",IFERROR(INDEX($U$4:$U$3183,MATCH(SMALL($V$4:$V$3183,1688),$V$4:$V$3183,0)),""))</f>
        <v/>
      </c>
    </row>
    <row r="1692">
      <c r="A1692">
        <f>IFERROR(INDEX($N$4:$N$3183,MATCH(SMALL($V$4:$V$3183,1689),$V$4:$V$3183,0)),"")</f>
        <v/>
      </c>
      <c r="B1692">
        <f>IFERROR(INDEX($O$4:$O$3183,MATCH(SMALL($V$4:$V$3183,1689),$V$4:$V$3183,0)),"")</f>
        <v/>
      </c>
      <c r="C1692">
        <f>IFERROR(INDEX($P$4:$P$3183,MATCH(SMALL($V$4:$V$3183,1689),$V$4:$V$3183,0)),"")</f>
        <v/>
      </c>
      <c r="D1692" s="29">
        <f>IFERROR(INDEX($Q$4:$Q$3183,MATCH(SMALL($V$4:$V$3183,1689),$V$4:$V$3183,0)),"")</f>
        <v/>
      </c>
      <c r="E1692" s="29">
        <f>IFERROR(INDEX($R$4:$R$3183,MATCH(SMALL($V$4:$V$3183,1689),$V$4:$V$3183,0)),"")</f>
        <v/>
      </c>
      <c r="F1692">
        <f>IFERROR(INDEX($S$4:$S$3183,MATCH(SMALL($V$4:$V$3183,1689),$V$4:$V$3183,0)),"")</f>
        <v/>
      </c>
      <c r="I1692" s="29">
        <f>IF($B1692="","",IFERROR(INDEX($U$4:$U$3183,MATCH(SMALL($V$4:$V$3183,1689),$V$4:$V$3183,0)),""))</f>
        <v/>
      </c>
      <c r="J1692">
        <f>IF($B1692="","",IF($D1692&gt;$F$2,"À venir",IF($E1692&lt;$D$2,"Passé","Dans la période")))</f>
        <v/>
      </c>
      <c r="K1692">
        <f>IF(OR($B1692="",NOT(ISNUMBER($D1692))),"",IF(AND($E1692&lt;$D$2,$G1692&lt;&gt;"X",$F1692&lt;&gt;"Réalisé",$F1692&lt;&gt;"Clôturé"),"RETARD",""))</f>
        <v/>
      </c>
      <c r="L1692">
        <f>IF(OR($B1692="",NOT(ISNUMBER($D1692))),"",IF(AND($D1692&gt;=$D$2,$D1692&lt;=$H$2,$G1692&lt;&gt;"X",$F1692&lt;&gt;"Réalisé",$F1692&lt;&gt;"Clôturé"),"≤ 7 j",""))</f>
        <v/>
      </c>
      <c r="M1692" s="29">
        <f>IF($B1692="","",IFERROR(INDEX($T$4:$T$3183,MATCH(SMALL($V$4:$V$3183,1689),$V$4:$V$3183,0)),""))</f>
        <v/>
      </c>
      <c r="O1692">
        <f>IF(INDEX(Suivi!$B:$B,1724)="","",INDEX(Suivi!$B:$B,1724))</f>
        <v/>
      </c>
      <c r="P1692">
        <f>IF($O1692="","",IF(INDEX(Suivi!$D:$D,1724)="",INDEX(Suivi!$C:$C,1724),INDEX(Suivi!$D:$D,1724)))</f>
        <v/>
      </c>
      <c r="Q1692">
        <f>IF($O1692="","",INDEX(Suivi!$E:$E,1724))</f>
        <v/>
      </c>
      <c r="R1692">
        <f>IF($O1692="","",INDEX(Suivi!$F:$F,1724))</f>
        <v/>
      </c>
      <c r="S1692">
        <f>IF($O1692="","",INDEX(Suivi!$G:$G,1724))</f>
        <v/>
      </c>
      <c r="T1692">
        <f>IF($O1692="","",IF(INDEX(Dossiers!$F$4:$F$63,32)="","",INDEX(Dossiers!$F$4:$F$63,32)))</f>
        <v/>
      </c>
      <c r="U1692">
        <f>IF($O1692="","",IF(INDEX(Dossiers!$G$4:$G$63,32)="","",INDEX(Dossiers!$G$4:$G$63,32)))</f>
        <v/>
      </c>
      <c r="V1692">
        <f>IF(OR($O1692="",NOT(ISNUMBER($Q1692))),"",$Q1692*1000000+1692)</f>
        <v/>
      </c>
      <c r="W1692" s="29">
        <f>IF($B1692="","",IFERROR(INDEX($U$4:$U$3183,MATCH(SMALL($V$4:$V$3183,1689),$V$4:$V$3183,0)),""))</f>
        <v/>
      </c>
    </row>
    <row r="1693">
      <c r="A1693">
        <f>IFERROR(INDEX($N$4:$N$3183,MATCH(SMALL($V$4:$V$3183,1690),$V$4:$V$3183,0)),"")</f>
        <v/>
      </c>
      <c r="B1693">
        <f>IFERROR(INDEX($O$4:$O$3183,MATCH(SMALL($V$4:$V$3183,1690),$V$4:$V$3183,0)),"")</f>
        <v/>
      </c>
      <c r="C1693">
        <f>IFERROR(INDEX($P$4:$P$3183,MATCH(SMALL($V$4:$V$3183,1690),$V$4:$V$3183,0)),"")</f>
        <v/>
      </c>
      <c r="D1693" s="29">
        <f>IFERROR(INDEX($Q$4:$Q$3183,MATCH(SMALL($V$4:$V$3183,1690),$V$4:$V$3183,0)),"")</f>
        <v/>
      </c>
      <c r="E1693" s="29">
        <f>IFERROR(INDEX($R$4:$R$3183,MATCH(SMALL($V$4:$V$3183,1690),$V$4:$V$3183,0)),"")</f>
        <v/>
      </c>
      <c r="F1693">
        <f>IFERROR(INDEX($S$4:$S$3183,MATCH(SMALL($V$4:$V$3183,1690),$V$4:$V$3183,0)),"")</f>
        <v/>
      </c>
      <c r="I1693" s="29">
        <f>IF($B1693="","",IFERROR(INDEX($U$4:$U$3183,MATCH(SMALL($V$4:$V$3183,1690),$V$4:$V$3183,0)),""))</f>
        <v/>
      </c>
      <c r="J1693">
        <f>IF($B1693="","",IF($D1693&gt;$F$2,"À venir",IF($E1693&lt;$D$2,"Passé","Dans la période")))</f>
        <v/>
      </c>
      <c r="K1693">
        <f>IF(OR($B1693="",NOT(ISNUMBER($D1693))),"",IF(AND($E1693&lt;$D$2,$G1693&lt;&gt;"X",$F1693&lt;&gt;"Réalisé",$F1693&lt;&gt;"Clôturé"),"RETARD",""))</f>
        <v/>
      </c>
      <c r="L1693">
        <f>IF(OR($B1693="",NOT(ISNUMBER($D1693))),"",IF(AND($D1693&gt;=$D$2,$D1693&lt;=$H$2,$G1693&lt;&gt;"X",$F1693&lt;&gt;"Réalisé",$F1693&lt;&gt;"Clôturé"),"≤ 7 j",""))</f>
        <v/>
      </c>
      <c r="M1693" s="29">
        <f>IF($B1693="","",IFERROR(INDEX($T$4:$T$3183,MATCH(SMALL($V$4:$V$3183,1690),$V$4:$V$3183,0)),""))</f>
        <v/>
      </c>
      <c r="O1693">
        <f>IF(INDEX(Suivi!$B:$B,1725)="","",INDEX(Suivi!$B:$B,1725))</f>
        <v/>
      </c>
      <c r="P1693">
        <f>IF($O1693="","",IF(INDEX(Suivi!$D:$D,1725)="",INDEX(Suivi!$C:$C,1725),INDEX(Suivi!$D:$D,1725)))</f>
        <v/>
      </c>
      <c r="Q1693">
        <f>IF($O1693="","",INDEX(Suivi!$E:$E,1725))</f>
        <v/>
      </c>
      <c r="R1693">
        <f>IF($O1693="","",INDEX(Suivi!$F:$F,1725))</f>
        <v/>
      </c>
      <c r="S1693">
        <f>IF($O1693="","",INDEX(Suivi!$G:$G,1725))</f>
        <v/>
      </c>
      <c r="T1693">
        <f>IF($O1693="","",IF(INDEX(Dossiers!$F$4:$F$63,32)="","",INDEX(Dossiers!$F$4:$F$63,32)))</f>
        <v/>
      </c>
      <c r="U1693">
        <f>IF($O1693="","",IF(INDEX(Dossiers!$G$4:$G$63,32)="","",INDEX(Dossiers!$G$4:$G$63,32)))</f>
        <v/>
      </c>
      <c r="V1693">
        <f>IF(OR($O1693="",NOT(ISNUMBER($Q1693))),"",$Q1693*1000000+1693)</f>
        <v/>
      </c>
      <c r="W1693" s="29">
        <f>IF($B1693="","",IFERROR(INDEX($U$4:$U$3183,MATCH(SMALL($V$4:$V$3183,1690),$V$4:$V$3183,0)),""))</f>
        <v/>
      </c>
    </row>
    <row r="1694">
      <c r="A1694">
        <f>IFERROR(INDEX($N$4:$N$3183,MATCH(SMALL($V$4:$V$3183,1691),$V$4:$V$3183,0)),"")</f>
        <v/>
      </c>
      <c r="B1694">
        <f>IFERROR(INDEX($O$4:$O$3183,MATCH(SMALL($V$4:$V$3183,1691),$V$4:$V$3183,0)),"")</f>
        <v/>
      </c>
      <c r="C1694">
        <f>IFERROR(INDEX($P$4:$P$3183,MATCH(SMALL($V$4:$V$3183,1691),$V$4:$V$3183,0)),"")</f>
        <v/>
      </c>
      <c r="D1694" s="29">
        <f>IFERROR(INDEX($Q$4:$Q$3183,MATCH(SMALL($V$4:$V$3183,1691),$V$4:$V$3183,0)),"")</f>
        <v/>
      </c>
      <c r="E1694" s="29">
        <f>IFERROR(INDEX($R$4:$R$3183,MATCH(SMALL($V$4:$V$3183,1691),$V$4:$V$3183,0)),"")</f>
        <v/>
      </c>
      <c r="F1694">
        <f>IFERROR(INDEX($S$4:$S$3183,MATCH(SMALL($V$4:$V$3183,1691),$V$4:$V$3183,0)),"")</f>
        <v/>
      </c>
      <c r="I1694" s="29">
        <f>IF($B1694="","",IFERROR(INDEX($U$4:$U$3183,MATCH(SMALL($V$4:$V$3183,1691),$V$4:$V$3183,0)),""))</f>
        <v/>
      </c>
      <c r="J1694">
        <f>IF($B1694="","",IF($D1694&gt;$F$2,"À venir",IF($E1694&lt;$D$2,"Passé","Dans la période")))</f>
        <v/>
      </c>
      <c r="K1694">
        <f>IF(OR($B1694="",NOT(ISNUMBER($D1694))),"",IF(AND($E1694&lt;$D$2,$G1694&lt;&gt;"X",$F1694&lt;&gt;"Réalisé",$F1694&lt;&gt;"Clôturé"),"RETARD",""))</f>
        <v/>
      </c>
      <c r="L1694">
        <f>IF(OR($B1694="",NOT(ISNUMBER($D1694))),"",IF(AND($D1694&gt;=$D$2,$D1694&lt;=$H$2,$G1694&lt;&gt;"X",$F1694&lt;&gt;"Réalisé",$F1694&lt;&gt;"Clôturé"),"≤ 7 j",""))</f>
        <v/>
      </c>
      <c r="M1694" s="29">
        <f>IF($B1694="","",IFERROR(INDEX($T$4:$T$3183,MATCH(SMALL($V$4:$V$3183,1691),$V$4:$V$3183,0)),""))</f>
        <v/>
      </c>
      <c r="O1694">
        <f>IF(INDEX(Suivi!$B:$B,1726)="","",INDEX(Suivi!$B:$B,1726))</f>
        <v/>
      </c>
      <c r="P1694">
        <f>IF($O1694="","",IF(INDEX(Suivi!$D:$D,1726)="",INDEX(Suivi!$C:$C,1726),INDEX(Suivi!$D:$D,1726)))</f>
        <v/>
      </c>
      <c r="Q1694">
        <f>IF($O1694="","",INDEX(Suivi!$E:$E,1726))</f>
        <v/>
      </c>
      <c r="R1694">
        <f>IF($O1694="","",INDEX(Suivi!$F:$F,1726))</f>
        <v/>
      </c>
      <c r="S1694">
        <f>IF($O1694="","",INDEX(Suivi!$G:$G,1726))</f>
        <v/>
      </c>
      <c r="T1694">
        <f>IF($O1694="","",IF(INDEX(Dossiers!$F$4:$F$63,32)="","",INDEX(Dossiers!$F$4:$F$63,32)))</f>
        <v/>
      </c>
      <c r="U1694">
        <f>IF($O1694="","",IF(INDEX(Dossiers!$G$4:$G$63,32)="","",INDEX(Dossiers!$G$4:$G$63,32)))</f>
        <v/>
      </c>
      <c r="V1694">
        <f>IF(OR($O1694="",NOT(ISNUMBER($Q1694))),"",$Q1694*1000000+1694)</f>
        <v/>
      </c>
      <c r="W1694" s="29">
        <f>IF($B1694="","",IFERROR(INDEX($U$4:$U$3183,MATCH(SMALL($V$4:$V$3183,1691),$V$4:$V$3183,0)),""))</f>
        <v/>
      </c>
    </row>
    <row r="1695">
      <c r="A1695">
        <f>IFERROR(INDEX($N$4:$N$3183,MATCH(SMALL($V$4:$V$3183,1692),$V$4:$V$3183,0)),"")</f>
        <v/>
      </c>
      <c r="B1695">
        <f>IFERROR(INDEX($O$4:$O$3183,MATCH(SMALL($V$4:$V$3183,1692),$V$4:$V$3183,0)),"")</f>
        <v/>
      </c>
      <c r="C1695">
        <f>IFERROR(INDEX($P$4:$P$3183,MATCH(SMALL($V$4:$V$3183,1692),$V$4:$V$3183,0)),"")</f>
        <v/>
      </c>
      <c r="D1695" s="29">
        <f>IFERROR(INDEX($Q$4:$Q$3183,MATCH(SMALL($V$4:$V$3183,1692),$V$4:$V$3183,0)),"")</f>
        <v/>
      </c>
      <c r="E1695" s="29">
        <f>IFERROR(INDEX($R$4:$R$3183,MATCH(SMALL($V$4:$V$3183,1692),$V$4:$V$3183,0)),"")</f>
        <v/>
      </c>
      <c r="F1695">
        <f>IFERROR(INDEX($S$4:$S$3183,MATCH(SMALL($V$4:$V$3183,1692),$V$4:$V$3183,0)),"")</f>
        <v/>
      </c>
      <c r="I1695" s="29">
        <f>IF($B1695="","",IFERROR(INDEX($U$4:$U$3183,MATCH(SMALL($V$4:$V$3183,1692),$V$4:$V$3183,0)),""))</f>
        <v/>
      </c>
      <c r="J1695">
        <f>IF($B1695="","",IF($D1695&gt;$F$2,"À venir",IF($E1695&lt;$D$2,"Passé","Dans la période")))</f>
        <v/>
      </c>
      <c r="K1695">
        <f>IF(OR($B1695="",NOT(ISNUMBER($D1695))),"",IF(AND($E1695&lt;$D$2,$G1695&lt;&gt;"X",$F1695&lt;&gt;"Réalisé",$F1695&lt;&gt;"Clôturé"),"RETARD",""))</f>
        <v/>
      </c>
      <c r="L1695">
        <f>IF(OR($B1695="",NOT(ISNUMBER($D1695))),"",IF(AND($D1695&gt;=$D$2,$D1695&lt;=$H$2,$G1695&lt;&gt;"X",$F1695&lt;&gt;"Réalisé",$F1695&lt;&gt;"Clôturé"),"≤ 7 j",""))</f>
        <v/>
      </c>
      <c r="M1695" s="29">
        <f>IF($B1695="","",IFERROR(INDEX($T$4:$T$3183,MATCH(SMALL($V$4:$V$3183,1692),$V$4:$V$3183,0)),""))</f>
        <v/>
      </c>
      <c r="O1695">
        <f>IF(INDEX(Suivi!$B:$B,1727)="","",INDEX(Suivi!$B:$B,1727))</f>
        <v/>
      </c>
      <c r="P1695">
        <f>IF($O1695="","",IF(INDEX(Suivi!$D:$D,1727)="",INDEX(Suivi!$C:$C,1727),INDEX(Suivi!$D:$D,1727)))</f>
        <v/>
      </c>
      <c r="Q1695">
        <f>IF($O1695="","",INDEX(Suivi!$E:$E,1727))</f>
        <v/>
      </c>
      <c r="R1695">
        <f>IF($O1695="","",INDEX(Suivi!$F:$F,1727))</f>
        <v/>
      </c>
      <c r="S1695">
        <f>IF($O1695="","",INDEX(Suivi!$G:$G,1727))</f>
        <v/>
      </c>
      <c r="T1695">
        <f>IF($O1695="","",IF(INDEX(Dossiers!$F$4:$F$63,32)="","",INDEX(Dossiers!$F$4:$F$63,32)))</f>
        <v/>
      </c>
      <c r="U1695">
        <f>IF($O1695="","",IF(INDEX(Dossiers!$G$4:$G$63,32)="","",INDEX(Dossiers!$G$4:$G$63,32)))</f>
        <v/>
      </c>
      <c r="V1695">
        <f>IF(OR($O1695="",NOT(ISNUMBER($Q1695))),"",$Q1695*1000000+1695)</f>
        <v/>
      </c>
      <c r="W1695" s="29">
        <f>IF($B1695="","",IFERROR(INDEX($U$4:$U$3183,MATCH(SMALL($V$4:$V$3183,1692),$V$4:$V$3183,0)),""))</f>
        <v/>
      </c>
    </row>
    <row r="1696">
      <c r="A1696">
        <f>IFERROR(INDEX($N$4:$N$3183,MATCH(SMALL($V$4:$V$3183,1693),$V$4:$V$3183,0)),"")</f>
        <v/>
      </c>
      <c r="B1696">
        <f>IFERROR(INDEX($O$4:$O$3183,MATCH(SMALL($V$4:$V$3183,1693),$V$4:$V$3183,0)),"")</f>
        <v/>
      </c>
      <c r="C1696">
        <f>IFERROR(INDEX($P$4:$P$3183,MATCH(SMALL($V$4:$V$3183,1693),$V$4:$V$3183,0)),"")</f>
        <v/>
      </c>
      <c r="D1696" s="29">
        <f>IFERROR(INDEX($Q$4:$Q$3183,MATCH(SMALL($V$4:$V$3183,1693),$V$4:$V$3183,0)),"")</f>
        <v/>
      </c>
      <c r="E1696" s="29">
        <f>IFERROR(INDEX($R$4:$R$3183,MATCH(SMALL($V$4:$V$3183,1693),$V$4:$V$3183,0)),"")</f>
        <v/>
      </c>
      <c r="F1696">
        <f>IFERROR(INDEX($S$4:$S$3183,MATCH(SMALL($V$4:$V$3183,1693),$V$4:$V$3183,0)),"")</f>
        <v/>
      </c>
      <c r="I1696" s="29">
        <f>IF($B1696="","",IFERROR(INDEX($U$4:$U$3183,MATCH(SMALL($V$4:$V$3183,1693),$V$4:$V$3183,0)),""))</f>
        <v/>
      </c>
      <c r="J1696">
        <f>IF($B1696="","",IF($D1696&gt;$F$2,"À venir",IF($E1696&lt;$D$2,"Passé","Dans la période")))</f>
        <v/>
      </c>
      <c r="K1696">
        <f>IF(OR($B1696="",NOT(ISNUMBER($D1696))),"",IF(AND($E1696&lt;$D$2,$G1696&lt;&gt;"X",$F1696&lt;&gt;"Réalisé",$F1696&lt;&gt;"Clôturé"),"RETARD",""))</f>
        <v/>
      </c>
      <c r="L1696">
        <f>IF(OR($B1696="",NOT(ISNUMBER($D1696))),"",IF(AND($D1696&gt;=$D$2,$D1696&lt;=$H$2,$G1696&lt;&gt;"X",$F1696&lt;&gt;"Réalisé",$F1696&lt;&gt;"Clôturé"),"≤ 7 j",""))</f>
        <v/>
      </c>
      <c r="M1696" s="29">
        <f>IF($B1696="","",IFERROR(INDEX($T$4:$T$3183,MATCH(SMALL($V$4:$V$3183,1693),$V$4:$V$3183,0)),""))</f>
        <v/>
      </c>
      <c r="O1696">
        <f>IF(INDEX(Suivi!$B:$B,1728)="","",INDEX(Suivi!$B:$B,1728))</f>
        <v/>
      </c>
      <c r="P1696">
        <f>IF($O1696="","",IF(INDEX(Suivi!$D:$D,1728)="",INDEX(Suivi!$C:$C,1728),INDEX(Suivi!$D:$D,1728)))</f>
        <v/>
      </c>
      <c r="Q1696">
        <f>IF($O1696="","",INDEX(Suivi!$E:$E,1728))</f>
        <v/>
      </c>
      <c r="R1696">
        <f>IF($O1696="","",INDEX(Suivi!$F:$F,1728))</f>
        <v/>
      </c>
      <c r="S1696">
        <f>IF($O1696="","",INDEX(Suivi!$G:$G,1728))</f>
        <v/>
      </c>
      <c r="T1696">
        <f>IF($O1696="","",IF(INDEX(Dossiers!$F$4:$F$63,32)="","",INDEX(Dossiers!$F$4:$F$63,32)))</f>
        <v/>
      </c>
      <c r="U1696">
        <f>IF($O1696="","",IF(INDEX(Dossiers!$G$4:$G$63,32)="","",INDEX(Dossiers!$G$4:$G$63,32)))</f>
        <v/>
      </c>
      <c r="V1696">
        <f>IF(OR($O1696="",NOT(ISNUMBER($Q1696))),"",$Q1696*1000000+1696)</f>
        <v/>
      </c>
      <c r="W1696" s="29">
        <f>IF($B1696="","",IFERROR(INDEX($U$4:$U$3183,MATCH(SMALL($V$4:$V$3183,1693),$V$4:$V$3183,0)),""))</f>
        <v/>
      </c>
    </row>
    <row r="1697">
      <c r="A1697">
        <f>IFERROR(INDEX($N$4:$N$3183,MATCH(SMALL($V$4:$V$3183,1694),$V$4:$V$3183,0)),"")</f>
        <v/>
      </c>
      <c r="B1697">
        <f>IFERROR(INDEX($O$4:$O$3183,MATCH(SMALL($V$4:$V$3183,1694),$V$4:$V$3183,0)),"")</f>
        <v/>
      </c>
      <c r="C1697">
        <f>IFERROR(INDEX($P$4:$P$3183,MATCH(SMALL($V$4:$V$3183,1694),$V$4:$V$3183,0)),"")</f>
        <v/>
      </c>
      <c r="D1697" s="29">
        <f>IFERROR(INDEX($Q$4:$Q$3183,MATCH(SMALL($V$4:$V$3183,1694),$V$4:$V$3183,0)),"")</f>
        <v/>
      </c>
      <c r="E1697" s="29">
        <f>IFERROR(INDEX($R$4:$R$3183,MATCH(SMALL($V$4:$V$3183,1694),$V$4:$V$3183,0)),"")</f>
        <v/>
      </c>
      <c r="F1697">
        <f>IFERROR(INDEX($S$4:$S$3183,MATCH(SMALL($V$4:$V$3183,1694),$V$4:$V$3183,0)),"")</f>
        <v/>
      </c>
      <c r="I1697" s="29">
        <f>IF($B1697="","",IFERROR(INDEX($U$4:$U$3183,MATCH(SMALL($V$4:$V$3183,1694),$V$4:$V$3183,0)),""))</f>
        <v/>
      </c>
      <c r="J1697">
        <f>IF($B1697="","",IF($D1697&gt;$F$2,"À venir",IF($E1697&lt;$D$2,"Passé","Dans la période")))</f>
        <v/>
      </c>
      <c r="K1697">
        <f>IF(OR($B1697="",NOT(ISNUMBER($D1697))),"",IF(AND($E1697&lt;$D$2,$G1697&lt;&gt;"X",$F1697&lt;&gt;"Réalisé",$F1697&lt;&gt;"Clôturé"),"RETARD",""))</f>
        <v/>
      </c>
      <c r="L1697">
        <f>IF(OR($B1697="",NOT(ISNUMBER($D1697))),"",IF(AND($D1697&gt;=$D$2,$D1697&lt;=$H$2,$G1697&lt;&gt;"X",$F1697&lt;&gt;"Réalisé",$F1697&lt;&gt;"Clôturé"),"≤ 7 j",""))</f>
        <v/>
      </c>
      <c r="M1697" s="29">
        <f>IF($B1697="","",IFERROR(INDEX($T$4:$T$3183,MATCH(SMALL($V$4:$V$3183,1694),$V$4:$V$3183,0)),""))</f>
        <v/>
      </c>
      <c r="O1697">
        <f>IF(INDEX(Suivi!$B:$B,1729)="","",INDEX(Suivi!$B:$B,1729))</f>
        <v/>
      </c>
      <c r="P1697">
        <f>IF($O1697="","",IF(INDEX(Suivi!$D:$D,1729)="",INDEX(Suivi!$C:$C,1729),INDEX(Suivi!$D:$D,1729)))</f>
        <v/>
      </c>
      <c r="Q1697">
        <f>IF($O1697="","",INDEX(Suivi!$E:$E,1729))</f>
        <v/>
      </c>
      <c r="R1697">
        <f>IF($O1697="","",INDEX(Suivi!$F:$F,1729))</f>
        <v/>
      </c>
      <c r="S1697">
        <f>IF($O1697="","",INDEX(Suivi!$G:$G,1729))</f>
        <v/>
      </c>
      <c r="T1697">
        <f>IF($O1697="","",IF(INDEX(Dossiers!$F$4:$F$63,32)="","",INDEX(Dossiers!$F$4:$F$63,32)))</f>
        <v/>
      </c>
      <c r="U1697">
        <f>IF($O1697="","",IF(INDEX(Dossiers!$G$4:$G$63,32)="","",INDEX(Dossiers!$G$4:$G$63,32)))</f>
        <v/>
      </c>
      <c r="V1697">
        <f>IF(OR($O1697="",NOT(ISNUMBER($Q1697))),"",$Q1697*1000000+1697)</f>
        <v/>
      </c>
      <c r="W1697" s="29">
        <f>IF($B1697="","",IFERROR(INDEX($U$4:$U$3183,MATCH(SMALL($V$4:$V$3183,1694),$V$4:$V$3183,0)),""))</f>
        <v/>
      </c>
    </row>
    <row r="1698">
      <c r="A1698">
        <f>IFERROR(INDEX($N$4:$N$3183,MATCH(SMALL($V$4:$V$3183,1695),$V$4:$V$3183,0)),"")</f>
        <v/>
      </c>
      <c r="B1698">
        <f>IFERROR(INDEX($O$4:$O$3183,MATCH(SMALL($V$4:$V$3183,1695),$V$4:$V$3183,0)),"")</f>
        <v/>
      </c>
      <c r="C1698">
        <f>IFERROR(INDEX($P$4:$P$3183,MATCH(SMALL($V$4:$V$3183,1695),$V$4:$V$3183,0)),"")</f>
        <v/>
      </c>
      <c r="D1698" s="29">
        <f>IFERROR(INDEX($Q$4:$Q$3183,MATCH(SMALL($V$4:$V$3183,1695),$V$4:$V$3183,0)),"")</f>
        <v/>
      </c>
      <c r="E1698" s="29">
        <f>IFERROR(INDEX($R$4:$R$3183,MATCH(SMALL($V$4:$V$3183,1695),$V$4:$V$3183,0)),"")</f>
        <v/>
      </c>
      <c r="F1698">
        <f>IFERROR(INDEX($S$4:$S$3183,MATCH(SMALL($V$4:$V$3183,1695),$V$4:$V$3183,0)),"")</f>
        <v/>
      </c>
      <c r="I1698" s="29">
        <f>IF($B1698="","",IFERROR(INDEX($U$4:$U$3183,MATCH(SMALL($V$4:$V$3183,1695),$V$4:$V$3183,0)),""))</f>
        <v/>
      </c>
      <c r="J1698">
        <f>IF($B1698="","",IF($D1698&gt;$F$2,"À venir",IF($E1698&lt;$D$2,"Passé","Dans la période")))</f>
        <v/>
      </c>
      <c r="K1698">
        <f>IF(OR($B1698="",NOT(ISNUMBER($D1698))),"",IF(AND($E1698&lt;$D$2,$G1698&lt;&gt;"X",$F1698&lt;&gt;"Réalisé",$F1698&lt;&gt;"Clôturé"),"RETARD",""))</f>
        <v/>
      </c>
      <c r="L1698">
        <f>IF(OR($B1698="",NOT(ISNUMBER($D1698))),"",IF(AND($D1698&gt;=$D$2,$D1698&lt;=$H$2,$G1698&lt;&gt;"X",$F1698&lt;&gt;"Réalisé",$F1698&lt;&gt;"Clôturé"),"≤ 7 j",""))</f>
        <v/>
      </c>
      <c r="M1698" s="29">
        <f>IF($B1698="","",IFERROR(INDEX($T$4:$T$3183,MATCH(SMALL($V$4:$V$3183,1695),$V$4:$V$3183,0)),""))</f>
        <v/>
      </c>
      <c r="O1698">
        <f>IF(INDEX(Suivi!$B:$B,1730)="","",INDEX(Suivi!$B:$B,1730))</f>
        <v/>
      </c>
      <c r="P1698">
        <f>IF($O1698="","",IF(INDEX(Suivi!$D:$D,1730)="",INDEX(Suivi!$C:$C,1730),INDEX(Suivi!$D:$D,1730)))</f>
        <v/>
      </c>
      <c r="Q1698">
        <f>IF($O1698="","",INDEX(Suivi!$E:$E,1730))</f>
        <v/>
      </c>
      <c r="R1698">
        <f>IF($O1698="","",INDEX(Suivi!$F:$F,1730))</f>
        <v/>
      </c>
      <c r="S1698">
        <f>IF($O1698="","",INDEX(Suivi!$G:$G,1730))</f>
        <v/>
      </c>
      <c r="T1698">
        <f>IF($O1698="","",IF(INDEX(Dossiers!$F$4:$F$63,32)="","",INDEX(Dossiers!$F$4:$F$63,32)))</f>
        <v/>
      </c>
      <c r="U1698">
        <f>IF($O1698="","",IF(INDEX(Dossiers!$G$4:$G$63,32)="","",INDEX(Dossiers!$G$4:$G$63,32)))</f>
        <v/>
      </c>
      <c r="V1698">
        <f>IF(OR($O1698="",NOT(ISNUMBER($Q1698))),"",$Q1698*1000000+1698)</f>
        <v/>
      </c>
      <c r="W1698" s="29">
        <f>IF($B1698="","",IFERROR(INDEX($U$4:$U$3183,MATCH(SMALL($V$4:$V$3183,1695),$V$4:$V$3183,0)),""))</f>
        <v/>
      </c>
    </row>
    <row r="1699">
      <c r="A1699">
        <f>IFERROR(INDEX($N$4:$N$3183,MATCH(SMALL($V$4:$V$3183,1696),$V$4:$V$3183,0)),"")</f>
        <v/>
      </c>
      <c r="B1699">
        <f>IFERROR(INDEX($O$4:$O$3183,MATCH(SMALL($V$4:$V$3183,1696),$V$4:$V$3183,0)),"")</f>
        <v/>
      </c>
      <c r="C1699">
        <f>IFERROR(INDEX($P$4:$P$3183,MATCH(SMALL($V$4:$V$3183,1696),$V$4:$V$3183,0)),"")</f>
        <v/>
      </c>
      <c r="D1699" s="29">
        <f>IFERROR(INDEX($Q$4:$Q$3183,MATCH(SMALL($V$4:$V$3183,1696),$V$4:$V$3183,0)),"")</f>
        <v/>
      </c>
      <c r="E1699" s="29">
        <f>IFERROR(INDEX($R$4:$R$3183,MATCH(SMALL($V$4:$V$3183,1696),$V$4:$V$3183,0)),"")</f>
        <v/>
      </c>
      <c r="F1699">
        <f>IFERROR(INDEX($S$4:$S$3183,MATCH(SMALL($V$4:$V$3183,1696),$V$4:$V$3183,0)),"")</f>
        <v/>
      </c>
      <c r="I1699" s="29">
        <f>IF($B1699="","",IFERROR(INDEX($U$4:$U$3183,MATCH(SMALL($V$4:$V$3183,1696),$V$4:$V$3183,0)),""))</f>
        <v/>
      </c>
      <c r="J1699">
        <f>IF($B1699="","",IF($D1699&gt;$F$2,"À venir",IF($E1699&lt;$D$2,"Passé","Dans la période")))</f>
        <v/>
      </c>
      <c r="K1699">
        <f>IF(OR($B1699="",NOT(ISNUMBER($D1699))),"",IF(AND($E1699&lt;$D$2,$G1699&lt;&gt;"X",$F1699&lt;&gt;"Réalisé",$F1699&lt;&gt;"Clôturé"),"RETARD",""))</f>
        <v/>
      </c>
      <c r="L1699">
        <f>IF(OR($B1699="",NOT(ISNUMBER($D1699))),"",IF(AND($D1699&gt;=$D$2,$D1699&lt;=$H$2,$G1699&lt;&gt;"X",$F1699&lt;&gt;"Réalisé",$F1699&lt;&gt;"Clôturé"),"≤ 7 j",""))</f>
        <v/>
      </c>
      <c r="M1699" s="29">
        <f>IF($B1699="","",IFERROR(INDEX($T$4:$T$3183,MATCH(SMALL($V$4:$V$3183,1696),$V$4:$V$3183,0)),""))</f>
        <v/>
      </c>
      <c r="O1699">
        <f>IF(INDEX(Suivi!$B:$B,1731)="","",INDEX(Suivi!$B:$B,1731))</f>
        <v/>
      </c>
      <c r="P1699">
        <f>IF($O1699="","",IF(INDEX(Suivi!$D:$D,1731)="",INDEX(Suivi!$C:$C,1731),INDEX(Suivi!$D:$D,1731)))</f>
        <v/>
      </c>
      <c r="Q1699">
        <f>IF($O1699="","",INDEX(Suivi!$E:$E,1731))</f>
        <v/>
      </c>
      <c r="R1699">
        <f>IF($O1699="","",INDEX(Suivi!$F:$F,1731))</f>
        <v/>
      </c>
      <c r="S1699">
        <f>IF($O1699="","",INDEX(Suivi!$G:$G,1731))</f>
        <v/>
      </c>
      <c r="T1699">
        <f>IF($O1699="","",IF(INDEX(Dossiers!$F$4:$F$63,32)="","",INDEX(Dossiers!$F$4:$F$63,32)))</f>
        <v/>
      </c>
      <c r="U1699">
        <f>IF($O1699="","",IF(INDEX(Dossiers!$G$4:$G$63,32)="","",INDEX(Dossiers!$G$4:$G$63,32)))</f>
        <v/>
      </c>
      <c r="V1699">
        <f>IF(OR($O1699="",NOT(ISNUMBER($Q1699))),"",$Q1699*1000000+1699)</f>
        <v/>
      </c>
      <c r="W1699" s="29">
        <f>IF($B1699="","",IFERROR(INDEX($U$4:$U$3183,MATCH(SMALL($V$4:$V$3183,1696),$V$4:$V$3183,0)),""))</f>
        <v/>
      </c>
    </row>
    <row r="1700">
      <c r="A1700">
        <f>IFERROR(INDEX($N$4:$N$3183,MATCH(SMALL($V$4:$V$3183,1697),$V$4:$V$3183,0)),"")</f>
        <v/>
      </c>
      <c r="B1700">
        <f>IFERROR(INDEX($O$4:$O$3183,MATCH(SMALL($V$4:$V$3183,1697),$V$4:$V$3183,0)),"")</f>
        <v/>
      </c>
      <c r="C1700">
        <f>IFERROR(INDEX($P$4:$P$3183,MATCH(SMALL($V$4:$V$3183,1697),$V$4:$V$3183,0)),"")</f>
        <v/>
      </c>
      <c r="D1700" s="29">
        <f>IFERROR(INDEX($Q$4:$Q$3183,MATCH(SMALL($V$4:$V$3183,1697),$V$4:$V$3183,0)),"")</f>
        <v/>
      </c>
      <c r="E1700" s="29">
        <f>IFERROR(INDEX($R$4:$R$3183,MATCH(SMALL($V$4:$V$3183,1697),$V$4:$V$3183,0)),"")</f>
        <v/>
      </c>
      <c r="F1700">
        <f>IFERROR(INDEX($S$4:$S$3183,MATCH(SMALL($V$4:$V$3183,1697),$V$4:$V$3183,0)),"")</f>
        <v/>
      </c>
      <c r="I1700" s="29">
        <f>IF($B1700="","",IFERROR(INDEX($U$4:$U$3183,MATCH(SMALL($V$4:$V$3183,1697),$V$4:$V$3183,0)),""))</f>
        <v/>
      </c>
      <c r="J1700">
        <f>IF($B1700="","",IF($D1700&gt;$F$2,"À venir",IF($E1700&lt;$D$2,"Passé","Dans la période")))</f>
        <v/>
      </c>
      <c r="K1700">
        <f>IF(OR($B1700="",NOT(ISNUMBER($D1700))),"",IF(AND($E1700&lt;$D$2,$G1700&lt;&gt;"X",$F1700&lt;&gt;"Réalisé",$F1700&lt;&gt;"Clôturé"),"RETARD",""))</f>
        <v/>
      </c>
      <c r="L1700">
        <f>IF(OR($B1700="",NOT(ISNUMBER($D1700))),"",IF(AND($D1700&gt;=$D$2,$D1700&lt;=$H$2,$G1700&lt;&gt;"X",$F1700&lt;&gt;"Réalisé",$F1700&lt;&gt;"Clôturé"),"≤ 7 j",""))</f>
        <v/>
      </c>
      <c r="M1700" s="29">
        <f>IF($B1700="","",IFERROR(INDEX($T$4:$T$3183,MATCH(SMALL($V$4:$V$3183,1697),$V$4:$V$3183,0)),""))</f>
        <v/>
      </c>
      <c r="O1700">
        <f>IF(INDEX(Suivi!$B:$B,1733)="","",INDEX(Suivi!$B:$B,1733))</f>
        <v/>
      </c>
      <c r="P1700">
        <f>IF($O1700="","",IF(INDEX(Suivi!$D:$D,1733)="",INDEX(Suivi!$C:$C,1733),INDEX(Suivi!$D:$D,1733)))</f>
        <v/>
      </c>
      <c r="Q1700">
        <f>IF($O1700="","",INDEX(Suivi!$E:$E,1733))</f>
        <v/>
      </c>
      <c r="R1700">
        <f>IF($O1700="","",INDEX(Suivi!$F:$F,1733))</f>
        <v/>
      </c>
      <c r="S1700">
        <f>IF($O1700="","",INDEX(Suivi!$G:$G,1733))</f>
        <v/>
      </c>
      <c r="T1700">
        <f>IF($O1700="","",IF(INDEX(Dossiers!$F$4:$F$63,33)="","",INDEX(Dossiers!$F$4:$F$63,33)))</f>
        <v/>
      </c>
      <c r="U1700">
        <f>IF($O1700="","",IF(INDEX(Dossiers!$G$4:$G$63,33)="","",INDEX(Dossiers!$G$4:$G$63,33)))</f>
        <v/>
      </c>
      <c r="V1700">
        <f>IF(OR($O1700="",NOT(ISNUMBER($Q1700))),"",$Q1700*1000000+1700)</f>
        <v/>
      </c>
      <c r="W1700" s="29">
        <f>IF($B1700="","",IFERROR(INDEX($U$4:$U$3183,MATCH(SMALL($V$4:$V$3183,1697),$V$4:$V$3183,0)),""))</f>
        <v/>
      </c>
    </row>
    <row r="1701">
      <c r="A1701">
        <f>IFERROR(INDEX($N$4:$N$3183,MATCH(SMALL($V$4:$V$3183,1698),$V$4:$V$3183,0)),"")</f>
        <v/>
      </c>
      <c r="B1701">
        <f>IFERROR(INDEX($O$4:$O$3183,MATCH(SMALL($V$4:$V$3183,1698),$V$4:$V$3183,0)),"")</f>
        <v/>
      </c>
      <c r="C1701">
        <f>IFERROR(INDEX($P$4:$P$3183,MATCH(SMALL($V$4:$V$3183,1698),$V$4:$V$3183,0)),"")</f>
        <v/>
      </c>
      <c r="D1701" s="29">
        <f>IFERROR(INDEX($Q$4:$Q$3183,MATCH(SMALL($V$4:$V$3183,1698),$V$4:$V$3183,0)),"")</f>
        <v/>
      </c>
      <c r="E1701" s="29">
        <f>IFERROR(INDEX($R$4:$R$3183,MATCH(SMALL($V$4:$V$3183,1698),$V$4:$V$3183,0)),"")</f>
        <v/>
      </c>
      <c r="F1701">
        <f>IFERROR(INDEX($S$4:$S$3183,MATCH(SMALL($V$4:$V$3183,1698),$V$4:$V$3183,0)),"")</f>
        <v/>
      </c>
      <c r="I1701" s="29">
        <f>IF($B1701="","",IFERROR(INDEX($U$4:$U$3183,MATCH(SMALL($V$4:$V$3183,1698),$V$4:$V$3183,0)),""))</f>
        <v/>
      </c>
      <c r="J1701">
        <f>IF($B1701="","",IF($D1701&gt;$F$2,"À venir",IF($E1701&lt;$D$2,"Passé","Dans la période")))</f>
        <v/>
      </c>
      <c r="K1701">
        <f>IF(OR($B1701="",NOT(ISNUMBER($D1701))),"",IF(AND($E1701&lt;$D$2,$G1701&lt;&gt;"X",$F1701&lt;&gt;"Réalisé",$F1701&lt;&gt;"Clôturé"),"RETARD",""))</f>
        <v/>
      </c>
      <c r="L1701">
        <f>IF(OR($B1701="",NOT(ISNUMBER($D1701))),"",IF(AND($D1701&gt;=$D$2,$D1701&lt;=$H$2,$G1701&lt;&gt;"X",$F1701&lt;&gt;"Réalisé",$F1701&lt;&gt;"Clôturé"),"≤ 7 j",""))</f>
        <v/>
      </c>
      <c r="M1701" s="29">
        <f>IF($B1701="","",IFERROR(INDEX($T$4:$T$3183,MATCH(SMALL($V$4:$V$3183,1698),$V$4:$V$3183,0)),""))</f>
        <v/>
      </c>
      <c r="O1701">
        <f>IF(INDEX(Suivi!$B:$B,1734)="","",INDEX(Suivi!$B:$B,1734))</f>
        <v/>
      </c>
      <c r="P1701">
        <f>IF($O1701="","",IF(INDEX(Suivi!$D:$D,1734)="",INDEX(Suivi!$C:$C,1734),INDEX(Suivi!$D:$D,1734)))</f>
        <v/>
      </c>
      <c r="Q1701">
        <f>IF($O1701="","",INDEX(Suivi!$E:$E,1734))</f>
        <v/>
      </c>
      <c r="R1701">
        <f>IF($O1701="","",INDEX(Suivi!$F:$F,1734))</f>
        <v/>
      </c>
      <c r="S1701">
        <f>IF($O1701="","",INDEX(Suivi!$G:$G,1734))</f>
        <v/>
      </c>
      <c r="T1701">
        <f>IF($O1701="","",IF(INDEX(Dossiers!$F$4:$F$63,33)="","",INDEX(Dossiers!$F$4:$F$63,33)))</f>
        <v/>
      </c>
      <c r="U1701">
        <f>IF($O1701="","",IF(INDEX(Dossiers!$G$4:$G$63,33)="","",INDEX(Dossiers!$G$4:$G$63,33)))</f>
        <v/>
      </c>
      <c r="V1701">
        <f>IF(OR($O1701="",NOT(ISNUMBER($Q1701))),"",$Q1701*1000000+1701)</f>
        <v/>
      </c>
      <c r="W1701" s="29">
        <f>IF($B1701="","",IFERROR(INDEX($U$4:$U$3183,MATCH(SMALL($V$4:$V$3183,1698),$V$4:$V$3183,0)),""))</f>
        <v/>
      </c>
    </row>
    <row r="1702">
      <c r="A1702">
        <f>IFERROR(INDEX($N$4:$N$3183,MATCH(SMALL($V$4:$V$3183,1699),$V$4:$V$3183,0)),"")</f>
        <v/>
      </c>
      <c r="B1702">
        <f>IFERROR(INDEX($O$4:$O$3183,MATCH(SMALL($V$4:$V$3183,1699),$V$4:$V$3183,0)),"")</f>
        <v/>
      </c>
      <c r="C1702">
        <f>IFERROR(INDEX($P$4:$P$3183,MATCH(SMALL($V$4:$V$3183,1699),$V$4:$V$3183,0)),"")</f>
        <v/>
      </c>
      <c r="D1702" s="29">
        <f>IFERROR(INDEX($Q$4:$Q$3183,MATCH(SMALL($V$4:$V$3183,1699),$V$4:$V$3183,0)),"")</f>
        <v/>
      </c>
      <c r="E1702" s="29">
        <f>IFERROR(INDEX($R$4:$R$3183,MATCH(SMALL($V$4:$V$3183,1699),$V$4:$V$3183,0)),"")</f>
        <v/>
      </c>
      <c r="F1702">
        <f>IFERROR(INDEX($S$4:$S$3183,MATCH(SMALL($V$4:$V$3183,1699),$V$4:$V$3183,0)),"")</f>
        <v/>
      </c>
      <c r="I1702" s="29">
        <f>IF($B1702="","",IFERROR(INDEX($U$4:$U$3183,MATCH(SMALL($V$4:$V$3183,1699),$V$4:$V$3183,0)),""))</f>
        <v/>
      </c>
      <c r="J1702">
        <f>IF($B1702="","",IF($D1702&gt;$F$2,"À venir",IF($E1702&lt;$D$2,"Passé","Dans la période")))</f>
        <v/>
      </c>
      <c r="K1702">
        <f>IF(OR($B1702="",NOT(ISNUMBER($D1702))),"",IF(AND($E1702&lt;$D$2,$G1702&lt;&gt;"X",$F1702&lt;&gt;"Réalisé",$F1702&lt;&gt;"Clôturé"),"RETARD",""))</f>
        <v/>
      </c>
      <c r="L1702">
        <f>IF(OR($B1702="",NOT(ISNUMBER($D1702))),"",IF(AND($D1702&gt;=$D$2,$D1702&lt;=$H$2,$G1702&lt;&gt;"X",$F1702&lt;&gt;"Réalisé",$F1702&lt;&gt;"Clôturé"),"≤ 7 j",""))</f>
        <v/>
      </c>
      <c r="M1702" s="29">
        <f>IF($B1702="","",IFERROR(INDEX($T$4:$T$3183,MATCH(SMALL($V$4:$V$3183,1699),$V$4:$V$3183,0)),""))</f>
        <v/>
      </c>
      <c r="O1702">
        <f>IF(INDEX(Suivi!$B:$B,1735)="","",INDEX(Suivi!$B:$B,1735))</f>
        <v/>
      </c>
      <c r="P1702">
        <f>IF($O1702="","",IF(INDEX(Suivi!$D:$D,1735)="",INDEX(Suivi!$C:$C,1735),INDEX(Suivi!$D:$D,1735)))</f>
        <v/>
      </c>
      <c r="Q1702">
        <f>IF($O1702="","",INDEX(Suivi!$E:$E,1735))</f>
        <v/>
      </c>
      <c r="R1702">
        <f>IF($O1702="","",INDEX(Suivi!$F:$F,1735))</f>
        <v/>
      </c>
      <c r="S1702">
        <f>IF($O1702="","",INDEX(Suivi!$G:$G,1735))</f>
        <v/>
      </c>
      <c r="T1702">
        <f>IF($O1702="","",IF(INDEX(Dossiers!$F$4:$F$63,33)="","",INDEX(Dossiers!$F$4:$F$63,33)))</f>
        <v/>
      </c>
      <c r="U1702">
        <f>IF($O1702="","",IF(INDEX(Dossiers!$G$4:$G$63,33)="","",INDEX(Dossiers!$G$4:$G$63,33)))</f>
        <v/>
      </c>
      <c r="V1702">
        <f>IF(OR($O1702="",NOT(ISNUMBER($Q1702))),"",$Q1702*1000000+1702)</f>
        <v/>
      </c>
      <c r="W1702" s="29">
        <f>IF($B1702="","",IFERROR(INDEX($U$4:$U$3183,MATCH(SMALL($V$4:$V$3183,1699),$V$4:$V$3183,0)),""))</f>
        <v/>
      </c>
    </row>
    <row r="1703">
      <c r="A1703">
        <f>IFERROR(INDEX($N$4:$N$3183,MATCH(SMALL($V$4:$V$3183,1700),$V$4:$V$3183,0)),"")</f>
        <v/>
      </c>
      <c r="B1703">
        <f>IFERROR(INDEX($O$4:$O$3183,MATCH(SMALL($V$4:$V$3183,1700),$V$4:$V$3183,0)),"")</f>
        <v/>
      </c>
      <c r="C1703">
        <f>IFERROR(INDEX($P$4:$P$3183,MATCH(SMALL($V$4:$V$3183,1700),$V$4:$V$3183,0)),"")</f>
        <v/>
      </c>
      <c r="D1703" s="29">
        <f>IFERROR(INDEX($Q$4:$Q$3183,MATCH(SMALL($V$4:$V$3183,1700),$V$4:$V$3183,0)),"")</f>
        <v/>
      </c>
      <c r="E1703" s="29">
        <f>IFERROR(INDEX($R$4:$R$3183,MATCH(SMALL($V$4:$V$3183,1700),$V$4:$V$3183,0)),"")</f>
        <v/>
      </c>
      <c r="F1703">
        <f>IFERROR(INDEX($S$4:$S$3183,MATCH(SMALL($V$4:$V$3183,1700),$V$4:$V$3183,0)),"")</f>
        <v/>
      </c>
      <c r="I1703" s="29">
        <f>IF($B1703="","",IFERROR(INDEX($U$4:$U$3183,MATCH(SMALL($V$4:$V$3183,1700),$V$4:$V$3183,0)),""))</f>
        <v/>
      </c>
      <c r="J1703">
        <f>IF($B1703="","",IF($D1703&gt;$F$2,"À venir",IF($E1703&lt;$D$2,"Passé","Dans la période")))</f>
        <v/>
      </c>
      <c r="K1703">
        <f>IF(OR($B1703="",NOT(ISNUMBER($D1703))),"",IF(AND($E1703&lt;$D$2,$G1703&lt;&gt;"X",$F1703&lt;&gt;"Réalisé",$F1703&lt;&gt;"Clôturé"),"RETARD",""))</f>
        <v/>
      </c>
      <c r="L1703">
        <f>IF(OR($B1703="",NOT(ISNUMBER($D1703))),"",IF(AND($D1703&gt;=$D$2,$D1703&lt;=$H$2,$G1703&lt;&gt;"X",$F1703&lt;&gt;"Réalisé",$F1703&lt;&gt;"Clôturé"),"≤ 7 j",""))</f>
        <v/>
      </c>
      <c r="M1703" s="29">
        <f>IF($B1703="","",IFERROR(INDEX($T$4:$T$3183,MATCH(SMALL($V$4:$V$3183,1700),$V$4:$V$3183,0)),""))</f>
        <v/>
      </c>
      <c r="O1703">
        <f>IF(INDEX(Suivi!$B:$B,1736)="","",INDEX(Suivi!$B:$B,1736))</f>
        <v/>
      </c>
      <c r="P1703">
        <f>IF($O1703="","",IF(INDEX(Suivi!$D:$D,1736)="",INDEX(Suivi!$C:$C,1736),INDEX(Suivi!$D:$D,1736)))</f>
        <v/>
      </c>
      <c r="Q1703">
        <f>IF($O1703="","",INDEX(Suivi!$E:$E,1736))</f>
        <v/>
      </c>
      <c r="R1703">
        <f>IF($O1703="","",INDEX(Suivi!$F:$F,1736))</f>
        <v/>
      </c>
      <c r="S1703">
        <f>IF($O1703="","",INDEX(Suivi!$G:$G,1736))</f>
        <v/>
      </c>
      <c r="T1703">
        <f>IF($O1703="","",IF(INDEX(Dossiers!$F$4:$F$63,33)="","",INDEX(Dossiers!$F$4:$F$63,33)))</f>
        <v/>
      </c>
      <c r="U1703">
        <f>IF($O1703="","",IF(INDEX(Dossiers!$G$4:$G$63,33)="","",INDEX(Dossiers!$G$4:$G$63,33)))</f>
        <v/>
      </c>
      <c r="V1703">
        <f>IF(OR($O1703="",NOT(ISNUMBER($Q1703))),"",$Q1703*1000000+1703)</f>
        <v/>
      </c>
      <c r="W1703" s="29">
        <f>IF($B1703="","",IFERROR(INDEX($U$4:$U$3183,MATCH(SMALL($V$4:$V$3183,1700),$V$4:$V$3183,0)),""))</f>
        <v/>
      </c>
    </row>
    <row r="1704">
      <c r="A1704">
        <f>IFERROR(INDEX($N$4:$N$3183,MATCH(SMALL($V$4:$V$3183,1701),$V$4:$V$3183,0)),"")</f>
        <v/>
      </c>
      <c r="B1704">
        <f>IFERROR(INDEX($O$4:$O$3183,MATCH(SMALL($V$4:$V$3183,1701),$V$4:$V$3183,0)),"")</f>
        <v/>
      </c>
      <c r="C1704">
        <f>IFERROR(INDEX($P$4:$P$3183,MATCH(SMALL($V$4:$V$3183,1701),$V$4:$V$3183,0)),"")</f>
        <v/>
      </c>
      <c r="D1704" s="29">
        <f>IFERROR(INDEX($Q$4:$Q$3183,MATCH(SMALL($V$4:$V$3183,1701),$V$4:$V$3183,0)),"")</f>
        <v/>
      </c>
      <c r="E1704" s="29">
        <f>IFERROR(INDEX($R$4:$R$3183,MATCH(SMALL($V$4:$V$3183,1701),$V$4:$V$3183,0)),"")</f>
        <v/>
      </c>
      <c r="F1704">
        <f>IFERROR(INDEX($S$4:$S$3183,MATCH(SMALL($V$4:$V$3183,1701),$V$4:$V$3183,0)),"")</f>
        <v/>
      </c>
      <c r="I1704" s="29">
        <f>IF($B1704="","",IFERROR(INDEX($U$4:$U$3183,MATCH(SMALL($V$4:$V$3183,1701),$V$4:$V$3183,0)),""))</f>
        <v/>
      </c>
      <c r="J1704">
        <f>IF($B1704="","",IF($D1704&gt;$F$2,"À venir",IF($E1704&lt;$D$2,"Passé","Dans la période")))</f>
        <v/>
      </c>
      <c r="K1704">
        <f>IF(OR($B1704="",NOT(ISNUMBER($D1704))),"",IF(AND($E1704&lt;$D$2,$G1704&lt;&gt;"X",$F1704&lt;&gt;"Réalisé",$F1704&lt;&gt;"Clôturé"),"RETARD",""))</f>
        <v/>
      </c>
      <c r="L1704">
        <f>IF(OR($B1704="",NOT(ISNUMBER($D1704))),"",IF(AND($D1704&gt;=$D$2,$D1704&lt;=$H$2,$G1704&lt;&gt;"X",$F1704&lt;&gt;"Réalisé",$F1704&lt;&gt;"Clôturé"),"≤ 7 j",""))</f>
        <v/>
      </c>
      <c r="M1704" s="29">
        <f>IF($B1704="","",IFERROR(INDEX($T$4:$T$3183,MATCH(SMALL($V$4:$V$3183,1701),$V$4:$V$3183,0)),""))</f>
        <v/>
      </c>
      <c r="O1704">
        <f>IF(INDEX(Suivi!$B:$B,1737)="","",INDEX(Suivi!$B:$B,1737))</f>
        <v/>
      </c>
      <c r="P1704">
        <f>IF($O1704="","",IF(INDEX(Suivi!$D:$D,1737)="",INDEX(Suivi!$C:$C,1737),INDEX(Suivi!$D:$D,1737)))</f>
        <v/>
      </c>
      <c r="Q1704">
        <f>IF($O1704="","",INDEX(Suivi!$E:$E,1737))</f>
        <v/>
      </c>
      <c r="R1704">
        <f>IF($O1704="","",INDEX(Suivi!$F:$F,1737))</f>
        <v/>
      </c>
      <c r="S1704">
        <f>IF($O1704="","",INDEX(Suivi!$G:$G,1737))</f>
        <v/>
      </c>
      <c r="T1704">
        <f>IF($O1704="","",IF(INDEX(Dossiers!$F$4:$F$63,33)="","",INDEX(Dossiers!$F$4:$F$63,33)))</f>
        <v/>
      </c>
      <c r="U1704">
        <f>IF($O1704="","",IF(INDEX(Dossiers!$G$4:$G$63,33)="","",INDEX(Dossiers!$G$4:$G$63,33)))</f>
        <v/>
      </c>
      <c r="V1704">
        <f>IF(OR($O1704="",NOT(ISNUMBER($Q1704))),"",$Q1704*1000000+1704)</f>
        <v/>
      </c>
      <c r="W1704" s="29">
        <f>IF($B1704="","",IFERROR(INDEX($U$4:$U$3183,MATCH(SMALL($V$4:$V$3183,1701),$V$4:$V$3183,0)),""))</f>
        <v/>
      </c>
    </row>
    <row r="1705">
      <c r="A1705">
        <f>IFERROR(INDEX($N$4:$N$3183,MATCH(SMALL($V$4:$V$3183,1702),$V$4:$V$3183,0)),"")</f>
        <v/>
      </c>
      <c r="B1705">
        <f>IFERROR(INDEX($O$4:$O$3183,MATCH(SMALL($V$4:$V$3183,1702),$V$4:$V$3183,0)),"")</f>
        <v/>
      </c>
      <c r="C1705">
        <f>IFERROR(INDEX($P$4:$P$3183,MATCH(SMALL($V$4:$V$3183,1702),$V$4:$V$3183,0)),"")</f>
        <v/>
      </c>
      <c r="D1705" s="29">
        <f>IFERROR(INDEX($Q$4:$Q$3183,MATCH(SMALL($V$4:$V$3183,1702),$V$4:$V$3183,0)),"")</f>
        <v/>
      </c>
      <c r="E1705" s="29">
        <f>IFERROR(INDEX($R$4:$R$3183,MATCH(SMALL($V$4:$V$3183,1702),$V$4:$V$3183,0)),"")</f>
        <v/>
      </c>
      <c r="F1705">
        <f>IFERROR(INDEX($S$4:$S$3183,MATCH(SMALL($V$4:$V$3183,1702),$V$4:$V$3183,0)),"")</f>
        <v/>
      </c>
      <c r="I1705" s="29">
        <f>IF($B1705="","",IFERROR(INDEX($U$4:$U$3183,MATCH(SMALL($V$4:$V$3183,1702),$V$4:$V$3183,0)),""))</f>
        <v/>
      </c>
      <c r="J1705">
        <f>IF($B1705="","",IF($D1705&gt;$F$2,"À venir",IF($E1705&lt;$D$2,"Passé","Dans la période")))</f>
        <v/>
      </c>
      <c r="K1705">
        <f>IF(OR($B1705="",NOT(ISNUMBER($D1705))),"",IF(AND($E1705&lt;$D$2,$G1705&lt;&gt;"X",$F1705&lt;&gt;"Réalisé",$F1705&lt;&gt;"Clôturé"),"RETARD",""))</f>
        <v/>
      </c>
      <c r="L1705">
        <f>IF(OR($B1705="",NOT(ISNUMBER($D1705))),"",IF(AND($D1705&gt;=$D$2,$D1705&lt;=$H$2,$G1705&lt;&gt;"X",$F1705&lt;&gt;"Réalisé",$F1705&lt;&gt;"Clôturé"),"≤ 7 j",""))</f>
        <v/>
      </c>
      <c r="M1705" s="29">
        <f>IF($B1705="","",IFERROR(INDEX($T$4:$T$3183,MATCH(SMALL($V$4:$V$3183,1702),$V$4:$V$3183,0)),""))</f>
        <v/>
      </c>
      <c r="O1705">
        <f>IF(INDEX(Suivi!$B:$B,1738)="","",INDEX(Suivi!$B:$B,1738))</f>
        <v/>
      </c>
      <c r="P1705">
        <f>IF($O1705="","",IF(INDEX(Suivi!$D:$D,1738)="",INDEX(Suivi!$C:$C,1738),INDEX(Suivi!$D:$D,1738)))</f>
        <v/>
      </c>
      <c r="Q1705">
        <f>IF($O1705="","",INDEX(Suivi!$E:$E,1738))</f>
        <v/>
      </c>
      <c r="R1705">
        <f>IF($O1705="","",INDEX(Suivi!$F:$F,1738))</f>
        <v/>
      </c>
      <c r="S1705">
        <f>IF($O1705="","",INDEX(Suivi!$G:$G,1738))</f>
        <v/>
      </c>
      <c r="T1705">
        <f>IF($O1705="","",IF(INDEX(Dossiers!$F$4:$F$63,33)="","",INDEX(Dossiers!$F$4:$F$63,33)))</f>
        <v/>
      </c>
      <c r="U1705">
        <f>IF($O1705="","",IF(INDEX(Dossiers!$G$4:$G$63,33)="","",INDEX(Dossiers!$G$4:$G$63,33)))</f>
        <v/>
      </c>
      <c r="V1705">
        <f>IF(OR($O1705="",NOT(ISNUMBER($Q1705))),"",$Q1705*1000000+1705)</f>
        <v/>
      </c>
      <c r="W1705" s="29">
        <f>IF($B1705="","",IFERROR(INDEX($U$4:$U$3183,MATCH(SMALL($V$4:$V$3183,1702),$V$4:$V$3183,0)),""))</f>
        <v/>
      </c>
    </row>
    <row r="1706">
      <c r="A1706">
        <f>IFERROR(INDEX($N$4:$N$3183,MATCH(SMALL($V$4:$V$3183,1703),$V$4:$V$3183,0)),"")</f>
        <v/>
      </c>
      <c r="B1706">
        <f>IFERROR(INDEX($O$4:$O$3183,MATCH(SMALL($V$4:$V$3183,1703),$V$4:$V$3183,0)),"")</f>
        <v/>
      </c>
      <c r="C1706">
        <f>IFERROR(INDEX($P$4:$P$3183,MATCH(SMALL($V$4:$V$3183,1703),$V$4:$V$3183,0)),"")</f>
        <v/>
      </c>
      <c r="D1706" s="29">
        <f>IFERROR(INDEX($Q$4:$Q$3183,MATCH(SMALL($V$4:$V$3183,1703),$V$4:$V$3183,0)),"")</f>
        <v/>
      </c>
      <c r="E1706" s="29">
        <f>IFERROR(INDEX($R$4:$R$3183,MATCH(SMALL($V$4:$V$3183,1703),$V$4:$V$3183,0)),"")</f>
        <v/>
      </c>
      <c r="F1706">
        <f>IFERROR(INDEX($S$4:$S$3183,MATCH(SMALL($V$4:$V$3183,1703),$V$4:$V$3183,0)),"")</f>
        <v/>
      </c>
      <c r="I1706" s="29">
        <f>IF($B1706="","",IFERROR(INDEX($U$4:$U$3183,MATCH(SMALL($V$4:$V$3183,1703),$V$4:$V$3183,0)),""))</f>
        <v/>
      </c>
      <c r="J1706">
        <f>IF($B1706="","",IF($D1706&gt;$F$2,"À venir",IF($E1706&lt;$D$2,"Passé","Dans la période")))</f>
        <v/>
      </c>
      <c r="K1706">
        <f>IF(OR($B1706="",NOT(ISNUMBER($D1706))),"",IF(AND($E1706&lt;$D$2,$G1706&lt;&gt;"X",$F1706&lt;&gt;"Réalisé",$F1706&lt;&gt;"Clôturé"),"RETARD",""))</f>
        <v/>
      </c>
      <c r="L1706">
        <f>IF(OR($B1706="",NOT(ISNUMBER($D1706))),"",IF(AND($D1706&gt;=$D$2,$D1706&lt;=$H$2,$G1706&lt;&gt;"X",$F1706&lt;&gt;"Réalisé",$F1706&lt;&gt;"Clôturé"),"≤ 7 j",""))</f>
        <v/>
      </c>
      <c r="M1706" s="29">
        <f>IF($B1706="","",IFERROR(INDEX($T$4:$T$3183,MATCH(SMALL($V$4:$V$3183,1703),$V$4:$V$3183,0)),""))</f>
        <v/>
      </c>
      <c r="O1706">
        <f>IF(INDEX(Suivi!$B:$B,1739)="","",INDEX(Suivi!$B:$B,1739))</f>
        <v/>
      </c>
      <c r="P1706">
        <f>IF($O1706="","",IF(INDEX(Suivi!$D:$D,1739)="",INDEX(Suivi!$C:$C,1739),INDEX(Suivi!$D:$D,1739)))</f>
        <v/>
      </c>
      <c r="Q1706">
        <f>IF($O1706="","",INDEX(Suivi!$E:$E,1739))</f>
        <v/>
      </c>
      <c r="R1706">
        <f>IF($O1706="","",INDEX(Suivi!$F:$F,1739))</f>
        <v/>
      </c>
      <c r="S1706">
        <f>IF($O1706="","",INDEX(Suivi!$G:$G,1739))</f>
        <v/>
      </c>
      <c r="T1706">
        <f>IF($O1706="","",IF(INDEX(Dossiers!$F$4:$F$63,33)="","",INDEX(Dossiers!$F$4:$F$63,33)))</f>
        <v/>
      </c>
      <c r="U1706">
        <f>IF($O1706="","",IF(INDEX(Dossiers!$G$4:$G$63,33)="","",INDEX(Dossiers!$G$4:$G$63,33)))</f>
        <v/>
      </c>
      <c r="V1706">
        <f>IF(OR($O1706="",NOT(ISNUMBER($Q1706))),"",$Q1706*1000000+1706)</f>
        <v/>
      </c>
      <c r="W1706" s="29">
        <f>IF($B1706="","",IFERROR(INDEX($U$4:$U$3183,MATCH(SMALL($V$4:$V$3183,1703),$V$4:$V$3183,0)),""))</f>
        <v/>
      </c>
    </row>
    <row r="1707">
      <c r="A1707">
        <f>IFERROR(INDEX($N$4:$N$3183,MATCH(SMALL($V$4:$V$3183,1704),$V$4:$V$3183,0)),"")</f>
        <v/>
      </c>
      <c r="B1707">
        <f>IFERROR(INDEX($O$4:$O$3183,MATCH(SMALL($V$4:$V$3183,1704),$V$4:$V$3183,0)),"")</f>
        <v/>
      </c>
      <c r="C1707">
        <f>IFERROR(INDEX($P$4:$P$3183,MATCH(SMALL($V$4:$V$3183,1704),$V$4:$V$3183,0)),"")</f>
        <v/>
      </c>
      <c r="D1707" s="29">
        <f>IFERROR(INDEX($Q$4:$Q$3183,MATCH(SMALL($V$4:$V$3183,1704),$V$4:$V$3183,0)),"")</f>
        <v/>
      </c>
      <c r="E1707" s="29">
        <f>IFERROR(INDEX($R$4:$R$3183,MATCH(SMALL($V$4:$V$3183,1704),$V$4:$V$3183,0)),"")</f>
        <v/>
      </c>
      <c r="F1707">
        <f>IFERROR(INDEX($S$4:$S$3183,MATCH(SMALL($V$4:$V$3183,1704),$V$4:$V$3183,0)),"")</f>
        <v/>
      </c>
      <c r="I1707" s="29">
        <f>IF($B1707="","",IFERROR(INDEX($U$4:$U$3183,MATCH(SMALL($V$4:$V$3183,1704),$V$4:$V$3183,0)),""))</f>
        <v/>
      </c>
      <c r="J1707">
        <f>IF($B1707="","",IF($D1707&gt;$F$2,"À venir",IF($E1707&lt;$D$2,"Passé","Dans la période")))</f>
        <v/>
      </c>
      <c r="K1707">
        <f>IF(OR($B1707="",NOT(ISNUMBER($D1707))),"",IF(AND($E1707&lt;$D$2,$G1707&lt;&gt;"X",$F1707&lt;&gt;"Réalisé",$F1707&lt;&gt;"Clôturé"),"RETARD",""))</f>
        <v/>
      </c>
      <c r="L1707">
        <f>IF(OR($B1707="",NOT(ISNUMBER($D1707))),"",IF(AND($D1707&gt;=$D$2,$D1707&lt;=$H$2,$G1707&lt;&gt;"X",$F1707&lt;&gt;"Réalisé",$F1707&lt;&gt;"Clôturé"),"≤ 7 j",""))</f>
        <v/>
      </c>
      <c r="M1707" s="29">
        <f>IF($B1707="","",IFERROR(INDEX($T$4:$T$3183,MATCH(SMALL($V$4:$V$3183,1704),$V$4:$V$3183,0)),""))</f>
        <v/>
      </c>
      <c r="O1707">
        <f>IF(INDEX(Suivi!$B:$B,1740)="","",INDEX(Suivi!$B:$B,1740))</f>
        <v/>
      </c>
      <c r="P1707">
        <f>IF($O1707="","",IF(INDEX(Suivi!$D:$D,1740)="",INDEX(Suivi!$C:$C,1740),INDEX(Suivi!$D:$D,1740)))</f>
        <v/>
      </c>
      <c r="Q1707">
        <f>IF($O1707="","",INDEX(Suivi!$E:$E,1740))</f>
        <v/>
      </c>
      <c r="R1707">
        <f>IF($O1707="","",INDEX(Suivi!$F:$F,1740))</f>
        <v/>
      </c>
      <c r="S1707">
        <f>IF($O1707="","",INDEX(Suivi!$G:$G,1740))</f>
        <v/>
      </c>
      <c r="T1707">
        <f>IF($O1707="","",IF(INDEX(Dossiers!$F$4:$F$63,33)="","",INDEX(Dossiers!$F$4:$F$63,33)))</f>
        <v/>
      </c>
      <c r="U1707">
        <f>IF($O1707="","",IF(INDEX(Dossiers!$G$4:$G$63,33)="","",INDEX(Dossiers!$G$4:$G$63,33)))</f>
        <v/>
      </c>
      <c r="V1707">
        <f>IF(OR($O1707="",NOT(ISNUMBER($Q1707))),"",$Q1707*1000000+1707)</f>
        <v/>
      </c>
      <c r="W1707" s="29">
        <f>IF($B1707="","",IFERROR(INDEX($U$4:$U$3183,MATCH(SMALL($V$4:$V$3183,1704),$V$4:$V$3183,0)),""))</f>
        <v/>
      </c>
    </row>
    <row r="1708">
      <c r="A1708">
        <f>IFERROR(INDEX($N$4:$N$3183,MATCH(SMALL($V$4:$V$3183,1705),$V$4:$V$3183,0)),"")</f>
        <v/>
      </c>
      <c r="B1708">
        <f>IFERROR(INDEX($O$4:$O$3183,MATCH(SMALL($V$4:$V$3183,1705),$V$4:$V$3183,0)),"")</f>
        <v/>
      </c>
      <c r="C1708">
        <f>IFERROR(INDEX($P$4:$P$3183,MATCH(SMALL($V$4:$V$3183,1705),$V$4:$V$3183,0)),"")</f>
        <v/>
      </c>
      <c r="D1708" s="29">
        <f>IFERROR(INDEX($Q$4:$Q$3183,MATCH(SMALL($V$4:$V$3183,1705),$V$4:$V$3183,0)),"")</f>
        <v/>
      </c>
      <c r="E1708" s="29">
        <f>IFERROR(INDEX($R$4:$R$3183,MATCH(SMALL($V$4:$V$3183,1705),$V$4:$V$3183,0)),"")</f>
        <v/>
      </c>
      <c r="F1708">
        <f>IFERROR(INDEX($S$4:$S$3183,MATCH(SMALL($V$4:$V$3183,1705),$V$4:$V$3183,0)),"")</f>
        <v/>
      </c>
      <c r="I1708" s="29">
        <f>IF($B1708="","",IFERROR(INDEX($U$4:$U$3183,MATCH(SMALL($V$4:$V$3183,1705),$V$4:$V$3183,0)),""))</f>
        <v/>
      </c>
      <c r="J1708">
        <f>IF($B1708="","",IF($D1708&gt;$F$2,"À venir",IF($E1708&lt;$D$2,"Passé","Dans la période")))</f>
        <v/>
      </c>
      <c r="K1708">
        <f>IF(OR($B1708="",NOT(ISNUMBER($D1708))),"",IF(AND($E1708&lt;$D$2,$G1708&lt;&gt;"X",$F1708&lt;&gt;"Réalisé",$F1708&lt;&gt;"Clôturé"),"RETARD",""))</f>
        <v/>
      </c>
      <c r="L1708">
        <f>IF(OR($B1708="",NOT(ISNUMBER($D1708))),"",IF(AND($D1708&gt;=$D$2,$D1708&lt;=$H$2,$G1708&lt;&gt;"X",$F1708&lt;&gt;"Réalisé",$F1708&lt;&gt;"Clôturé"),"≤ 7 j",""))</f>
        <v/>
      </c>
      <c r="M1708" s="29">
        <f>IF($B1708="","",IFERROR(INDEX($T$4:$T$3183,MATCH(SMALL($V$4:$V$3183,1705),$V$4:$V$3183,0)),""))</f>
        <v/>
      </c>
      <c r="O1708">
        <f>IF(INDEX(Suivi!$B:$B,1741)="","",INDEX(Suivi!$B:$B,1741))</f>
        <v/>
      </c>
      <c r="P1708">
        <f>IF($O1708="","",IF(INDEX(Suivi!$D:$D,1741)="",INDEX(Suivi!$C:$C,1741),INDEX(Suivi!$D:$D,1741)))</f>
        <v/>
      </c>
      <c r="Q1708">
        <f>IF($O1708="","",INDEX(Suivi!$E:$E,1741))</f>
        <v/>
      </c>
      <c r="R1708">
        <f>IF($O1708="","",INDEX(Suivi!$F:$F,1741))</f>
        <v/>
      </c>
      <c r="S1708">
        <f>IF($O1708="","",INDEX(Suivi!$G:$G,1741))</f>
        <v/>
      </c>
      <c r="T1708">
        <f>IF($O1708="","",IF(INDEX(Dossiers!$F$4:$F$63,33)="","",INDEX(Dossiers!$F$4:$F$63,33)))</f>
        <v/>
      </c>
      <c r="U1708">
        <f>IF($O1708="","",IF(INDEX(Dossiers!$G$4:$G$63,33)="","",INDEX(Dossiers!$G$4:$G$63,33)))</f>
        <v/>
      </c>
      <c r="V1708">
        <f>IF(OR($O1708="",NOT(ISNUMBER($Q1708))),"",$Q1708*1000000+1708)</f>
        <v/>
      </c>
      <c r="W1708" s="29">
        <f>IF($B1708="","",IFERROR(INDEX($U$4:$U$3183,MATCH(SMALL($V$4:$V$3183,1705),$V$4:$V$3183,0)),""))</f>
        <v/>
      </c>
    </row>
    <row r="1709">
      <c r="A1709">
        <f>IFERROR(INDEX($N$4:$N$3183,MATCH(SMALL($V$4:$V$3183,1706),$V$4:$V$3183,0)),"")</f>
        <v/>
      </c>
      <c r="B1709">
        <f>IFERROR(INDEX($O$4:$O$3183,MATCH(SMALL($V$4:$V$3183,1706),$V$4:$V$3183,0)),"")</f>
        <v/>
      </c>
      <c r="C1709">
        <f>IFERROR(INDEX($P$4:$P$3183,MATCH(SMALL($V$4:$V$3183,1706),$V$4:$V$3183,0)),"")</f>
        <v/>
      </c>
      <c r="D1709" s="29">
        <f>IFERROR(INDEX($Q$4:$Q$3183,MATCH(SMALL($V$4:$V$3183,1706),$V$4:$V$3183,0)),"")</f>
        <v/>
      </c>
      <c r="E1709" s="29">
        <f>IFERROR(INDEX($R$4:$R$3183,MATCH(SMALL($V$4:$V$3183,1706),$V$4:$V$3183,0)),"")</f>
        <v/>
      </c>
      <c r="F1709">
        <f>IFERROR(INDEX($S$4:$S$3183,MATCH(SMALL($V$4:$V$3183,1706),$V$4:$V$3183,0)),"")</f>
        <v/>
      </c>
      <c r="I1709" s="29">
        <f>IF($B1709="","",IFERROR(INDEX($U$4:$U$3183,MATCH(SMALL($V$4:$V$3183,1706),$V$4:$V$3183,0)),""))</f>
        <v/>
      </c>
      <c r="J1709">
        <f>IF($B1709="","",IF($D1709&gt;$F$2,"À venir",IF($E1709&lt;$D$2,"Passé","Dans la période")))</f>
        <v/>
      </c>
      <c r="K1709">
        <f>IF(OR($B1709="",NOT(ISNUMBER($D1709))),"",IF(AND($E1709&lt;$D$2,$G1709&lt;&gt;"X",$F1709&lt;&gt;"Réalisé",$F1709&lt;&gt;"Clôturé"),"RETARD",""))</f>
        <v/>
      </c>
      <c r="L1709">
        <f>IF(OR($B1709="",NOT(ISNUMBER($D1709))),"",IF(AND($D1709&gt;=$D$2,$D1709&lt;=$H$2,$G1709&lt;&gt;"X",$F1709&lt;&gt;"Réalisé",$F1709&lt;&gt;"Clôturé"),"≤ 7 j",""))</f>
        <v/>
      </c>
      <c r="M1709" s="29">
        <f>IF($B1709="","",IFERROR(INDEX($T$4:$T$3183,MATCH(SMALL($V$4:$V$3183,1706),$V$4:$V$3183,0)),""))</f>
        <v/>
      </c>
      <c r="O1709">
        <f>IF(INDEX(Suivi!$B:$B,1742)="","",INDEX(Suivi!$B:$B,1742))</f>
        <v/>
      </c>
      <c r="P1709">
        <f>IF($O1709="","",IF(INDEX(Suivi!$D:$D,1742)="",INDEX(Suivi!$C:$C,1742),INDEX(Suivi!$D:$D,1742)))</f>
        <v/>
      </c>
      <c r="Q1709">
        <f>IF($O1709="","",INDEX(Suivi!$E:$E,1742))</f>
        <v/>
      </c>
      <c r="R1709">
        <f>IF($O1709="","",INDEX(Suivi!$F:$F,1742))</f>
        <v/>
      </c>
      <c r="S1709">
        <f>IF($O1709="","",INDEX(Suivi!$G:$G,1742))</f>
        <v/>
      </c>
      <c r="T1709">
        <f>IF($O1709="","",IF(INDEX(Dossiers!$F$4:$F$63,33)="","",INDEX(Dossiers!$F$4:$F$63,33)))</f>
        <v/>
      </c>
      <c r="U1709">
        <f>IF($O1709="","",IF(INDEX(Dossiers!$G$4:$G$63,33)="","",INDEX(Dossiers!$G$4:$G$63,33)))</f>
        <v/>
      </c>
      <c r="V1709">
        <f>IF(OR($O1709="",NOT(ISNUMBER($Q1709))),"",$Q1709*1000000+1709)</f>
        <v/>
      </c>
      <c r="W1709" s="29">
        <f>IF($B1709="","",IFERROR(INDEX($U$4:$U$3183,MATCH(SMALL($V$4:$V$3183,1706),$V$4:$V$3183,0)),""))</f>
        <v/>
      </c>
    </row>
    <row r="1710">
      <c r="A1710">
        <f>IFERROR(INDEX($N$4:$N$3183,MATCH(SMALL($V$4:$V$3183,1707),$V$4:$V$3183,0)),"")</f>
        <v/>
      </c>
      <c r="B1710">
        <f>IFERROR(INDEX($O$4:$O$3183,MATCH(SMALL($V$4:$V$3183,1707),$V$4:$V$3183,0)),"")</f>
        <v/>
      </c>
      <c r="C1710">
        <f>IFERROR(INDEX($P$4:$P$3183,MATCH(SMALL($V$4:$V$3183,1707),$V$4:$V$3183,0)),"")</f>
        <v/>
      </c>
      <c r="D1710" s="29">
        <f>IFERROR(INDEX($Q$4:$Q$3183,MATCH(SMALL($V$4:$V$3183,1707),$V$4:$V$3183,0)),"")</f>
        <v/>
      </c>
      <c r="E1710" s="29">
        <f>IFERROR(INDEX($R$4:$R$3183,MATCH(SMALL($V$4:$V$3183,1707),$V$4:$V$3183,0)),"")</f>
        <v/>
      </c>
      <c r="F1710">
        <f>IFERROR(INDEX($S$4:$S$3183,MATCH(SMALL($V$4:$V$3183,1707),$V$4:$V$3183,0)),"")</f>
        <v/>
      </c>
      <c r="I1710" s="29">
        <f>IF($B1710="","",IFERROR(INDEX($U$4:$U$3183,MATCH(SMALL($V$4:$V$3183,1707),$V$4:$V$3183,0)),""))</f>
        <v/>
      </c>
      <c r="J1710">
        <f>IF($B1710="","",IF($D1710&gt;$F$2,"À venir",IF($E1710&lt;$D$2,"Passé","Dans la période")))</f>
        <v/>
      </c>
      <c r="K1710">
        <f>IF(OR($B1710="",NOT(ISNUMBER($D1710))),"",IF(AND($E1710&lt;$D$2,$G1710&lt;&gt;"X",$F1710&lt;&gt;"Réalisé",$F1710&lt;&gt;"Clôturé"),"RETARD",""))</f>
        <v/>
      </c>
      <c r="L1710">
        <f>IF(OR($B1710="",NOT(ISNUMBER($D1710))),"",IF(AND($D1710&gt;=$D$2,$D1710&lt;=$H$2,$G1710&lt;&gt;"X",$F1710&lt;&gt;"Réalisé",$F1710&lt;&gt;"Clôturé"),"≤ 7 j",""))</f>
        <v/>
      </c>
      <c r="M1710" s="29">
        <f>IF($B1710="","",IFERROR(INDEX($T$4:$T$3183,MATCH(SMALL($V$4:$V$3183,1707),$V$4:$V$3183,0)),""))</f>
        <v/>
      </c>
      <c r="O1710">
        <f>IF(INDEX(Suivi!$B:$B,1743)="","",INDEX(Suivi!$B:$B,1743))</f>
        <v/>
      </c>
      <c r="P1710">
        <f>IF($O1710="","",IF(INDEX(Suivi!$D:$D,1743)="",INDEX(Suivi!$C:$C,1743),INDEX(Suivi!$D:$D,1743)))</f>
        <v/>
      </c>
      <c r="Q1710">
        <f>IF($O1710="","",INDEX(Suivi!$E:$E,1743))</f>
        <v/>
      </c>
      <c r="R1710">
        <f>IF($O1710="","",INDEX(Suivi!$F:$F,1743))</f>
        <v/>
      </c>
      <c r="S1710">
        <f>IF($O1710="","",INDEX(Suivi!$G:$G,1743))</f>
        <v/>
      </c>
      <c r="T1710">
        <f>IF($O1710="","",IF(INDEX(Dossiers!$F$4:$F$63,33)="","",INDEX(Dossiers!$F$4:$F$63,33)))</f>
        <v/>
      </c>
      <c r="U1710">
        <f>IF($O1710="","",IF(INDEX(Dossiers!$G$4:$G$63,33)="","",INDEX(Dossiers!$G$4:$G$63,33)))</f>
        <v/>
      </c>
      <c r="V1710">
        <f>IF(OR($O1710="",NOT(ISNUMBER($Q1710))),"",$Q1710*1000000+1710)</f>
        <v/>
      </c>
      <c r="W1710" s="29">
        <f>IF($B1710="","",IFERROR(INDEX($U$4:$U$3183,MATCH(SMALL($V$4:$V$3183,1707),$V$4:$V$3183,0)),""))</f>
        <v/>
      </c>
    </row>
    <row r="1711">
      <c r="A1711">
        <f>IFERROR(INDEX($N$4:$N$3183,MATCH(SMALL($V$4:$V$3183,1708),$V$4:$V$3183,0)),"")</f>
        <v/>
      </c>
      <c r="B1711">
        <f>IFERROR(INDEX($O$4:$O$3183,MATCH(SMALL($V$4:$V$3183,1708),$V$4:$V$3183,0)),"")</f>
        <v/>
      </c>
      <c r="C1711">
        <f>IFERROR(INDEX($P$4:$P$3183,MATCH(SMALL($V$4:$V$3183,1708),$V$4:$V$3183,0)),"")</f>
        <v/>
      </c>
      <c r="D1711" s="29">
        <f>IFERROR(INDEX($Q$4:$Q$3183,MATCH(SMALL($V$4:$V$3183,1708),$V$4:$V$3183,0)),"")</f>
        <v/>
      </c>
      <c r="E1711" s="29">
        <f>IFERROR(INDEX($R$4:$R$3183,MATCH(SMALL($V$4:$V$3183,1708),$V$4:$V$3183,0)),"")</f>
        <v/>
      </c>
      <c r="F1711">
        <f>IFERROR(INDEX($S$4:$S$3183,MATCH(SMALL($V$4:$V$3183,1708),$V$4:$V$3183,0)),"")</f>
        <v/>
      </c>
      <c r="I1711" s="29">
        <f>IF($B1711="","",IFERROR(INDEX($U$4:$U$3183,MATCH(SMALL($V$4:$V$3183,1708),$V$4:$V$3183,0)),""))</f>
        <v/>
      </c>
      <c r="J1711">
        <f>IF($B1711="","",IF($D1711&gt;$F$2,"À venir",IF($E1711&lt;$D$2,"Passé","Dans la période")))</f>
        <v/>
      </c>
      <c r="K1711">
        <f>IF(OR($B1711="",NOT(ISNUMBER($D1711))),"",IF(AND($E1711&lt;$D$2,$G1711&lt;&gt;"X",$F1711&lt;&gt;"Réalisé",$F1711&lt;&gt;"Clôturé"),"RETARD",""))</f>
        <v/>
      </c>
      <c r="L1711">
        <f>IF(OR($B1711="",NOT(ISNUMBER($D1711))),"",IF(AND($D1711&gt;=$D$2,$D1711&lt;=$H$2,$G1711&lt;&gt;"X",$F1711&lt;&gt;"Réalisé",$F1711&lt;&gt;"Clôturé"),"≤ 7 j",""))</f>
        <v/>
      </c>
      <c r="M1711" s="29">
        <f>IF($B1711="","",IFERROR(INDEX($T$4:$T$3183,MATCH(SMALL($V$4:$V$3183,1708),$V$4:$V$3183,0)),""))</f>
        <v/>
      </c>
      <c r="O1711">
        <f>IF(INDEX(Suivi!$B:$B,1744)="","",INDEX(Suivi!$B:$B,1744))</f>
        <v/>
      </c>
      <c r="P1711">
        <f>IF($O1711="","",IF(INDEX(Suivi!$D:$D,1744)="",INDEX(Suivi!$C:$C,1744),INDEX(Suivi!$D:$D,1744)))</f>
        <v/>
      </c>
      <c r="Q1711">
        <f>IF($O1711="","",INDEX(Suivi!$E:$E,1744))</f>
        <v/>
      </c>
      <c r="R1711">
        <f>IF($O1711="","",INDEX(Suivi!$F:$F,1744))</f>
        <v/>
      </c>
      <c r="S1711">
        <f>IF($O1711="","",INDEX(Suivi!$G:$G,1744))</f>
        <v/>
      </c>
      <c r="T1711">
        <f>IF($O1711="","",IF(INDEX(Dossiers!$F$4:$F$63,33)="","",INDEX(Dossiers!$F$4:$F$63,33)))</f>
        <v/>
      </c>
      <c r="U1711">
        <f>IF($O1711="","",IF(INDEX(Dossiers!$G$4:$G$63,33)="","",INDEX(Dossiers!$G$4:$G$63,33)))</f>
        <v/>
      </c>
      <c r="V1711">
        <f>IF(OR($O1711="",NOT(ISNUMBER($Q1711))),"",$Q1711*1000000+1711)</f>
        <v/>
      </c>
      <c r="W1711" s="29">
        <f>IF($B1711="","",IFERROR(INDEX($U$4:$U$3183,MATCH(SMALL($V$4:$V$3183,1708),$V$4:$V$3183,0)),""))</f>
        <v/>
      </c>
    </row>
    <row r="1712">
      <c r="A1712">
        <f>IFERROR(INDEX($N$4:$N$3183,MATCH(SMALL($V$4:$V$3183,1709),$V$4:$V$3183,0)),"")</f>
        <v/>
      </c>
      <c r="B1712">
        <f>IFERROR(INDEX($O$4:$O$3183,MATCH(SMALL($V$4:$V$3183,1709),$V$4:$V$3183,0)),"")</f>
        <v/>
      </c>
      <c r="C1712">
        <f>IFERROR(INDEX($P$4:$P$3183,MATCH(SMALL($V$4:$V$3183,1709),$V$4:$V$3183,0)),"")</f>
        <v/>
      </c>
      <c r="D1712" s="29">
        <f>IFERROR(INDEX($Q$4:$Q$3183,MATCH(SMALL($V$4:$V$3183,1709),$V$4:$V$3183,0)),"")</f>
        <v/>
      </c>
      <c r="E1712" s="29">
        <f>IFERROR(INDEX($R$4:$R$3183,MATCH(SMALL($V$4:$V$3183,1709),$V$4:$V$3183,0)),"")</f>
        <v/>
      </c>
      <c r="F1712">
        <f>IFERROR(INDEX($S$4:$S$3183,MATCH(SMALL($V$4:$V$3183,1709),$V$4:$V$3183,0)),"")</f>
        <v/>
      </c>
      <c r="I1712" s="29">
        <f>IF($B1712="","",IFERROR(INDEX($U$4:$U$3183,MATCH(SMALL($V$4:$V$3183,1709),$V$4:$V$3183,0)),""))</f>
        <v/>
      </c>
      <c r="J1712">
        <f>IF($B1712="","",IF($D1712&gt;$F$2,"À venir",IF($E1712&lt;$D$2,"Passé","Dans la période")))</f>
        <v/>
      </c>
      <c r="K1712">
        <f>IF(OR($B1712="",NOT(ISNUMBER($D1712))),"",IF(AND($E1712&lt;$D$2,$G1712&lt;&gt;"X",$F1712&lt;&gt;"Réalisé",$F1712&lt;&gt;"Clôturé"),"RETARD",""))</f>
        <v/>
      </c>
      <c r="L1712">
        <f>IF(OR($B1712="",NOT(ISNUMBER($D1712))),"",IF(AND($D1712&gt;=$D$2,$D1712&lt;=$H$2,$G1712&lt;&gt;"X",$F1712&lt;&gt;"Réalisé",$F1712&lt;&gt;"Clôturé"),"≤ 7 j",""))</f>
        <v/>
      </c>
      <c r="M1712" s="29">
        <f>IF($B1712="","",IFERROR(INDEX($T$4:$T$3183,MATCH(SMALL($V$4:$V$3183,1709),$V$4:$V$3183,0)),""))</f>
        <v/>
      </c>
      <c r="O1712">
        <f>IF(INDEX(Suivi!$B:$B,1745)="","",INDEX(Suivi!$B:$B,1745))</f>
        <v/>
      </c>
      <c r="P1712">
        <f>IF($O1712="","",IF(INDEX(Suivi!$D:$D,1745)="",INDEX(Suivi!$C:$C,1745),INDEX(Suivi!$D:$D,1745)))</f>
        <v/>
      </c>
      <c r="Q1712">
        <f>IF($O1712="","",INDEX(Suivi!$E:$E,1745))</f>
        <v/>
      </c>
      <c r="R1712">
        <f>IF($O1712="","",INDEX(Suivi!$F:$F,1745))</f>
        <v/>
      </c>
      <c r="S1712">
        <f>IF($O1712="","",INDEX(Suivi!$G:$G,1745))</f>
        <v/>
      </c>
      <c r="T1712">
        <f>IF($O1712="","",IF(INDEX(Dossiers!$F$4:$F$63,33)="","",INDEX(Dossiers!$F$4:$F$63,33)))</f>
        <v/>
      </c>
      <c r="U1712">
        <f>IF($O1712="","",IF(INDEX(Dossiers!$G$4:$G$63,33)="","",INDEX(Dossiers!$G$4:$G$63,33)))</f>
        <v/>
      </c>
      <c r="V1712">
        <f>IF(OR($O1712="",NOT(ISNUMBER($Q1712))),"",$Q1712*1000000+1712)</f>
        <v/>
      </c>
      <c r="W1712" s="29">
        <f>IF($B1712="","",IFERROR(INDEX($U$4:$U$3183,MATCH(SMALL($V$4:$V$3183,1709),$V$4:$V$3183,0)),""))</f>
        <v/>
      </c>
    </row>
    <row r="1713">
      <c r="A1713">
        <f>IFERROR(INDEX($N$4:$N$3183,MATCH(SMALL($V$4:$V$3183,1710),$V$4:$V$3183,0)),"")</f>
        <v/>
      </c>
      <c r="B1713">
        <f>IFERROR(INDEX($O$4:$O$3183,MATCH(SMALL($V$4:$V$3183,1710),$V$4:$V$3183,0)),"")</f>
        <v/>
      </c>
      <c r="C1713">
        <f>IFERROR(INDEX($P$4:$P$3183,MATCH(SMALL($V$4:$V$3183,1710),$V$4:$V$3183,0)),"")</f>
        <v/>
      </c>
      <c r="D1713" s="29">
        <f>IFERROR(INDEX($Q$4:$Q$3183,MATCH(SMALL($V$4:$V$3183,1710),$V$4:$V$3183,0)),"")</f>
        <v/>
      </c>
      <c r="E1713" s="29">
        <f>IFERROR(INDEX($R$4:$R$3183,MATCH(SMALL($V$4:$V$3183,1710),$V$4:$V$3183,0)),"")</f>
        <v/>
      </c>
      <c r="F1713">
        <f>IFERROR(INDEX($S$4:$S$3183,MATCH(SMALL($V$4:$V$3183,1710),$V$4:$V$3183,0)),"")</f>
        <v/>
      </c>
      <c r="I1713" s="29">
        <f>IF($B1713="","",IFERROR(INDEX($U$4:$U$3183,MATCH(SMALL($V$4:$V$3183,1710),$V$4:$V$3183,0)),""))</f>
        <v/>
      </c>
      <c r="J1713">
        <f>IF($B1713="","",IF($D1713&gt;$F$2,"À venir",IF($E1713&lt;$D$2,"Passé","Dans la période")))</f>
        <v/>
      </c>
      <c r="K1713">
        <f>IF(OR($B1713="",NOT(ISNUMBER($D1713))),"",IF(AND($E1713&lt;$D$2,$G1713&lt;&gt;"X",$F1713&lt;&gt;"Réalisé",$F1713&lt;&gt;"Clôturé"),"RETARD",""))</f>
        <v/>
      </c>
      <c r="L1713">
        <f>IF(OR($B1713="",NOT(ISNUMBER($D1713))),"",IF(AND($D1713&gt;=$D$2,$D1713&lt;=$H$2,$G1713&lt;&gt;"X",$F1713&lt;&gt;"Réalisé",$F1713&lt;&gt;"Clôturé"),"≤ 7 j",""))</f>
        <v/>
      </c>
      <c r="M1713" s="29">
        <f>IF($B1713="","",IFERROR(INDEX($T$4:$T$3183,MATCH(SMALL($V$4:$V$3183,1710),$V$4:$V$3183,0)),""))</f>
        <v/>
      </c>
      <c r="O1713">
        <f>IF(INDEX(Suivi!$B:$B,1746)="","",INDEX(Suivi!$B:$B,1746))</f>
        <v/>
      </c>
      <c r="P1713">
        <f>IF($O1713="","",IF(INDEX(Suivi!$D:$D,1746)="",INDEX(Suivi!$C:$C,1746),INDEX(Suivi!$D:$D,1746)))</f>
        <v/>
      </c>
      <c r="Q1713">
        <f>IF($O1713="","",INDEX(Suivi!$E:$E,1746))</f>
        <v/>
      </c>
      <c r="R1713">
        <f>IF($O1713="","",INDEX(Suivi!$F:$F,1746))</f>
        <v/>
      </c>
      <c r="S1713">
        <f>IF($O1713="","",INDEX(Suivi!$G:$G,1746))</f>
        <v/>
      </c>
      <c r="T1713">
        <f>IF($O1713="","",IF(INDEX(Dossiers!$F$4:$F$63,33)="","",INDEX(Dossiers!$F$4:$F$63,33)))</f>
        <v/>
      </c>
      <c r="U1713">
        <f>IF($O1713="","",IF(INDEX(Dossiers!$G$4:$G$63,33)="","",INDEX(Dossiers!$G$4:$G$63,33)))</f>
        <v/>
      </c>
      <c r="V1713">
        <f>IF(OR($O1713="",NOT(ISNUMBER($Q1713))),"",$Q1713*1000000+1713)</f>
        <v/>
      </c>
      <c r="W1713" s="29">
        <f>IF($B1713="","",IFERROR(INDEX($U$4:$U$3183,MATCH(SMALL($V$4:$V$3183,1710),$V$4:$V$3183,0)),""))</f>
        <v/>
      </c>
    </row>
    <row r="1714">
      <c r="A1714">
        <f>IFERROR(INDEX($N$4:$N$3183,MATCH(SMALL($V$4:$V$3183,1711),$V$4:$V$3183,0)),"")</f>
        <v/>
      </c>
      <c r="B1714">
        <f>IFERROR(INDEX($O$4:$O$3183,MATCH(SMALL($V$4:$V$3183,1711),$V$4:$V$3183,0)),"")</f>
        <v/>
      </c>
      <c r="C1714">
        <f>IFERROR(INDEX($P$4:$P$3183,MATCH(SMALL($V$4:$V$3183,1711),$V$4:$V$3183,0)),"")</f>
        <v/>
      </c>
      <c r="D1714" s="29">
        <f>IFERROR(INDEX($Q$4:$Q$3183,MATCH(SMALL($V$4:$V$3183,1711),$V$4:$V$3183,0)),"")</f>
        <v/>
      </c>
      <c r="E1714" s="29">
        <f>IFERROR(INDEX($R$4:$R$3183,MATCH(SMALL($V$4:$V$3183,1711),$V$4:$V$3183,0)),"")</f>
        <v/>
      </c>
      <c r="F1714">
        <f>IFERROR(INDEX($S$4:$S$3183,MATCH(SMALL($V$4:$V$3183,1711),$V$4:$V$3183,0)),"")</f>
        <v/>
      </c>
      <c r="I1714" s="29">
        <f>IF($B1714="","",IFERROR(INDEX($U$4:$U$3183,MATCH(SMALL($V$4:$V$3183,1711),$V$4:$V$3183,0)),""))</f>
        <v/>
      </c>
      <c r="J1714">
        <f>IF($B1714="","",IF($D1714&gt;$F$2,"À venir",IF($E1714&lt;$D$2,"Passé","Dans la période")))</f>
        <v/>
      </c>
      <c r="K1714">
        <f>IF(OR($B1714="",NOT(ISNUMBER($D1714))),"",IF(AND($E1714&lt;$D$2,$G1714&lt;&gt;"X",$F1714&lt;&gt;"Réalisé",$F1714&lt;&gt;"Clôturé"),"RETARD",""))</f>
        <v/>
      </c>
      <c r="L1714">
        <f>IF(OR($B1714="",NOT(ISNUMBER($D1714))),"",IF(AND($D1714&gt;=$D$2,$D1714&lt;=$H$2,$G1714&lt;&gt;"X",$F1714&lt;&gt;"Réalisé",$F1714&lt;&gt;"Clôturé"),"≤ 7 j",""))</f>
        <v/>
      </c>
      <c r="M1714" s="29">
        <f>IF($B1714="","",IFERROR(INDEX($T$4:$T$3183,MATCH(SMALL($V$4:$V$3183,1711),$V$4:$V$3183,0)),""))</f>
        <v/>
      </c>
      <c r="O1714">
        <f>IF(INDEX(Suivi!$B:$B,1747)="","",INDEX(Suivi!$B:$B,1747))</f>
        <v/>
      </c>
      <c r="P1714">
        <f>IF($O1714="","",IF(INDEX(Suivi!$D:$D,1747)="",INDEX(Suivi!$C:$C,1747),INDEX(Suivi!$D:$D,1747)))</f>
        <v/>
      </c>
      <c r="Q1714">
        <f>IF($O1714="","",INDEX(Suivi!$E:$E,1747))</f>
        <v/>
      </c>
      <c r="R1714">
        <f>IF($O1714="","",INDEX(Suivi!$F:$F,1747))</f>
        <v/>
      </c>
      <c r="S1714">
        <f>IF($O1714="","",INDEX(Suivi!$G:$G,1747))</f>
        <v/>
      </c>
      <c r="T1714">
        <f>IF($O1714="","",IF(INDEX(Dossiers!$F$4:$F$63,33)="","",INDEX(Dossiers!$F$4:$F$63,33)))</f>
        <v/>
      </c>
      <c r="U1714">
        <f>IF($O1714="","",IF(INDEX(Dossiers!$G$4:$G$63,33)="","",INDEX(Dossiers!$G$4:$G$63,33)))</f>
        <v/>
      </c>
      <c r="V1714">
        <f>IF(OR($O1714="",NOT(ISNUMBER($Q1714))),"",$Q1714*1000000+1714)</f>
        <v/>
      </c>
      <c r="W1714" s="29">
        <f>IF($B1714="","",IFERROR(INDEX($U$4:$U$3183,MATCH(SMALL($V$4:$V$3183,1711),$V$4:$V$3183,0)),""))</f>
        <v/>
      </c>
    </row>
    <row r="1715">
      <c r="A1715">
        <f>IFERROR(INDEX($N$4:$N$3183,MATCH(SMALL($V$4:$V$3183,1712),$V$4:$V$3183,0)),"")</f>
        <v/>
      </c>
      <c r="B1715">
        <f>IFERROR(INDEX($O$4:$O$3183,MATCH(SMALL($V$4:$V$3183,1712),$V$4:$V$3183,0)),"")</f>
        <v/>
      </c>
      <c r="C1715">
        <f>IFERROR(INDEX($P$4:$P$3183,MATCH(SMALL($V$4:$V$3183,1712),$V$4:$V$3183,0)),"")</f>
        <v/>
      </c>
      <c r="D1715" s="29">
        <f>IFERROR(INDEX($Q$4:$Q$3183,MATCH(SMALL($V$4:$V$3183,1712),$V$4:$V$3183,0)),"")</f>
        <v/>
      </c>
      <c r="E1715" s="29">
        <f>IFERROR(INDEX($R$4:$R$3183,MATCH(SMALL($V$4:$V$3183,1712),$V$4:$V$3183,0)),"")</f>
        <v/>
      </c>
      <c r="F1715">
        <f>IFERROR(INDEX($S$4:$S$3183,MATCH(SMALL($V$4:$V$3183,1712),$V$4:$V$3183,0)),"")</f>
        <v/>
      </c>
      <c r="I1715" s="29">
        <f>IF($B1715="","",IFERROR(INDEX($U$4:$U$3183,MATCH(SMALL($V$4:$V$3183,1712),$V$4:$V$3183,0)),""))</f>
        <v/>
      </c>
      <c r="J1715">
        <f>IF($B1715="","",IF($D1715&gt;$F$2,"À venir",IF($E1715&lt;$D$2,"Passé","Dans la période")))</f>
        <v/>
      </c>
      <c r="K1715">
        <f>IF(OR($B1715="",NOT(ISNUMBER($D1715))),"",IF(AND($E1715&lt;$D$2,$G1715&lt;&gt;"X",$F1715&lt;&gt;"Réalisé",$F1715&lt;&gt;"Clôturé"),"RETARD",""))</f>
        <v/>
      </c>
      <c r="L1715">
        <f>IF(OR($B1715="",NOT(ISNUMBER($D1715))),"",IF(AND($D1715&gt;=$D$2,$D1715&lt;=$H$2,$G1715&lt;&gt;"X",$F1715&lt;&gt;"Réalisé",$F1715&lt;&gt;"Clôturé"),"≤ 7 j",""))</f>
        <v/>
      </c>
      <c r="M1715" s="29">
        <f>IF($B1715="","",IFERROR(INDEX($T$4:$T$3183,MATCH(SMALL($V$4:$V$3183,1712),$V$4:$V$3183,0)),""))</f>
        <v/>
      </c>
      <c r="O1715">
        <f>IF(INDEX(Suivi!$B:$B,1748)="","",INDEX(Suivi!$B:$B,1748))</f>
        <v/>
      </c>
      <c r="P1715">
        <f>IF($O1715="","",IF(INDEX(Suivi!$D:$D,1748)="",INDEX(Suivi!$C:$C,1748),INDEX(Suivi!$D:$D,1748)))</f>
        <v/>
      </c>
      <c r="Q1715">
        <f>IF($O1715="","",INDEX(Suivi!$E:$E,1748))</f>
        <v/>
      </c>
      <c r="R1715">
        <f>IF($O1715="","",INDEX(Suivi!$F:$F,1748))</f>
        <v/>
      </c>
      <c r="S1715">
        <f>IF($O1715="","",INDEX(Suivi!$G:$G,1748))</f>
        <v/>
      </c>
      <c r="T1715">
        <f>IF($O1715="","",IF(INDEX(Dossiers!$F$4:$F$63,33)="","",INDEX(Dossiers!$F$4:$F$63,33)))</f>
        <v/>
      </c>
      <c r="U1715">
        <f>IF($O1715="","",IF(INDEX(Dossiers!$G$4:$G$63,33)="","",INDEX(Dossiers!$G$4:$G$63,33)))</f>
        <v/>
      </c>
      <c r="V1715">
        <f>IF(OR($O1715="",NOT(ISNUMBER($Q1715))),"",$Q1715*1000000+1715)</f>
        <v/>
      </c>
      <c r="W1715" s="29">
        <f>IF($B1715="","",IFERROR(INDEX($U$4:$U$3183,MATCH(SMALL($V$4:$V$3183,1712),$V$4:$V$3183,0)),""))</f>
        <v/>
      </c>
    </row>
    <row r="1716">
      <c r="A1716">
        <f>IFERROR(INDEX($N$4:$N$3183,MATCH(SMALL($V$4:$V$3183,1713),$V$4:$V$3183,0)),"")</f>
        <v/>
      </c>
      <c r="B1716">
        <f>IFERROR(INDEX($O$4:$O$3183,MATCH(SMALL($V$4:$V$3183,1713),$V$4:$V$3183,0)),"")</f>
        <v/>
      </c>
      <c r="C1716">
        <f>IFERROR(INDEX($P$4:$P$3183,MATCH(SMALL($V$4:$V$3183,1713),$V$4:$V$3183,0)),"")</f>
        <v/>
      </c>
      <c r="D1716" s="29">
        <f>IFERROR(INDEX($Q$4:$Q$3183,MATCH(SMALL($V$4:$V$3183,1713),$V$4:$V$3183,0)),"")</f>
        <v/>
      </c>
      <c r="E1716" s="29">
        <f>IFERROR(INDEX($R$4:$R$3183,MATCH(SMALL($V$4:$V$3183,1713),$V$4:$V$3183,0)),"")</f>
        <v/>
      </c>
      <c r="F1716">
        <f>IFERROR(INDEX($S$4:$S$3183,MATCH(SMALL($V$4:$V$3183,1713),$V$4:$V$3183,0)),"")</f>
        <v/>
      </c>
      <c r="I1716" s="29">
        <f>IF($B1716="","",IFERROR(INDEX($U$4:$U$3183,MATCH(SMALL($V$4:$V$3183,1713),$V$4:$V$3183,0)),""))</f>
        <v/>
      </c>
      <c r="J1716">
        <f>IF($B1716="","",IF($D1716&gt;$F$2,"À venir",IF($E1716&lt;$D$2,"Passé","Dans la période")))</f>
        <v/>
      </c>
      <c r="K1716">
        <f>IF(OR($B1716="",NOT(ISNUMBER($D1716))),"",IF(AND($E1716&lt;$D$2,$G1716&lt;&gt;"X",$F1716&lt;&gt;"Réalisé",$F1716&lt;&gt;"Clôturé"),"RETARD",""))</f>
        <v/>
      </c>
      <c r="L1716">
        <f>IF(OR($B1716="",NOT(ISNUMBER($D1716))),"",IF(AND($D1716&gt;=$D$2,$D1716&lt;=$H$2,$G1716&lt;&gt;"X",$F1716&lt;&gt;"Réalisé",$F1716&lt;&gt;"Clôturé"),"≤ 7 j",""))</f>
        <v/>
      </c>
      <c r="M1716" s="29">
        <f>IF($B1716="","",IFERROR(INDEX($T$4:$T$3183,MATCH(SMALL($V$4:$V$3183,1713),$V$4:$V$3183,0)),""))</f>
        <v/>
      </c>
      <c r="O1716">
        <f>IF(INDEX(Suivi!$B:$B,1749)="","",INDEX(Suivi!$B:$B,1749))</f>
        <v/>
      </c>
      <c r="P1716">
        <f>IF($O1716="","",IF(INDEX(Suivi!$D:$D,1749)="",INDEX(Suivi!$C:$C,1749),INDEX(Suivi!$D:$D,1749)))</f>
        <v/>
      </c>
      <c r="Q1716">
        <f>IF($O1716="","",INDEX(Suivi!$E:$E,1749))</f>
        <v/>
      </c>
      <c r="R1716">
        <f>IF($O1716="","",INDEX(Suivi!$F:$F,1749))</f>
        <v/>
      </c>
      <c r="S1716">
        <f>IF($O1716="","",INDEX(Suivi!$G:$G,1749))</f>
        <v/>
      </c>
      <c r="T1716">
        <f>IF($O1716="","",IF(INDEX(Dossiers!$F$4:$F$63,33)="","",INDEX(Dossiers!$F$4:$F$63,33)))</f>
        <v/>
      </c>
      <c r="U1716">
        <f>IF($O1716="","",IF(INDEX(Dossiers!$G$4:$G$63,33)="","",INDEX(Dossiers!$G$4:$G$63,33)))</f>
        <v/>
      </c>
      <c r="V1716">
        <f>IF(OR($O1716="",NOT(ISNUMBER($Q1716))),"",$Q1716*1000000+1716)</f>
        <v/>
      </c>
      <c r="W1716" s="29">
        <f>IF($B1716="","",IFERROR(INDEX($U$4:$U$3183,MATCH(SMALL($V$4:$V$3183,1713),$V$4:$V$3183,0)),""))</f>
        <v/>
      </c>
    </row>
    <row r="1717">
      <c r="A1717">
        <f>IFERROR(INDEX($N$4:$N$3183,MATCH(SMALL($V$4:$V$3183,1714),$V$4:$V$3183,0)),"")</f>
        <v/>
      </c>
      <c r="B1717">
        <f>IFERROR(INDEX($O$4:$O$3183,MATCH(SMALL($V$4:$V$3183,1714),$V$4:$V$3183,0)),"")</f>
        <v/>
      </c>
      <c r="C1717">
        <f>IFERROR(INDEX($P$4:$P$3183,MATCH(SMALL($V$4:$V$3183,1714),$V$4:$V$3183,0)),"")</f>
        <v/>
      </c>
      <c r="D1717" s="29">
        <f>IFERROR(INDEX($Q$4:$Q$3183,MATCH(SMALL($V$4:$V$3183,1714),$V$4:$V$3183,0)),"")</f>
        <v/>
      </c>
      <c r="E1717" s="29">
        <f>IFERROR(INDEX($R$4:$R$3183,MATCH(SMALL($V$4:$V$3183,1714),$V$4:$V$3183,0)),"")</f>
        <v/>
      </c>
      <c r="F1717">
        <f>IFERROR(INDEX($S$4:$S$3183,MATCH(SMALL($V$4:$V$3183,1714),$V$4:$V$3183,0)),"")</f>
        <v/>
      </c>
      <c r="I1717" s="29">
        <f>IF($B1717="","",IFERROR(INDEX($U$4:$U$3183,MATCH(SMALL($V$4:$V$3183,1714),$V$4:$V$3183,0)),""))</f>
        <v/>
      </c>
      <c r="J1717">
        <f>IF($B1717="","",IF($D1717&gt;$F$2,"À venir",IF($E1717&lt;$D$2,"Passé","Dans la période")))</f>
        <v/>
      </c>
      <c r="K1717">
        <f>IF(OR($B1717="",NOT(ISNUMBER($D1717))),"",IF(AND($E1717&lt;$D$2,$G1717&lt;&gt;"X",$F1717&lt;&gt;"Réalisé",$F1717&lt;&gt;"Clôturé"),"RETARD",""))</f>
        <v/>
      </c>
      <c r="L1717">
        <f>IF(OR($B1717="",NOT(ISNUMBER($D1717))),"",IF(AND($D1717&gt;=$D$2,$D1717&lt;=$H$2,$G1717&lt;&gt;"X",$F1717&lt;&gt;"Réalisé",$F1717&lt;&gt;"Clôturé"),"≤ 7 j",""))</f>
        <v/>
      </c>
      <c r="M1717" s="29">
        <f>IF($B1717="","",IFERROR(INDEX($T$4:$T$3183,MATCH(SMALL($V$4:$V$3183,1714),$V$4:$V$3183,0)),""))</f>
        <v/>
      </c>
      <c r="O1717">
        <f>IF(INDEX(Suivi!$B:$B,1750)="","",INDEX(Suivi!$B:$B,1750))</f>
        <v/>
      </c>
      <c r="P1717">
        <f>IF($O1717="","",IF(INDEX(Suivi!$D:$D,1750)="",INDEX(Suivi!$C:$C,1750),INDEX(Suivi!$D:$D,1750)))</f>
        <v/>
      </c>
      <c r="Q1717">
        <f>IF($O1717="","",INDEX(Suivi!$E:$E,1750))</f>
        <v/>
      </c>
      <c r="R1717">
        <f>IF($O1717="","",INDEX(Suivi!$F:$F,1750))</f>
        <v/>
      </c>
      <c r="S1717">
        <f>IF($O1717="","",INDEX(Suivi!$G:$G,1750))</f>
        <v/>
      </c>
      <c r="T1717">
        <f>IF($O1717="","",IF(INDEX(Dossiers!$F$4:$F$63,33)="","",INDEX(Dossiers!$F$4:$F$63,33)))</f>
        <v/>
      </c>
      <c r="U1717">
        <f>IF($O1717="","",IF(INDEX(Dossiers!$G$4:$G$63,33)="","",INDEX(Dossiers!$G$4:$G$63,33)))</f>
        <v/>
      </c>
      <c r="V1717">
        <f>IF(OR($O1717="",NOT(ISNUMBER($Q1717))),"",$Q1717*1000000+1717)</f>
        <v/>
      </c>
      <c r="W1717" s="29">
        <f>IF($B1717="","",IFERROR(INDEX($U$4:$U$3183,MATCH(SMALL($V$4:$V$3183,1714),$V$4:$V$3183,0)),""))</f>
        <v/>
      </c>
    </row>
    <row r="1718">
      <c r="A1718">
        <f>IFERROR(INDEX($N$4:$N$3183,MATCH(SMALL($V$4:$V$3183,1715),$V$4:$V$3183,0)),"")</f>
        <v/>
      </c>
      <c r="B1718">
        <f>IFERROR(INDEX($O$4:$O$3183,MATCH(SMALL($V$4:$V$3183,1715),$V$4:$V$3183,0)),"")</f>
        <v/>
      </c>
      <c r="C1718">
        <f>IFERROR(INDEX($P$4:$P$3183,MATCH(SMALL($V$4:$V$3183,1715),$V$4:$V$3183,0)),"")</f>
        <v/>
      </c>
      <c r="D1718" s="29">
        <f>IFERROR(INDEX($Q$4:$Q$3183,MATCH(SMALL($V$4:$V$3183,1715),$V$4:$V$3183,0)),"")</f>
        <v/>
      </c>
      <c r="E1718" s="29">
        <f>IFERROR(INDEX($R$4:$R$3183,MATCH(SMALL($V$4:$V$3183,1715),$V$4:$V$3183,0)),"")</f>
        <v/>
      </c>
      <c r="F1718">
        <f>IFERROR(INDEX($S$4:$S$3183,MATCH(SMALL($V$4:$V$3183,1715),$V$4:$V$3183,0)),"")</f>
        <v/>
      </c>
      <c r="I1718" s="29">
        <f>IF($B1718="","",IFERROR(INDEX($U$4:$U$3183,MATCH(SMALL($V$4:$V$3183,1715),$V$4:$V$3183,0)),""))</f>
        <v/>
      </c>
      <c r="J1718">
        <f>IF($B1718="","",IF($D1718&gt;$F$2,"À venir",IF($E1718&lt;$D$2,"Passé","Dans la période")))</f>
        <v/>
      </c>
      <c r="K1718">
        <f>IF(OR($B1718="",NOT(ISNUMBER($D1718))),"",IF(AND($E1718&lt;$D$2,$G1718&lt;&gt;"X",$F1718&lt;&gt;"Réalisé",$F1718&lt;&gt;"Clôturé"),"RETARD",""))</f>
        <v/>
      </c>
      <c r="L1718">
        <f>IF(OR($B1718="",NOT(ISNUMBER($D1718))),"",IF(AND($D1718&gt;=$D$2,$D1718&lt;=$H$2,$G1718&lt;&gt;"X",$F1718&lt;&gt;"Réalisé",$F1718&lt;&gt;"Clôturé"),"≤ 7 j",""))</f>
        <v/>
      </c>
      <c r="M1718" s="29">
        <f>IF($B1718="","",IFERROR(INDEX($T$4:$T$3183,MATCH(SMALL($V$4:$V$3183,1715),$V$4:$V$3183,0)),""))</f>
        <v/>
      </c>
      <c r="O1718">
        <f>IF(INDEX(Suivi!$B:$B,1751)="","",INDEX(Suivi!$B:$B,1751))</f>
        <v/>
      </c>
      <c r="P1718">
        <f>IF($O1718="","",IF(INDEX(Suivi!$D:$D,1751)="",INDEX(Suivi!$C:$C,1751),INDEX(Suivi!$D:$D,1751)))</f>
        <v/>
      </c>
      <c r="Q1718">
        <f>IF($O1718="","",INDEX(Suivi!$E:$E,1751))</f>
        <v/>
      </c>
      <c r="R1718">
        <f>IF($O1718="","",INDEX(Suivi!$F:$F,1751))</f>
        <v/>
      </c>
      <c r="S1718">
        <f>IF($O1718="","",INDEX(Suivi!$G:$G,1751))</f>
        <v/>
      </c>
      <c r="T1718">
        <f>IF($O1718="","",IF(INDEX(Dossiers!$F$4:$F$63,33)="","",INDEX(Dossiers!$F$4:$F$63,33)))</f>
        <v/>
      </c>
      <c r="U1718">
        <f>IF($O1718="","",IF(INDEX(Dossiers!$G$4:$G$63,33)="","",INDEX(Dossiers!$G$4:$G$63,33)))</f>
        <v/>
      </c>
      <c r="V1718">
        <f>IF(OR($O1718="",NOT(ISNUMBER($Q1718))),"",$Q1718*1000000+1718)</f>
        <v/>
      </c>
      <c r="W1718" s="29">
        <f>IF($B1718="","",IFERROR(INDEX($U$4:$U$3183,MATCH(SMALL($V$4:$V$3183,1715),$V$4:$V$3183,0)),""))</f>
        <v/>
      </c>
    </row>
    <row r="1719">
      <c r="A1719">
        <f>IFERROR(INDEX($N$4:$N$3183,MATCH(SMALL($V$4:$V$3183,1716),$V$4:$V$3183,0)),"")</f>
        <v/>
      </c>
      <c r="B1719">
        <f>IFERROR(INDEX($O$4:$O$3183,MATCH(SMALL($V$4:$V$3183,1716),$V$4:$V$3183,0)),"")</f>
        <v/>
      </c>
      <c r="C1719">
        <f>IFERROR(INDEX($P$4:$P$3183,MATCH(SMALL($V$4:$V$3183,1716),$V$4:$V$3183,0)),"")</f>
        <v/>
      </c>
      <c r="D1719" s="29">
        <f>IFERROR(INDEX($Q$4:$Q$3183,MATCH(SMALL($V$4:$V$3183,1716),$V$4:$V$3183,0)),"")</f>
        <v/>
      </c>
      <c r="E1719" s="29">
        <f>IFERROR(INDEX($R$4:$R$3183,MATCH(SMALL($V$4:$V$3183,1716),$V$4:$V$3183,0)),"")</f>
        <v/>
      </c>
      <c r="F1719">
        <f>IFERROR(INDEX($S$4:$S$3183,MATCH(SMALL($V$4:$V$3183,1716),$V$4:$V$3183,0)),"")</f>
        <v/>
      </c>
      <c r="I1719" s="29">
        <f>IF($B1719="","",IFERROR(INDEX($U$4:$U$3183,MATCH(SMALL($V$4:$V$3183,1716),$V$4:$V$3183,0)),""))</f>
        <v/>
      </c>
      <c r="J1719">
        <f>IF($B1719="","",IF($D1719&gt;$F$2,"À venir",IF($E1719&lt;$D$2,"Passé","Dans la période")))</f>
        <v/>
      </c>
      <c r="K1719">
        <f>IF(OR($B1719="",NOT(ISNUMBER($D1719))),"",IF(AND($E1719&lt;$D$2,$G1719&lt;&gt;"X",$F1719&lt;&gt;"Réalisé",$F1719&lt;&gt;"Clôturé"),"RETARD",""))</f>
        <v/>
      </c>
      <c r="L1719">
        <f>IF(OR($B1719="",NOT(ISNUMBER($D1719))),"",IF(AND($D1719&gt;=$D$2,$D1719&lt;=$H$2,$G1719&lt;&gt;"X",$F1719&lt;&gt;"Réalisé",$F1719&lt;&gt;"Clôturé"),"≤ 7 j",""))</f>
        <v/>
      </c>
      <c r="M1719" s="29">
        <f>IF($B1719="","",IFERROR(INDEX($T$4:$T$3183,MATCH(SMALL($V$4:$V$3183,1716),$V$4:$V$3183,0)),""))</f>
        <v/>
      </c>
      <c r="O1719">
        <f>IF(INDEX(Suivi!$B:$B,1752)="","",INDEX(Suivi!$B:$B,1752))</f>
        <v/>
      </c>
      <c r="P1719">
        <f>IF($O1719="","",IF(INDEX(Suivi!$D:$D,1752)="",INDEX(Suivi!$C:$C,1752),INDEX(Suivi!$D:$D,1752)))</f>
        <v/>
      </c>
      <c r="Q1719">
        <f>IF($O1719="","",INDEX(Suivi!$E:$E,1752))</f>
        <v/>
      </c>
      <c r="R1719">
        <f>IF($O1719="","",INDEX(Suivi!$F:$F,1752))</f>
        <v/>
      </c>
      <c r="S1719">
        <f>IF($O1719="","",INDEX(Suivi!$G:$G,1752))</f>
        <v/>
      </c>
      <c r="T1719">
        <f>IF($O1719="","",IF(INDEX(Dossiers!$F$4:$F$63,33)="","",INDEX(Dossiers!$F$4:$F$63,33)))</f>
        <v/>
      </c>
      <c r="U1719">
        <f>IF($O1719="","",IF(INDEX(Dossiers!$G$4:$G$63,33)="","",INDEX(Dossiers!$G$4:$G$63,33)))</f>
        <v/>
      </c>
      <c r="V1719">
        <f>IF(OR($O1719="",NOT(ISNUMBER($Q1719))),"",$Q1719*1000000+1719)</f>
        <v/>
      </c>
      <c r="W1719" s="29">
        <f>IF($B1719="","",IFERROR(INDEX($U$4:$U$3183,MATCH(SMALL($V$4:$V$3183,1716),$V$4:$V$3183,0)),""))</f>
        <v/>
      </c>
    </row>
    <row r="1720">
      <c r="A1720">
        <f>IFERROR(INDEX($N$4:$N$3183,MATCH(SMALL($V$4:$V$3183,1717),$V$4:$V$3183,0)),"")</f>
        <v/>
      </c>
      <c r="B1720">
        <f>IFERROR(INDEX($O$4:$O$3183,MATCH(SMALL($V$4:$V$3183,1717),$V$4:$V$3183,0)),"")</f>
        <v/>
      </c>
      <c r="C1720">
        <f>IFERROR(INDEX($P$4:$P$3183,MATCH(SMALL($V$4:$V$3183,1717),$V$4:$V$3183,0)),"")</f>
        <v/>
      </c>
      <c r="D1720" s="29">
        <f>IFERROR(INDEX($Q$4:$Q$3183,MATCH(SMALL($V$4:$V$3183,1717),$V$4:$V$3183,0)),"")</f>
        <v/>
      </c>
      <c r="E1720" s="29">
        <f>IFERROR(INDEX($R$4:$R$3183,MATCH(SMALL($V$4:$V$3183,1717),$V$4:$V$3183,0)),"")</f>
        <v/>
      </c>
      <c r="F1720">
        <f>IFERROR(INDEX($S$4:$S$3183,MATCH(SMALL($V$4:$V$3183,1717),$V$4:$V$3183,0)),"")</f>
        <v/>
      </c>
      <c r="I1720" s="29">
        <f>IF($B1720="","",IFERROR(INDEX($U$4:$U$3183,MATCH(SMALL($V$4:$V$3183,1717),$V$4:$V$3183,0)),""))</f>
        <v/>
      </c>
      <c r="J1720">
        <f>IF($B1720="","",IF($D1720&gt;$F$2,"À venir",IF($E1720&lt;$D$2,"Passé","Dans la période")))</f>
        <v/>
      </c>
      <c r="K1720">
        <f>IF(OR($B1720="",NOT(ISNUMBER($D1720))),"",IF(AND($E1720&lt;$D$2,$G1720&lt;&gt;"X",$F1720&lt;&gt;"Réalisé",$F1720&lt;&gt;"Clôturé"),"RETARD",""))</f>
        <v/>
      </c>
      <c r="L1720">
        <f>IF(OR($B1720="",NOT(ISNUMBER($D1720))),"",IF(AND($D1720&gt;=$D$2,$D1720&lt;=$H$2,$G1720&lt;&gt;"X",$F1720&lt;&gt;"Réalisé",$F1720&lt;&gt;"Clôturé"),"≤ 7 j",""))</f>
        <v/>
      </c>
      <c r="M1720" s="29">
        <f>IF($B1720="","",IFERROR(INDEX($T$4:$T$3183,MATCH(SMALL($V$4:$V$3183,1717),$V$4:$V$3183,0)),""))</f>
        <v/>
      </c>
      <c r="O1720">
        <f>IF(INDEX(Suivi!$B:$B,1753)="","",INDEX(Suivi!$B:$B,1753))</f>
        <v/>
      </c>
      <c r="P1720">
        <f>IF($O1720="","",IF(INDEX(Suivi!$D:$D,1753)="",INDEX(Suivi!$C:$C,1753),INDEX(Suivi!$D:$D,1753)))</f>
        <v/>
      </c>
      <c r="Q1720">
        <f>IF($O1720="","",INDEX(Suivi!$E:$E,1753))</f>
        <v/>
      </c>
      <c r="R1720">
        <f>IF($O1720="","",INDEX(Suivi!$F:$F,1753))</f>
        <v/>
      </c>
      <c r="S1720">
        <f>IF($O1720="","",INDEX(Suivi!$G:$G,1753))</f>
        <v/>
      </c>
      <c r="T1720">
        <f>IF($O1720="","",IF(INDEX(Dossiers!$F$4:$F$63,33)="","",INDEX(Dossiers!$F$4:$F$63,33)))</f>
        <v/>
      </c>
      <c r="U1720">
        <f>IF($O1720="","",IF(INDEX(Dossiers!$G$4:$G$63,33)="","",INDEX(Dossiers!$G$4:$G$63,33)))</f>
        <v/>
      </c>
      <c r="V1720">
        <f>IF(OR($O1720="",NOT(ISNUMBER($Q1720))),"",$Q1720*1000000+1720)</f>
        <v/>
      </c>
      <c r="W1720" s="29">
        <f>IF($B1720="","",IFERROR(INDEX($U$4:$U$3183,MATCH(SMALL($V$4:$V$3183,1717),$V$4:$V$3183,0)),""))</f>
        <v/>
      </c>
    </row>
    <row r="1721">
      <c r="A1721">
        <f>IFERROR(INDEX($N$4:$N$3183,MATCH(SMALL($V$4:$V$3183,1718),$V$4:$V$3183,0)),"")</f>
        <v/>
      </c>
      <c r="B1721">
        <f>IFERROR(INDEX($O$4:$O$3183,MATCH(SMALL($V$4:$V$3183,1718),$V$4:$V$3183,0)),"")</f>
        <v/>
      </c>
      <c r="C1721">
        <f>IFERROR(INDEX($P$4:$P$3183,MATCH(SMALL($V$4:$V$3183,1718),$V$4:$V$3183,0)),"")</f>
        <v/>
      </c>
      <c r="D1721" s="29">
        <f>IFERROR(INDEX($Q$4:$Q$3183,MATCH(SMALL($V$4:$V$3183,1718),$V$4:$V$3183,0)),"")</f>
        <v/>
      </c>
      <c r="E1721" s="29">
        <f>IFERROR(INDEX($R$4:$R$3183,MATCH(SMALL($V$4:$V$3183,1718),$V$4:$V$3183,0)),"")</f>
        <v/>
      </c>
      <c r="F1721">
        <f>IFERROR(INDEX($S$4:$S$3183,MATCH(SMALL($V$4:$V$3183,1718),$V$4:$V$3183,0)),"")</f>
        <v/>
      </c>
      <c r="I1721" s="29">
        <f>IF($B1721="","",IFERROR(INDEX($U$4:$U$3183,MATCH(SMALL($V$4:$V$3183,1718),$V$4:$V$3183,0)),""))</f>
        <v/>
      </c>
      <c r="J1721">
        <f>IF($B1721="","",IF($D1721&gt;$F$2,"À venir",IF($E1721&lt;$D$2,"Passé","Dans la période")))</f>
        <v/>
      </c>
      <c r="K1721">
        <f>IF(OR($B1721="",NOT(ISNUMBER($D1721))),"",IF(AND($E1721&lt;$D$2,$G1721&lt;&gt;"X",$F1721&lt;&gt;"Réalisé",$F1721&lt;&gt;"Clôturé"),"RETARD",""))</f>
        <v/>
      </c>
      <c r="L1721">
        <f>IF(OR($B1721="",NOT(ISNUMBER($D1721))),"",IF(AND($D1721&gt;=$D$2,$D1721&lt;=$H$2,$G1721&lt;&gt;"X",$F1721&lt;&gt;"Réalisé",$F1721&lt;&gt;"Clôturé"),"≤ 7 j",""))</f>
        <v/>
      </c>
      <c r="M1721" s="29">
        <f>IF($B1721="","",IFERROR(INDEX($T$4:$T$3183,MATCH(SMALL($V$4:$V$3183,1718),$V$4:$V$3183,0)),""))</f>
        <v/>
      </c>
      <c r="O1721">
        <f>IF(INDEX(Suivi!$B:$B,1754)="","",INDEX(Suivi!$B:$B,1754))</f>
        <v/>
      </c>
      <c r="P1721">
        <f>IF($O1721="","",IF(INDEX(Suivi!$D:$D,1754)="",INDEX(Suivi!$C:$C,1754),INDEX(Suivi!$D:$D,1754)))</f>
        <v/>
      </c>
      <c r="Q1721">
        <f>IF($O1721="","",INDEX(Suivi!$E:$E,1754))</f>
        <v/>
      </c>
      <c r="R1721">
        <f>IF($O1721="","",INDEX(Suivi!$F:$F,1754))</f>
        <v/>
      </c>
      <c r="S1721">
        <f>IF($O1721="","",INDEX(Suivi!$G:$G,1754))</f>
        <v/>
      </c>
      <c r="T1721">
        <f>IF($O1721="","",IF(INDEX(Dossiers!$F$4:$F$63,33)="","",INDEX(Dossiers!$F$4:$F$63,33)))</f>
        <v/>
      </c>
      <c r="U1721">
        <f>IF($O1721="","",IF(INDEX(Dossiers!$G$4:$G$63,33)="","",INDEX(Dossiers!$G$4:$G$63,33)))</f>
        <v/>
      </c>
      <c r="V1721">
        <f>IF(OR($O1721="",NOT(ISNUMBER($Q1721))),"",$Q1721*1000000+1721)</f>
        <v/>
      </c>
      <c r="W1721" s="29">
        <f>IF($B1721="","",IFERROR(INDEX($U$4:$U$3183,MATCH(SMALL($V$4:$V$3183,1718),$V$4:$V$3183,0)),""))</f>
        <v/>
      </c>
    </row>
    <row r="1722">
      <c r="A1722">
        <f>IFERROR(INDEX($N$4:$N$3183,MATCH(SMALL($V$4:$V$3183,1719),$V$4:$V$3183,0)),"")</f>
        <v/>
      </c>
      <c r="B1722">
        <f>IFERROR(INDEX($O$4:$O$3183,MATCH(SMALL($V$4:$V$3183,1719),$V$4:$V$3183,0)),"")</f>
        <v/>
      </c>
      <c r="C1722">
        <f>IFERROR(INDEX($P$4:$P$3183,MATCH(SMALL($V$4:$V$3183,1719),$V$4:$V$3183,0)),"")</f>
        <v/>
      </c>
      <c r="D1722" s="29">
        <f>IFERROR(INDEX($Q$4:$Q$3183,MATCH(SMALL($V$4:$V$3183,1719),$V$4:$V$3183,0)),"")</f>
        <v/>
      </c>
      <c r="E1722" s="29">
        <f>IFERROR(INDEX($R$4:$R$3183,MATCH(SMALL($V$4:$V$3183,1719),$V$4:$V$3183,0)),"")</f>
        <v/>
      </c>
      <c r="F1722">
        <f>IFERROR(INDEX($S$4:$S$3183,MATCH(SMALL($V$4:$V$3183,1719),$V$4:$V$3183,0)),"")</f>
        <v/>
      </c>
      <c r="I1722" s="29">
        <f>IF($B1722="","",IFERROR(INDEX($U$4:$U$3183,MATCH(SMALL($V$4:$V$3183,1719),$V$4:$V$3183,0)),""))</f>
        <v/>
      </c>
      <c r="J1722">
        <f>IF($B1722="","",IF($D1722&gt;$F$2,"À venir",IF($E1722&lt;$D$2,"Passé","Dans la période")))</f>
        <v/>
      </c>
      <c r="K1722">
        <f>IF(OR($B1722="",NOT(ISNUMBER($D1722))),"",IF(AND($E1722&lt;$D$2,$G1722&lt;&gt;"X",$F1722&lt;&gt;"Réalisé",$F1722&lt;&gt;"Clôturé"),"RETARD",""))</f>
        <v/>
      </c>
      <c r="L1722">
        <f>IF(OR($B1722="",NOT(ISNUMBER($D1722))),"",IF(AND($D1722&gt;=$D$2,$D1722&lt;=$H$2,$G1722&lt;&gt;"X",$F1722&lt;&gt;"Réalisé",$F1722&lt;&gt;"Clôturé"),"≤ 7 j",""))</f>
        <v/>
      </c>
      <c r="M1722" s="29">
        <f>IF($B1722="","",IFERROR(INDEX($T$4:$T$3183,MATCH(SMALL($V$4:$V$3183,1719),$V$4:$V$3183,0)),""))</f>
        <v/>
      </c>
      <c r="O1722">
        <f>IF(INDEX(Suivi!$B:$B,1755)="","",INDEX(Suivi!$B:$B,1755))</f>
        <v/>
      </c>
      <c r="P1722">
        <f>IF($O1722="","",IF(INDEX(Suivi!$D:$D,1755)="",INDEX(Suivi!$C:$C,1755),INDEX(Suivi!$D:$D,1755)))</f>
        <v/>
      </c>
      <c r="Q1722">
        <f>IF($O1722="","",INDEX(Suivi!$E:$E,1755))</f>
        <v/>
      </c>
      <c r="R1722">
        <f>IF($O1722="","",INDEX(Suivi!$F:$F,1755))</f>
        <v/>
      </c>
      <c r="S1722">
        <f>IF($O1722="","",INDEX(Suivi!$G:$G,1755))</f>
        <v/>
      </c>
      <c r="T1722">
        <f>IF($O1722="","",IF(INDEX(Dossiers!$F$4:$F$63,33)="","",INDEX(Dossiers!$F$4:$F$63,33)))</f>
        <v/>
      </c>
      <c r="U1722">
        <f>IF($O1722="","",IF(INDEX(Dossiers!$G$4:$G$63,33)="","",INDEX(Dossiers!$G$4:$G$63,33)))</f>
        <v/>
      </c>
      <c r="V1722">
        <f>IF(OR($O1722="",NOT(ISNUMBER($Q1722))),"",$Q1722*1000000+1722)</f>
        <v/>
      </c>
      <c r="W1722" s="29">
        <f>IF($B1722="","",IFERROR(INDEX($U$4:$U$3183,MATCH(SMALL($V$4:$V$3183,1719),$V$4:$V$3183,0)),""))</f>
        <v/>
      </c>
    </row>
    <row r="1723">
      <c r="A1723">
        <f>IFERROR(INDEX($N$4:$N$3183,MATCH(SMALL($V$4:$V$3183,1720),$V$4:$V$3183,0)),"")</f>
        <v/>
      </c>
      <c r="B1723">
        <f>IFERROR(INDEX($O$4:$O$3183,MATCH(SMALL($V$4:$V$3183,1720),$V$4:$V$3183,0)),"")</f>
        <v/>
      </c>
      <c r="C1723">
        <f>IFERROR(INDEX($P$4:$P$3183,MATCH(SMALL($V$4:$V$3183,1720),$V$4:$V$3183,0)),"")</f>
        <v/>
      </c>
      <c r="D1723" s="29">
        <f>IFERROR(INDEX($Q$4:$Q$3183,MATCH(SMALL($V$4:$V$3183,1720),$V$4:$V$3183,0)),"")</f>
        <v/>
      </c>
      <c r="E1723" s="29">
        <f>IFERROR(INDEX($R$4:$R$3183,MATCH(SMALL($V$4:$V$3183,1720),$V$4:$V$3183,0)),"")</f>
        <v/>
      </c>
      <c r="F1723">
        <f>IFERROR(INDEX($S$4:$S$3183,MATCH(SMALL($V$4:$V$3183,1720),$V$4:$V$3183,0)),"")</f>
        <v/>
      </c>
      <c r="I1723" s="29">
        <f>IF($B1723="","",IFERROR(INDEX($U$4:$U$3183,MATCH(SMALL($V$4:$V$3183,1720),$V$4:$V$3183,0)),""))</f>
        <v/>
      </c>
      <c r="J1723">
        <f>IF($B1723="","",IF($D1723&gt;$F$2,"À venir",IF($E1723&lt;$D$2,"Passé","Dans la période")))</f>
        <v/>
      </c>
      <c r="K1723">
        <f>IF(OR($B1723="",NOT(ISNUMBER($D1723))),"",IF(AND($E1723&lt;$D$2,$G1723&lt;&gt;"X",$F1723&lt;&gt;"Réalisé",$F1723&lt;&gt;"Clôturé"),"RETARD",""))</f>
        <v/>
      </c>
      <c r="L1723">
        <f>IF(OR($B1723="",NOT(ISNUMBER($D1723))),"",IF(AND($D1723&gt;=$D$2,$D1723&lt;=$H$2,$G1723&lt;&gt;"X",$F1723&lt;&gt;"Réalisé",$F1723&lt;&gt;"Clôturé"),"≤ 7 j",""))</f>
        <v/>
      </c>
      <c r="M1723" s="29">
        <f>IF($B1723="","",IFERROR(INDEX($T$4:$T$3183,MATCH(SMALL($V$4:$V$3183,1720),$V$4:$V$3183,0)),""))</f>
        <v/>
      </c>
      <c r="O1723">
        <f>IF(INDEX(Suivi!$B:$B,1756)="","",INDEX(Suivi!$B:$B,1756))</f>
        <v/>
      </c>
      <c r="P1723">
        <f>IF($O1723="","",IF(INDEX(Suivi!$D:$D,1756)="",INDEX(Suivi!$C:$C,1756),INDEX(Suivi!$D:$D,1756)))</f>
        <v/>
      </c>
      <c r="Q1723">
        <f>IF($O1723="","",INDEX(Suivi!$E:$E,1756))</f>
        <v/>
      </c>
      <c r="R1723">
        <f>IF($O1723="","",INDEX(Suivi!$F:$F,1756))</f>
        <v/>
      </c>
      <c r="S1723">
        <f>IF($O1723="","",INDEX(Suivi!$G:$G,1756))</f>
        <v/>
      </c>
      <c r="T1723">
        <f>IF($O1723="","",IF(INDEX(Dossiers!$F$4:$F$63,33)="","",INDEX(Dossiers!$F$4:$F$63,33)))</f>
        <v/>
      </c>
      <c r="U1723">
        <f>IF($O1723="","",IF(INDEX(Dossiers!$G$4:$G$63,33)="","",INDEX(Dossiers!$G$4:$G$63,33)))</f>
        <v/>
      </c>
      <c r="V1723">
        <f>IF(OR($O1723="",NOT(ISNUMBER($Q1723))),"",$Q1723*1000000+1723)</f>
        <v/>
      </c>
      <c r="W1723" s="29">
        <f>IF($B1723="","",IFERROR(INDEX($U$4:$U$3183,MATCH(SMALL($V$4:$V$3183,1720),$V$4:$V$3183,0)),""))</f>
        <v/>
      </c>
    </row>
    <row r="1724">
      <c r="A1724">
        <f>IFERROR(INDEX($N$4:$N$3183,MATCH(SMALL($V$4:$V$3183,1721),$V$4:$V$3183,0)),"")</f>
        <v/>
      </c>
      <c r="B1724">
        <f>IFERROR(INDEX($O$4:$O$3183,MATCH(SMALL($V$4:$V$3183,1721),$V$4:$V$3183,0)),"")</f>
        <v/>
      </c>
      <c r="C1724">
        <f>IFERROR(INDEX($P$4:$P$3183,MATCH(SMALL($V$4:$V$3183,1721),$V$4:$V$3183,0)),"")</f>
        <v/>
      </c>
      <c r="D1724" s="29">
        <f>IFERROR(INDEX($Q$4:$Q$3183,MATCH(SMALL($V$4:$V$3183,1721),$V$4:$V$3183,0)),"")</f>
        <v/>
      </c>
      <c r="E1724" s="29">
        <f>IFERROR(INDEX($R$4:$R$3183,MATCH(SMALL($V$4:$V$3183,1721),$V$4:$V$3183,0)),"")</f>
        <v/>
      </c>
      <c r="F1724">
        <f>IFERROR(INDEX($S$4:$S$3183,MATCH(SMALL($V$4:$V$3183,1721),$V$4:$V$3183,0)),"")</f>
        <v/>
      </c>
      <c r="I1724" s="29">
        <f>IF($B1724="","",IFERROR(INDEX($U$4:$U$3183,MATCH(SMALL($V$4:$V$3183,1721),$V$4:$V$3183,0)),""))</f>
        <v/>
      </c>
      <c r="J1724">
        <f>IF($B1724="","",IF($D1724&gt;$F$2,"À venir",IF($E1724&lt;$D$2,"Passé","Dans la période")))</f>
        <v/>
      </c>
      <c r="K1724">
        <f>IF(OR($B1724="",NOT(ISNUMBER($D1724))),"",IF(AND($E1724&lt;$D$2,$G1724&lt;&gt;"X",$F1724&lt;&gt;"Réalisé",$F1724&lt;&gt;"Clôturé"),"RETARD",""))</f>
        <v/>
      </c>
      <c r="L1724">
        <f>IF(OR($B1724="",NOT(ISNUMBER($D1724))),"",IF(AND($D1724&gt;=$D$2,$D1724&lt;=$H$2,$G1724&lt;&gt;"X",$F1724&lt;&gt;"Réalisé",$F1724&lt;&gt;"Clôturé"),"≤ 7 j",""))</f>
        <v/>
      </c>
      <c r="M1724" s="29">
        <f>IF($B1724="","",IFERROR(INDEX($T$4:$T$3183,MATCH(SMALL($V$4:$V$3183,1721),$V$4:$V$3183,0)),""))</f>
        <v/>
      </c>
      <c r="O1724">
        <f>IF(INDEX(Suivi!$B:$B,1757)="","",INDEX(Suivi!$B:$B,1757))</f>
        <v/>
      </c>
      <c r="P1724">
        <f>IF($O1724="","",IF(INDEX(Suivi!$D:$D,1757)="",INDEX(Suivi!$C:$C,1757),INDEX(Suivi!$D:$D,1757)))</f>
        <v/>
      </c>
      <c r="Q1724">
        <f>IF($O1724="","",INDEX(Suivi!$E:$E,1757))</f>
        <v/>
      </c>
      <c r="R1724">
        <f>IF($O1724="","",INDEX(Suivi!$F:$F,1757))</f>
        <v/>
      </c>
      <c r="S1724">
        <f>IF($O1724="","",INDEX(Suivi!$G:$G,1757))</f>
        <v/>
      </c>
      <c r="T1724">
        <f>IF($O1724="","",IF(INDEX(Dossiers!$F$4:$F$63,33)="","",INDEX(Dossiers!$F$4:$F$63,33)))</f>
        <v/>
      </c>
      <c r="U1724">
        <f>IF($O1724="","",IF(INDEX(Dossiers!$G$4:$G$63,33)="","",INDEX(Dossiers!$G$4:$G$63,33)))</f>
        <v/>
      </c>
      <c r="V1724">
        <f>IF(OR($O1724="",NOT(ISNUMBER($Q1724))),"",$Q1724*1000000+1724)</f>
        <v/>
      </c>
      <c r="W1724" s="29">
        <f>IF($B1724="","",IFERROR(INDEX($U$4:$U$3183,MATCH(SMALL($V$4:$V$3183,1721),$V$4:$V$3183,0)),""))</f>
        <v/>
      </c>
    </row>
    <row r="1725">
      <c r="A1725">
        <f>IFERROR(INDEX($N$4:$N$3183,MATCH(SMALL($V$4:$V$3183,1722),$V$4:$V$3183,0)),"")</f>
        <v/>
      </c>
      <c r="B1725">
        <f>IFERROR(INDEX($O$4:$O$3183,MATCH(SMALL($V$4:$V$3183,1722),$V$4:$V$3183,0)),"")</f>
        <v/>
      </c>
      <c r="C1725">
        <f>IFERROR(INDEX($P$4:$P$3183,MATCH(SMALL($V$4:$V$3183,1722),$V$4:$V$3183,0)),"")</f>
        <v/>
      </c>
      <c r="D1725" s="29">
        <f>IFERROR(INDEX($Q$4:$Q$3183,MATCH(SMALL($V$4:$V$3183,1722),$V$4:$V$3183,0)),"")</f>
        <v/>
      </c>
      <c r="E1725" s="29">
        <f>IFERROR(INDEX($R$4:$R$3183,MATCH(SMALL($V$4:$V$3183,1722),$V$4:$V$3183,0)),"")</f>
        <v/>
      </c>
      <c r="F1725">
        <f>IFERROR(INDEX($S$4:$S$3183,MATCH(SMALL($V$4:$V$3183,1722),$V$4:$V$3183,0)),"")</f>
        <v/>
      </c>
      <c r="I1725" s="29">
        <f>IF($B1725="","",IFERROR(INDEX($U$4:$U$3183,MATCH(SMALL($V$4:$V$3183,1722),$V$4:$V$3183,0)),""))</f>
        <v/>
      </c>
      <c r="J1725">
        <f>IF($B1725="","",IF($D1725&gt;$F$2,"À venir",IF($E1725&lt;$D$2,"Passé","Dans la période")))</f>
        <v/>
      </c>
      <c r="K1725">
        <f>IF(OR($B1725="",NOT(ISNUMBER($D1725))),"",IF(AND($E1725&lt;$D$2,$G1725&lt;&gt;"X",$F1725&lt;&gt;"Réalisé",$F1725&lt;&gt;"Clôturé"),"RETARD",""))</f>
        <v/>
      </c>
      <c r="L1725">
        <f>IF(OR($B1725="",NOT(ISNUMBER($D1725))),"",IF(AND($D1725&gt;=$D$2,$D1725&lt;=$H$2,$G1725&lt;&gt;"X",$F1725&lt;&gt;"Réalisé",$F1725&lt;&gt;"Clôturé"),"≤ 7 j",""))</f>
        <v/>
      </c>
      <c r="M1725" s="29">
        <f>IF($B1725="","",IFERROR(INDEX($T$4:$T$3183,MATCH(SMALL($V$4:$V$3183,1722),$V$4:$V$3183,0)),""))</f>
        <v/>
      </c>
      <c r="O1725">
        <f>IF(INDEX(Suivi!$B:$B,1758)="","",INDEX(Suivi!$B:$B,1758))</f>
        <v/>
      </c>
      <c r="P1725">
        <f>IF($O1725="","",IF(INDEX(Suivi!$D:$D,1758)="",INDEX(Suivi!$C:$C,1758),INDEX(Suivi!$D:$D,1758)))</f>
        <v/>
      </c>
      <c r="Q1725">
        <f>IF($O1725="","",INDEX(Suivi!$E:$E,1758))</f>
        <v/>
      </c>
      <c r="R1725">
        <f>IF($O1725="","",INDEX(Suivi!$F:$F,1758))</f>
        <v/>
      </c>
      <c r="S1725">
        <f>IF($O1725="","",INDEX(Suivi!$G:$G,1758))</f>
        <v/>
      </c>
      <c r="T1725">
        <f>IF($O1725="","",IF(INDEX(Dossiers!$F$4:$F$63,33)="","",INDEX(Dossiers!$F$4:$F$63,33)))</f>
        <v/>
      </c>
      <c r="U1725">
        <f>IF($O1725="","",IF(INDEX(Dossiers!$G$4:$G$63,33)="","",INDEX(Dossiers!$G$4:$G$63,33)))</f>
        <v/>
      </c>
      <c r="V1725">
        <f>IF(OR($O1725="",NOT(ISNUMBER($Q1725))),"",$Q1725*1000000+1725)</f>
        <v/>
      </c>
      <c r="W1725" s="29">
        <f>IF($B1725="","",IFERROR(INDEX($U$4:$U$3183,MATCH(SMALL($V$4:$V$3183,1722),$V$4:$V$3183,0)),""))</f>
        <v/>
      </c>
    </row>
    <row r="1726">
      <c r="A1726">
        <f>IFERROR(INDEX($N$4:$N$3183,MATCH(SMALL($V$4:$V$3183,1723),$V$4:$V$3183,0)),"")</f>
        <v/>
      </c>
      <c r="B1726">
        <f>IFERROR(INDEX($O$4:$O$3183,MATCH(SMALL($V$4:$V$3183,1723),$V$4:$V$3183,0)),"")</f>
        <v/>
      </c>
      <c r="C1726">
        <f>IFERROR(INDEX($P$4:$P$3183,MATCH(SMALL($V$4:$V$3183,1723),$V$4:$V$3183,0)),"")</f>
        <v/>
      </c>
      <c r="D1726" s="29">
        <f>IFERROR(INDEX($Q$4:$Q$3183,MATCH(SMALL($V$4:$V$3183,1723),$V$4:$V$3183,0)),"")</f>
        <v/>
      </c>
      <c r="E1726" s="29">
        <f>IFERROR(INDEX($R$4:$R$3183,MATCH(SMALL($V$4:$V$3183,1723),$V$4:$V$3183,0)),"")</f>
        <v/>
      </c>
      <c r="F1726">
        <f>IFERROR(INDEX($S$4:$S$3183,MATCH(SMALL($V$4:$V$3183,1723),$V$4:$V$3183,0)),"")</f>
        <v/>
      </c>
      <c r="I1726" s="29">
        <f>IF($B1726="","",IFERROR(INDEX($U$4:$U$3183,MATCH(SMALL($V$4:$V$3183,1723),$V$4:$V$3183,0)),""))</f>
        <v/>
      </c>
      <c r="J1726">
        <f>IF($B1726="","",IF($D1726&gt;$F$2,"À venir",IF($E1726&lt;$D$2,"Passé","Dans la période")))</f>
        <v/>
      </c>
      <c r="K1726">
        <f>IF(OR($B1726="",NOT(ISNUMBER($D1726))),"",IF(AND($E1726&lt;$D$2,$G1726&lt;&gt;"X",$F1726&lt;&gt;"Réalisé",$F1726&lt;&gt;"Clôturé"),"RETARD",""))</f>
        <v/>
      </c>
      <c r="L1726">
        <f>IF(OR($B1726="",NOT(ISNUMBER($D1726))),"",IF(AND($D1726&gt;=$D$2,$D1726&lt;=$H$2,$G1726&lt;&gt;"X",$F1726&lt;&gt;"Réalisé",$F1726&lt;&gt;"Clôturé"),"≤ 7 j",""))</f>
        <v/>
      </c>
      <c r="M1726" s="29">
        <f>IF($B1726="","",IFERROR(INDEX($T$4:$T$3183,MATCH(SMALL($V$4:$V$3183,1723),$V$4:$V$3183,0)),""))</f>
        <v/>
      </c>
      <c r="O1726">
        <f>IF(INDEX(Suivi!$B:$B,1759)="","",INDEX(Suivi!$B:$B,1759))</f>
        <v/>
      </c>
      <c r="P1726">
        <f>IF($O1726="","",IF(INDEX(Suivi!$D:$D,1759)="",INDEX(Suivi!$C:$C,1759),INDEX(Suivi!$D:$D,1759)))</f>
        <v/>
      </c>
      <c r="Q1726">
        <f>IF($O1726="","",INDEX(Suivi!$E:$E,1759))</f>
        <v/>
      </c>
      <c r="R1726">
        <f>IF($O1726="","",INDEX(Suivi!$F:$F,1759))</f>
        <v/>
      </c>
      <c r="S1726">
        <f>IF($O1726="","",INDEX(Suivi!$G:$G,1759))</f>
        <v/>
      </c>
      <c r="T1726">
        <f>IF($O1726="","",IF(INDEX(Dossiers!$F$4:$F$63,33)="","",INDEX(Dossiers!$F$4:$F$63,33)))</f>
        <v/>
      </c>
      <c r="U1726">
        <f>IF($O1726="","",IF(INDEX(Dossiers!$G$4:$G$63,33)="","",INDEX(Dossiers!$G$4:$G$63,33)))</f>
        <v/>
      </c>
      <c r="V1726">
        <f>IF(OR($O1726="",NOT(ISNUMBER($Q1726))),"",$Q1726*1000000+1726)</f>
        <v/>
      </c>
      <c r="W1726" s="29">
        <f>IF($B1726="","",IFERROR(INDEX($U$4:$U$3183,MATCH(SMALL($V$4:$V$3183,1723),$V$4:$V$3183,0)),""))</f>
        <v/>
      </c>
    </row>
    <row r="1727">
      <c r="A1727">
        <f>IFERROR(INDEX($N$4:$N$3183,MATCH(SMALL($V$4:$V$3183,1724),$V$4:$V$3183,0)),"")</f>
        <v/>
      </c>
      <c r="B1727">
        <f>IFERROR(INDEX($O$4:$O$3183,MATCH(SMALL($V$4:$V$3183,1724),$V$4:$V$3183,0)),"")</f>
        <v/>
      </c>
      <c r="C1727">
        <f>IFERROR(INDEX($P$4:$P$3183,MATCH(SMALL($V$4:$V$3183,1724),$V$4:$V$3183,0)),"")</f>
        <v/>
      </c>
      <c r="D1727" s="29">
        <f>IFERROR(INDEX($Q$4:$Q$3183,MATCH(SMALL($V$4:$V$3183,1724),$V$4:$V$3183,0)),"")</f>
        <v/>
      </c>
      <c r="E1727" s="29">
        <f>IFERROR(INDEX($R$4:$R$3183,MATCH(SMALL($V$4:$V$3183,1724),$V$4:$V$3183,0)),"")</f>
        <v/>
      </c>
      <c r="F1727">
        <f>IFERROR(INDEX($S$4:$S$3183,MATCH(SMALL($V$4:$V$3183,1724),$V$4:$V$3183,0)),"")</f>
        <v/>
      </c>
      <c r="I1727" s="29">
        <f>IF($B1727="","",IFERROR(INDEX($U$4:$U$3183,MATCH(SMALL($V$4:$V$3183,1724),$V$4:$V$3183,0)),""))</f>
        <v/>
      </c>
      <c r="J1727">
        <f>IF($B1727="","",IF($D1727&gt;$F$2,"À venir",IF($E1727&lt;$D$2,"Passé","Dans la période")))</f>
        <v/>
      </c>
      <c r="K1727">
        <f>IF(OR($B1727="",NOT(ISNUMBER($D1727))),"",IF(AND($E1727&lt;$D$2,$G1727&lt;&gt;"X",$F1727&lt;&gt;"Réalisé",$F1727&lt;&gt;"Clôturé"),"RETARD",""))</f>
        <v/>
      </c>
      <c r="L1727">
        <f>IF(OR($B1727="",NOT(ISNUMBER($D1727))),"",IF(AND($D1727&gt;=$D$2,$D1727&lt;=$H$2,$G1727&lt;&gt;"X",$F1727&lt;&gt;"Réalisé",$F1727&lt;&gt;"Clôturé"),"≤ 7 j",""))</f>
        <v/>
      </c>
      <c r="M1727" s="29">
        <f>IF($B1727="","",IFERROR(INDEX($T$4:$T$3183,MATCH(SMALL($V$4:$V$3183,1724),$V$4:$V$3183,0)),""))</f>
        <v/>
      </c>
      <c r="O1727">
        <f>IF(INDEX(Suivi!$B:$B,1760)="","",INDEX(Suivi!$B:$B,1760))</f>
        <v/>
      </c>
      <c r="P1727">
        <f>IF($O1727="","",IF(INDEX(Suivi!$D:$D,1760)="",INDEX(Suivi!$C:$C,1760),INDEX(Suivi!$D:$D,1760)))</f>
        <v/>
      </c>
      <c r="Q1727">
        <f>IF($O1727="","",INDEX(Suivi!$E:$E,1760))</f>
        <v/>
      </c>
      <c r="R1727">
        <f>IF($O1727="","",INDEX(Suivi!$F:$F,1760))</f>
        <v/>
      </c>
      <c r="S1727">
        <f>IF($O1727="","",INDEX(Suivi!$G:$G,1760))</f>
        <v/>
      </c>
      <c r="T1727">
        <f>IF($O1727="","",IF(INDEX(Dossiers!$F$4:$F$63,33)="","",INDEX(Dossiers!$F$4:$F$63,33)))</f>
        <v/>
      </c>
      <c r="U1727">
        <f>IF($O1727="","",IF(INDEX(Dossiers!$G$4:$G$63,33)="","",INDEX(Dossiers!$G$4:$G$63,33)))</f>
        <v/>
      </c>
      <c r="V1727">
        <f>IF(OR($O1727="",NOT(ISNUMBER($Q1727))),"",$Q1727*1000000+1727)</f>
        <v/>
      </c>
      <c r="W1727" s="29">
        <f>IF($B1727="","",IFERROR(INDEX($U$4:$U$3183,MATCH(SMALL($V$4:$V$3183,1724),$V$4:$V$3183,0)),""))</f>
        <v/>
      </c>
    </row>
    <row r="1728">
      <c r="A1728">
        <f>IFERROR(INDEX($N$4:$N$3183,MATCH(SMALL($V$4:$V$3183,1725),$V$4:$V$3183,0)),"")</f>
        <v/>
      </c>
      <c r="B1728">
        <f>IFERROR(INDEX($O$4:$O$3183,MATCH(SMALL($V$4:$V$3183,1725),$V$4:$V$3183,0)),"")</f>
        <v/>
      </c>
      <c r="C1728">
        <f>IFERROR(INDEX($P$4:$P$3183,MATCH(SMALL($V$4:$V$3183,1725),$V$4:$V$3183,0)),"")</f>
        <v/>
      </c>
      <c r="D1728" s="29">
        <f>IFERROR(INDEX($Q$4:$Q$3183,MATCH(SMALL($V$4:$V$3183,1725),$V$4:$V$3183,0)),"")</f>
        <v/>
      </c>
      <c r="E1728" s="29">
        <f>IFERROR(INDEX($R$4:$R$3183,MATCH(SMALL($V$4:$V$3183,1725),$V$4:$V$3183,0)),"")</f>
        <v/>
      </c>
      <c r="F1728">
        <f>IFERROR(INDEX($S$4:$S$3183,MATCH(SMALL($V$4:$V$3183,1725),$V$4:$V$3183,0)),"")</f>
        <v/>
      </c>
      <c r="I1728" s="29">
        <f>IF($B1728="","",IFERROR(INDEX($U$4:$U$3183,MATCH(SMALL($V$4:$V$3183,1725),$V$4:$V$3183,0)),""))</f>
        <v/>
      </c>
      <c r="J1728">
        <f>IF($B1728="","",IF($D1728&gt;$F$2,"À venir",IF($E1728&lt;$D$2,"Passé","Dans la période")))</f>
        <v/>
      </c>
      <c r="K1728">
        <f>IF(OR($B1728="",NOT(ISNUMBER($D1728))),"",IF(AND($E1728&lt;$D$2,$G1728&lt;&gt;"X",$F1728&lt;&gt;"Réalisé",$F1728&lt;&gt;"Clôturé"),"RETARD",""))</f>
        <v/>
      </c>
      <c r="L1728">
        <f>IF(OR($B1728="",NOT(ISNUMBER($D1728))),"",IF(AND($D1728&gt;=$D$2,$D1728&lt;=$H$2,$G1728&lt;&gt;"X",$F1728&lt;&gt;"Réalisé",$F1728&lt;&gt;"Clôturé"),"≤ 7 j",""))</f>
        <v/>
      </c>
      <c r="M1728" s="29">
        <f>IF($B1728="","",IFERROR(INDEX($T$4:$T$3183,MATCH(SMALL($V$4:$V$3183,1725),$V$4:$V$3183,0)),""))</f>
        <v/>
      </c>
      <c r="O1728">
        <f>IF(INDEX(Suivi!$B:$B,1761)="","",INDEX(Suivi!$B:$B,1761))</f>
        <v/>
      </c>
      <c r="P1728">
        <f>IF($O1728="","",IF(INDEX(Suivi!$D:$D,1761)="",INDEX(Suivi!$C:$C,1761),INDEX(Suivi!$D:$D,1761)))</f>
        <v/>
      </c>
      <c r="Q1728">
        <f>IF($O1728="","",INDEX(Suivi!$E:$E,1761))</f>
        <v/>
      </c>
      <c r="R1728">
        <f>IF($O1728="","",INDEX(Suivi!$F:$F,1761))</f>
        <v/>
      </c>
      <c r="S1728">
        <f>IF($O1728="","",INDEX(Suivi!$G:$G,1761))</f>
        <v/>
      </c>
      <c r="T1728">
        <f>IF($O1728="","",IF(INDEX(Dossiers!$F$4:$F$63,33)="","",INDEX(Dossiers!$F$4:$F$63,33)))</f>
        <v/>
      </c>
      <c r="U1728">
        <f>IF($O1728="","",IF(INDEX(Dossiers!$G$4:$G$63,33)="","",INDEX(Dossiers!$G$4:$G$63,33)))</f>
        <v/>
      </c>
      <c r="V1728">
        <f>IF(OR($O1728="",NOT(ISNUMBER($Q1728))),"",$Q1728*1000000+1728)</f>
        <v/>
      </c>
      <c r="W1728" s="29">
        <f>IF($B1728="","",IFERROR(INDEX($U$4:$U$3183,MATCH(SMALL($V$4:$V$3183,1725),$V$4:$V$3183,0)),""))</f>
        <v/>
      </c>
    </row>
    <row r="1729">
      <c r="A1729">
        <f>IFERROR(INDEX($N$4:$N$3183,MATCH(SMALL($V$4:$V$3183,1726),$V$4:$V$3183,0)),"")</f>
        <v/>
      </c>
      <c r="B1729">
        <f>IFERROR(INDEX($O$4:$O$3183,MATCH(SMALL($V$4:$V$3183,1726),$V$4:$V$3183,0)),"")</f>
        <v/>
      </c>
      <c r="C1729">
        <f>IFERROR(INDEX($P$4:$P$3183,MATCH(SMALL($V$4:$V$3183,1726),$V$4:$V$3183,0)),"")</f>
        <v/>
      </c>
      <c r="D1729" s="29">
        <f>IFERROR(INDEX($Q$4:$Q$3183,MATCH(SMALL($V$4:$V$3183,1726),$V$4:$V$3183,0)),"")</f>
        <v/>
      </c>
      <c r="E1729" s="29">
        <f>IFERROR(INDEX($R$4:$R$3183,MATCH(SMALL($V$4:$V$3183,1726),$V$4:$V$3183,0)),"")</f>
        <v/>
      </c>
      <c r="F1729">
        <f>IFERROR(INDEX($S$4:$S$3183,MATCH(SMALL($V$4:$V$3183,1726),$V$4:$V$3183,0)),"")</f>
        <v/>
      </c>
      <c r="I1729" s="29">
        <f>IF($B1729="","",IFERROR(INDEX($U$4:$U$3183,MATCH(SMALL($V$4:$V$3183,1726),$V$4:$V$3183,0)),""))</f>
        <v/>
      </c>
      <c r="J1729">
        <f>IF($B1729="","",IF($D1729&gt;$F$2,"À venir",IF($E1729&lt;$D$2,"Passé","Dans la période")))</f>
        <v/>
      </c>
      <c r="K1729">
        <f>IF(OR($B1729="",NOT(ISNUMBER($D1729))),"",IF(AND($E1729&lt;$D$2,$G1729&lt;&gt;"X",$F1729&lt;&gt;"Réalisé",$F1729&lt;&gt;"Clôturé"),"RETARD",""))</f>
        <v/>
      </c>
      <c r="L1729">
        <f>IF(OR($B1729="",NOT(ISNUMBER($D1729))),"",IF(AND($D1729&gt;=$D$2,$D1729&lt;=$H$2,$G1729&lt;&gt;"X",$F1729&lt;&gt;"Réalisé",$F1729&lt;&gt;"Clôturé"),"≤ 7 j",""))</f>
        <v/>
      </c>
      <c r="M1729" s="29">
        <f>IF($B1729="","",IFERROR(INDEX($T$4:$T$3183,MATCH(SMALL($V$4:$V$3183,1726),$V$4:$V$3183,0)),""))</f>
        <v/>
      </c>
      <c r="O1729">
        <f>IF(INDEX(Suivi!$B:$B,1762)="","",INDEX(Suivi!$B:$B,1762))</f>
        <v/>
      </c>
      <c r="P1729">
        <f>IF($O1729="","",IF(INDEX(Suivi!$D:$D,1762)="",INDEX(Suivi!$C:$C,1762),INDEX(Suivi!$D:$D,1762)))</f>
        <v/>
      </c>
      <c r="Q1729">
        <f>IF($O1729="","",INDEX(Suivi!$E:$E,1762))</f>
        <v/>
      </c>
      <c r="R1729">
        <f>IF($O1729="","",INDEX(Suivi!$F:$F,1762))</f>
        <v/>
      </c>
      <c r="S1729">
        <f>IF($O1729="","",INDEX(Suivi!$G:$G,1762))</f>
        <v/>
      </c>
      <c r="T1729">
        <f>IF($O1729="","",IF(INDEX(Dossiers!$F$4:$F$63,33)="","",INDEX(Dossiers!$F$4:$F$63,33)))</f>
        <v/>
      </c>
      <c r="U1729">
        <f>IF($O1729="","",IF(INDEX(Dossiers!$G$4:$G$63,33)="","",INDEX(Dossiers!$G$4:$G$63,33)))</f>
        <v/>
      </c>
      <c r="V1729">
        <f>IF(OR($O1729="",NOT(ISNUMBER($Q1729))),"",$Q1729*1000000+1729)</f>
        <v/>
      </c>
      <c r="W1729" s="29">
        <f>IF($B1729="","",IFERROR(INDEX($U$4:$U$3183,MATCH(SMALL($V$4:$V$3183,1726),$V$4:$V$3183,0)),""))</f>
        <v/>
      </c>
    </row>
    <row r="1730">
      <c r="A1730">
        <f>IFERROR(INDEX($N$4:$N$3183,MATCH(SMALL($V$4:$V$3183,1727),$V$4:$V$3183,0)),"")</f>
        <v/>
      </c>
      <c r="B1730">
        <f>IFERROR(INDEX($O$4:$O$3183,MATCH(SMALL($V$4:$V$3183,1727),$V$4:$V$3183,0)),"")</f>
        <v/>
      </c>
      <c r="C1730">
        <f>IFERROR(INDEX($P$4:$P$3183,MATCH(SMALL($V$4:$V$3183,1727),$V$4:$V$3183,0)),"")</f>
        <v/>
      </c>
      <c r="D1730" s="29">
        <f>IFERROR(INDEX($Q$4:$Q$3183,MATCH(SMALL($V$4:$V$3183,1727),$V$4:$V$3183,0)),"")</f>
        <v/>
      </c>
      <c r="E1730" s="29">
        <f>IFERROR(INDEX($R$4:$R$3183,MATCH(SMALL($V$4:$V$3183,1727),$V$4:$V$3183,0)),"")</f>
        <v/>
      </c>
      <c r="F1730">
        <f>IFERROR(INDEX($S$4:$S$3183,MATCH(SMALL($V$4:$V$3183,1727),$V$4:$V$3183,0)),"")</f>
        <v/>
      </c>
      <c r="I1730" s="29">
        <f>IF($B1730="","",IFERROR(INDEX($U$4:$U$3183,MATCH(SMALL($V$4:$V$3183,1727),$V$4:$V$3183,0)),""))</f>
        <v/>
      </c>
      <c r="J1730">
        <f>IF($B1730="","",IF($D1730&gt;$F$2,"À venir",IF($E1730&lt;$D$2,"Passé","Dans la période")))</f>
        <v/>
      </c>
      <c r="K1730">
        <f>IF(OR($B1730="",NOT(ISNUMBER($D1730))),"",IF(AND($E1730&lt;$D$2,$G1730&lt;&gt;"X",$F1730&lt;&gt;"Réalisé",$F1730&lt;&gt;"Clôturé"),"RETARD",""))</f>
        <v/>
      </c>
      <c r="L1730">
        <f>IF(OR($B1730="",NOT(ISNUMBER($D1730))),"",IF(AND($D1730&gt;=$D$2,$D1730&lt;=$H$2,$G1730&lt;&gt;"X",$F1730&lt;&gt;"Réalisé",$F1730&lt;&gt;"Clôturé"),"≤ 7 j",""))</f>
        <v/>
      </c>
      <c r="M1730" s="29">
        <f>IF($B1730="","",IFERROR(INDEX($T$4:$T$3183,MATCH(SMALL($V$4:$V$3183,1727),$V$4:$V$3183,0)),""))</f>
        <v/>
      </c>
      <c r="O1730">
        <f>IF(INDEX(Suivi!$B:$B,1763)="","",INDEX(Suivi!$B:$B,1763))</f>
        <v/>
      </c>
      <c r="P1730">
        <f>IF($O1730="","",IF(INDEX(Suivi!$D:$D,1763)="",INDEX(Suivi!$C:$C,1763),INDEX(Suivi!$D:$D,1763)))</f>
        <v/>
      </c>
      <c r="Q1730">
        <f>IF($O1730="","",INDEX(Suivi!$E:$E,1763))</f>
        <v/>
      </c>
      <c r="R1730">
        <f>IF($O1730="","",INDEX(Suivi!$F:$F,1763))</f>
        <v/>
      </c>
      <c r="S1730">
        <f>IF($O1730="","",INDEX(Suivi!$G:$G,1763))</f>
        <v/>
      </c>
      <c r="T1730">
        <f>IF($O1730="","",IF(INDEX(Dossiers!$F$4:$F$63,33)="","",INDEX(Dossiers!$F$4:$F$63,33)))</f>
        <v/>
      </c>
      <c r="U1730">
        <f>IF($O1730="","",IF(INDEX(Dossiers!$G$4:$G$63,33)="","",INDEX(Dossiers!$G$4:$G$63,33)))</f>
        <v/>
      </c>
      <c r="V1730">
        <f>IF(OR($O1730="",NOT(ISNUMBER($Q1730))),"",$Q1730*1000000+1730)</f>
        <v/>
      </c>
      <c r="W1730" s="29">
        <f>IF($B1730="","",IFERROR(INDEX($U$4:$U$3183,MATCH(SMALL($V$4:$V$3183,1727),$V$4:$V$3183,0)),""))</f>
        <v/>
      </c>
    </row>
    <row r="1731">
      <c r="A1731">
        <f>IFERROR(INDEX($N$4:$N$3183,MATCH(SMALL($V$4:$V$3183,1728),$V$4:$V$3183,0)),"")</f>
        <v/>
      </c>
      <c r="B1731">
        <f>IFERROR(INDEX($O$4:$O$3183,MATCH(SMALL($V$4:$V$3183,1728),$V$4:$V$3183,0)),"")</f>
        <v/>
      </c>
      <c r="C1731">
        <f>IFERROR(INDEX($P$4:$P$3183,MATCH(SMALL($V$4:$V$3183,1728),$V$4:$V$3183,0)),"")</f>
        <v/>
      </c>
      <c r="D1731" s="29">
        <f>IFERROR(INDEX($Q$4:$Q$3183,MATCH(SMALL($V$4:$V$3183,1728),$V$4:$V$3183,0)),"")</f>
        <v/>
      </c>
      <c r="E1731" s="29">
        <f>IFERROR(INDEX($R$4:$R$3183,MATCH(SMALL($V$4:$V$3183,1728),$V$4:$V$3183,0)),"")</f>
        <v/>
      </c>
      <c r="F1731">
        <f>IFERROR(INDEX($S$4:$S$3183,MATCH(SMALL($V$4:$V$3183,1728),$V$4:$V$3183,0)),"")</f>
        <v/>
      </c>
      <c r="I1731" s="29">
        <f>IF($B1731="","",IFERROR(INDEX($U$4:$U$3183,MATCH(SMALL($V$4:$V$3183,1728),$V$4:$V$3183,0)),""))</f>
        <v/>
      </c>
      <c r="J1731">
        <f>IF($B1731="","",IF($D1731&gt;$F$2,"À venir",IF($E1731&lt;$D$2,"Passé","Dans la période")))</f>
        <v/>
      </c>
      <c r="K1731">
        <f>IF(OR($B1731="",NOT(ISNUMBER($D1731))),"",IF(AND($E1731&lt;$D$2,$G1731&lt;&gt;"X",$F1731&lt;&gt;"Réalisé",$F1731&lt;&gt;"Clôturé"),"RETARD",""))</f>
        <v/>
      </c>
      <c r="L1731">
        <f>IF(OR($B1731="",NOT(ISNUMBER($D1731))),"",IF(AND($D1731&gt;=$D$2,$D1731&lt;=$H$2,$G1731&lt;&gt;"X",$F1731&lt;&gt;"Réalisé",$F1731&lt;&gt;"Clôturé"),"≤ 7 j",""))</f>
        <v/>
      </c>
      <c r="M1731" s="29">
        <f>IF($B1731="","",IFERROR(INDEX($T$4:$T$3183,MATCH(SMALL($V$4:$V$3183,1728),$V$4:$V$3183,0)),""))</f>
        <v/>
      </c>
      <c r="O1731">
        <f>IF(INDEX(Suivi!$B:$B,1764)="","",INDEX(Suivi!$B:$B,1764))</f>
        <v/>
      </c>
      <c r="P1731">
        <f>IF($O1731="","",IF(INDEX(Suivi!$D:$D,1764)="",INDEX(Suivi!$C:$C,1764),INDEX(Suivi!$D:$D,1764)))</f>
        <v/>
      </c>
      <c r="Q1731">
        <f>IF($O1731="","",INDEX(Suivi!$E:$E,1764))</f>
        <v/>
      </c>
      <c r="R1731">
        <f>IF($O1731="","",INDEX(Suivi!$F:$F,1764))</f>
        <v/>
      </c>
      <c r="S1731">
        <f>IF($O1731="","",INDEX(Suivi!$G:$G,1764))</f>
        <v/>
      </c>
      <c r="T1731">
        <f>IF($O1731="","",IF(INDEX(Dossiers!$F$4:$F$63,33)="","",INDEX(Dossiers!$F$4:$F$63,33)))</f>
        <v/>
      </c>
      <c r="U1731">
        <f>IF($O1731="","",IF(INDEX(Dossiers!$G$4:$G$63,33)="","",INDEX(Dossiers!$G$4:$G$63,33)))</f>
        <v/>
      </c>
      <c r="V1731">
        <f>IF(OR($O1731="",NOT(ISNUMBER($Q1731))),"",$Q1731*1000000+1731)</f>
        <v/>
      </c>
      <c r="W1731" s="29">
        <f>IF($B1731="","",IFERROR(INDEX($U$4:$U$3183,MATCH(SMALL($V$4:$V$3183,1728),$V$4:$V$3183,0)),""))</f>
        <v/>
      </c>
    </row>
    <row r="1732">
      <c r="A1732">
        <f>IFERROR(INDEX($N$4:$N$3183,MATCH(SMALL($V$4:$V$3183,1729),$V$4:$V$3183,0)),"")</f>
        <v/>
      </c>
      <c r="B1732">
        <f>IFERROR(INDEX($O$4:$O$3183,MATCH(SMALL($V$4:$V$3183,1729),$V$4:$V$3183,0)),"")</f>
        <v/>
      </c>
      <c r="C1732">
        <f>IFERROR(INDEX($P$4:$P$3183,MATCH(SMALL($V$4:$V$3183,1729),$V$4:$V$3183,0)),"")</f>
        <v/>
      </c>
      <c r="D1732" s="29">
        <f>IFERROR(INDEX($Q$4:$Q$3183,MATCH(SMALL($V$4:$V$3183,1729),$V$4:$V$3183,0)),"")</f>
        <v/>
      </c>
      <c r="E1732" s="29">
        <f>IFERROR(INDEX($R$4:$R$3183,MATCH(SMALL($V$4:$V$3183,1729),$V$4:$V$3183,0)),"")</f>
        <v/>
      </c>
      <c r="F1732">
        <f>IFERROR(INDEX($S$4:$S$3183,MATCH(SMALL($V$4:$V$3183,1729),$V$4:$V$3183,0)),"")</f>
        <v/>
      </c>
      <c r="I1732" s="29">
        <f>IF($B1732="","",IFERROR(INDEX($U$4:$U$3183,MATCH(SMALL($V$4:$V$3183,1729),$V$4:$V$3183,0)),""))</f>
        <v/>
      </c>
      <c r="J1732">
        <f>IF($B1732="","",IF($D1732&gt;$F$2,"À venir",IF($E1732&lt;$D$2,"Passé","Dans la période")))</f>
        <v/>
      </c>
      <c r="K1732">
        <f>IF(OR($B1732="",NOT(ISNUMBER($D1732))),"",IF(AND($E1732&lt;$D$2,$G1732&lt;&gt;"X",$F1732&lt;&gt;"Réalisé",$F1732&lt;&gt;"Clôturé"),"RETARD",""))</f>
        <v/>
      </c>
      <c r="L1732">
        <f>IF(OR($B1732="",NOT(ISNUMBER($D1732))),"",IF(AND($D1732&gt;=$D$2,$D1732&lt;=$H$2,$G1732&lt;&gt;"X",$F1732&lt;&gt;"Réalisé",$F1732&lt;&gt;"Clôturé"),"≤ 7 j",""))</f>
        <v/>
      </c>
      <c r="M1732" s="29">
        <f>IF($B1732="","",IFERROR(INDEX($T$4:$T$3183,MATCH(SMALL($V$4:$V$3183,1729),$V$4:$V$3183,0)),""))</f>
        <v/>
      </c>
      <c r="O1732">
        <f>IF(INDEX(Suivi!$B:$B,1765)="","",INDEX(Suivi!$B:$B,1765))</f>
        <v/>
      </c>
      <c r="P1732">
        <f>IF($O1732="","",IF(INDEX(Suivi!$D:$D,1765)="",INDEX(Suivi!$C:$C,1765),INDEX(Suivi!$D:$D,1765)))</f>
        <v/>
      </c>
      <c r="Q1732">
        <f>IF($O1732="","",INDEX(Suivi!$E:$E,1765))</f>
        <v/>
      </c>
      <c r="R1732">
        <f>IF($O1732="","",INDEX(Suivi!$F:$F,1765))</f>
        <v/>
      </c>
      <c r="S1732">
        <f>IF($O1732="","",INDEX(Suivi!$G:$G,1765))</f>
        <v/>
      </c>
      <c r="T1732">
        <f>IF($O1732="","",IF(INDEX(Dossiers!$F$4:$F$63,33)="","",INDEX(Dossiers!$F$4:$F$63,33)))</f>
        <v/>
      </c>
      <c r="U1732">
        <f>IF($O1732="","",IF(INDEX(Dossiers!$G$4:$G$63,33)="","",INDEX(Dossiers!$G$4:$G$63,33)))</f>
        <v/>
      </c>
      <c r="V1732">
        <f>IF(OR($O1732="",NOT(ISNUMBER($Q1732))),"",$Q1732*1000000+1732)</f>
        <v/>
      </c>
      <c r="W1732" s="29">
        <f>IF($B1732="","",IFERROR(INDEX($U$4:$U$3183,MATCH(SMALL($V$4:$V$3183,1729),$V$4:$V$3183,0)),""))</f>
        <v/>
      </c>
    </row>
    <row r="1733">
      <c r="A1733">
        <f>IFERROR(INDEX($N$4:$N$3183,MATCH(SMALL($V$4:$V$3183,1730),$V$4:$V$3183,0)),"")</f>
        <v/>
      </c>
      <c r="B1733">
        <f>IFERROR(INDEX($O$4:$O$3183,MATCH(SMALL($V$4:$V$3183,1730),$V$4:$V$3183,0)),"")</f>
        <v/>
      </c>
      <c r="C1733">
        <f>IFERROR(INDEX($P$4:$P$3183,MATCH(SMALL($V$4:$V$3183,1730),$V$4:$V$3183,0)),"")</f>
        <v/>
      </c>
      <c r="D1733" s="29">
        <f>IFERROR(INDEX($Q$4:$Q$3183,MATCH(SMALL($V$4:$V$3183,1730),$V$4:$V$3183,0)),"")</f>
        <v/>
      </c>
      <c r="E1733" s="29">
        <f>IFERROR(INDEX($R$4:$R$3183,MATCH(SMALL($V$4:$V$3183,1730),$V$4:$V$3183,0)),"")</f>
        <v/>
      </c>
      <c r="F1733">
        <f>IFERROR(INDEX($S$4:$S$3183,MATCH(SMALL($V$4:$V$3183,1730),$V$4:$V$3183,0)),"")</f>
        <v/>
      </c>
      <c r="I1733" s="29">
        <f>IF($B1733="","",IFERROR(INDEX($U$4:$U$3183,MATCH(SMALL($V$4:$V$3183,1730),$V$4:$V$3183,0)),""))</f>
        <v/>
      </c>
      <c r="J1733">
        <f>IF($B1733="","",IF($D1733&gt;$F$2,"À venir",IF($E1733&lt;$D$2,"Passé","Dans la période")))</f>
        <v/>
      </c>
      <c r="K1733">
        <f>IF(OR($B1733="",NOT(ISNUMBER($D1733))),"",IF(AND($E1733&lt;$D$2,$G1733&lt;&gt;"X",$F1733&lt;&gt;"Réalisé",$F1733&lt;&gt;"Clôturé"),"RETARD",""))</f>
        <v/>
      </c>
      <c r="L1733">
        <f>IF(OR($B1733="",NOT(ISNUMBER($D1733))),"",IF(AND($D1733&gt;=$D$2,$D1733&lt;=$H$2,$G1733&lt;&gt;"X",$F1733&lt;&gt;"Réalisé",$F1733&lt;&gt;"Clôturé"),"≤ 7 j",""))</f>
        <v/>
      </c>
      <c r="M1733" s="29">
        <f>IF($B1733="","",IFERROR(INDEX($T$4:$T$3183,MATCH(SMALL($V$4:$V$3183,1730),$V$4:$V$3183,0)),""))</f>
        <v/>
      </c>
      <c r="O1733">
        <f>IF(INDEX(Suivi!$B:$B,1766)="","",INDEX(Suivi!$B:$B,1766))</f>
        <v/>
      </c>
      <c r="P1733">
        <f>IF($O1733="","",IF(INDEX(Suivi!$D:$D,1766)="",INDEX(Suivi!$C:$C,1766),INDEX(Suivi!$D:$D,1766)))</f>
        <v/>
      </c>
      <c r="Q1733">
        <f>IF($O1733="","",INDEX(Suivi!$E:$E,1766))</f>
        <v/>
      </c>
      <c r="R1733">
        <f>IF($O1733="","",INDEX(Suivi!$F:$F,1766))</f>
        <v/>
      </c>
      <c r="S1733">
        <f>IF($O1733="","",INDEX(Suivi!$G:$G,1766))</f>
        <v/>
      </c>
      <c r="T1733">
        <f>IF($O1733="","",IF(INDEX(Dossiers!$F$4:$F$63,33)="","",INDEX(Dossiers!$F$4:$F$63,33)))</f>
        <v/>
      </c>
      <c r="U1733">
        <f>IF($O1733="","",IF(INDEX(Dossiers!$G$4:$G$63,33)="","",INDEX(Dossiers!$G$4:$G$63,33)))</f>
        <v/>
      </c>
      <c r="V1733">
        <f>IF(OR($O1733="",NOT(ISNUMBER($Q1733))),"",$Q1733*1000000+1733)</f>
        <v/>
      </c>
      <c r="W1733" s="29">
        <f>IF($B1733="","",IFERROR(INDEX($U$4:$U$3183,MATCH(SMALL($V$4:$V$3183,1730),$V$4:$V$3183,0)),""))</f>
        <v/>
      </c>
    </row>
    <row r="1734">
      <c r="A1734">
        <f>IFERROR(INDEX($N$4:$N$3183,MATCH(SMALL($V$4:$V$3183,1731),$V$4:$V$3183,0)),"")</f>
        <v/>
      </c>
      <c r="B1734">
        <f>IFERROR(INDEX($O$4:$O$3183,MATCH(SMALL($V$4:$V$3183,1731),$V$4:$V$3183,0)),"")</f>
        <v/>
      </c>
      <c r="C1734">
        <f>IFERROR(INDEX($P$4:$P$3183,MATCH(SMALL($V$4:$V$3183,1731),$V$4:$V$3183,0)),"")</f>
        <v/>
      </c>
      <c r="D1734" s="29">
        <f>IFERROR(INDEX($Q$4:$Q$3183,MATCH(SMALL($V$4:$V$3183,1731),$V$4:$V$3183,0)),"")</f>
        <v/>
      </c>
      <c r="E1734" s="29">
        <f>IFERROR(INDEX($R$4:$R$3183,MATCH(SMALL($V$4:$V$3183,1731),$V$4:$V$3183,0)),"")</f>
        <v/>
      </c>
      <c r="F1734">
        <f>IFERROR(INDEX($S$4:$S$3183,MATCH(SMALL($V$4:$V$3183,1731),$V$4:$V$3183,0)),"")</f>
        <v/>
      </c>
      <c r="I1734" s="29">
        <f>IF($B1734="","",IFERROR(INDEX($U$4:$U$3183,MATCH(SMALL($V$4:$V$3183,1731),$V$4:$V$3183,0)),""))</f>
        <v/>
      </c>
      <c r="J1734">
        <f>IF($B1734="","",IF($D1734&gt;$F$2,"À venir",IF($E1734&lt;$D$2,"Passé","Dans la période")))</f>
        <v/>
      </c>
      <c r="K1734">
        <f>IF(OR($B1734="",NOT(ISNUMBER($D1734))),"",IF(AND($E1734&lt;$D$2,$G1734&lt;&gt;"X",$F1734&lt;&gt;"Réalisé",$F1734&lt;&gt;"Clôturé"),"RETARD",""))</f>
        <v/>
      </c>
      <c r="L1734">
        <f>IF(OR($B1734="",NOT(ISNUMBER($D1734))),"",IF(AND($D1734&gt;=$D$2,$D1734&lt;=$H$2,$G1734&lt;&gt;"X",$F1734&lt;&gt;"Réalisé",$F1734&lt;&gt;"Clôturé"),"≤ 7 j",""))</f>
        <v/>
      </c>
      <c r="M1734" s="29">
        <f>IF($B1734="","",IFERROR(INDEX($T$4:$T$3183,MATCH(SMALL($V$4:$V$3183,1731),$V$4:$V$3183,0)),""))</f>
        <v/>
      </c>
      <c r="O1734">
        <f>IF(INDEX(Suivi!$B:$B,1767)="","",INDEX(Suivi!$B:$B,1767))</f>
        <v/>
      </c>
      <c r="P1734">
        <f>IF($O1734="","",IF(INDEX(Suivi!$D:$D,1767)="",INDEX(Suivi!$C:$C,1767),INDEX(Suivi!$D:$D,1767)))</f>
        <v/>
      </c>
      <c r="Q1734">
        <f>IF($O1734="","",INDEX(Suivi!$E:$E,1767))</f>
        <v/>
      </c>
      <c r="R1734">
        <f>IF($O1734="","",INDEX(Suivi!$F:$F,1767))</f>
        <v/>
      </c>
      <c r="S1734">
        <f>IF($O1734="","",INDEX(Suivi!$G:$G,1767))</f>
        <v/>
      </c>
      <c r="T1734">
        <f>IF($O1734="","",IF(INDEX(Dossiers!$F$4:$F$63,33)="","",INDEX(Dossiers!$F$4:$F$63,33)))</f>
        <v/>
      </c>
      <c r="U1734">
        <f>IF($O1734="","",IF(INDEX(Dossiers!$G$4:$G$63,33)="","",INDEX(Dossiers!$G$4:$G$63,33)))</f>
        <v/>
      </c>
      <c r="V1734">
        <f>IF(OR($O1734="",NOT(ISNUMBER($Q1734))),"",$Q1734*1000000+1734)</f>
        <v/>
      </c>
      <c r="W1734" s="29">
        <f>IF($B1734="","",IFERROR(INDEX($U$4:$U$3183,MATCH(SMALL($V$4:$V$3183,1731),$V$4:$V$3183,0)),""))</f>
        <v/>
      </c>
    </row>
    <row r="1735">
      <c r="A1735">
        <f>IFERROR(INDEX($N$4:$N$3183,MATCH(SMALL($V$4:$V$3183,1732),$V$4:$V$3183,0)),"")</f>
        <v/>
      </c>
      <c r="B1735">
        <f>IFERROR(INDEX($O$4:$O$3183,MATCH(SMALL($V$4:$V$3183,1732),$V$4:$V$3183,0)),"")</f>
        <v/>
      </c>
      <c r="C1735">
        <f>IFERROR(INDEX($P$4:$P$3183,MATCH(SMALL($V$4:$V$3183,1732),$V$4:$V$3183,0)),"")</f>
        <v/>
      </c>
      <c r="D1735" s="29">
        <f>IFERROR(INDEX($Q$4:$Q$3183,MATCH(SMALL($V$4:$V$3183,1732),$V$4:$V$3183,0)),"")</f>
        <v/>
      </c>
      <c r="E1735" s="29">
        <f>IFERROR(INDEX($R$4:$R$3183,MATCH(SMALL($V$4:$V$3183,1732),$V$4:$V$3183,0)),"")</f>
        <v/>
      </c>
      <c r="F1735">
        <f>IFERROR(INDEX($S$4:$S$3183,MATCH(SMALL($V$4:$V$3183,1732),$V$4:$V$3183,0)),"")</f>
        <v/>
      </c>
      <c r="I1735" s="29">
        <f>IF($B1735="","",IFERROR(INDEX($U$4:$U$3183,MATCH(SMALL($V$4:$V$3183,1732),$V$4:$V$3183,0)),""))</f>
        <v/>
      </c>
      <c r="J1735">
        <f>IF($B1735="","",IF($D1735&gt;$F$2,"À venir",IF($E1735&lt;$D$2,"Passé","Dans la période")))</f>
        <v/>
      </c>
      <c r="K1735">
        <f>IF(OR($B1735="",NOT(ISNUMBER($D1735))),"",IF(AND($E1735&lt;$D$2,$G1735&lt;&gt;"X",$F1735&lt;&gt;"Réalisé",$F1735&lt;&gt;"Clôturé"),"RETARD",""))</f>
        <v/>
      </c>
      <c r="L1735">
        <f>IF(OR($B1735="",NOT(ISNUMBER($D1735))),"",IF(AND($D1735&gt;=$D$2,$D1735&lt;=$H$2,$G1735&lt;&gt;"X",$F1735&lt;&gt;"Réalisé",$F1735&lt;&gt;"Clôturé"),"≤ 7 j",""))</f>
        <v/>
      </c>
      <c r="M1735" s="29">
        <f>IF($B1735="","",IFERROR(INDEX($T$4:$T$3183,MATCH(SMALL($V$4:$V$3183,1732),$V$4:$V$3183,0)),""))</f>
        <v/>
      </c>
      <c r="O1735">
        <f>IF(INDEX(Suivi!$B:$B,1768)="","",INDEX(Suivi!$B:$B,1768))</f>
        <v/>
      </c>
      <c r="P1735">
        <f>IF($O1735="","",IF(INDEX(Suivi!$D:$D,1768)="",INDEX(Suivi!$C:$C,1768),INDEX(Suivi!$D:$D,1768)))</f>
        <v/>
      </c>
      <c r="Q1735">
        <f>IF($O1735="","",INDEX(Suivi!$E:$E,1768))</f>
        <v/>
      </c>
      <c r="R1735">
        <f>IF($O1735="","",INDEX(Suivi!$F:$F,1768))</f>
        <v/>
      </c>
      <c r="S1735">
        <f>IF($O1735="","",INDEX(Suivi!$G:$G,1768))</f>
        <v/>
      </c>
      <c r="T1735">
        <f>IF($O1735="","",IF(INDEX(Dossiers!$F$4:$F$63,33)="","",INDEX(Dossiers!$F$4:$F$63,33)))</f>
        <v/>
      </c>
      <c r="U1735">
        <f>IF($O1735="","",IF(INDEX(Dossiers!$G$4:$G$63,33)="","",INDEX(Dossiers!$G$4:$G$63,33)))</f>
        <v/>
      </c>
      <c r="V1735">
        <f>IF(OR($O1735="",NOT(ISNUMBER($Q1735))),"",$Q1735*1000000+1735)</f>
        <v/>
      </c>
      <c r="W1735" s="29">
        <f>IF($B1735="","",IFERROR(INDEX($U$4:$U$3183,MATCH(SMALL($V$4:$V$3183,1732),$V$4:$V$3183,0)),""))</f>
        <v/>
      </c>
    </row>
    <row r="1736">
      <c r="A1736">
        <f>IFERROR(INDEX($N$4:$N$3183,MATCH(SMALL($V$4:$V$3183,1733),$V$4:$V$3183,0)),"")</f>
        <v/>
      </c>
      <c r="B1736">
        <f>IFERROR(INDEX($O$4:$O$3183,MATCH(SMALL($V$4:$V$3183,1733),$V$4:$V$3183,0)),"")</f>
        <v/>
      </c>
      <c r="C1736">
        <f>IFERROR(INDEX($P$4:$P$3183,MATCH(SMALL($V$4:$V$3183,1733),$V$4:$V$3183,0)),"")</f>
        <v/>
      </c>
      <c r="D1736" s="29">
        <f>IFERROR(INDEX($Q$4:$Q$3183,MATCH(SMALL($V$4:$V$3183,1733),$V$4:$V$3183,0)),"")</f>
        <v/>
      </c>
      <c r="E1736" s="29">
        <f>IFERROR(INDEX($R$4:$R$3183,MATCH(SMALL($V$4:$V$3183,1733),$V$4:$V$3183,0)),"")</f>
        <v/>
      </c>
      <c r="F1736">
        <f>IFERROR(INDEX($S$4:$S$3183,MATCH(SMALL($V$4:$V$3183,1733),$V$4:$V$3183,0)),"")</f>
        <v/>
      </c>
      <c r="I1736" s="29">
        <f>IF($B1736="","",IFERROR(INDEX($U$4:$U$3183,MATCH(SMALL($V$4:$V$3183,1733),$V$4:$V$3183,0)),""))</f>
        <v/>
      </c>
      <c r="J1736">
        <f>IF($B1736="","",IF($D1736&gt;$F$2,"À venir",IF($E1736&lt;$D$2,"Passé","Dans la période")))</f>
        <v/>
      </c>
      <c r="K1736">
        <f>IF(OR($B1736="",NOT(ISNUMBER($D1736))),"",IF(AND($E1736&lt;$D$2,$G1736&lt;&gt;"X",$F1736&lt;&gt;"Réalisé",$F1736&lt;&gt;"Clôturé"),"RETARD",""))</f>
        <v/>
      </c>
      <c r="L1736">
        <f>IF(OR($B1736="",NOT(ISNUMBER($D1736))),"",IF(AND($D1736&gt;=$D$2,$D1736&lt;=$H$2,$G1736&lt;&gt;"X",$F1736&lt;&gt;"Réalisé",$F1736&lt;&gt;"Clôturé"),"≤ 7 j",""))</f>
        <v/>
      </c>
      <c r="M1736" s="29">
        <f>IF($B1736="","",IFERROR(INDEX($T$4:$T$3183,MATCH(SMALL($V$4:$V$3183,1733),$V$4:$V$3183,0)),""))</f>
        <v/>
      </c>
      <c r="O1736">
        <f>IF(INDEX(Suivi!$B:$B,1769)="","",INDEX(Suivi!$B:$B,1769))</f>
        <v/>
      </c>
      <c r="P1736">
        <f>IF($O1736="","",IF(INDEX(Suivi!$D:$D,1769)="",INDEX(Suivi!$C:$C,1769),INDEX(Suivi!$D:$D,1769)))</f>
        <v/>
      </c>
      <c r="Q1736">
        <f>IF($O1736="","",INDEX(Suivi!$E:$E,1769))</f>
        <v/>
      </c>
      <c r="R1736">
        <f>IF($O1736="","",INDEX(Suivi!$F:$F,1769))</f>
        <v/>
      </c>
      <c r="S1736">
        <f>IF($O1736="","",INDEX(Suivi!$G:$G,1769))</f>
        <v/>
      </c>
      <c r="T1736">
        <f>IF($O1736="","",IF(INDEX(Dossiers!$F$4:$F$63,33)="","",INDEX(Dossiers!$F$4:$F$63,33)))</f>
        <v/>
      </c>
      <c r="U1736">
        <f>IF($O1736="","",IF(INDEX(Dossiers!$G$4:$G$63,33)="","",INDEX(Dossiers!$G$4:$G$63,33)))</f>
        <v/>
      </c>
      <c r="V1736">
        <f>IF(OR($O1736="",NOT(ISNUMBER($Q1736))),"",$Q1736*1000000+1736)</f>
        <v/>
      </c>
      <c r="W1736" s="29">
        <f>IF($B1736="","",IFERROR(INDEX($U$4:$U$3183,MATCH(SMALL($V$4:$V$3183,1733),$V$4:$V$3183,0)),""))</f>
        <v/>
      </c>
    </row>
    <row r="1737">
      <c r="A1737">
        <f>IFERROR(INDEX($N$4:$N$3183,MATCH(SMALL($V$4:$V$3183,1734),$V$4:$V$3183,0)),"")</f>
        <v/>
      </c>
      <c r="B1737">
        <f>IFERROR(INDEX($O$4:$O$3183,MATCH(SMALL($V$4:$V$3183,1734),$V$4:$V$3183,0)),"")</f>
        <v/>
      </c>
      <c r="C1737">
        <f>IFERROR(INDEX($P$4:$P$3183,MATCH(SMALL($V$4:$V$3183,1734),$V$4:$V$3183,0)),"")</f>
        <v/>
      </c>
      <c r="D1737" s="29">
        <f>IFERROR(INDEX($Q$4:$Q$3183,MATCH(SMALL($V$4:$V$3183,1734),$V$4:$V$3183,0)),"")</f>
        <v/>
      </c>
      <c r="E1737" s="29">
        <f>IFERROR(INDEX($R$4:$R$3183,MATCH(SMALL($V$4:$V$3183,1734),$V$4:$V$3183,0)),"")</f>
        <v/>
      </c>
      <c r="F1737">
        <f>IFERROR(INDEX($S$4:$S$3183,MATCH(SMALL($V$4:$V$3183,1734),$V$4:$V$3183,0)),"")</f>
        <v/>
      </c>
      <c r="I1737" s="29">
        <f>IF($B1737="","",IFERROR(INDEX($U$4:$U$3183,MATCH(SMALL($V$4:$V$3183,1734),$V$4:$V$3183,0)),""))</f>
        <v/>
      </c>
      <c r="J1737">
        <f>IF($B1737="","",IF($D1737&gt;$F$2,"À venir",IF($E1737&lt;$D$2,"Passé","Dans la période")))</f>
        <v/>
      </c>
      <c r="K1737">
        <f>IF(OR($B1737="",NOT(ISNUMBER($D1737))),"",IF(AND($E1737&lt;$D$2,$G1737&lt;&gt;"X",$F1737&lt;&gt;"Réalisé",$F1737&lt;&gt;"Clôturé"),"RETARD",""))</f>
        <v/>
      </c>
      <c r="L1737">
        <f>IF(OR($B1737="",NOT(ISNUMBER($D1737))),"",IF(AND($D1737&gt;=$D$2,$D1737&lt;=$H$2,$G1737&lt;&gt;"X",$F1737&lt;&gt;"Réalisé",$F1737&lt;&gt;"Clôturé"),"≤ 7 j",""))</f>
        <v/>
      </c>
      <c r="M1737" s="29">
        <f>IF($B1737="","",IFERROR(INDEX($T$4:$T$3183,MATCH(SMALL($V$4:$V$3183,1734),$V$4:$V$3183,0)),""))</f>
        <v/>
      </c>
      <c r="O1737">
        <f>IF(INDEX(Suivi!$B:$B,1770)="","",INDEX(Suivi!$B:$B,1770))</f>
        <v/>
      </c>
      <c r="P1737">
        <f>IF($O1737="","",IF(INDEX(Suivi!$D:$D,1770)="",INDEX(Suivi!$C:$C,1770),INDEX(Suivi!$D:$D,1770)))</f>
        <v/>
      </c>
      <c r="Q1737">
        <f>IF($O1737="","",INDEX(Suivi!$E:$E,1770))</f>
        <v/>
      </c>
      <c r="R1737">
        <f>IF($O1737="","",INDEX(Suivi!$F:$F,1770))</f>
        <v/>
      </c>
      <c r="S1737">
        <f>IF($O1737="","",INDEX(Suivi!$G:$G,1770))</f>
        <v/>
      </c>
      <c r="T1737">
        <f>IF($O1737="","",IF(INDEX(Dossiers!$F$4:$F$63,33)="","",INDEX(Dossiers!$F$4:$F$63,33)))</f>
        <v/>
      </c>
      <c r="U1737">
        <f>IF($O1737="","",IF(INDEX(Dossiers!$G$4:$G$63,33)="","",INDEX(Dossiers!$G$4:$G$63,33)))</f>
        <v/>
      </c>
      <c r="V1737">
        <f>IF(OR($O1737="",NOT(ISNUMBER($Q1737))),"",$Q1737*1000000+1737)</f>
        <v/>
      </c>
      <c r="W1737" s="29">
        <f>IF($B1737="","",IFERROR(INDEX($U$4:$U$3183,MATCH(SMALL($V$4:$V$3183,1734),$V$4:$V$3183,0)),""))</f>
        <v/>
      </c>
    </row>
    <row r="1738">
      <c r="A1738">
        <f>IFERROR(INDEX($N$4:$N$3183,MATCH(SMALL($V$4:$V$3183,1735),$V$4:$V$3183,0)),"")</f>
        <v/>
      </c>
      <c r="B1738">
        <f>IFERROR(INDEX($O$4:$O$3183,MATCH(SMALL($V$4:$V$3183,1735),$V$4:$V$3183,0)),"")</f>
        <v/>
      </c>
      <c r="C1738">
        <f>IFERROR(INDEX($P$4:$P$3183,MATCH(SMALL($V$4:$V$3183,1735),$V$4:$V$3183,0)),"")</f>
        <v/>
      </c>
      <c r="D1738" s="29">
        <f>IFERROR(INDEX($Q$4:$Q$3183,MATCH(SMALL($V$4:$V$3183,1735),$V$4:$V$3183,0)),"")</f>
        <v/>
      </c>
      <c r="E1738" s="29">
        <f>IFERROR(INDEX($R$4:$R$3183,MATCH(SMALL($V$4:$V$3183,1735),$V$4:$V$3183,0)),"")</f>
        <v/>
      </c>
      <c r="F1738">
        <f>IFERROR(INDEX($S$4:$S$3183,MATCH(SMALL($V$4:$V$3183,1735),$V$4:$V$3183,0)),"")</f>
        <v/>
      </c>
      <c r="I1738" s="29">
        <f>IF($B1738="","",IFERROR(INDEX($U$4:$U$3183,MATCH(SMALL($V$4:$V$3183,1735),$V$4:$V$3183,0)),""))</f>
        <v/>
      </c>
      <c r="J1738">
        <f>IF($B1738="","",IF($D1738&gt;$F$2,"À venir",IF($E1738&lt;$D$2,"Passé","Dans la période")))</f>
        <v/>
      </c>
      <c r="K1738">
        <f>IF(OR($B1738="",NOT(ISNUMBER($D1738))),"",IF(AND($E1738&lt;$D$2,$G1738&lt;&gt;"X",$F1738&lt;&gt;"Réalisé",$F1738&lt;&gt;"Clôturé"),"RETARD",""))</f>
        <v/>
      </c>
      <c r="L1738">
        <f>IF(OR($B1738="",NOT(ISNUMBER($D1738))),"",IF(AND($D1738&gt;=$D$2,$D1738&lt;=$H$2,$G1738&lt;&gt;"X",$F1738&lt;&gt;"Réalisé",$F1738&lt;&gt;"Clôturé"),"≤ 7 j",""))</f>
        <v/>
      </c>
      <c r="M1738" s="29">
        <f>IF($B1738="","",IFERROR(INDEX($T$4:$T$3183,MATCH(SMALL($V$4:$V$3183,1735),$V$4:$V$3183,0)),""))</f>
        <v/>
      </c>
      <c r="O1738">
        <f>IF(INDEX(Suivi!$B:$B,1771)="","",INDEX(Suivi!$B:$B,1771))</f>
        <v/>
      </c>
      <c r="P1738">
        <f>IF($O1738="","",IF(INDEX(Suivi!$D:$D,1771)="",INDEX(Suivi!$C:$C,1771),INDEX(Suivi!$D:$D,1771)))</f>
        <v/>
      </c>
      <c r="Q1738">
        <f>IF($O1738="","",INDEX(Suivi!$E:$E,1771))</f>
        <v/>
      </c>
      <c r="R1738">
        <f>IF($O1738="","",INDEX(Suivi!$F:$F,1771))</f>
        <v/>
      </c>
      <c r="S1738">
        <f>IF($O1738="","",INDEX(Suivi!$G:$G,1771))</f>
        <v/>
      </c>
      <c r="T1738">
        <f>IF($O1738="","",IF(INDEX(Dossiers!$F$4:$F$63,33)="","",INDEX(Dossiers!$F$4:$F$63,33)))</f>
        <v/>
      </c>
      <c r="U1738">
        <f>IF($O1738="","",IF(INDEX(Dossiers!$G$4:$G$63,33)="","",INDEX(Dossiers!$G$4:$G$63,33)))</f>
        <v/>
      </c>
      <c r="V1738">
        <f>IF(OR($O1738="",NOT(ISNUMBER($Q1738))),"",$Q1738*1000000+1738)</f>
        <v/>
      </c>
      <c r="W1738" s="29">
        <f>IF($B1738="","",IFERROR(INDEX($U$4:$U$3183,MATCH(SMALL($V$4:$V$3183,1735),$V$4:$V$3183,0)),""))</f>
        <v/>
      </c>
    </row>
    <row r="1739">
      <c r="A1739">
        <f>IFERROR(INDEX($N$4:$N$3183,MATCH(SMALL($V$4:$V$3183,1736),$V$4:$V$3183,0)),"")</f>
        <v/>
      </c>
      <c r="B1739">
        <f>IFERROR(INDEX($O$4:$O$3183,MATCH(SMALL($V$4:$V$3183,1736),$V$4:$V$3183,0)),"")</f>
        <v/>
      </c>
      <c r="C1739">
        <f>IFERROR(INDEX($P$4:$P$3183,MATCH(SMALL($V$4:$V$3183,1736),$V$4:$V$3183,0)),"")</f>
        <v/>
      </c>
      <c r="D1739" s="29">
        <f>IFERROR(INDEX($Q$4:$Q$3183,MATCH(SMALL($V$4:$V$3183,1736),$V$4:$V$3183,0)),"")</f>
        <v/>
      </c>
      <c r="E1739" s="29">
        <f>IFERROR(INDEX($R$4:$R$3183,MATCH(SMALL($V$4:$V$3183,1736),$V$4:$V$3183,0)),"")</f>
        <v/>
      </c>
      <c r="F1739">
        <f>IFERROR(INDEX($S$4:$S$3183,MATCH(SMALL($V$4:$V$3183,1736),$V$4:$V$3183,0)),"")</f>
        <v/>
      </c>
      <c r="I1739" s="29">
        <f>IF($B1739="","",IFERROR(INDEX($U$4:$U$3183,MATCH(SMALL($V$4:$V$3183,1736),$V$4:$V$3183,0)),""))</f>
        <v/>
      </c>
      <c r="J1739">
        <f>IF($B1739="","",IF($D1739&gt;$F$2,"À venir",IF($E1739&lt;$D$2,"Passé","Dans la période")))</f>
        <v/>
      </c>
      <c r="K1739">
        <f>IF(OR($B1739="",NOT(ISNUMBER($D1739))),"",IF(AND($E1739&lt;$D$2,$G1739&lt;&gt;"X",$F1739&lt;&gt;"Réalisé",$F1739&lt;&gt;"Clôturé"),"RETARD",""))</f>
        <v/>
      </c>
      <c r="L1739">
        <f>IF(OR($B1739="",NOT(ISNUMBER($D1739))),"",IF(AND($D1739&gt;=$D$2,$D1739&lt;=$H$2,$G1739&lt;&gt;"X",$F1739&lt;&gt;"Réalisé",$F1739&lt;&gt;"Clôturé"),"≤ 7 j",""))</f>
        <v/>
      </c>
      <c r="M1739" s="29">
        <f>IF($B1739="","",IFERROR(INDEX($T$4:$T$3183,MATCH(SMALL($V$4:$V$3183,1736),$V$4:$V$3183,0)),""))</f>
        <v/>
      </c>
      <c r="O1739">
        <f>IF(INDEX(Suivi!$B:$B,1772)="","",INDEX(Suivi!$B:$B,1772))</f>
        <v/>
      </c>
      <c r="P1739">
        <f>IF($O1739="","",IF(INDEX(Suivi!$D:$D,1772)="",INDEX(Suivi!$C:$C,1772),INDEX(Suivi!$D:$D,1772)))</f>
        <v/>
      </c>
      <c r="Q1739">
        <f>IF($O1739="","",INDEX(Suivi!$E:$E,1772))</f>
        <v/>
      </c>
      <c r="R1739">
        <f>IF($O1739="","",INDEX(Suivi!$F:$F,1772))</f>
        <v/>
      </c>
      <c r="S1739">
        <f>IF($O1739="","",INDEX(Suivi!$G:$G,1772))</f>
        <v/>
      </c>
      <c r="T1739">
        <f>IF($O1739="","",IF(INDEX(Dossiers!$F$4:$F$63,33)="","",INDEX(Dossiers!$F$4:$F$63,33)))</f>
        <v/>
      </c>
      <c r="U1739">
        <f>IF($O1739="","",IF(INDEX(Dossiers!$G$4:$G$63,33)="","",INDEX(Dossiers!$G$4:$G$63,33)))</f>
        <v/>
      </c>
      <c r="V1739">
        <f>IF(OR($O1739="",NOT(ISNUMBER($Q1739))),"",$Q1739*1000000+1739)</f>
        <v/>
      </c>
      <c r="W1739" s="29">
        <f>IF($B1739="","",IFERROR(INDEX($U$4:$U$3183,MATCH(SMALL($V$4:$V$3183,1736),$V$4:$V$3183,0)),""))</f>
        <v/>
      </c>
    </row>
    <row r="1740">
      <c r="A1740">
        <f>IFERROR(INDEX($N$4:$N$3183,MATCH(SMALL($V$4:$V$3183,1737),$V$4:$V$3183,0)),"")</f>
        <v/>
      </c>
      <c r="B1740">
        <f>IFERROR(INDEX($O$4:$O$3183,MATCH(SMALL($V$4:$V$3183,1737),$V$4:$V$3183,0)),"")</f>
        <v/>
      </c>
      <c r="C1740">
        <f>IFERROR(INDEX($P$4:$P$3183,MATCH(SMALL($V$4:$V$3183,1737),$V$4:$V$3183,0)),"")</f>
        <v/>
      </c>
      <c r="D1740" s="29">
        <f>IFERROR(INDEX($Q$4:$Q$3183,MATCH(SMALL($V$4:$V$3183,1737),$V$4:$V$3183,0)),"")</f>
        <v/>
      </c>
      <c r="E1740" s="29">
        <f>IFERROR(INDEX($R$4:$R$3183,MATCH(SMALL($V$4:$V$3183,1737),$V$4:$V$3183,0)),"")</f>
        <v/>
      </c>
      <c r="F1740">
        <f>IFERROR(INDEX($S$4:$S$3183,MATCH(SMALL($V$4:$V$3183,1737),$V$4:$V$3183,0)),"")</f>
        <v/>
      </c>
      <c r="I1740" s="29">
        <f>IF($B1740="","",IFERROR(INDEX($U$4:$U$3183,MATCH(SMALL($V$4:$V$3183,1737),$V$4:$V$3183,0)),""))</f>
        <v/>
      </c>
      <c r="J1740">
        <f>IF($B1740="","",IF($D1740&gt;$F$2,"À venir",IF($E1740&lt;$D$2,"Passé","Dans la période")))</f>
        <v/>
      </c>
      <c r="K1740">
        <f>IF(OR($B1740="",NOT(ISNUMBER($D1740))),"",IF(AND($E1740&lt;$D$2,$G1740&lt;&gt;"X",$F1740&lt;&gt;"Réalisé",$F1740&lt;&gt;"Clôturé"),"RETARD",""))</f>
        <v/>
      </c>
      <c r="L1740">
        <f>IF(OR($B1740="",NOT(ISNUMBER($D1740))),"",IF(AND($D1740&gt;=$D$2,$D1740&lt;=$H$2,$G1740&lt;&gt;"X",$F1740&lt;&gt;"Réalisé",$F1740&lt;&gt;"Clôturé"),"≤ 7 j",""))</f>
        <v/>
      </c>
      <c r="M1740" s="29">
        <f>IF($B1740="","",IFERROR(INDEX($T$4:$T$3183,MATCH(SMALL($V$4:$V$3183,1737),$V$4:$V$3183,0)),""))</f>
        <v/>
      </c>
      <c r="O1740">
        <f>IF(INDEX(Suivi!$B:$B,1773)="","",INDEX(Suivi!$B:$B,1773))</f>
        <v/>
      </c>
      <c r="P1740">
        <f>IF($O1740="","",IF(INDEX(Suivi!$D:$D,1773)="",INDEX(Suivi!$C:$C,1773),INDEX(Suivi!$D:$D,1773)))</f>
        <v/>
      </c>
      <c r="Q1740">
        <f>IF($O1740="","",INDEX(Suivi!$E:$E,1773))</f>
        <v/>
      </c>
      <c r="R1740">
        <f>IF($O1740="","",INDEX(Suivi!$F:$F,1773))</f>
        <v/>
      </c>
      <c r="S1740">
        <f>IF($O1740="","",INDEX(Suivi!$G:$G,1773))</f>
        <v/>
      </c>
      <c r="T1740">
        <f>IF($O1740="","",IF(INDEX(Dossiers!$F$4:$F$63,33)="","",INDEX(Dossiers!$F$4:$F$63,33)))</f>
        <v/>
      </c>
      <c r="U1740">
        <f>IF($O1740="","",IF(INDEX(Dossiers!$G$4:$G$63,33)="","",INDEX(Dossiers!$G$4:$G$63,33)))</f>
        <v/>
      </c>
      <c r="V1740">
        <f>IF(OR($O1740="",NOT(ISNUMBER($Q1740))),"",$Q1740*1000000+1740)</f>
        <v/>
      </c>
      <c r="W1740" s="29">
        <f>IF($B1740="","",IFERROR(INDEX($U$4:$U$3183,MATCH(SMALL($V$4:$V$3183,1737),$V$4:$V$3183,0)),""))</f>
        <v/>
      </c>
    </row>
    <row r="1741">
      <c r="A1741">
        <f>IFERROR(INDEX($N$4:$N$3183,MATCH(SMALL($V$4:$V$3183,1738),$V$4:$V$3183,0)),"")</f>
        <v/>
      </c>
      <c r="B1741">
        <f>IFERROR(INDEX($O$4:$O$3183,MATCH(SMALL($V$4:$V$3183,1738),$V$4:$V$3183,0)),"")</f>
        <v/>
      </c>
      <c r="C1741">
        <f>IFERROR(INDEX($P$4:$P$3183,MATCH(SMALL($V$4:$V$3183,1738),$V$4:$V$3183,0)),"")</f>
        <v/>
      </c>
      <c r="D1741" s="29">
        <f>IFERROR(INDEX($Q$4:$Q$3183,MATCH(SMALL($V$4:$V$3183,1738),$V$4:$V$3183,0)),"")</f>
        <v/>
      </c>
      <c r="E1741" s="29">
        <f>IFERROR(INDEX($R$4:$R$3183,MATCH(SMALL($V$4:$V$3183,1738),$V$4:$V$3183,0)),"")</f>
        <v/>
      </c>
      <c r="F1741">
        <f>IFERROR(INDEX($S$4:$S$3183,MATCH(SMALL($V$4:$V$3183,1738),$V$4:$V$3183,0)),"")</f>
        <v/>
      </c>
      <c r="I1741" s="29">
        <f>IF($B1741="","",IFERROR(INDEX($U$4:$U$3183,MATCH(SMALL($V$4:$V$3183,1738),$V$4:$V$3183,0)),""))</f>
        <v/>
      </c>
      <c r="J1741">
        <f>IF($B1741="","",IF($D1741&gt;$F$2,"À venir",IF($E1741&lt;$D$2,"Passé","Dans la période")))</f>
        <v/>
      </c>
      <c r="K1741">
        <f>IF(OR($B1741="",NOT(ISNUMBER($D1741))),"",IF(AND($E1741&lt;$D$2,$G1741&lt;&gt;"X",$F1741&lt;&gt;"Réalisé",$F1741&lt;&gt;"Clôturé"),"RETARD",""))</f>
        <v/>
      </c>
      <c r="L1741">
        <f>IF(OR($B1741="",NOT(ISNUMBER($D1741))),"",IF(AND($D1741&gt;=$D$2,$D1741&lt;=$H$2,$G1741&lt;&gt;"X",$F1741&lt;&gt;"Réalisé",$F1741&lt;&gt;"Clôturé"),"≤ 7 j",""))</f>
        <v/>
      </c>
      <c r="M1741" s="29">
        <f>IF($B1741="","",IFERROR(INDEX($T$4:$T$3183,MATCH(SMALL($V$4:$V$3183,1738),$V$4:$V$3183,0)),""))</f>
        <v/>
      </c>
      <c r="O1741">
        <f>IF(INDEX(Suivi!$B:$B,1774)="","",INDEX(Suivi!$B:$B,1774))</f>
        <v/>
      </c>
      <c r="P1741">
        <f>IF($O1741="","",IF(INDEX(Suivi!$D:$D,1774)="",INDEX(Suivi!$C:$C,1774),INDEX(Suivi!$D:$D,1774)))</f>
        <v/>
      </c>
      <c r="Q1741">
        <f>IF($O1741="","",INDEX(Suivi!$E:$E,1774))</f>
        <v/>
      </c>
      <c r="R1741">
        <f>IF($O1741="","",INDEX(Suivi!$F:$F,1774))</f>
        <v/>
      </c>
      <c r="S1741">
        <f>IF($O1741="","",INDEX(Suivi!$G:$G,1774))</f>
        <v/>
      </c>
      <c r="T1741">
        <f>IF($O1741="","",IF(INDEX(Dossiers!$F$4:$F$63,33)="","",INDEX(Dossiers!$F$4:$F$63,33)))</f>
        <v/>
      </c>
      <c r="U1741">
        <f>IF($O1741="","",IF(INDEX(Dossiers!$G$4:$G$63,33)="","",INDEX(Dossiers!$G$4:$G$63,33)))</f>
        <v/>
      </c>
      <c r="V1741">
        <f>IF(OR($O1741="",NOT(ISNUMBER($Q1741))),"",$Q1741*1000000+1741)</f>
        <v/>
      </c>
      <c r="W1741" s="29">
        <f>IF($B1741="","",IFERROR(INDEX($U$4:$U$3183,MATCH(SMALL($V$4:$V$3183,1738),$V$4:$V$3183,0)),""))</f>
        <v/>
      </c>
    </row>
    <row r="1742">
      <c r="A1742">
        <f>IFERROR(INDEX($N$4:$N$3183,MATCH(SMALL($V$4:$V$3183,1739),$V$4:$V$3183,0)),"")</f>
        <v/>
      </c>
      <c r="B1742">
        <f>IFERROR(INDEX($O$4:$O$3183,MATCH(SMALL($V$4:$V$3183,1739),$V$4:$V$3183,0)),"")</f>
        <v/>
      </c>
      <c r="C1742">
        <f>IFERROR(INDEX($P$4:$P$3183,MATCH(SMALL($V$4:$V$3183,1739),$V$4:$V$3183,0)),"")</f>
        <v/>
      </c>
      <c r="D1742" s="29">
        <f>IFERROR(INDEX($Q$4:$Q$3183,MATCH(SMALL($V$4:$V$3183,1739),$V$4:$V$3183,0)),"")</f>
        <v/>
      </c>
      <c r="E1742" s="29">
        <f>IFERROR(INDEX($R$4:$R$3183,MATCH(SMALL($V$4:$V$3183,1739),$V$4:$V$3183,0)),"")</f>
        <v/>
      </c>
      <c r="F1742">
        <f>IFERROR(INDEX($S$4:$S$3183,MATCH(SMALL($V$4:$V$3183,1739),$V$4:$V$3183,0)),"")</f>
        <v/>
      </c>
      <c r="I1742" s="29">
        <f>IF($B1742="","",IFERROR(INDEX($U$4:$U$3183,MATCH(SMALL($V$4:$V$3183,1739),$V$4:$V$3183,0)),""))</f>
        <v/>
      </c>
      <c r="J1742">
        <f>IF($B1742="","",IF($D1742&gt;$F$2,"À venir",IF($E1742&lt;$D$2,"Passé","Dans la période")))</f>
        <v/>
      </c>
      <c r="K1742">
        <f>IF(OR($B1742="",NOT(ISNUMBER($D1742))),"",IF(AND($E1742&lt;$D$2,$G1742&lt;&gt;"X",$F1742&lt;&gt;"Réalisé",$F1742&lt;&gt;"Clôturé"),"RETARD",""))</f>
        <v/>
      </c>
      <c r="L1742">
        <f>IF(OR($B1742="",NOT(ISNUMBER($D1742))),"",IF(AND($D1742&gt;=$D$2,$D1742&lt;=$H$2,$G1742&lt;&gt;"X",$F1742&lt;&gt;"Réalisé",$F1742&lt;&gt;"Clôturé"),"≤ 7 j",""))</f>
        <v/>
      </c>
      <c r="M1742" s="29">
        <f>IF($B1742="","",IFERROR(INDEX($T$4:$T$3183,MATCH(SMALL($V$4:$V$3183,1739),$V$4:$V$3183,0)),""))</f>
        <v/>
      </c>
      <c r="O1742">
        <f>IF(INDEX(Suivi!$B:$B,1775)="","",INDEX(Suivi!$B:$B,1775))</f>
        <v/>
      </c>
      <c r="P1742">
        <f>IF($O1742="","",IF(INDEX(Suivi!$D:$D,1775)="",INDEX(Suivi!$C:$C,1775),INDEX(Suivi!$D:$D,1775)))</f>
        <v/>
      </c>
      <c r="Q1742">
        <f>IF($O1742="","",INDEX(Suivi!$E:$E,1775))</f>
        <v/>
      </c>
      <c r="R1742">
        <f>IF($O1742="","",INDEX(Suivi!$F:$F,1775))</f>
        <v/>
      </c>
      <c r="S1742">
        <f>IF($O1742="","",INDEX(Suivi!$G:$G,1775))</f>
        <v/>
      </c>
      <c r="T1742">
        <f>IF($O1742="","",IF(INDEX(Dossiers!$F$4:$F$63,33)="","",INDEX(Dossiers!$F$4:$F$63,33)))</f>
        <v/>
      </c>
      <c r="U1742">
        <f>IF($O1742="","",IF(INDEX(Dossiers!$G$4:$G$63,33)="","",INDEX(Dossiers!$G$4:$G$63,33)))</f>
        <v/>
      </c>
      <c r="V1742">
        <f>IF(OR($O1742="",NOT(ISNUMBER($Q1742))),"",$Q1742*1000000+1742)</f>
        <v/>
      </c>
      <c r="W1742" s="29">
        <f>IF($B1742="","",IFERROR(INDEX($U$4:$U$3183,MATCH(SMALL($V$4:$V$3183,1739),$V$4:$V$3183,0)),""))</f>
        <v/>
      </c>
    </row>
    <row r="1743">
      <c r="A1743">
        <f>IFERROR(INDEX($N$4:$N$3183,MATCH(SMALL($V$4:$V$3183,1740),$V$4:$V$3183,0)),"")</f>
        <v/>
      </c>
      <c r="B1743">
        <f>IFERROR(INDEX($O$4:$O$3183,MATCH(SMALL($V$4:$V$3183,1740),$V$4:$V$3183,0)),"")</f>
        <v/>
      </c>
      <c r="C1743">
        <f>IFERROR(INDEX($P$4:$P$3183,MATCH(SMALL($V$4:$V$3183,1740),$V$4:$V$3183,0)),"")</f>
        <v/>
      </c>
      <c r="D1743" s="29">
        <f>IFERROR(INDEX($Q$4:$Q$3183,MATCH(SMALL($V$4:$V$3183,1740),$V$4:$V$3183,0)),"")</f>
        <v/>
      </c>
      <c r="E1743" s="29">
        <f>IFERROR(INDEX($R$4:$R$3183,MATCH(SMALL($V$4:$V$3183,1740),$V$4:$V$3183,0)),"")</f>
        <v/>
      </c>
      <c r="F1743">
        <f>IFERROR(INDEX($S$4:$S$3183,MATCH(SMALL($V$4:$V$3183,1740),$V$4:$V$3183,0)),"")</f>
        <v/>
      </c>
      <c r="I1743" s="29">
        <f>IF($B1743="","",IFERROR(INDEX($U$4:$U$3183,MATCH(SMALL($V$4:$V$3183,1740),$V$4:$V$3183,0)),""))</f>
        <v/>
      </c>
      <c r="J1743">
        <f>IF($B1743="","",IF($D1743&gt;$F$2,"À venir",IF($E1743&lt;$D$2,"Passé","Dans la période")))</f>
        <v/>
      </c>
      <c r="K1743">
        <f>IF(OR($B1743="",NOT(ISNUMBER($D1743))),"",IF(AND($E1743&lt;$D$2,$G1743&lt;&gt;"X",$F1743&lt;&gt;"Réalisé",$F1743&lt;&gt;"Clôturé"),"RETARD",""))</f>
        <v/>
      </c>
      <c r="L1743">
        <f>IF(OR($B1743="",NOT(ISNUMBER($D1743))),"",IF(AND($D1743&gt;=$D$2,$D1743&lt;=$H$2,$G1743&lt;&gt;"X",$F1743&lt;&gt;"Réalisé",$F1743&lt;&gt;"Clôturé"),"≤ 7 j",""))</f>
        <v/>
      </c>
      <c r="M1743" s="29">
        <f>IF($B1743="","",IFERROR(INDEX($T$4:$T$3183,MATCH(SMALL($V$4:$V$3183,1740),$V$4:$V$3183,0)),""))</f>
        <v/>
      </c>
      <c r="O1743">
        <f>IF(INDEX(Suivi!$B:$B,1776)="","",INDEX(Suivi!$B:$B,1776))</f>
        <v/>
      </c>
      <c r="P1743">
        <f>IF($O1743="","",IF(INDEX(Suivi!$D:$D,1776)="",INDEX(Suivi!$C:$C,1776),INDEX(Suivi!$D:$D,1776)))</f>
        <v/>
      </c>
      <c r="Q1743">
        <f>IF($O1743="","",INDEX(Suivi!$E:$E,1776))</f>
        <v/>
      </c>
      <c r="R1743">
        <f>IF($O1743="","",INDEX(Suivi!$F:$F,1776))</f>
        <v/>
      </c>
      <c r="S1743">
        <f>IF($O1743="","",INDEX(Suivi!$G:$G,1776))</f>
        <v/>
      </c>
      <c r="T1743">
        <f>IF($O1743="","",IF(INDEX(Dossiers!$F$4:$F$63,33)="","",INDEX(Dossiers!$F$4:$F$63,33)))</f>
        <v/>
      </c>
      <c r="U1743">
        <f>IF($O1743="","",IF(INDEX(Dossiers!$G$4:$G$63,33)="","",INDEX(Dossiers!$G$4:$G$63,33)))</f>
        <v/>
      </c>
      <c r="V1743">
        <f>IF(OR($O1743="",NOT(ISNUMBER($Q1743))),"",$Q1743*1000000+1743)</f>
        <v/>
      </c>
      <c r="W1743" s="29">
        <f>IF($B1743="","",IFERROR(INDEX($U$4:$U$3183,MATCH(SMALL($V$4:$V$3183,1740),$V$4:$V$3183,0)),""))</f>
        <v/>
      </c>
    </row>
    <row r="1744">
      <c r="A1744">
        <f>IFERROR(INDEX($N$4:$N$3183,MATCH(SMALL($V$4:$V$3183,1741),$V$4:$V$3183,0)),"")</f>
        <v/>
      </c>
      <c r="B1744">
        <f>IFERROR(INDEX($O$4:$O$3183,MATCH(SMALL($V$4:$V$3183,1741),$V$4:$V$3183,0)),"")</f>
        <v/>
      </c>
      <c r="C1744">
        <f>IFERROR(INDEX($P$4:$P$3183,MATCH(SMALL($V$4:$V$3183,1741),$V$4:$V$3183,0)),"")</f>
        <v/>
      </c>
      <c r="D1744" s="29">
        <f>IFERROR(INDEX($Q$4:$Q$3183,MATCH(SMALL($V$4:$V$3183,1741),$V$4:$V$3183,0)),"")</f>
        <v/>
      </c>
      <c r="E1744" s="29">
        <f>IFERROR(INDEX($R$4:$R$3183,MATCH(SMALL($V$4:$V$3183,1741),$V$4:$V$3183,0)),"")</f>
        <v/>
      </c>
      <c r="F1744">
        <f>IFERROR(INDEX($S$4:$S$3183,MATCH(SMALL($V$4:$V$3183,1741),$V$4:$V$3183,0)),"")</f>
        <v/>
      </c>
      <c r="I1744" s="29">
        <f>IF($B1744="","",IFERROR(INDEX($U$4:$U$3183,MATCH(SMALL($V$4:$V$3183,1741),$V$4:$V$3183,0)),""))</f>
        <v/>
      </c>
      <c r="J1744">
        <f>IF($B1744="","",IF($D1744&gt;$F$2,"À venir",IF($E1744&lt;$D$2,"Passé","Dans la période")))</f>
        <v/>
      </c>
      <c r="K1744">
        <f>IF(OR($B1744="",NOT(ISNUMBER($D1744))),"",IF(AND($E1744&lt;$D$2,$G1744&lt;&gt;"X",$F1744&lt;&gt;"Réalisé",$F1744&lt;&gt;"Clôturé"),"RETARD",""))</f>
        <v/>
      </c>
      <c r="L1744">
        <f>IF(OR($B1744="",NOT(ISNUMBER($D1744))),"",IF(AND($D1744&gt;=$D$2,$D1744&lt;=$H$2,$G1744&lt;&gt;"X",$F1744&lt;&gt;"Réalisé",$F1744&lt;&gt;"Clôturé"),"≤ 7 j",""))</f>
        <v/>
      </c>
      <c r="M1744" s="29">
        <f>IF($B1744="","",IFERROR(INDEX($T$4:$T$3183,MATCH(SMALL($V$4:$V$3183,1741),$V$4:$V$3183,0)),""))</f>
        <v/>
      </c>
      <c r="O1744">
        <f>IF(INDEX(Suivi!$B:$B,1777)="","",INDEX(Suivi!$B:$B,1777))</f>
        <v/>
      </c>
      <c r="P1744">
        <f>IF($O1744="","",IF(INDEX(Suivi!$D:$D,1777)="",INDEX(Suivi!$C:$C,1777),INDEX(Suivi!$D:$D,1777)))</f>
        <v/>
      </c>
      <c r="Q1744">
        <f>IF($O1744="","",INDEX(Suivi!$E:$E,1777))</f>
        <v/>
      </c>
      <c r="R1744">
        <f>IF($O1744="","",INDEX(Suivi!$F:$F,1777))</f>
        <v/>
      </c>
      <c r="S1744">
        <f>IF($O1744="","",INDEX(Suivi!$G:$G,1777))</f>
        <v/>
      </c>
      <c r="T1744">
        <f>IF($O1744="","",IF(INDEX(Dossiers!$F$4:$F$63,33)="","",INDEX(Dossiers!$F$4:$F$63,33)))</f>
        <v/>
      </c>
      <c r="U1744">
        <f>IF($O1744="","",IF(INDEX(Dossiers!$G$4:$G$63,33)="","",INDEX(Dossiers!$G$4:$G$63,33)))</f>
        <v/>
      </c>
      <c r="V1744">
        <f>IF(OR($O1744="",NOT(ISNUMBER($Q1744))),"",$Q1744*1000000+1744)</f>
        <v/>
      </c>
      <c r="W1744" s="29">
        <f>IF($B1744="","",IFERROR(INDEX($U$4:$U$3183,MATCH(SMALL($V$4:$V$3183,1741),$V$4:$V$3183,0)),""))</f>
        <v/>
      </c>
    </row>
    <row r="1745">
      <c r="A1745">
        <f>IFERROR(INDEX($N$4:$N$3183,MATCH(SMALL($V$4:$V$3183,1742),$V$4:$V$3183,0)),"")</f>
        <v/>
      </c>
      <c r="B1745">
        <f>IFERROR(INDEX($O$4:$O$3183,MATCH(SMALL($V$4:$V$3183,1742),$V$4:$V$3183,0)),"")</f>
        <v/>
      </c>
      <c r="C1745">
        <f>IFERROR(INDEX($P$4:$P$3183,MATCH(SMALL($V$4:$V$3183,1742),$V$4:$V$3183,0)),"")</f>
        <v/>
      </c>
      <c r="D1745" s="29">
        <f>IFERROR(INDEX($Q$4:$Q$3183,MATCH(SMALL($V$4:$V$3183,1742),$V$4:$V$3183,0)),"")</f>
        <v/>
      </c>
      <c r="E1745" s="29">
        <f>IFERROR(INDEX($R$4:$R$3183,MATCH(SMALL($V$4:$V$3183,1742),$V$4:$V$3183,0)),"")</f>
        <v/>
      </c>
      <c r="F1745">
        <f>IFERROR(INDEX($S$4:$S$3183,MATCH(SMALL($V$4:$V$3183,1742),$V$4:$V$3183,0)),"")</f>
        <v/>
      </c>
      <c r="I1745" s="29">
        <f>IF($B1745="","",IFERROR(INDEX($U$4:$U$3183,MATCH(SMALL($V$4:$V$3183,1742),$V$4:$V$3183,0)),""))</f>
        <v/>
      </c>
      <c r="J1745">
        <f>IF($B1745="","",IF($D1745&gt;$F$2,"À venir",IF($E1745&lt;$D$2,"Passé","Dans la période")))</f>
        <v/>
      </c>
      <c r="K1745">
        <f>IF(OR($B1745="",NOT(ISNUMBER($D1745))),"",IF(AND($E1745&lt;$D$2,$G1745&lt;&gt;"X",$F1745&lt;&gt;"Réalisé",$F1745&lt;&gt;"Clôturé"),"RETARD",""))</f>
        <v/>
      </c>
      <c r="L1745">
        <f>IF(OR($B1745="",NOT(ISNUMBER($D1745))),"",IF(AND($D1745&gt;=$D$2,$D1745&lt;=$H$2,$G1745&lt;&gt;"X",$F1745&lt;&gt;"Réalisé",$F1745&lt;&gt;"Clôturé"),"≤ 7 j",""))</f>
        <v/>
      </c>
      <c r="M1745" s="29">
        <f>IF($B1745="","",IFERROR(INDEX($T$4:$T$3183,MATCH(SMALL($V$4:$V$3183,1742),$V$4:$V$3183,0)),""))</f>
        <v/>
      </c>
      <c r="O1745">
        <f>IF(INDEX(Suivi!$B:$B,1778)="","",INDEX(Suivi!$B:$B,1778))</f>
        <v/>
      </c>
      <c r="P1745">
        <f>IF($O1745="","",IF(INDEX(Suivi!$D:$D,1778)="",INDEX(Suivi!$C:$C,1778),INDEX(Suivi!$D:$D,1778)))</f>
        <v/>
      </c>
      <c r="Q1745">
        <f>IF($O1745="","",INDEX(Suivi!$E:$E,1778))</f>
        <v/>
      </c>
      <c r="R1745">
        <f>IF($O1745="","",INDEX(Suivi!$F:$F,1778))</f>
        <v/>
      </c>
      <c r="S1745">
        <f>IF($O1745="","",INDEX(Suivi!$G:$G,1778))</f>
        <v/>
      </c>
      <c r="T1745">
        <f>IF($O1745="","",IF(INDEX(Dossiers!$F$4:$F$63,33)="","",INDEX(Dossiers!$F$4:$F$63,33)))</f>
        <v/>
      </c>
      <c r="U1745">
        <f>IF($O1745="","",IF(INDEX(Dossiers!$G$4:$G$63,33)="","",INDEX(Dossiers!$G$4:$G$63,33)))</f>
        <v/>
      </c>
      <c r="V1745">
        <f>IF(OR($O1745="",NOT(ISNUMBER($Q1745))),"",$Q1745*1000000+1745)</f>
        <v/>
      </c>
      <c r="W1745" s="29">
        <f>IF($B1745="","",IFERROR(INDEX($U$4:$U$3183,MATCH(SMALL($V$4:$V$3183,1742),$V$4:$V$3183,0)),""))</f>
        <v/>
      </c>
    </row>
    <row r="1746">
      <c r="A1746">
        <f>IFERROR(INDEX($N$4:$N$3183,MATCH(SMALL($V$4:$V$3183,1743),$V$4:$V$3183,0)),"")</f>
        <v/>
      </c>
      <c r="B1746">
        <f>IFERROR(INDEX($O$4:$O$3183,MATCH(SMALL($V$4:$V$3183,1743),$V$4:$V$3183,0)),"")</f>
        <v/>
      </c>
      <c r="C1746">
        <f>IFERROR(INDEX($P$4:$P$3183,MATCH(SMALL($V$4:$V$3183,1743),$V$4:$V$3183,0)),"")</f>
        <v/>
      </c>
      <c r="D1746" s="29">
        <f>IFERROR(INDEX($Q$4:$Q$3183,MATCH(SMALL($V$4:$V$3183,1743),$V$4:$V$3183,0)),"")</f>
        <v/>
      </c>
      <c r="E1746" s="29">
        <f>IFERROR(INDEX($R$4:$R$3183,MATCH(SMALL($V$4:$V$3183,1743),$V$4:$V$3183,0)),"")</f>
        <v/>
      </c>
      <c r="F1746">
        <f>IFERROR(INDEX($S$4:$S$3183,MATCH(SMALL($V$4:$V$3183,1743),$V$4:$V$3183,0)),"")</f>
        <v/>
      </c>
      <c r="I1746" s="29">
        <f>IF($B1746="","",IFERROR(INDEX($U$4:$U$3183,MATCH(SMALL($V$4:$V$3183,1743),$V$4:$V$3183,0)),""))</f>
        <v/>
      </c>
      <c r="J1746">
        <f>IF($B1746="","",IF($D1746&gt;$F$2,"À venir",IF($E1746&lt;$D$2,"Passé","Dans la période")))</f>
        <v/>
      </c>
      <c r="K1746">
        <f>IF(OR($B1746="",NOT(ISNUMBER($D1746))),"",IF(AND($E1746&lt;$D$2,$G1746&lt;&gt;"X",$F1746&lt;&gt;"Réalisé",$F1746&lt;&gt;"Clôturé"),"RETARD",""))</f>
        <v/>
      </c>
      <c r="L1746">
        <f>IF(OR($B1746="",NOT(ISNUMBER($D1746))),"",IF(AND($D1746&gt;=$D$2,$D1746&lt;=$H$2,$G1746&lt;&gt;"X",$F1746&lt;&gt;"Réalisé",$F1746&lt;&gt;"Clôturé"),"≤ 7 j",""))</f>
        <v/>
      </c>
      <c r="M1746" s="29">
        <f>IF($B1746="","",IFERROR(INDEX($T$4:$T$3183,MATCH(SMALL($V$4:$V$3183,1743),$V$4:$V$3183,0)),""))</f>
        <v/>
      </c>
      <c r="O1746">
        <f>IF(INDEX(Suivi!$B:$B,1779)="","",INDEX(Suivi!$B:$B,1779))</f>
        <v/>
      </c>
      <c r="P1746">
        <f>IF($O1746="","",IF(INDEX(Suivi!$D:$D,1779)="",INDEX(Suivi!$C:$C,1779),INDEX(Suivi!$D:$D,1779)))</f>
        <v/>
      </c>
      <c r="Q1746">
        <f>IF($O1746="","",INDEX(Suivi!$E:$E,1779))</f>
        <v/>
      </c>
      <c r="R1746">
        <f>IF($O1746="","",INDEX(Suivi!$F:$F,1779))</f>
        <v/>
      </c>
      <c r="S1746">
        <f>IF($O1746="","",INDEX(Suivi!$G:$G,1779))</f>
        <v/>
      </c>
      <c r="T1746">
        <f>IF($O1746="","",IF(INDEX(Dossiers!$F$4:$F$63,33)="","",INDEX(Dossiers!$F$4:$F$63,33)))</f>
        <v/>
      </c>
      <c r="U1746">
        <f>IF($O1746="","",IF(INDEX(Dossiers!$G$4:$G$63,33)="","",INDEX(Dossiers!$G$4:$G$63,33)))</f>
        <v/>
      </c>
      <c r="V1746">
        <f>IF(OR($O1746="",NOT(ISNUMBER($Q1746))),"",$Q1746*1000000+1746)</f>
        <v/>
      </c>
      <c r="W1746" s="29">
        <f>IF($B1746="","",IFERROR(INDEX($U$4:$U$3183,MATCH(SMALL($V$4:$V$3183,1743),$V$4:$V$3183,0)),""))</f>
        <v/>
      </c>
    </row>
    <row r="1747">
      <c r="A1747">
        <f>IFERROR(INDEX($N$4:$N$3183,MATCH(SMALL($V$4:$V$3183,1744),$V$4:$V$3183,0)),"")</f>
        <v/>
      </c>
      <c r="B1747">
        <f>IFERROR(INDEX($O$4:$O$3183,MATCH(SMALL($V$4:$V$3183,1744),$V$4:$V$3183,0)),"")</f>
        <v/>
      </c>
      <c r="C1747">
        <f>IFERROR(INDEX($P$4:$P$3183,MATCH(SMALL($V$4:$V$3183,1744),$V$4:$V$3183,0)),"")</f>
        <v/>
      </c>
      <c r="D1747" s="29">
        <f>IFERROR(INDEX($Q$4:$Q$3183,MATCH(SMALL($V$4:$V$3183,1744),$V$4:$V$3183,0)),"")</f>
        <v/>
      </c>
      <c r="E1747" s="29">
        <f>IFERROR(INDEX($R$4:$R$3183,MATCH(SMALL($V$4:$V$3183,1744),$V$4:$V$3183,0)),"")</f>
        <v/>
      </c>
      <c r="F1747">
        <f>IFERROR(INDEX($S$4:$S$3183,MATCH(SMALL($V$4:$V$3183,1744),$V$4:$V$3183,0)),"")</f>
        <v/>
      </c>
      <c r="I1747" s="29">
        <f>IF($B1747="","",IFERROR(INDEX($U$4:$U$3183,MATCH(SMALL($V$4:$V$3183,1744),$V$4:$V$3183,0)),""))</f>
        <v/>
      </c>
      <c r="J1747">
        <f>IF($B1747="","",IF($D1747&gt;$F$2,"À venir",IF($E1747&lt;$D$2,"Passé","Dans la période")))</f>
        <v/>
      </c>
      <c r="K1747">
        <f>IF(OR($B1747="",NOT(ISNUMBER($D1747))),"",IF(AND($E1747&lt;$D$2,$G1747&lt;&gt;"X",$F1747&lt;&gt;"Réalisé",$F1747&lt;&gt;"Clôturé"),"RETARD",""))</f>
        <v/>
      </c>
      <c r="L1747">
        <f>IF(OR($B1747="",NOT(ISNUMBER($D1747))),"",IF(AND($D1747&gt;=$D$2,$D1747&lt;=$H$2,$G1747&lt;&gt;"X",$F1747&lt;&gt;"Réalisé",$F1747&lt;&gt;"Clôturé"),"≤ 7 j",""))</f>
        <v/>
      </c>
      <c r="M1747" s="29">
        <f>IF($B1747="","",IFERROR(INDEX($T$4:$T$3183,MATCH(SMALL($V$4:$V$3183,1744),$V$4:$V$3183,0)),""))</f>
        <v/>
      </c>
      <c r="O1747">
        <f>IF(INDEX(Suivi!$B:$B,1780)="","",INDEX(Suivi!$B:$B,1780))</f>
        <v/>
      </c>
      <c r="P1747">
        <f>IF($O1747="","",IF(INDEX(Suivi!$D:$D,1780)="",INDEX(Suivi!$C:$C,1780),INDEX(Suivi!$D:$D,1780)))</f>
        <v/>
      </c>
      <c r="Q1747">
        <f>IF($O1747="","",INDEX(Suivi!$E:$E,1780))</f>
        <v/>
      </c>
      <c r="R1747">
        <f>IF($O1747="","",INDEX(Suivi!$F:$F,1780))</f>
        <v/>
      </c>
      <c r="S1747">
        <f>IF($O1747="","",INDEX(Suivi!$G:$G,1780))</f>
        <v/>
      </c>
      <c r="T1747">
        <f>IF($O1747="","",IF(INDEX(Dossiers!$F$4:$F$63,33)="","",INDEX(Dossiers!$F$4:$F$63,33)))</f>
        <v/>
      </c>
      <c r="U1747">
        <f>IF($O1747="","",IF(INDEX(Dossiers!$G$4:$G$63,33)="","",INDEX(Dossiers!$G$4:$G$63,33)))</f>
        <v/>
      </c>
      <c r="V1747">
        <f>IF(OR($O1747="",NOT(ISNUMBER($Q1747))),"",$Q1747*1000000+1747)</f>
        <v/>
      </c>
      <c r="W1747" s="29">
        <f>IF($B1747="","",IFERROR(INDEX($U$4:$U$3183,MATCH(SMALL($V$4:$V$3183,1744),$V$4:$V$3183,0)),""))</f>
        <v/>
      </c>
    </row>
    <row r="1748">
      <c r="A1748">
        <f>IFERROR(INDEX($N$4:$N$3183,MATCH(SMALL($V$4:$V$3183,1745),$V$4:$V$3183,0)),"")</f>
        <v/>
      </c>
      <c r="B1748">
        <f>IFERROR(INDEX($O$4:$O$3183,MATCH(SMALL($V$4:$V$3183,1745),$V$4:$V$3183,0)),"")</f>
        <v/>
      </c>
      <c r="C1748">
        <f>IFERROR(INDEX($P$4:$P$3183,MATCH(SMALL($V$4:$V$3183,1745),$V$4:$V$3183,0)),"")</f>
        <v/>
      </c>
      <c r="D1748" s="29">
        <f>IFERROR(INDEX($Q$4:$Q$3183,MATCH(SMALL($V$4:$V$3183,1745),$V$4:$V$3183,0)),"")</f>
        <v/>
      </c>
      <c r="E1748" s="29">
        <f>IFERROR(INDEX($R$4:$R$3183,MATCH(SMALL($V$4:$V$3183,1745),$V$4:$V$3183,0)),"")</f>
        <v/>
      </c>
      <c r="F1748">
        <f>IFERROR(INDEX($S$4:$S$3183,MATCH(SMALL($V$4:$V$3183,1745),$V$4:$V$3183,0)),"")</f>
        <v/>
      </c>
      <c r="I1748" s="29">
        <f>IF($B1748="","",IFERROR(INDEX($U$4:$U$3183,MATCH(SMALL($V$4:$V$3183,1745),$V$4:$V$3183,0)),""))</f>
        <v/>
      </c>
      <c r="J1748">
        <f>IF($B1748="","",IF($D1748&gt;$F$2,"À venir",IF($E1748&lt;$D$2,"Passé","Dans la période")))</f>
        <v/>
      </c>
      <c r="K1748">
        <f>IF(OR($B1748="",NOT(ISNUMBER($D1748))),"",IF(AND($E1748&lt;$D$2,$G1748&lt;&gt;"X",$F1748&lt;&gt;"Réalisé",$F1748&lt;&gt;"Clôturé"),"RETARD",""))</f>
        <v/>
      </c>
      <c r="L1748">
        <f>IF(OR($B1748="",NOT(ISNUMBER($D1748))),"",IF(AND($D1748&gt;=$D$2,$D1748&lt;=$H$2,$G1748&lt;&gt;"X",$F1748&lt;&gt;"Réalisé",$F1748&lt;&gt;"Clôturé"),"≤ 7 j",""))</f>
        <v/>
      </c>
      <c r="M1748" s="29">
        <f>IF($B1748="","",IFERROR(INDEX($T$4:$T$3183,MATCH(SMALL($V$4:$V$3183,1745),$V$4:$V$3183,0)),""))</f>
        <v/>
      </c>
      <c r="O1748">
        <f>IF(INDEX(Suivi!$B:$B,1781)="","",INDEX(Suivi!$B:$B,1781))</f>
        <v/>
      </c>
      <c r="P1748">
        <f>IF($O1748="","",IF(INDEX(Suivi!$D:$D,1781)="",INDEX(Suivi!$C:$C,1781),INDEX(Suivi!$D:$D,1781)))</f>
        <v/>
      </c>
      <c r="Q1748">
        <f>IF($O1748="","",INDEX(Suivi!$E:$E,1781))</f>
        <v/>
      </c>
      <c r="R1748">
        <f>IF($O1748="","",INDEX(Suivi!$F:$F,1781))</f>
        <v/>
      </c>
      <c r="S1748">
        <f>IF($O1748="","",INDEX(Suivi!$G:$G,1781))</f>
        <v/>
      </c>
      <c r="T1748">
        <f>IF($O1748="","",IF(INDEX(Dossiers!$F$4:$F$63,33)="","",INDEX(Dossiers!$F$4:$F$63,33)))</f>
        <v/>
      </c>
      <c r="U1748">
        <f>IF($O1748="","",IF(INDEX(Dossiers!$G$4:$G$63,33)="","",INDEX(Dossiers!$G$4:$G$63,33)))</f>
        <v/>
      </c>
      <c r="V1748">
        <f>IF(OR($O1748="",NOT(ISNUMBER($Q1748))),"",$Q1748*1000000+1748)</f>
        <v/>
      </c>
      <c r="W1748" s="29">
        <f>IF($B1748="","",IFERROR(INDEX($U$4:$U$3183,MATCH(SMALL($V$4:$V$3183,1745),$V$4:$V$3183,0)),""))</f>
        <v/>
      </c>
    </row>
    <row r="1749">
      <c r="A1749">
        <f>IFERROR(INDEX($N$4:$N$3183,MATCH(SMALL($V$4:$V$3183,1746),$V$4:$V$3183,0)),"")</f>
        <v/>
      </c>
      <c r="B1749">
        <f>IFERROR(INDEX($O$4:$O$3183,MATCH(SMALL($V$4:$V$3183,1746),$V$4:$V$3183,0)),"")</f>
        <v/>
      </c>
      <c r="C1749">
        <f>IFERROR(INDEX($P$4:$P$3183,MATCH(SMALL($V$4:$V$3183,1746),$V$4:$V$3183,0)),"")</f>
        <v/>
      </c>
      <c r="D1749" s="29">
        <f>IFERROR(INDEX($Q$4:$Q$3183,MATCH(SMALL($V$4:$V$3183,1746),$V$4:$V$3183,0)),"")</f>
        <v/>
      </c>
      <c r="E1749" s="29">
        <f>IFERROR(INDEX($R$4:$R$3183,MATCH(SMALL($V$4:$V$3183,1746),$V$4:$V$3183,0)),"")</f>
        <v/>
      </c>
      <c r="F1749">
        <f>IFERROR(INDEX($S$4:$S$3183,MATCH(SMALL($V$4:$V$3183,1746),$V$4:$V$3183,0)),"")</f>
        <v/>
      </c>
      <c r="I1749" s="29">
        <f>IF($B1749="","",IFERROR(INDEX($U$4:$U$3183,MATCH(SMALL($V$4:$V$3183,1746),$V$4:$V$3183,0)),""))</f>
        <v/>
      </c>
      <c r="J1749">
        <f>IF($B1749="","",IF($D1749&gt;$F$2,"À venir",IF($E1749&lt;$D$2,"Passé","Dans la période")))</f>
        <v/>
      </c>
      <c r="K1749">
        <f>IF(OR($B1749="",NOT(ISNUMBER($D1749))),"",IF(AND($E1749&lt;$D$2,$G1749&lt;&gt;"X",$F1749&lt;&gt;"Réalisé",$F1749&lt;&gt;"Clôturé"),"RETARD",""))</f>
        <v/>
      </c>
      <c r="L1749">
        <f>IF(OR($B1749="",NOT(ISNUMBER($D1749))),"",IF(AND($D1749&gt;=$D$2,$D1749&lt;=$H$2,$G1749&lt;&gt;"X",$F1749&lt;&gt;"Réalisé",$F1749&lt;&gt;"Clôturé"),"≤ 7 j",""))</f>
        <v/>
      </c>
      <c r="M1749" s="29">
        <f>IF($B1749="","",IFERROR(INDEX($T$4:$T$3183,MATCH(SMALL($V$4:$V$3183,1746),$V$4:$V$3183,0)),""))</f>
        <v/>
      </c>
      <c r="O1749">
        <f>IF(INDEX(Suivi!$B:$B,1782)="","",INDEX(Suivi!$B:$B,1782))</f>
        <v/>
      </c>
      <c r="P1749">
        <f>IF($O1749="","",IF(INDEX(Suivi!$D:$D,1782)="",INDEX(Suivi!$C:$C,1782),INDEX(Suivi!$D:$D,1782)))</f>
        <v/>
      </c>
      <c r="Q1749">
        <f>IF($O1749="","",INDEX(Suivi!$E:$E,1782))</f>
        <v/>
      </c>
      <c r="R1749">
        <f>IF($O1749="","",INDEX(Suivi!$F:$F,1782))</f>
        <v/>
      </c>
      <c r="S1749">
        <f>IF($O1749="","",INDEX(Suivi!$G:$G,1782))</f>
        <v/>
      </c>
      <c r="T1749">
        <f>IF($O1749="","",IF(INDEX(Dossiers!$F$4:$F$63,33)="","",INDEX(Dossiers!$F$4:$F$63,33)))</f>
        <v/>
      </c>
      <c r="U1749">
        <f>IF($O1749="","",IF(INDEX(Dossiers!$G$4:$G$63,33)="","",INDEX(Dossiers!$G$4:$G$63,33)))</f>
        <v/>
      </c>
      <c r="V1749">
        <f>IF(OR($O1749="",NOT(ISNUMBER($Q1749))),"",$Q1749*1000000+1749)</f>
        <v/>
      </c>
      <c r="W1749" s="29">
        <f>IF($B1749="","",IFERROR(INDEX($U$4:$U$3183,MATCH(SMALL($V$4:$V$3183,1746),$V$4:$V$3183,0)),""))</f>
        <v/>
      </c>
    </row>
    <row r="1750">
      <c r="A1750">
        <f>IFERROR(INDEX($N$4:$N$3183,MATCH(SMALL($V$4:$V$3183,1747),$V$4:$V$3183,0)),"")</f>
        <v/>
      </c>
      <c r="B1750">
        <f>IFERROR(INDEX($O$4:$O$3183,MATCH(SMALL($V$4:$V$3183,1747),$V$4:$V$3183,0)),"")</f>
        <v/>
      </c>
      <c r="C1750">
        <f>IFERROR(INDEX($P$4:$P$3183,MATCH(SMALL($V$4:$V$3183,1747),$V$4:$V$3183,0)),"")</f>
        <v/>
      </c>
      <c r="D1750" s="29">
        <f>IFERROR(INDEX($Q$4:$Q$3183,MATCH(SMALL($V$4:$V$3183,1747),$V$4:$V$3183,0)),"")</f>
        <v/>
      </c>
      <c r="E1750" s="29">
        <f>IFERROR(INDEX($R$4:$R$3183,MATCH(SMALL($V$4:$V$3183,1747),$V$4:$V$3183,0)),"")</f>
        <v/>
      </c>
      <c r="F1750">
        <f>IFERROR(INDEX($S$4:$S$3183,MATCH(SMALL($V$4:$V$3183,1747),$V$4:$V$3183,0)),"")</f>
        <v/>
      </c>
      <c r="I1750" s="29">
        <f>IF($B1750="","",IFERROR(INDEX($U$4:$U$3183,MATCH(SMALL($V$4:$V$3183,1747),$V$4:$V$3183,0)),""))</f>
        <v/>
      </c>
      <c r="J1750">
        <f>IF($B1750="","",IF($D1750&gt;$F$2,"À venir",IF($E1750&lt;$D$2,"Passé","Dans la période")))</f>
        <v/>
      </c>
      <c r="K1750">
        <f>IF(OR($B1750="",NOT(ISNUMBER($D1750))),"",IF(AND($E1750&lt;$D$2,$G1750&lt;&gt;"X",$F1750&lt;&gt;"Réalisé",$F1750&lt;&gt;"Clôturé"),"RETARD",""))</f>
        <v/>
      </c>
      <c r="L1750">
        <f>IF(OR($B1750="",NOT(ISNUMBER($D1750))),"",IF(AND($D1750&gt;=$D$2,$D1750&lt;=$H$2,$G1750&lt;&gt;"X",$F1750&lt;&gt;"Réalisé",$F1750&lt;&gt;"Clôturé"),"≤ 7 j",""))</f>
        <v/>
      </c>
      <c r="M1750" s="29">
        <f>IF($B1750="","",IFERROR(INDEX($T$4:$T$3183,MATCH(SMALL($V$4:$V$3183,1747),$V$4:$V$3183,0)),""))</f>
        <v/>
      </c>
      <c r="O1750">
        <f>IF(INDEX(Suivi!$B:$B,1783)="","",INDEX(Suivi!$B:$B,1783))</f>
        <v/>
      </c>
      <c r="P1750">
        <f>IF($O1750="","",IF(INDEX(Suivi!$D:$D,1783)="",INDEX(Suivi!$C:$C,1783),INDEX(Suivi!$D:$D,1783)))</f>
        <v/>
      </c>
      <c r="Q1750">
        <f>IF($O1750="","",INDEX(Suivi!$E:$E,1783))</f>
        <v/>
      </c>
      <c r="R1750">
        <f>IF($O1750="","",INDEX(Suivi!$F:$F,1783))</f>
        <v/>
      </c>
      <c r="S1750">
        <f>IF($O1750="","",INDEX(Suivi!$G:$G,1783))</f>
        <v/>
      </c>
      <c r="T1750">
        <f>IF($O1750="","",IF(INDEX(Dossiers!$F$4:$F$63,33)="","",INDEX(Dossiers!$F$4:$F$63,33)))</f>
        <v/>
      </c>
      <c r="U1750">
        <f>IF($O1750="","",IF(INDEX(Dossiers!$G$4:$G$63,33)="","",INDEX(Dossiers!$G$4:$G$63,33)))</f>
        <v/>
      </c>
      <c r="V1750">
        <f>IF(OR($O1750="",NOT(ISNUMBER($Q1750))),"",$Q1750*1000000+1750)</f>
        <v/>
      </c>
      <c r="W1750" s="29">
        <f>IF($B1750="","",IFERROR(INDEX($U$4:$U$3183,MATCH(SMALL($V$4:$V$3183,1747),$V$4:$V$3183,0)),""))</f>
        <v/>
      </c>
    </row>
    <row r="1751">
      <c r="A1751">
        <f>IFERROR(INDEX($N$4:$N$3183,MATCH(SMALL($V$4:$V$3183,1748),$V$4:$V$3183,0)),"")</f>
        <v/>
      </c>
      <c r="B1751">
        <f>IFERROR(INDEX($O$4:$O$3183,MATCH(SMALL($V$4:$V$3183,1748),$V$4:$V$3183,0)),"")</f>
        <v/>
      </c>
      <c r="C1751">
        <f>IFERROR(INDEX($P$4:$P$3183,MATCH(SMALL($V$4:$V$3183,1748),$V$4:$V$3183,0)),"")</f>
        <v/>
      </c>
      <c r="D1751" s="29">
        <f>IFERROR(INDEX($Q$4:$Q$3183,MATCH(SMALL($V$4:$V$3183,1748),$V$4:$V$3183,0)),"")</f>
        <v/>
      </c>
      <c r="E1751" s="29">
        <f>IFERROR(INDEX($R$4:$R$3183,MATCH(SMALL($V$4:$V$3183,1748),$V$4:$V$3183,0)),"")</f>
        <v/>
      </c>
      <c r="F1751">
        <f>IFERROR(INDEX($S$4:$S$3183,MATCH(SMALL($V$4:$V$3183,1748),$V$4:$V$3183,0)),"")</f>
        <v/>
      </c>
      <c r="I1751" s="29">
        <f>IF($B1751="","",IFERROR(INDEX($U$4:$U$3183,MATCH(SMALL($V$4:$V$3183,1748),$V$4:$V$3183,0)),""))</f>
        <v/>
      </c>
      <c r="J1751">
        <f>IF($B1751="","",IF($D1751&gt;$F$2,"À venir",IF($E1751&lt;$D$2,"Passé","Dans la période")))</f>
        <v/>
      </c>
      <c r="K1751">
        <f>IF(OR($B1751="",NOT(ISNUMBER($D1751))),"",IF(AND($E1751&lt;$D$2,$G1751&lt;&gt;"X",$F1751&lt;&gt;"Réalisé",$F1751&lt;&gt;"Clôturé"),"RETARD",""))</f>
        <v/>
      </c>
      <c r="L1751">
        <f>IF(OR($B1751="",NOT(ISNUMBER($D1751))),"",IF(AND($D1751&gt;=$D$2,$D1751&lt;=$H$2,$G1751&lt;&gt;"X",$F1751&lt;&gt;"Réalisé",$F1751&lt;&gt;"Clôturé"),"≤ 7 j",""))</f>
        <v/>
      </c>
      <c r="M1751" s="29">
        <f>IF($B1751="","",IFERROR(INDEX($T$4:$T$3183,MATCH(SMALL($V$4:$V$3183,1748),$V$4:$V$3183,0)),""))</f>
        <v/>
      </c>
      <c r="O1751">
        <f>IF(INDEX(Suivi!$B:$B,1784)="","",INDEX(Suivi!$B:$B,1784))</f>
        <v/>
      </c>
      <c r="P1751">
        <f>IF($O1751="","",IF(INDEX(Suivi!$D:$D,1784)="",INDEX(Suivi!$C:$C,1784),INDEX(Suivi!$D:$D,1784)))</f>
        <v/>
      </c>
      <c r="Q1751">
        <f>IF($O1751="","",INDEX(Suivi!$E:$E,1784))</f>
        <v/>
      </c>
      <c r="R1751">
        <f>IF($O1751="","",INDEX(Suivi!$F:$F,1784))</f>
        <v/>
      </c>
      <c r="S1751">
        <f>IF($O1751="","",INDEX(Suivi!$G:$G,1784))</f>
        <v/>
      </c>
      <c r="T1751">
        <f>IF($O1751="","",IF(INDEX(Dossiers!$F$4:$F$63,33)="","",INDEX(Dossiers!$F$4:$F$63,33)))</f>
        <v/>
      </c>
      <c r="U1751">
        <f>IF($O1751="","",IF(INDEX(Dossiers!$G$4:$G$63,33)="","",INDEX(Dossiers!$G$4:$G$63,33)))</f>
        <v/>
      </c>
      <c r="V1751">
        <f>IF(OR($O1751="",NOT(ISNUMBER($Q1751))),"",$Q1751*1000000+1751)</f>
        <v/>
      </c>
      <c r="W1751" s="29">
        <f>IF($B1751="","",IFERROR(INDEX($U$4:$U$3183,MATCH(SMALL($V$4:$V$3183,1748),$V$4:$V$3183,0)),""))</f>
        <v/>
      </c>
    </row>
    <row r="1752">
      <c r="A1752">
        <f>IFERROR(INDEX($N$4:$N$3183,MATCH(SMALL($V$4:$V$3183,1749),$V$4:$V$3183,0)),"")</f>
        <v/>
      </c>
      <c r="B1752">
        <f>IFERROR(INDEX($O$4:$O$3183,MATCH(SMALL($V$4:$V$3183,1749),$V$4:$V$3183,0)),"")</f>
        <v/>
      </c>
      <c r="C1752">
        <f>IFERROR(INDEX($P$4:$P$3183,MATCH(SMALL($V$4:$V$3183,1749),$V$4:$V$3183,0)),"")</f>
        <v/>
      </c>
      <c r="D1752" s="29">
        <f>IFERROR(INDEX($Q$4:$Q$3183,MATCH(SMALL($V$4:$V$3183,1749),$V$4:$V$3183,0)),"")</f>
        <v/>
      </c>
      <c r="E1752" s="29">
        <f>IFERROR(INDEX($R$4:$R$3183,MATCH(SMALL($V$4:$V$3183,1749),$V$4:$V$3183,0)),"")</f>
        <v/>
      </c>
      <c r="F1752">
        <f>IFERROR(INDEX($S$4:$S$3183,MATCH(SMALL($V$4:$V$3183,1749),$V$4:$V$3183,0)),"")</f>
        <v/>
      </c>
      <c r="I1752" s="29">
        <f>IF($B1752="","",IFERROR(INDEX($U$4:$U$3183,MATCH(SMALL($V$4:$V$3183,1749),$V$4:$V$3183,0)),""))</f>
        <v/>
      </c>
      <c r="J1752">
        <f>IF($B1752="","",IF($D1752&gt;$F$2,"À venir",IF($E1752&lt;$D$2,"Passé","Dans la période")))</f>
        <v/>
      </c>
      <c r="K1752">
        <f>IF(OR($B1752="",NOT(ISNUMBER($D1752))),"",IF(AND($E1752&lt;$D$2,$G1752&lt;&gt;"X",$F1752&lt;&gt;"Réalisé",$F1752&lt;&gt;"Clôturé"),"RETARD",""))</f>
        <v/>
      </c>
      <c r="L1752">
        <f>IF(OR($B1752="",NOT(ISNUMBER($D1752))),"",IF(AND($D1752&gt;=$D$2,$D1752&lt;=$H$2,$G1752&lt;&gt;"X",$F1752&lt;&gt;"Réalisé",$F1752&lt;&gt;"Clôturé"),"≤ 7 j",""))</f>
        <v/>
      </c>
      <c r="M1752" s="29">
        <f>IF($B1752="","",IFERROR(INDEX($T$4:$T$3183,MATCH(SMALL($V$4:$V$3183,1749),$V$4:$V$3183,0)),""))</f>
        <v/>
      </c>
      <c r="O1752">
        <f>IF(INDEX(Suivi!$B:$B,1785)="","",INDEX(Suivi!$B:$B,1785))</f>
        <v/>
      </c>
      <c r="P1752">
        <f>IF($O1752="","",IF(INDEX(Suivi!$D:$D,1785)="",INDEX(Suivi!$C:$C,1785),INDEX(Suivi!$D:$D,1785)))</f>
        <v/>
      </c>
      <c r="Q1752">
        <f>IF($O1752="","",INDEX(Suivi!$E:$E,1785))</f>
        <v/>
      </c>
      <c r="R1752">
        <f>IF($O1752="","",INDEX(Suivi!$F:$F,1785))</f>
        <v/>
      </c>
      <c r="S1752">
        <f>IF($O1752="","",INDEX(Suivi!$G:$G,1785))</f>
        <v/>
      </c>
      <c r="T1752">
        <f>IF($O1752="","",IF(INDEX(Dossiers!$F$4:$F$63,33)="","",INDEX(Dossiers!$F$4:$F$63,33)))</f>
        <v/>
      </c>
      <c r="U1752">
        <f>IF($O1752="","",IF(INDEX(Dossiers!$G$4:$G$63,33)="","",INDEX(Dossiers!$G$4:$G$63,33)))</f>
        <v/>
      </c>
      <c r="V1752">
        <f>IF(OR($O1752="",NOT(ISNUMBER($Q1752))),"",$Q1752*1000000+1752)</f>
        <v/>
      </c>
      <c r="W1752" s="29">
        <f>IF($B1752="","",IFERROR(INDEX($U$4:$U$3183,MATCH(SMALL($V$4:$V$3183,1749),$V$4:$V$3183,0)),""))</f>
        <v/>
      </c>
    </row>
    <row r="1753">
      <c r="A1753">
        <f>IFERROR(INDEX($N$4:$N$3183,MATCH(SMALL($V$4:$V$3183,1750),$V$4:$V$3183,0)),"")</f>
        <v/>
      </c>
      <c r="B1753">
        <f>IFERROR(INDEX($O$4:$O$3183,MATCH(SMALL($V$4:$V$3183,1750),$V$4:$V$3183,0)),"")</f>
        <v/>
      </c>
      <c r="C1753">
        <f>IFERROR(INDEX($P$4:$P$3183,MATCH(SMALL($V$4:$V$3183,1750),$V$4:$V$3183,0)),"")</f>
        <v/>
      </c>
      <c r="D1753" s="29">
        <f>IFERROR(INDEX($Q$4:$Q$3183,MATCH(SMALL($V$4:$V$3183,1750),$V$4:$V$3183,0)),"")</f>
        <v/>
      </c>
      <c r="E1753" s="29">
        <f>IFERROR(INDEX($R$4:$R$3183,MATCH(SMALL($V$4:$V$3183,1750),$V$4:$V$3183,0)),"")</f>
        <v/>
      </c>
      <c r="F1753">
        <f>IFERROR(INDEX($S$4:$S$3183,MATCH(SMALL($V$4:$V$3183,1750),$V$4:$V$3183,0)),"")</f>
        <v/>
      </c>
      <c r="I1753" s="29">
        <f>IF($B1753="","",IFERROR(INDEX($U$4:$U$3183,MATCH(SMALL($V$4:$V$3183,1750),$V$4:$V$3183,0)),""))</f>
        <v/>
      </c>
      <c r="J1753">
        <f>IF($B1753="","",IF($D1753&gt;$F$2,"À venir",IF($E1753&lt;$D$2,"Passé","Dans la période")))</f>
        <v/>
      </c>
      <c r="K1753">
        <f>IF(OR($B1753="",NOT(ISNUMBER($D1753))),"",IF(AND($E1753&lt;$D$2,$G1753&lt;&gt;"X",$F1753&lt;&gt;"Réalisé",$F1753&lt;&gt;"Clôturé"),"RETARD",""))</f>
        <v/>
      </c>
      <c r="L1753">
        <f>IF(OR($B1753="",NOT(ISNUMBER($D1753))),"",IF(AND($D1753&gt;=$D$2,$D1753&lt;=$H$2,$G1753&lt;&gt;"X",$F1753&lt;&gt;"Réalisé",$F1753&lt;&gt;"Clôturé"),"≤ 7 j",""))</f>
        <v/>
      </c>
      <c r="M1753" s="29">
        <f>IF($B1753="","",IFERROR(INDEX($T$4:$T$3183,MATCH(SMALL($V$4:$V$3183,1750),$V$4:$V$3183,0)),""))</f>
        <v/>
      </c>
      <c r="O1753">
        <f>IF(INDEX(Suivi!$B:$B,1787)="","",INDEX(Suivi!$B:$B,1787))</f>
        <v/>
      </c>
      <c r="P1753">
        <f>IF($O1753="","",IF(INDEX(Suivi!$D:$D,1787)="",INDEX(Suivi!$C:$C,1787),INDEX(Suivi!$D:$D,1787)))</f>
        <v/>
      </c>
      <c r="Q1753">
        <f>IF($O1753="","",INDEX(Suivi!$E:$E,1787))</f>
        <v/>
      </c>
      <c r="R1753">
        <f>IF($O1753="","",INDEX(Suivi!$F:$F,1787))</f>
        <v/>
      </c>
      <c r="S1753">
        <f>IF($O1753="","",INDEX(Suivi!$G:$G,1787))</f>
        <v/>
      </c>
      <c r="T1753">
        <f>IF($O1753="","",IF(INDEX(Dossiers!$F$4:$F$63,34)="","",INDEX(Dossiers!$F$4:$F$63,34)))</f>
        <v/>
      </c>
      <c r="U1753">
        <f>IF($O1753="","",IF(INDEX(Dossiers!$G$4:$G$63,34)="","",INDEX(Dossiers!$G$4:$G$63,34)))</f>
        <v/>
      </c>
      <c r="V1753">
        <f>IF(OR($O1753="",NOT(ISNUMBER($Q1753))),"",$Q1753*1000000+1753)</f>
        <v/>
      </c>
      <c r="W1753" s="29">
        <f>IF($B1753="","",IFERROR(INDEX($U$4:$U$3183,MATCH(SMALL($V$4:$V$3183,1750),$V$4:$V$3183,0)),""))</f>
        <v/>
      </c>
    </row>
    <row r="1754">
      <c r="A1754">
        <f>IFERROR(INDEX($N$4:$N$3183,MATCH(SMALL($V$4:$V$3183,1751),$V$4:$V$3183,0)),"")</f>
        <v/>
      </c>
      <c r="B1754">
        <f>IFERROR(INDEX($O$4:$O$3183,MATCH(SMALL($V$4:$V$3183,1751),$V$4:$V$3183,0)),"")</f>
        <v/>
      </c>
      <c r="C1754">
        <f>IFERROR(INDEX($P$4:$P$3183,MATCH(SMALL($V$4:$V$3183,1751),$V$4:$V$3183,0)),"")</f>
        <v/>
      </c>
      <c r="D1754" s="29">
        <f>IFERROR(INDEX($Q$4:$Q$3183,MATCH(SMALL($V$4:$V$3183,1751),$V$4:$V$3183,0)),"")</f>
        <v/>
      </c>
      <c r="E1754" s="29">
        <f>IFERROR(INDEX($R$4:$R$3183,MATCH(SMALL($V$4:$V$3183,1751),$V$4:$V$3183,0)),"")</f>
        <v/>
      </c>
      <c r="F1754">
        <f>IFERROR(INDEX($S$4:$S$3183,MATCH(SMALL($V$4:$V$3183,1751),$V$4:$V$3183,0)),"")</f>
        <v/>
      </c>
      <c r="I1754" s="29">
        <f>IF($B1754="","",IFERROR(INDEX($U$4:$U$3183,MATCH(SMALL($V$4:$V$3183,1751),$V$4:$V$3183,0)),""))</f>
        <v/>
      </c>
      <c r="J1754">
        <f>IF($B1754="","",IF($D1754&gt;$F$2,"À venir",IF($E1754&lt;$D$2,"Passé","Dans la période")))</f>
        <v/>
      </c>
      <c r="K1754">
        <f>IF(OR($B1754="",NOT(ISNUMBER($D1754))),"",IF(AND($E1754&lt;$D$2,$G1754&lt;&gt;"X",$F1754&lt;&gt;"Réalisé",$F1754&lt;&gt;"Clôturé"),"RETARD",""))</f>
        <v/>
      </c>
      <c r="L1754">
        <f>IF(OR($B1754="",NOT(ISNUMBER($D1754))),"",IF(AND($D1754&gt;=$D$2,$D1754&lt;=$H$2,$G1754&lt;&gt;"X",$F1754&lt;&gt;"Réalisé",$F1754&lt;&gt;"Clôturé"),"≤ 7 j",""))</f>
        <v/>
      </c>
      <c r="M1754" s="29">
        <f>IF($B1754="","",IFERROR(INDEX($T$4:$T$3183,MATCH(SMALL($V$4:$V$3183,1751),$V$4:$V$3183,0)),""))</f>
        <v/>
      </c>
      <c r="O1754">
        <f>IF(INDEX(Suivi!$B:$B,1788)="","",INDEX(Suivi!$B:$B,1788))</f>
        <v/>
      </c>
      <c r="P1754">
        <f>IF($O1754="","",IF(INDEX(Suivi!$D:$D,1788)="",INDEX(Suivi!$C:$C,1788),INDEX(Suivi!$D:$D,1788)))</f>
        <v/>
      </c>
      <c r="Q1754">
        <f>IF($O1754="","",INDEX(Suivi!$E:$E,1788))</f>
        <v/>
      </c>
      <c r="R1754">
        <f>IF($O1754="","",INDEX(Suivi!$F:$F,1788))</f>
        <v/>
      </c>
      <c r="S1754">
        <f>IF($O1754="","",INDEX(Suivi!$G:$G,1788))</f>
        <v/>
      </c>
      <c r="T1754">
        <f>IF($O1754="","",IF(INDEX(Dossiers!$F$4:$F$63,34)="","",INDEX(Dossiers!$F$4:$F$63,34)))</f>
        <v/>
      </c>
      <c r="U1754">
        <f>IF($O1754="","",IF(INDEX(Dossiers!$G$4:$G$63,34)="","",INDEX(Dossiers!$G$4:$G$63,34)))</f>
        <v/>
      </c>
      <c r="V1754">
        <f>IF(OR($O1754="",NOT(ISNUMBER($Q1754))),"",$Q1754*1000000+1754)</f>
        <v/>
      </c>
      <c r="W1754" s="29">
        <f>IF($B1754="","",IFERROR(INDEX($U$4:$U$3183,MATCH(SMALL($V$4:$V$3183,1751),$V$4:$V$3183,0)),""))</f>
        <v/>
      </c>
    </row>
    <row r="1755">
      <c r="A1755">
        <f>IFERROR(INDEX($N$4:$N$3183,MATCH(SMALL($V$4:$V$3183,1752),$V$4:$V$3183,0)),"")</f>
        <v/>
      </c>
      <c r="B1755">
        <f>IFERROR(INDEX($O$4:$O$3183,MATCH(SMALL($V$4:$V$3183,1752),$V$4:$V$3183,0)),"")</f>
        <v/>
      </c>
      <c r="C1755">
        <f>IFERROR(INDEX($P$4:$P$3183,MATCH(SMALL($V$4:$V$3183,1752),$V$4:$V$3183,0)),"")</f>
        <v/>
      </c>
      <c r="D1755" s="29">
        <f>IFERROR(INDEX($Q$4:$Q$3183,MATCH(SMALL($V$4:$V$3183,1752),$V$4:$V$3183,0)),"")</f>
        <v/>
      </c>
      <c r="E1755" s="29">
        <f>IFERROR(INDEX($R$4:$R$3183,MATCH(SMALL($V$4:$V$3183,1752),$V$4:$V$3183,0)),"")</f>
        <v/>
      </c>
      <c r="F1755">
        <f>IFERROR(INDEX($S$4:$S$3183,MATCH(SMALL($V$4:$V$3183,1752),$V$4:$V$3183,0)),"")</f>
        <v/>
      </c>
      <c r="I1755" s="29">
        <f>IF($B1755="","",IFERROR(INDEX($U$4:$U$3183,MATCH(SMALL($V$4:$V$3183,1752),$V$4:$V$3183,0)),""))</f>
        <v/>
      </c>
      <c r="J1755">
        <f>IF($B1755="","",IF($D1755&gt;$F$2,"À venir",IF($E1755&lt;$D$2,"Passé","Dans la période")))</f>
        <v/>
      </c>
      <c r="K1755">
        <f>IF(OR($B1755="",NOT(ISNUMBER($D1755))),"",IF(AND($E1755&lt;$D$2,$G1755&lt;&gt;"X",$F1755&lt;&gt;"Réalisé",$F1755&lt;&gt;"Clôturé"),"RETARD",""))</f>
        <v/>
      </c>
      <c r="L1755">
        <f>IF(OR($B1755="",NOT(ISNUMBER($D1755))),"",IF(AND($D1755&gt;=$D$2,$D1755&lt;=$H$2,$G1755&lt;&gt;"X",$F1755&lt;&gt;"Réalisé",$F1755&lt;&gt;"Clôturé"),"≤ 7 j",""))</f>
        <v/>
      </c>
      <c r="M1755" s="29">
        <f>IF($B1755="","",IFERROR(INDEX($T$4:$T$3183,MATCH(SMALL($V$4:$V$3183,1752),$V$4:$V$3183,0)),""))</f>
        <v/>
      </c>
      <c r="O1755">
        <f>IF(INDEX(Suivi!$B:$B,1789)="","",INDEX(Suivi!$B:$B,1789))</f>
        <v/>
      </c>
      <c r="P1755">
        <f>IF($O1755="","",IF(INDEX(Suivi!$D:$D,1789)="",INDEX(Suivi!$C:$C,1789),INDEX(Suivi!$D:$D,1789)))</f>
        <v/>
      </c>
      <c r="Q1755">
        <f>IF($O1755="","",INDEX(Suivi!$E:$E,1789))</f>
        <v/>
      </c>
      <c r="R1755">
        <f>IF($O1755="","",INDEX(Suivi!$F:$F,1789))</f>
        <v/>
      </c>
      <c r="S1755">
        <f>IF($O1755="","",INDEX(Suivi!$G:$G,1789))</f>
        <v/>
      </c>
      <c r="T1755">
        <f>IF($O1755="","",IF(INDEX(Dossiers!$F$4:$F$63,34)="","",INDEX(Dossiers!$F$4:$F$63,34)))</f>
        <v/>
      </c>
      <c r="U1755">
        <f>IF($O1755="","",IF(INDEX(Dossiers!$G$4:$G$63,34)="","",INDEX(Dossiers!$G$4:$G$63,34)))</f>
        <v/>
      </c>
      <c r="V1755">
        <f>IF(OR($O1755="",NOT(ISNUMBER($Q1755))),"",$Q1755*1000000+1755)</f>
        <v/>
      </c>
      <c r="W1755" s="29">
        <f>IF($B1755="","",IFERROR(INDEX($U$4:$U$3183,MATCH(SMALL($V$4:$V$3183,1752),$V$4:$V$3183,0)),""))</f>
        <v/>
      </c>
    </row>
    <row r="1756">
      <c r="A1756">
        <f>IFERROR(INDEX($N$4:$N$3183,MATCH(SMALL($V$4:$V$3183,1753),$V$4:$V$3183,0)),"")</f>
        <v/>
      </c>
      <c r="B1756">
        <f>IFERROR(INDEX($O$4:$O$3183,MATCH(SMALL($V$4:$V$3183,1753),$V$4:$V$3183,0)),"")</f>
        <v/>
      </c>
      <c r="C1756">
        <f>IFERROR(INDEX($P$4:$P$3183,MATCH(SMALL($V$4:$V$3183,1753),$V$4:$V$3183,0)),"")</f>
        <v/>
      </c>
      <c r="D1756" s="29">
        <f>IFERROR(INDEX($Q$4:$Q$3183,MATCH(SMALL($V$4:$V$3183,1753),$V$4:$V$3183,0)),"")</f>
        <v/>
      </c>
      <c r="E1756" s="29">
        <f>IFERROR(INDEX($R$4:$R$3183,MATCH(SMALL($V$4:$V$3183,1753),$V$4:$V$3183,0)),"")</f>
        <v/>
      </c>
      <c r="F1756">
        <f>IFERROR(INDEX($S$4:$S$3183,MATCH(SMALL($V$4:$V$3183,1753),$V$4:$V$3183,0)),"")</f>
        <v/>
      </c>
      <c r="I1756" s="29">
        <f>IF($B1756="","",IFERROR(INDEX($U$4:$U$3183,MATCH(SMALL($V$4:$V$3183,1753),$V$4:$V$3183,0)),""))</f>
        <v/>
      </c>
      <c r="J1756">
        <f>IF($B1756="","",IF($D1756&gt;$F$2,"À venir",IF($E1756&lt;$D$2,"Passé","Dans la période")))</f>
        <v/>
      </c>
      <c r="K1756">
        <f>IF(OR($B1756="",NOT(ISNUMBER($D1756))),"",IF(AND($E1756&lt;$D$2,$G1756&lt;&gt;"X",$F1756&lt;&gt;"Réalisé",$F1756&lt;&gt;"Clôturé"),"RETARD",""))</f>
        <v/>
      </c>
      <c r="L1756">
        <f>IF(OR($B1756="",NOT(ISNUMBER($D1756))),"",IF(AND($D1756&gt;=$D$2,$D1756&lt;=$H$2,$G1756&lt;&gt;"X",$F1756&lt;&gt;"Réalisé",$F1756&lt;&gt;"Clôturé"),"≤ 7 j",""))</f>
        <v/>
      </c>
      <c r="M1756" s="29">
        <f>IF($B1756="","",IFERROR(INDEX($T$4:$T$3183,MATCH(SMALL($V$4:$V$3183,1753),$V$4:$V$3183,0)),""))</f>
        <v/>
      </c>
      <c r="O1756">
        <f>IF(INDEX(Suivi!$B:$B,1790)="","",INDEX(Suivi!$B:$B,1790))</f>
        <v/>
      </c>
      <c r="P1756">
        <f>IF($O1756="","",IF(INDEX(Suivi!$D:$D,1790)="",INDEX(Suivi!$C:$C,1790),INDEX(Suivi!$D:$D,1790)))</f>
        <v/>
      </c>
      <c r="Q1756">
        <f>IF($O1756="","",INDEX(Suivi!$E:$E,1790))</f>
        <v/>
      </c>
      <c r="R1756">
        <f>IF($O1756="","",INDEX(Suivi!$F:$F,1790))</f>
        <v/>
      </c>
      <c r="S1756">
        <f>IF($O1756="","",INDEX(Suivi!$G:$G,1790))</f>
        <v/>
      </c>
      <c r="T1756">
        <f>IF($O1756="","",IF(INDEX(Dossiers!$F$4:$F$63,34)="","",INDEX(Dossiers!$F$4:$F$63,34)))</f>
        <v/>
      </c>
      <c r="U1756">
        <f>IF($O1756="","",IF(INDEX(Dossiers!$G$4:$G$63,34)="","",INDEX(Dossiers!$G$4:$G$63,34)))</f>
        <v/>
      </c>
      <c r="V1756">
        <f>IF(OR($O1756="",NOT(ISNUMBER($Q1756))),"",$Q1756*1000000+1756)</f>
        <v/>
      </c>
      <c r="W1756" s="29">
        <f>IF($B1756="","",IFERROR(INDEX($U$4:$U$3183,MATCH(SMALL($V$4:$V$3183,1753),$V$4:$V$3183,0)),""))</f>
        <v/>
      </c>
    </row>
    <row r="1757">
      <c r="A1757">
        <f>IFERROR(INDEX($N$4:$N$3183,MATCH(SMALL($V$4:$V$3183,1754),$V$4:$V$3183,0)),"")</f>
        <v/>
      </c>
      <c r="B1757">
        <f>IFERROR(INDEX($O$4:$O$3183,MATCH(SMALL($V$4:$V$3183,1754),$V$4:$V$3183,0)),"")</f>
        <v/>
      </c>
      <c r="C1757">
        <f>IFERROR(INDEX($P$4:$P$3183,MATCH(SMALL($V$4:$V$3183,1754),$V$4:$V$3183,0)),"")</f>
        <v/>
      </c>
      <c r="D1757" s="29">
        <f>IFERROR(INDEX($Q$4:$Q$3183,MATCH(SMALL($V$4:$V$3183,1754),$V$4:$V$3183,0)),"")</f>
        <v/>
      </c>
      <c r="E1757" s="29">
        <f>IFERROR(INDEX($R$4:$R$3183,MATCH(SMALL($V$4:$V$3183,1754),$V$4:$V$3183,0)),"")</f>
        <v/>
      </c>
      <c r="F1757">
        <f>IFERROR(INDEX($S$4:$S$3183,MATCH(SMALL($V$4:$V$3183,1754),$V$4:$V$3183,0)),"")</f>
        <v/>
      </c>
      <c r="I1757" s="29">
        <f>IF($B1757="","",IFERROR(INDEX($U$4:$U$3183,MATCH(SMALL($V$4:$V$3183,1754),$V$4:$V$3183,0)),""))</f>
        <v/>
      </c>
      <c r="J1757">
        <f>IF($B1757="","",IF($D1757&gt;$F$2,"À venir",IF($E1757&lt;$D$2,"Passé","Dans la période")))</f>
        <v/>
      </c>
      <c r="K1757">
        <f>IF(OR($B1757="",NOT(ISNUMBER($D1757))),"",IF(AND($E1757&lt;$D$2,$G1757&lt;&gt;"X",$F1757&lt;&gt;"Réalisé",$F1757&lt;&gt;"Clôturé"),"RETARD",""))</f>
        <v/>
      </c>
      <c r="L1757">
        <f>IF(OR($B1757="",NOT(ISNUMBER($D1757))),"",IF(AND($D1757&gt;=$D$2,$D1757&lt;=$H$2,$G1757&lt;&gt;"X",$F1757&lt;&gt;"Réalisé",$F1757&lt;&gt;"Clôturé"),"≤ 7 j",""))</f>
        <v/>
      </c>
      <c r="M1757" s="29">
        <f>IF($B1757="","",IFERROR(INDEX($T$4:$T$3183,MATCH(SMALL($V$4:$V$3183,1754),$V$4:$V$3183,0)),""))</f>
        <v/>
      </c>
      <c r="O1757">
        <f>IF(INDEX(Suivi!$B:$B,1791)="","",INDEX(Suivi!$B:$B,1791))</f>
        <v/>
      </c>
      <c r="P1757">
        <f>IF($O1757="","",IF(INDEX(Suivi!$D:$D,1791)="",INDEX(Suivi!$C:$C,1791),INDEX(Suivi!$D:$D,1791)))</f>
        <v/>
      </c>
      <c r="Q1757">
        <f>IF($O1757="","",INDEX(Suivi!$E:$E,1791))</f>
        <v/>
      </c>
      <c r="R1757">
        <f>IF($O1757="","",INDEX(Suivi!$F:$F,1791))</f>
        <v/>
      </c>
      <c r="S1757">
        <f>IF($O1757="","",INDEX(Suivi!$G:$G,1791))</f>
        <v/>
      </c>
      <c r="T1757">
        <f>IF($O1757="","",IF(INDEX(Dossiers!$F$4:$F$63,34)="","",INDEX(Dossiers!$F$4:$F$63,34)))</f>
        <v/>
      </c>
      <c r="U1757">
        <f>IF($O1757="","",IF(INDEX(Dossiers!$G$4:$G$63,34)="","",INDEX(Dossiers!$G$4:$G$63,34)))</f>
        <v/>
      </c>
      <c r="V1757">
        <f>IF(OR($O1757="",NOT(ISNUMBER($Q1757))),"",$Q1757*1000000+1757)</f>
        <v/>
      </c>
      <c r="W1757" s="29">
        <f>IF($B1757="","",IFERROR(INDEX($U$4:$U$3183,MATCH(SMALL($V$4:$V$3183,1754),$V$4:$V$3183,0)),""))</f>
        <v/>
      </c>
    </row>
    <row r="1758">
      <c r="A1758">
        <f>IFERROR(INDEX($N$4:$N$3183,MATCH(SMALL($V$4:$V$3183,1755),$V$4:$V$3183,0)),"")</f>
        <v/>
      </c>
      <c r="B1758">
        <f>IFERROR(INDEX($O$4:$O$3183,MATCH(SMALL($V$4:$V$3183,1755),$V$4:$V$3183,0)),"")</f>
        <v/>
      </c>
      <c r="C1758">
        <f>IFERROR(INDEX($P$4:$P$3183,MATCH(SMALL($V$4:$V$3183,1755),$V$4:$V$3183,0)),"")</f>
        <v/>
      </c>
      <c r="D1758" s="29">
        <f>IFERROR(INDEX($Q$4:$Q$3183,MATCH(SMALL($V$4:$V$3183,1755),$V$4:$V$3183,0)),"")</f>
        <v/>
      </c>
      <c r="E1758" s="29">
        <f>IFERROR(INDEX($R$4:$R$3183,MATCH(SMALL($V$4:$V$3183,1755),$V$4:$V$3183,0)),"")</f>
        <v/>
      </c>
      <c r="F1758">
        <f>IFERROR(INDEX($S$4:$S$3183,MATCH(SMALL($V$4:$V$3183,1755),$V$4:$V$3183,0)),"")</f>
        <v/>
      </c>
      <c r="I1758" s="29">
        <f>IF($B1758="","",IFERROR(INDEX($U$4:$U$3183,MATCH(SMALL($V$4:$V$3183,1755),$V$4:$V$3183,0)),""))</f>
        <v/>
      </c>
      <c r="J1758">
        <f>IF($B1758="","",IF($D1758&gt;$F$2,"À venir",IF($E1758&lt;$D$2,"Passé","Dans la période")))</f>
        <v/>
      </c>
      <c r="K1758">
        <f>IF(OR($B1758="",NOT(ISNUMBER($D1758))),"",IF(AND($E1758&lt;$D$2,$G1758&lt;&gt;"X",$F1758&lt;&gt;"Réalisé",$F1758&lt;&gt;"Clôturé"),"RETARD",""))</f>
        <v/>
      </c>
      <c r="L1758">
        <f>IF(OR($B1758="",NOT(ISNUMBER($D1758))),"",IF(AND($D1758&gt;=$D$2,$D1758&lt;=$H$2,$G1758&lt;&gt;"X",$F1758&lt;&gt;"Réalisé",$F1758&lt;&gt;"Clôturé"),"≤ 7 j",""))</f>
        <v/>
      </c>
      <c r="M1758" s="29">
        <f>IF($B1758="","",IFERROR(INDEX($T$4:$T$3183,MATCH(SMALL($V$4:$V$3183,1755),$V$4:$V$3183,0)),""))</f>
        <v/>
      </c>
      <c r="O1758">
        <f>IF(INDEX(Suivi!$B:$B,1792)="","",INDEX(Suivi!$B:$B,1792))</f>
        <v/>
      </c>
      <c r="P1758">
        <f>IF($O1758="","",IF(INDEX(Suivi!$D:$D,1792)="",INDEX(Suivi!$C:$C,1792),INDEX(Suivi!$D:$D,1792)))</f>
        <v/>
      </c>
      <c r="Q1758">
        <f>IF($O1758="","",INDEX(Suivi!$E:$E,1792))</f>
        <v/>
      </c>
      <c r="R1758">
        <f>IF($O1758="","",INDEX(Suivi!$F:$F,1792))</f>
        <v/>
      </c>
      <c r="S1758">
        <f>IF($O1758="","",INDEX(Suivi!$G:$G,1792))</f>
        <v/>
      </c>
      <c r="T1758">
        <f>IF($O1758="","",IF(INDEX(Dossiers!$F$4:$F$63,34)="","",INDEX(Dossiers!$F$4:$F$63,34)))</f>
        <v/>
      </c>
      <c r="U1758">
        <f>IF($O1758="","",IF(INDEX(Dossiers!$G$4:$G$63,34)="","",INDEX(Dossiers!$G$4:$G$63,34)))</f>
        <v/>
      </c>
      <c r="V1758">
        <f>IF(OR($O1758="",NOT(ISNUMBER($Q1758))),"",$Q1758*1000000+1758)</f>
        <v/>
      </c>
      <c r="W1758" s="29">
        <f>IF($B1758="","",IFERROR(INDEX($U$4:$U$3183,MATCH(SMALL($V$4:$V$3183,1755),$V$4:$V$3183,0)),""))</f>
        <v/>
      </c>
    </row>
    <row r="1759">
      <c r="A1759">
        <f>IFERROR(INDEX($N$4:$N$3183,MATCH(SMALL($V$4:$V$3183,1756),$V$4:$V$3183,0)),"")</f>
        <v/>
      </c>
      <c r="B1759">
        <f>IFERROR(INDEX($O$4:$O$3183,MATCH(SMALL($V$4:$V$3183,1756),$V$4:$V$3183,0)),"")</f>
        <v/>
      </c>
      <c r="C1759">
        <f>IFERROR(INDEX($P$4:$P$3183,MATCH(SMALL($V$4:$V$3183,1756),$V$4:$V$3183,0)),"")</f>
        <v/>
      </c>
      <c r="D1759" s="29">
        <f>IFERROR(INDEX($Q$4:$Q$3183,MATCH(SMALL($V$4:$V$3183,1756),$V$4:$V$3183,0)),"")</f>
        <v/>
      </c>
      <c r="E1759" s="29">
        <f>IFERROR(INDEX($R$4:$R$3183,MATCH(SMALL($V$4:$V$3183,1756),$V$4:$V$3183,0)),"")</f>
        <v/>
      </c>
      <c r="F1759">
        <f>IFERROR(INDEX($S$4:$S$3183,MATCH(SMALL($V$4:$V$3183,1756),$V$4:$V$3183,0)),"")</f>
        <v/>
      </c>
      <c r="I1759" s="29">
        <f>IF($B1759="","",IFERROR(INDEX($U$4:$U$3183,MATCH(SMALL($V$4:$V$3183,1756),$V$4:$V$3183,0)),""))</f>
        <v/>
      </c>
      <c r="J1759">
        <f>IF($B1759="","",IF($D1759&gt;$F$2,"À venir",IF($E1759&lt;$D$2,"Passé","Dans la période")))</f>
        <v/>
      </c>
      <c r="K1759">
        <f>IF(OR($B1759="",NOT(ISNUMBER($D1759))),"",IF(AND($E1759&lt;$D$2,$G1759&lt;&gt;"X",$F1759&lt;&gt;"Réalisé",$F1759&lt;&gt;"Clôturé"),"RETARD",""))</f>
        <v/>
      </c>
      <c r="L1759">
        <f>IF(OR($B1759="",NOT(ISNUMBER($D1759))),"",IF(AND($D1759&gt;=$D$2,$D1759&lt;=$H$2,$G1759&lt;&gt;"X",$F1759&lt;&gt;"Réalisé",$F1759&lt;&gt;"Clôturé"),"≤ 7 j",""))</f>
        <v/>
      </c>
      <c r="M1759" s="29">
        <f>IF($B1759="","",IFERROR(INDEX($T$4:$T$3183,MATCH(SMALL($V$4:$V$3183,1756),$V$4:$V$3183,0)),""))</f>
        <v/>
      </c>
      <c r="O1759">
        <f>IF(INDEX(Suivi!$B:$B,1793)="","",INDEX(Suivi!$B:$B,1793))</f>
        <v/>
      </c>
      <c r="P1759">
        <f>IF($O1759="","",IF(INDEX(Suivi!$D:$D,1793)="",INDEX(Suivi!$C:$C,1793),INDEX(Suivi!$D:$D,1793)))</f>
        <v/>
      </c>
      <c r="Q1759">
        <f>IF($O1759="","",INDEX(Suivi!$E:$E,1793))</f>
        <v/>
      </c>
      <c r="R1759">
        <f>IF($O1759="","",INDEX(Suivi!$F:$F,1793))</f>
        <v/>
      </c>
      <c r="S1759">
        <f>IF($O1759="","",INDEX(Suivi!$G:$G,1793))</f>
        <v/>
      </c>
      <c r="T1759">
        <f>IF($O1759="","",IF(INDEX(Dossiers!$F$4:$F$63,34)="","",INDEX(Dossiers!$F$4:$F$63,34)))</f>
        <v/>
      </c>
      <c r="U1759">
        <f>IF($O1759="","",IF(INDEX(Dossiers!$G$4:$G$63,34)="","",INDEX(Dossiers!$G$4:$G$63,34)))</f>
        <v/>
      </c>
      <c r="V1759">
        <f>IF(OR($O1759="",NOT(ISNUMBER($Q1759))),"",$Q1759*1000000+1759)</f>
        <v/>
      </c>
      <c r="W1759" s="29">
        <f>IF($B1759="","",IFERROR(INDEX($U$4:$U$3183,MATCH(SMALL($V$4:$V$3183,1756),$V$4:$V$3183,0)),""))</f>
        <v/>
      </c>
    </row>
    <row r="1760">
      <c r="A1760">
        <f>IFERROR(INDEX($N$4:$N$3183,MATCH(SMALL($V$4:$V$3183,1757),$V$4:$V$3183,0)),"")</f>
        <v/>
      </c>
      <c r="B1760">
        <f>IFERROR(INDEX($O$4:$O$3183,MATCH(SMALL($V$4:$V$3183,1757),$V$4:$V$3183,0)),"")</f>
        <v/>
      </c>
      <c r="C1760">
        <f>IFERROR(INDEX($P$4:$P$3183,MATCH(SMALL($V$4:$V$3183,1757),$V$4:$V$3183,0)),"")</f>
        <v/>
      </c>
      <c r="D1760" s="29">
        <f>IFERROR(INDEX($Q$4:$Q$3183,MATCH(SMALL($V$4:$V$3183,1757),$V$4:$V$3183,0)),"")</f>
        <v/>
      </c>
      <c r="E1760" s="29">
        <f>IFERROR(INDEX($R$4:$R$3183,MATCH(SMALL($V$4:$V$3183,1757),$V$4:$V$3183,0)),"")</f>
        <v/>
      </c>
      <c r="F1760">
        <f>IFERROR(INDEX($S$4:$S$3183,MATCH(SMALL($V$4:$V$3183,1757),$V$4:$V$3183,0)),"")</f>
        <v/>
      </c>
      <c r="I1760" s="29">
        <f>IF($B1760="","",IFERROR(INDEX($U$4:$U$3183,MATCH(SMALL($V$4:$V$3183,1757),$V$4:$V$3183,0)),""))</f>
        <v/>
      </c>
      <c r="J1760">
        <f>IF($B1760="","",IF($D1760&gt;$F$2,"À venir",IF($E1760&lt;$D$2,"Passé","Dans la période")))</f>
        <v/>
      </c>
      <c r="K1760">
        <f>IF(OR($B1760="",NOT(ISNUMBER($D1760))),"",IF(AND($E1760&lt;$D$2,$G1760&lt;&gt;"X",$F1760&lt;&gt;"Réalisé",$F1760&lt;&gt;"Clôturé"),"RETARD",""))</f>
        <v/>
      </c>
      <c r="L1760">
        <f>IF(OR($B1760="",NOT(ISNUMBER($D1760))),"",IF(AND($D1760&gt;=$D$2,$D1760&lt;=$H$2,$G1760&lt;&gt;"X",$F1760&lt;&gt;"Réalisé",$F1760&lt;&gt;"Clôturé"),"≤ 7 j",""))</f>
        <v/>
      </c>
      <c r="M1760" s="29">
        <f>IF($B1760="","",IFERROR(INDEX($T$4:$T$3183,MATCH(SMALL($V$4:$V$3183,1757),$V$4:$V$3183,0)),""))</f>
        <v/>
      </c>
      <c r="O1760">
        <f>IF(INDEX(Suivi!$B:$B,1794)="","",INDEX(Suivi!$B:$B,1794))</f>
        <v/>
      </c>
      <c r="P1760">
        <f>IF($O1760="","",IF(INDEX(Suivi!$D:$D,1794)="",INDEX(Suivi!$C:$C,1794),INDEX(Suivi!$D:$D,1794)))</f>
        <v/>
      </c>
      <c r="Q1760">
        <f>IF($O1760="","",INDEX(Suivi!$E:$E,1794))</f>
        <v/>
      </c>
      <c r="R1760">
        <f>IF($O1760="","",INDEX(Suivi!$F:$F,1794))</f>
        <v/>
      </c>
      <c r="S1760">
        <f>IF($O1760="","",INDEX(Suivi!$G:$G,1794))</f>
        <v/>
      </c>
      <c r="T1760">
        <f>IF($O1760="","",IF(INDEX(Dossiers!$F$4:$F$63,34)="","",INDEX(Dossiers!$F$4:$F$63,34)))</f>
        <v/>
      </c>
      <c r="U1760">
        <f>IF($O1760="","",IF(INDEX(Dossiers!$G$4:$G$63,34)="","",INDEX(Dossiers!$G$4:$G$63,34)))</f>
        <v/>
      </c>
      <c r="V1760">
        <f>IF(OR($O1760="",NOT(ISNUMBER($Q1760))),"",$Q1760*1000000+1760)</f>
        <v/>
      </c>
      <c r="W1760" s="29">
        <f>IF($B1760="","",IFERROR(INDEX($U$4:$U$3183,MATCH(SMALL($V$4:$V$3183,1757),$V$4:$V$3183,0)),""))</f>
        <v/>
      </c>
    </row>
    <row r="1761">
      <c r="A1761">
        <f>IFERROR(INDEX($N$4:$N$3183,MATCH(SMALL($V$4:$V$3183,1758),$V$4:$V$3183,0)),"")</f>
        <v/>
      </c>
      <c r="B1761">
        <f>IFERROR(INDEX($O$4:$O$3183,MATCH(SMALL($V$4:$V$3183,1758),$V$4:$V$3183,0)),"")</f>
        <v/>
      </c>
      <c r="C1761">
        <f>IFERROR(INDEX($P$4:$P$3183,MATCH(SMALL($V$4:$V$3183,1758),$V$4:$V$3183,0)),"")</f>
        <v/>
      </c>
      <c r="D1761" s="29">
        <f>IFERROR(INDEX($Q$4:$Q$3183,MATCH(SMALL($V$4:$V$3183,1758),$V$4:$V$3183,0)),"")</f>
        <v/>
      </c>
      <c r="E1761" s="29">
        <f>IFERROR(INDEX($R$4:$R$3183,MATCH(SMALL($V$4:$V$3183,1758),$V$4:$V$3183,0)),"")</f>
        <v/>
      </c>
      <c r="F1761">
        <f>IFERROR(INDEX($S$4:$S$3183,MATCH(SMALL($V$4:$V$3183,1758),$V$4:$V$3183,0)),"")</f>
        <v/>
      </c>
      <c r="I1761" s="29">
        <f>IF($B1761="","",IFERROR(INDEX($U$4:$U$3183,MATCH(SMALL($V$4:$V$3183,1758),$V$4:$V$3183,0)),""))</f>
        <v/>
      </c>
      <c r="J1761">
        <f>IF($B1761="","",IF($D1761&gt;$F$2,"À venir",IF($E1761&lt;$D$2,"Passé","Dans la période")))</f>
        <v/>
      </c>
      <c r="K1761">
        <f>IF(OR($B1761="",NOT(ISNUMBER($D1761))),"",IF(AND($E1761&lt;$D$2,$G1761&lt;&gt;"X",$F1761&lt;&gt;"Réalisé",$F1761&lt;&gt;"Clôturé"),"RETARD",""))</f>
        <v/>
      </c>
      <c r="L1761">
        <f>IF(OR($B1761="",NOT(ISNUMBER($D1761))),"",IF(AND($D1761&gt;=$D$2,$D1761&lt;=$H$2,$G1761&lt;&gt;"X",$F1761&lt;&gt;"Réalisé",$F1761&lt;&gt;"Clôturé"),"≤ 7 j",""))</f>
        <v/>
      </c>
      <c r="M1761" s="29">
        <f>IF($B1761="","",IFERROR(INDEX($T$4:$T$3183,MATCH(SMALL($V$4:$V$3183,1758),$V$4:$V$3183,0)),""))</f>
        <v/>
      </c>
      <c r="O1761">
        <f>IF(INDEX(Suivi!$B:$B,1795)="","",INDEX(Suivi!$B:$B,1795))</f>
        <v/>
      </c>
      <c r="P1761">
        <f>IF($O1761="","",IF(INDEX(Suivi!$D:$D,1795)="",INDEX(Suivi!$C:$C,1795),INDEX(Suivi!$D:$D,1795)))</f>
        <v/>
      </c>
      <c r="Q1761">
        <f>IF($O1761="","",INDEX(Suivi!$E:$E,1795))</f>
        <v/>
      </c>
      <c r="R1761">
        <f>IF($O1761="","",INDEX(Suivi!$F:$F,1795))</f>
        <v/>
      </c>
      <c r="S1761">
        <f>IF($O1761="","",INDEX(Suivi!$G:$G,1795))</f>
        <v/>
      </c>
      <c r="T1761">
        <f>IF($O1761="","",IF(INDEX(Dossiers!$F$4:$F$63,34)="","",INDEX(Dossiers!$F$4:$F$63,34)))</f>
        <v/>
      </c>
      <c r="U1761">
        <f>IF($O1761="","",IF(INDEX(Dossiers!$G$4:$G$63,34)="","",INDEX(Dossiers!$G$4:$G$63,34)))</f>
        <v/>
      </c>
      <c r="V1761">
        <f>IF(OR($O1761="",NOT(ISNUMBER($Q1761))),"",$Q1761*1000000+1761)</f>
        <v/>
      </c>
      <c r="W1761" s="29">
        <f>IF($B1761="","",IFERROR(INDEX($U$4:$U$3183,MATCH(SMALL($V$4:$V$3183,1758),$V$4:$V$3183,0)),""))</f>
        <v/>
      </c>
    </row>
    <row r="1762">
      <c r="A1762">
        <f>IFERROR(INDEX($N$4:$N$3183,MATCH(SMALL($V$4:$V$3183,1759),$V$4:$V$3183,0)),"")</f>
        <v/>
      </c>
      <c r="B1762">
        <f>IFERROR(INDEX($O$4:$O$3183,MATCH(SMALL($V$4:$V$3183,1759),$V$4:$V$3183,0)),"")</f>
        <v/>
      </c>
      <c r="C1762">
        <f>IFERROR(INDEX($P$4:$P$3183,MATCH(SMALL($V$4:$V$3183,1759),$V$4:$V$3183,0)),"")</f>
        <v/>
      </c>
      <c r="D1762" s="29">
        <f>IFERROR(INDEX($Q$4:$Q$3183,MATCH(SMALL($V$4:$V$3183,1759),$V$4:$V$3183,0)),"")</f>
        <v/>
      </c>
      <c r="E1762" s="29">
        <f>IFERROR(INDEX($R$4:$R$3183,MATCH(SMALL($V$4:$V$3183,1759),$V$4:$V$3183,0)),"")</f>
        <v/>
      </c>
      <c r="F1762">
        <f>IFERROR(INDEX($S$4:$S$3183,MATCH(SMALL($V$4:$V$3183,1759),$V$4:$V$3183,0)),"")</f>
        <v/>
      </c>
      <c r="I1762" s="29">
        <f>IF($B1762="","",IFERROR(INDEX($U$4:$U$3183,MATCH(SMALL($V$4:$V$3183,1759),$V$4:$V$3183,0)),""))</f>
        <v/>
      </c>
      <c r="J1762">
        <f>IF($B1762="","",IF($D1762&gt;$F$2,"À venir",IF($E1762&lt;$D$2,"Passé","Dans la période")))</f>
        <v/>
      </c>
      <c r="K1762">
        <f>IF(OR($B1762="",NOT(ISNUMBER($D1762))),"",IF(AND($E1762&lt;$D$2,$G1762&lt;&gt;"X",$F1762&lt;&gt;"Réalisé",$F1762&lt;&gt;"Clôturé"),"RETARD",""))</f>
        <v/>
      </c>
      <c r="L1762">
        <f>IF(OR($B1762="",NOT(ISNUMBER($D1762))),"",IF(AND($D1762&gt;=$D$2,$D1762&lt;=$H$2,$G1762&lt;&gt;"X",$F1762&lt;&gt;"Réalisé",$F1762&lt;&gt;"Clôturé"),"≤ 7 j",""))</f>
        <v/>
      </c>
      <c r="M1762" s="29">
        <f>IF($B1762="","",IFERROR(INDEX($T$4:$T$3183,MATCH(SMALL($V$4:$V$3183,1759),$V$4:$V$3183,0)),""))</f>
        <v/>
      </c>
      <c r="O1762">
        <f>IF(INDEX(Suivi!$B:$B,1796)="","",INDEX(Suivi!$B:$B,1796))</f>
        <v/>
      </c>
      <c r="P1762">
        <f>IF($O1762="","",IF(INDEX(Suivi!$D:$D,1796)="",INDEX(Suivi!$C:$C,1796),INDEX(Suivi!$D:$D,1796)))</f>
        <v/>
      </c>
      <c r="Q1762">
        <f>IF($O1762="","",INDEX(Suivi!$E:$E,1796))</f>
        <v/>
      </c>
      <c r="R1762">
        <f>IF($O1762="","",INDEX(Suivi!$F:$F,1796))</f>
        <v/>
      </c>
      <c r="S1762">
        <f>IF($O1762="","",INDEX(Suivi!$G:$G,1796))</f>
        <v/>
      </c>
      <c r="T1762">
        <f>IF($O1762="","",IF(INDEX(Dossiers!$F$4:$F$63,34)="","",INDEX(Dossiers!$F$4:$F$63,34)))</f>
        <v/>
      </c>
      <c r="U1762">
        <f>IF($O1762="","",IF(INDEX(Dossiers!$G$4:$G$63,34)="","",INDEX(Dossiers!$G$4:$G$63,34)))</f>
        <v/>
      </c>
      <c r="V1762">
        <f>IF(OR($O1762="",NOT(ISNUMBER($Q1762))),"",$Q1762*1000000+1762)</f>
        <v/>
      </c>
      <c r="W1762" s="29">
        <f>IF($B1762="","",IFERROR(INDEX($U$4:$U$3183,MATCH(SMALL($V$4:$V$3183,1759),$V$4:$V$3183,0)),""))</f>
        <v/>
      </c>
    </row>
    <row r="1763">
      <c r="A1763">
        <f>IFERROR(INDEX($N$4:$N$3183,MATCH(SMALL($V$4:$V$3183,1760),$V$4:$V$3183,0)),"")</f>
        <v/>
      </c>
      <c r="B1763">
        <f>IFERROR(INDEX($O$4:$O$3183,MATCH(SMALL($V$4:$V$3183,1760),$V$4:$V$3183,0)),"")</f>
        <v/>
      </c>
      <c r="C1763">
        <f>IFERROR(INDEX($P$4:$P$3183,MATCH(SMALL($V$4:$V$3183,1760),$V$4:$V$3183,0)),"")</f>
        <v/>
      </c>
      <c r="D1763" s="29">
        <f>IFERROR(INDEX($Q$4:$Q$3183,MATCH(SMALL($V$4:$V$3183,1760),$V$4:$V$3183,0)),"")</f>
        <v/>
      </c>
      <c r="E1763" s="29">
        <f>IFERROR(INDEX($R$4:$R$3183,MATCH(SMALL($V$4:$V$3183,1760),$V$4:$V$3183,0)),"")</f>
        <v/>
      </c>
      <c r="F1763">
        <f>IFERROR(INDEX($S$4:$S$3183,MATCH(SMALL($V$4:$V$3183,1760),$V$4:$V$3183,0)),"")</f>
        <v/>
      </c>
      <c r="I1763" s="29">
        <f>IF($B1763="","",IFERROR(INDEX($U$4:$U$3183,MATCH(SMALL($V$4:$V$3183,1760),$V$4:$V$3183,0)),""))</f>
        <v/>
      </c>
      <c r="J1763">
        <f>IF($B1763="","",IF($D1763&gt;$F$2,"À venir",IF($E1763&lt;$D$2,"Passé","Dans la période")))</f>
        <v/>
      </c>
      <c r="K1763">
        <f>IF(OR($B1763="",NOT(ISNUMBER($D1763))),"",IF(AND($E1763&lt;$D$2,$G1763&lt;&gt;"X",$F1763&lt;&gt;"Réalisé",$F1763&lt;&gt;"Clôturé"),"RETARD",""))</f>
        <v/>
      </c>
      <c r="L1763">
        <f>IF(OR($B1763="",NOT(ISNUMBER($D1763))),"",IF(AND($D1763&gt;=$D$2,$D1763&lt;=$H$2,$G1763&lt;&gt;"X",$F1763&lt;&gt;"Réalisé",$F1763&lt;&gt;"Clôturé"),"≤ 7 j",""))</f>
        <v/>
      </c>
      <c r="M1763" s="29">
        <f>IF($B1763="","",IFERROR(INDEX($T$4:$T$3183,MATCH(SMALL($V$4:$V$3183,1760),$V$4:$V$3183,0)),""))</f>
        <v/>
      </c>
      <c r="O1763">
        <f>IF(INDEX(Suivi!$B:$B,1797)="","",INDEX(Suivi!$B:$B,1797))</f>
        <v/>
      </c>
      <c r="P1763">
        <f>IF($O1763="","",IF(INDEX(Suivi!$D:$D,1797)="",INDEX(Suivi!$C:$C,1797),INDEX(Suivi!$D:$D,1797)))</f>
        <v/>
      </c>
      <c r="Q1763">
        <f>IF($O1763="","",INDEX(Suivi!$E:$E,1797))</f>
        <v/>
      </c>
      <c r="R1763">
        <f>IF($O1763="","",INDEX(Suivi!$F:$F,1797))</f>
        <v/>
      </c>
      <c r="S1763">
        <f>IF($O1763="","",INDEX(Suivi!$G:$G,1797))</f>
        <v/>
      </c>
      <c r="T1763">
        <f>IF($O1763="","",IF(INDEX(Dossiers!$F$4:$F$63,34)="","",INDEX(Dossiers!$F$4:$F$63,34)))</f>
        <v/>
      </c>
      <c r="U1763">
        <f>IF($O1763="","",IF(INDEX(Dossiers!$G$4:$G$63,34)="","",INDEX(Dossiers!$G$4:$G$63,34)))</f>
        <v/>
      </c>
      <c r="V1763">
        <f>IF(OR($O1763="",NOT(ISNUMBER($Q1763))),"",$Q1763*1000000+1763)</f>
        <v/>
      </c>
      <c r="W1763" s="29">
        <f>IF($B1763="","",IFERROR(INDEX($U$4:$U$3183,MATCH(SMALL($V$4:$V$3183,1760),$V$4:$V$3183,0)),""))</f>
        <v/>
      </c>
    </row>
    <row r="1764">
      <c r="A1764">
        <f>IFERROR(INDEX($N$4:$N$3183,MATCH(SMALL($V$4:$V$3183,1761),$V$4:$V$3183,0)),"")</f>
        <v/>
      </c>
      <c r="B1764">
        <f>IFERROR(INDEX($O$4:$O$3183,MATCH(SMALL($V$4:$V$3183,1761),$V$4:$V$3183,0)),"")</f>
        <v/>
      </c>
      <c r="C1764">
        <f>IFERROR(INDEX($P$4:$P$3183,MATCH(SMALL($V$4:$V$3183,1761),$V$4:$V$3183,0)),"")</f>
        <v/>
      </c>
      <c r="D1764" s="29">
        <f>IFERROR(INDEX($Q$4:$Q$3183,MATCH(SMALL($V$4:$V$3183,1761),$V$4:$V$3183,0)),"")</f>
        <v/>
      </c>
      <c r="E1764" s="29">
        <f>IFERROR(INDEX($R$4:$R$3183,MATCH(SMALL($V$4:$V$3183,1761),$V$4:$V$3183,0)),"")</f>
        <v/>
      </c>
      <c r="F1764">
        <f>IFERROR(INDEX($S$4:$S$3183,MATCH(SMALL($V$4:$V$3183,1761),$V$4:$V$3183,0)),"")</f>
        <v/>
      </c>
      <c r="I1764" s="29">
        <f>IF($B1764="","",IFERROR(INDEX($U$4:$U$3183,MATCH(SMALL($V$4:$V$3183,1761),$V$4:$V$3183,0)),""))</f>
        <v/>
      </c>
      <c r="J1764">
        <f>IF($B1764="","",IF($D1764&gt;$F$2,"À venir",IF($E1764&lt;$D$2,"Passé","Dans la période")))</f>
        <v/>
      </c>
      <c r="K1764">
        <f>IF(OR($B1764="",NOT(ISNUMBER($D1764))),"",IF(AND($E1764&lt;$D$2,$G1764&lt;&gt;"X",$F1764&lt;&gt;"Réalisé",$F1764&lt;&gt;"Clôturé"),"RETARD",""))</f>
        <v/>
      </c>
      <c r="L1764">
        <f>IF(OR($B1764="",NOT(ISNUMBER($D1764))),"",IF(AND($D1764&gt;=$D$2,$D1764&lt;=$H$2,$G1764&lt;&gt;"X",$F1764&lt;&gt;"Réalisé",$F1764&lt;&gt;"Clôturé"),"≤ 7 j",""))</f>
        <v/>
      </c>
      <c r="M1764" s="29">
        <f>IF($B1764="","",IFERROR(INDEX($T$4:$T$3183,MATCH(SMALL($V$4:$V$3183,1761),$V$4:$V$3183,0)),""))</f>
        <v/>
      </c>
      <c r="O1764">
        <f>IF(INDEX(Suivi!$B:$B,1798)="","",INDEX(Suivi!$B:$B,1798))</f>
        <v/>
      </c>
      <c r="P1764">
        <f>IF($O1764="","",IF(INDEX(Suivi!$D:$D,1798)="",INDEX(Suivi!$C:$C,1798),INDEX(Suivi!$D:$D,1798)))</f>
        <v/>
      </c>
      <c r="Q1764">
        <f>IF($O1764="","",INDEX(Suivi!$E:$E,1798))</f>
        <v/>
      </c>
      <c r="R1764">
        <f>IF($O1764="","",INDEX(Suivi!$F:$F,1798))</f>
        <v/>
      </c>
      <c r="S1764">
        <f>IF($O1764="","",INDEX(Suivi!$G:$G,1798))</f>
        <v/>
      </c>
      <c r="T1764">
        <f>IF($O1764="","",IF(INDEX(Dossiers!$F$4:$F$63,34)="","",INDEX(Dossiers!$F$4:$F$63,34)))</f>
        <v/>
      </c>
      <c r="U1764">
        <f>IF($O1764="","",IF(INDEX(Dossiers!$G$4:$G$63,34)="","",INDEX(Dossiers!$G$4:$G$63,34)))</f>
        <v/>
      </c>
      <c r="V1764">
        <f>IF(OR($O1764="",NOT(ISNUMBER($Q1764))),"",$Q1764*1000000+1764)</f>
        <v/>
      </c>
      <c r="W1764" s="29">
        <f>IF($B1764="","",IFERROR(INDEX($U$4:$U$3183,MATCH(SMALL($V$4:$V$3183,1761),$V$4:$V$3183,0)),""))</f>
        <v/>
      </c>
    </row>
    <row r="1765">
      <c r="A1765">
        <f>IFERROR(INDEX($N$4:$N$3183,MATCH(SMALL($V$4:$V$3183,1762),$V$4:$V$3183,0)),"")</f>
        <v/>
      </c>
      <c r="B1765">
        <f>IFERROR(INDEX($O$4:$O$3183,MATCH(SMALL($V$4:$V$3183,1762),$V$4:$V$3183,0)),"")</f>
        <v/>
      </c>
      <c r="C1765">
        <f>IFERROR(INDEX($P$4:$P$3183,MATCH(SMALL($V$4:$V$3183,1762),$V$4:$V$3183,0)),"")</f>
        <v/>
      </c>
      <c r="D1765" s="29">
        <f>IFERROR(INDEX($Q$4:$Q$3183,MATCH(SMALL($V$4:$V$3183,1762),$V$4:$V$3183,0)),"")</f>
        <v/>
      </c>
      <c r="E1765" s="29">
        <f>IFERROR(INDEX($R$4:$R$3183,MATCH(SMALL($V$4:$V$3183,1762),$V$4:$V$3183,0)),"")</f>
        <v/>
      </c>
      <c r="F1765">
        <f>IFERROR(INDEX($S$4:$S$3183,MATCH(SMALL($V$4:$V$3183,1762),$V$4:$V$3183,0)),"")</f>
        <v/>
      </c>
      <c r="I1765" s="29">
        <f>IF($B1765="","",IFERROR(INDEX($U$4:$U$3183,MATCH(SMALL($V$4:$V$3183,1762),$V$4:$V$3183,0)),""))</f>
        <v/>
      </c>
      <c r="J1765">
        <f>IF($B1765="","",IF($D1765&gt;$F$2,"À venir",IF($E1765&lt;$D$2,"Passé","Dans la période")))</f>
        <v/>
      </c>
      <c r="K1765">
        <f>IF(OR($B1765="",NOT(ISNUMBER($D1765))),"",IF(AND($E1765&lt;$D$2,$G1765&lt;&gt;"X",$F1765&lt;&gt;"Réalisé",$F1765&lt;&gt;"Clôturé"),"RETARD",""))</f>
        <v/>
      </c>
      <c r="L1765">
        <f>IF(OR($B1765="",NOT(ISNUMBER($D1765))),"",IF(AND($D1765&gt;=$D$2,$D1765&lt;=$H$2,$G1765&lt;&gt;"X",$F1765&lt;&gt;"Réalisé",$F1765&lt;&gt;"Clôturé"),"≤ 7 j",""))</f>
        <v/>
      </c>
      <c r="M1765" s="29">
        <f>IF($B1765="","",IFERROR(INDEX($T$4:$T$3183,MATCH(SMALL($V$4:$V$3183,1762),$V$4:$V$3183,0)),""))</f>
        <v/>
      </c>
      <c r="O1765">
        <f>IF(INDEX(Suivi!$B:$B,1799)="","",INDEX(Suivi!$B:$B,1799))</f>
        <v/>
      </c>
      <c r="P1765">
        <f>IF($O1765="","",IF(INDEX(Suivi!$D:$D,1799)="",INDEX(Suivi!$C:$C,1799),INDEX(Suivi!$D:$D,1799)))</f>
        <v/>
      </c>
      <c r="Q1765">
        <f>IF($O1765="","",INDEX(Suivi!$E:$E,1799))</f>
        <v/>
      </c>
      <c r="R1765">
        <f>IF($O1765="","",INDEX(Suivi!$F:$F,1799))</f>
        <v/>
      </c>
      <c r="S1765">
        <f>IF($O1765="","",INDEX(Suivi!$G:$G,1799))</f>
        <v/>
      </c>
      <c r="T1765">
        <f>IF($O1765="","",IF(INDEX(Dossiers!$F$4:$F$63,34)="","",INDEX(Dossiers!$F$4:$F$63,34)))</f>
        <v/>
      </c>
      <c r="U1765">
        <f>IF($O1765="","",IF(INDEX(Dossiers!$G$4:$G$63,34)="","",INDEX(Dossiers!$G$4:$G$63,34)))</f>
        <v/>
      </c>
      <c r="V1765">
        <f>IF(OR($O1765="",NOT(ISNUMBER($Q1765))),"",$Q1765*1000000+1765)</f>
        <v/>
      </c>
      <c r="W1765" s="29">
        <f>IF($B1765="","",IFERROR(INDEX($U$4:$U$3183,MATCH(SMALL($V$4:$V$3183,1762),$V$4:$V$3183,0)),""))</f>
        <v/>
      </c>
    </row>
    <row r="1766">
      <c r="A1766">
        <f>IFERROR(INDEX($N$4:$N$3183,MATCH(SMALL($V$4:$V$3183,1763),$V$4:$V$3183,0)),"")</f>
        <v/>
      </c>
      <c r="B1766">
        <f>IFERROR(INDEX($O$4:$O$3183,MATCH(SMALL($V$4:$V$3183,1763),$V$4:$V$3183,0)),"")</f>
        <v/>
      </c>
      <c r="C1766">
        <f>IFERROR(INDEX($P$4:$P$3183,MATCH(SMALL($V$4:$V$3183,1763),$V$4:$V$3183,0)),"")</f>
        <v/>
      </c>
      <c r="D1766" s="29">
        <f>IFERROR(INDEX($Q$4:$Q$3183,MATCH(SMALL($V$4:$V$3183,1763),$V$4:$V$3183,0)),"")</f>
        <v/>
      </c>
      <c r="E1766" s="29">
        <f>IFERROR(INDEX($R$4:$R$3183,MATCH(SMALL($V$4:$V$3183,1763),$V$4:$V$3183,0)),"")</f>
        <v/>
      </c>
      <c r="F1766">
        <f>IFERROR(INDEX($S$4:$S$3183,MATCH(SMALL($V$4:$V$3183,1763),$V$4:$V$3183,0)),"")</f>
        <v/>
      </c>
      <c r="I1766" s="29">
        <f>IF($B1766="","",IFERROR(INDEX($U$4:$U$3183,MATCH(SMALL($V$4:$V$3183,1763),$V$4:$V$3183,0)),""))</f>
        <v/>
      </c>
      <c r="J1766">
        <f>IF($B1766="","",IF($D1766&gt;$F$2,"À venir",IF($E1766&lt;$D$2,"Passé","Dans la période")))</f>
        <v/>
      </c>
      <c r="K1766">
        <f>IF(OR($B1766="",NOT(ISNUMBER($D1766))),"",IF(AND($E1766&lt;$D$2,$G1766&lt;&gt;"X",$F1766&lt;&gt;"Réalisé",$F1766&lt;&gt;"Clôturé"),"RETARD",""))</f>
        <v/>
      </c>
      <c r="L1766">
        <f>IF(OR($B1766="",NOT(ISNUMBER($D1766))),"",IF(AND($D1766&gt;=$D$2,$D1766&lt;=$H$2,$G1766&lt;&gt;"X",$F1766&lt;&gt;"Réalisé",$F1766&lt;&gt;"Clôturé"),"≤ 7 j",""))</f>
        <v/>
      </c>
      <c r="M1766" s="29">
        <f>IF($B1766="","",IFERROR(INDEX($T$4:$T$3183,MATCH(SMALL($V$4:$V$3183,1763),$V$4:$V$3183,0)),""))</f>
        <v/>
      </c>
      <c r="O1766">
        <f>IF(INDEX(Suivi!$B:$B,1800)="","",INDEX(Suivi!$B:$B,1800))</f>
        <v/>
      </c>
      <c r="P1766">
        <f>IF($O1766="","",IF(INDEX(Suivi!$D:$D,1800)="",INDEX(Suivi!$C:$C,1800),INDEX(Suivi!$D:$D,1800)))</f>
        <v/>
      </c>
      <c r="Q1766">
        <f>IF($O1766="","",INDEX(Suivi!$E:$E,1800))</f>
        <v/>
      </c>
      <c r="R1766">
        <f>IF($O1766="","",INDEX(Suivi!$F:$F,1800))</f>
        <v/>
      </c>
      <c r="S1766">
        <f>IF($O1766="","",INDEX(Suivi!$G:$G,1800))</f>
        <v/>
      </c>
      <c r="T1766">
        <f>IF($O1766="","",IF(INDEX(Dossiers!$F$4:$F$63,34)="","",INDEX(Dossiers!$F$4:$F$63,34)))</f>
        <v/>
      </c>
      <c r="U1766">
        <f>IF($O1766="","",IF(INDEX(Dossiers!$G$4:$G$63,34)="","",INDEX(Dossiers!$G$4:$G$63,34)))</f>
        <v/>
      </c>
      <c r="V1766">
        <f>IF(OR($O1766="",NOT(ISNUMBER($Q1766))),"",$Q1766*1000000+1766)</f>
        <v/>
      </c>
      <c r="W1766" s="29">
        <f>IF($B1766="","",IFERROR(INDEX($U$4:$U$3183,MATCH(SMALL($V$4:$V$3183,1763),$V$4:$V$3183,0)),""))</f>
        <v/>
      </c>
    </row>
    <row r="1767">
      <c r="A1767">
        <f>IFERROR(INDEX($N$4:$N$3183,MATCH(SMALL($V$4:$V$3183,1764),$V$4:$V$3183,0)),"")</f>
        <v/>
      </c>
      <c r="B1767">
        <f>IFERROR(INDEX($O$4:$O$3183,MATCH(SMALL($V$4:$V$3183,1764),$V$4:$V$3183,0)),"")</f>
        <v/>
      </c>
      <c r="C1767">
        <f>IFERROR(INDEX($P$4:$P$3183,MATCH(SMALL($V$4:$V$3183,1764),$V$4:$V$3183,0)),"")</f>
        <v/>
      </c>
      <c r="D1767" s="29">
        <f>IFERROR(INDEX($Q$4:$Q$3183,MATCH(SMALL($V$4:$V$3183,1764),$V$4:$V$3183,0)),"")</f>
        <v/>
      </c>
      <c r="E1767" s="29">
        <f>IFERROR(INDEX($R$4:$R$3183,MATCH(SMALL($V$4:$V$3183,1764),$V$4:$V$3183,0)),"")</f>
        <v/>
      </c>
      <c r="F1767">
        <f>IFERROR(INDEX($S$4:$S$3183,MATCH(SMALL($V$4:$V$3183,1764),$V$4:$V$3183,0)),"")</f>
        <v/>
      </c>
      <c r="I1767" s="29">
        <f>IF($B1767="","",IFERROR(INDEX($U$4:$U$3183,MATCH(SMALL($V$4:$V$3183,1764),$V$4:$V$3183,0)),""))</f>
        <v/>
      </c>
      <c r="J1767">
        <f>IF($B1767="","",IF($D1767&gt;$F$2,"À venir",IF($E1767&lt;$D$2,"Passé","Dans la période")))</f>
        <v/>
      </c>
      <c r="K1767">
        <f>IF(OR($B1767="",NOT(ISNUMBER($D1767))),"",IF(AND($E1767&lt;$D$2,$G1767&lt;&gt;"X",$F1767&lt;&gt;"Réalisé",$F1767&lt;&gt;"Clôturé"),"RETARD",""))</f>
        <v/>
      </c>
      <c r="L1767">
        <f>IF(OR($B1767="",NOT(ISNUMBER($D1767))),"",IF(AND($D1767&gt;=$D$2,$D1767&lt;=$H$2,$G1767&lt;&gt;"X",$F1767&lt;&gt;"Réalisé",$F1767&lt;&gt;"Clôturé"),"≤ 7 j",""))</f>
        <v/>
      </c>
      <c r="M1767" s="29">
        <f>IF($B1767="","",IFERROR(INDEX($T$4:$T$3183,MATCH(SMALL($V$4:$V$3183,1764),$V$4:$V$3183,0)),""))</f>
        <v/>
      </c>
      <c r="O1767">
        <f>IF(INDEX(Suivi!$B:$B,1801)="","",INDEX(Suivi!$B:$B,1801))</f>
        <v/>
      </c>
      <c r="P1767">
        <f>IF($O1767="","",IF(INDEX(Suivi!$D:$D,1801)="",INDEX(Suivi!$C:$C,1801),INDEX(Suivi!$D:$D,1801)))</f>
        <v/>
      </c>
      <c r="Q1767">
        <f>IF($O1767="","",INDEX(Suivi!$E:$E,1801))</f>
        <v/>
      </c>
      <c r="R1767">
        <f>IF($O1767="","",INDEX(Suivi!$F:$F,1801))</f>
        <v/>
      </c>
      <c r="S1767">
        <f>IF($O1767="","",INDEX(Suivi!$G:$G,1801))</f>
        <v/>
      </c>
      <c r="T1767">
        <f>IF($O1767="","",IF(INDEX(Dossiers!$F$4:$F$63,34)="","",INDEX(Dossiers!$F$4:$F$63,34)))</f>
        <v/>
      </c>
      <c r="U1767">
        <f>IF($O1767="","",IF(INDEX(Dossiers!$G$4:$G$63,34)="","",INDEX(Dossiers!$G$4:$G$63,34)))</f>
        <v/>
      </c>
      <c r="V1767">
        <f>IF(OR($O1767="",NOT(ISNUMBER($Q1767))),"",$Q1767*1000000+1767)</f>
        <v/>
      </c>
      <c r="W1767" s="29">
        <f>IF($B1767="","",IFERROR(INDEX($U$4:$U$3183,MATCH(SMALL($V$4:$V$3183,1764),$V$4:$V$3183,0)),""))</f>
        <v/>
      </c>
    </row>
    <row r="1768">
      <c r="A1768">
        <f>IFERROR(INDEX($N$4:$N$3183,MATCH(SMALL($V$4:$V$3183,1765),$V$4:$V$3183,0)),"")</f>
        <v/>
      </c>
      <c r="B1768">
        <f>IFERROR(INDEX($O$4:$O$3183,MATCH(SMALL($V$4:$V$3183,1765),$V$4:$V$3183,0)),"")</f>
        <v/>
      </c>
      <c r="C1768">
        <f>IFERROR(INDEX($P$4:$P$3183,MATCH(SMALL($V$4:$V$3183,1765),$V$4:$V$3183,0)),"")</f>
        <v/>
      </c>
      <c r="D1768" s="29">
        <f>IFERROR(INDEX($Q$4:$Q$3183,MATCH(SMALL($V$4:$V$3183,1765),$V$4:$V$3183,0)),"")</f>
        <v/>
      </c>
      <c r="E1768" s="29">
        <f>IFERROR(INDEX($R$4:$R$3183,MATCH(SMALL($V$4:$V$3183,1765),$V$4:$V$3183,0)),"")</f>
        <v/>
      </c>
      <c r="F1768">
        <f>IFERROR(INDEX($S$4:$S$3183,MATCH(SMALL($V$4:$V$3183,1765),$V$4:$V$3183,0)),"")</f>
        <v/>
      </c>
      <c r="I1768" s="29">
        <f>IF($B1768="","",IFERROR(INDEX($U$4:$U$3183,MATCH(SMALL($V$4:$V$3183,1765),$V$4:$V$3183,0)),""))</f>
        <v/>
      </c>
      <c r="J1768">
        <f>IF($B1768="","",IF($D1768&gt;$F$2,"À venir",IF($E1768&lt;$D$2,"Passé","Dans la période")))</f>
        <v/>
      </c>
      <c r="K1768">
        <f>IF(OR($B1768="",NOT(ISNUMBER($D1768))),"",IF(AND($E1768&lt;$D$2,$G1768&lt;&gt;"X",$F1768&lt;&gt;"Réalisé",$F1768&lt;&gt;"Clôturé"),"RETARD",""))</f>
        <v/>
      </c>
      <c r="L1768">
        <f>IF(OR($B1768="",NOT(ISNUMBER($D1768))),"",IF(AND($D1768&gt;=$D$2,$D1768&lt;=$H$2,$G1768&lt;&gt;"X",$F1768&lt;&gt;"Réalisé",$F1768&lt;&gt;"Clôturé"),"≤ 7 j",""))</f>
        <v/>
      </c>
      <c r="M1768" s="29">
        <f>IF($B1768="","",IFERROR(INDEX($T$4:$T$3183,MATCH(SMALL($V$4:$V$3183,1765),$V$4:$V$3183,0)),""))</f>
        <v/>
      </c>
      <c r="O1768">
        <f>IF(INDEX(Suivi!$B:$B,1802)="","",INDEX(Suivi!$B:$B,1802))</f>
        <v/>
      </c>
      <c r="P1768">
        <f>IF($O1768="","",IF(INDEX(Suivi!$D:$D,1802)="",INDEX(Suivi!$C:$C,1802),INDEX(Suivi!$D:$D,1802)))</f>
        <v/>
      </c>
      <c r="Q1768">
        <f>IF($O1768="","",INDEX(Suivi!$E:$E,1802))</f>
        <v/>
      </c>
      <c r="R1768">
        <f>IF($O1768="","",INDEX(Suivi!$F:$F,1802))</f>
        <v/>
      </c>
      <c r="S1768">
        <f>IF($O1768="","",INDEX(Suivi!$G:$G,1802))</f>
        <v/>
      </c>
      <c r="T1768">
        <f>IF($O1768="","",IF(INDEX(Dossiers!$F$4:$F$63,34)="","",INDEX(Dossiers!$F$4:$F$63,34)))</f>
        <v/>
      </c>
      <c r="U1768">
        <f>IF($O1768="","",IF(INDEX(Dossiers!$G$4:$G$63,34)="","",INDEX(Dossiers!$G$4:$G$63,34)))</f>
        <v/>
      </c>
      <c r="V1768">
        <f>IF(OR($O1768="",NOT(ISNUMBER($Q1768))),"",$Q1768*1000000+1768)</f>
        <v/>
      </c>
      <c r="W1768" s="29">
        <f>IF($B1768="","",IFERROR(INDEX($U$4:$U$3183,MATCH(SMALL($V$4:$V$3183,1765),$V$4:$V$3183,0)),""))</f>
        <v/>
      </c>
    </row>
    <row r="1769">
      <c r="A1769">
        <f>IFERROR(INDEX($N$4:$N$3183,MATCH(SMALL($V$4:$V$3183,1766),$V$4:$V$3183,0)),"")</f>
        <v/>
      </c>
      <c r="B1769">
        <f>IFERROR(INDEX($O$4:$O$3183,MATCH(SMALL($V$4:$V$3183,1766),$V$4:$V$3183,0)),"")</f>
        <v/>
      </c>
      <c r="C1769">
        <f>IFERROR(INDEX($P$4:$P$3183,MATCH(SMALL($V$4:$V$3183,1766),$V$4:$V$3183,0)),"")</f>
        <v/>
      </c>
      <c r="D1769" s="29">
        <f>IFERROR(INDEX($Q$4:$Q$3183,MATCH(SMALL($V$4:$V$3183,1766),$V$4:$V$3183,0)),"")</f>
        <v/>
      </c>
      <c r="E1769" s="29">
        <f>IFERROR(INDEX($R$4:$R$3183,MATCH(SMALL($V$4:$V$3183,1766),$V$4:$V$3183,0)),"")</f>
        <v/>
      </c>
      <c r="F1769">
        <f>IFERROR(INDEX($S$4:$S$3183,MATCH(SMALL($V$4:$V$3183,1766),$V$4:$V$3183,0)),"")</f>
        <v/>
      </c>
      <c r="I1769" s="29">
        <f>IF($B1769="","",IFERROR(INDEX($U$4:$U$3183,MATCH(SMALL($V$4:$V$3183,1766),$V$4:$V$3183,0)),""))</f>
        <v/>
      </c>
      <c r="J1769">
        <f>IF($B1769="","",IF($D1769&gt;$F$2,"À venir",IF($E1769&lt;$D$2,"Passé","Dans la période")))</f>
        <v/>
      </c>
      <c r="K1769">
        <f>IF(OR($B1769="",NOT(ISNUMBER($D1769))),"",IF(AND($E1769&lt;$D$2,$G1769&lt;&gt;"X",$F1769&lt;&gt;"Réalisé",$F1769&lt;&gt;"Clôturé"),"RETARD",""))</f>
        <v/>
      </c>
      <c r="L1769">
        <f>IF(OR($B1769="",NOT(ISNUMBER($D1769))),"",IF(AND($D1769&gt;=$D$2,$D1769&lt;=$H$2,$G1769&lt;&gt;"X",$F1769&lt;&gt;"Réalisé",$F1769&lt;&gt;"Clôturé"),"≤ 7 j",""))</f>
        <v/>
      </c>
      <c r="M1769" s="29">
        <f>IF($B1769="","",IFERROR(INDEX($T$4:$T$3183,MATCH(SMALL($V$4:$V$3183,1766),$V$4:$V$3183,0)),""))</f>
        <v/>
      </c>
      <c r="O1769">
        <f>IF(INDEX(Suivi!$B:$B,1803)="","",INDEX(Suivi!$B:$B,1803))</f>
        <v/>
      </c>
      <c r="P1769">
        <f>IF($O1769="","",IF(INDEX(Suivi!$D:$D,1803)="",INDEX(Suivi!$C:$C,1803),INDEX(Suivi!$D:$D,1803)))</f>
        <v/>
      </c>
      <c r="Q1769">
        <f>IF($O1769="","",INDEX(Suivi!$E:$E,1803))</f>
        <v/>
      </c>
      <c r="R1769">
        <f>IF($O1769="","",INDEX(Suivi!$F:$F,1803))</f>
        <v/>
      </c>
      <c r="S1769">
        <f>IF($O1769="","",INDEX(Suivi!$G:$G,1803))</f>
        <v/>
      </c>
      <c r="T1769">
        <f>IF($O1769="","",IF(INDEX(Dossiers!$F$4:$F$63,34)="","",INDEX(Dossiers!$F$4:$F$63,34)))</f>
        <v/>
      </c>
      <c r="U1769">
        <f>IF($O1769="","",IF(INDEX(Dossiers!$G$4:$G$63,34)="","",INDEX(Dossiers!$G$4:$G$63,34)))</f>
        <v/>
      </c>
      <c r="V1769">
        <f>IF(OR($O1769="",NOT(ISNUMBER($Q1769))),"",$Q1769*1000000+1769)</f>
        <v/>
      </c>
      <c r="W1769" s="29">
        <f>IF($B1769="","",IFERROR(INDEX($U$4:$U$3183,MATCH(SMALL($V$4:$V$3183,1766),$V$4:$V$3183,0)),""))</f>
        <v/>
      </c>
    </row>
    <row r="1770">
      <c r="A1770">
        <f>IFERROR(INDEX($N$4:$N$3183,MATCH(SMALL($V$4:$V$3183,1767),$V$4:$V$3183,0)),"")</f>
        <v/>
      </c>
      <c r="B1770">
        <f>IFERROR(INDEX($O$4:$O$3183,MATCH(SMALL($V$4:$V$3183,1767),$V$4:$V$3183,0)),"")</f>
        <v/>
      </c>
      <c r="C1770">
        <f>IFERROR(INDEX($P$4:$P$3183,MATCH(SMALL($V$4:$V$3183,1767),$V$4:$V$3183,0)),"")</f>
        <v/>
      </c>
      <c r="D1770" s="29">
        <f>IFERROR(INDEX($Q$4:$Q$3183,MATCH(SMALL($V$4:$V$3183,1767),$V$4:$V$3183,0)),"")</f>
        <v/>
      </c>
      <c r="E1770" s="29">
        <f>IFERROR(INDEX($R$4:$R$3183,MATCH(SMALL($V$4:$V$3183,1767),$V$4:$V$3183,0)),"")</f>
        <v/>
      </c>
      <c r="F1770">
        <f>IFERROR(INDEX($S$4:$S$3183,MATCH(SMALL($V$4:$V$3183,1767),$V$4:$V$3183,0)),"")</f>
        <v/>
      </c>
      <c r="I1770" s="29">
        <f>IF($B1770="","",IFERROR(INDEX($U$4:$U$3183,MATCH(SMALL($V$4:$V$3183,1767),$V$4:$V$3183,0)),""))</f>
        <v/>
      </c>
      <c r="J1770">
        <f>IF($B1770="","",IF($D1770&gt;$F$2,"À venir",IF($E1770&lt;$D$2,"Passé","Dans la période")))</f>
        <v/>
      </c>
      <c r="K1770">
        <f>IF(OR($B1770="",NOT(ISNUMBER($D1770))),"",IF(AND($E1770&lt;$D$2,$G1770&lt;&gt;"X",$F1770&lt;&gt;"Réalisé",$F1770&lt;&gt;"Clôturé"),"RETARD",""))</f>
        <v/>
      </c>
      <c r="L1770">
        <f>IF(OR($B1770="",NOT(ISNUMBER($D1770))),"",IF(AND($D1770&gt;=$D$2,$D1770&lt;=$H$2,$G1770&lt;&gt;"X",$F1770&lt;&gt;"Réalisé",$F1770&lt;&gt;"Clôturé"),"≤ 7 j",""))</f>
        <v/>
      </c>
      <c r="M1770" s="29">
        <f>IF($B1770="","",IFERROR(INDEX($T$4:$T$3183,MATCH(SMALL($V$4:$V$3183,1767),$V$4:$V$3183,0)),""))</f>
        <v/>
      </c>
      <c r="O1770">
        <f>IF(INDEX(Suivi!$B:$B,1804)="","",INDEX(Suivi!$B:$B,1804))</f>
        <v/>
      </c>
      <c r="P1770">
        <f>IF($O1770="","",IF(INDEX(Suivi!$D:$D,1804)="",INDEX(Suivi!$C:$C,1804),INDEX(Suivi!$D:$D,1804)))</f>
        <v/>
      </c>
      <c r="Q1770">
        <f>IF($O1770="","",INDEX(Suivi!$E:$E,1804))</f>
        <v/>
      </c>
      <c r="R1770">
        <f>IF($O1770="","",INDEX(Suivi!$F:$F,1804))</f>
        <v/>
      </c>
      <c r="S1770">
        <f>IF($O1770="","",INDEX(Suivi!$G:$G,1804))</f>
        <v/>
      </c>
      <c r="T1770">
        <f>IF($O1770="","",IF(INDEX(Dossiers!$F$4:$F$63,34)="","",INDEX(Dossiers!$F$4:$F$63,34)))</f>
        <v/>
      </c>
      <c r="U1770">
        <f>IF($O1770="","",IF(INDEX(Dossiers!$G$4:$G$63,34)="","",INDEX(Dossiers!$G$4:$G$63,34)))</f>
        <v/>
      </c>
      <c r="V1770">
        <f>IF(OR($O1770="",NOT(ISNUMBER($Q1770))),"",$Q1770*1000000+1770)</f>
        <v/>
      </c>
      <c r="W1770" s="29">
        <f>IF($B1770="","",IFERROR(INDEX($U$4:$U$3183,MATCH(SMALL($V$4:$V$3183,1767),$V$4:$V$3183,0)),""))</f>
        <v/>
      </c>
    </row>
    <row r="1771">
      <c r="A1771">
        <f>IFERROR(INDEX($N$4:$N$3183,MATCH(SMALL($V$4:$V$3183,1768),$V$4:$V$3183,0)),"")</f>
        <v/>
      </c>
      <c r="B1771">
        <f>IFERROR(INDEX($O$4:$O$3183,MATCH(SMALL($V$4:$V$3183,1768),$V$4:$V$3183,0)),"")</f>
        <v/>
      </c>
      <c r="C1771">
        <f>IFERROR(INDEX($P$4:$P$3183,MATCH(SMALL($V$4:$V$3183,1768),$V$4:$V$3183,0)),"")</f>
        <v/>
      </c>
      <c r="D1771" s="29">
        <f>IFERROR(INDEX($Q$4:$Q$3183,MATCH(SMALL($V$4:$V$3183,1768),$V$4:$V$3183,0)),"")</f>
        <v/>
      </c>
      <c r="E1771" s="29">
        <f>IFERROR(INDEX($R$4:$R$3183,MATCH(SMALL($V$4:$V$3183,1768),$V$4:$V$3183,0)),"")</f>
        <v/>
      </c>
      <c r="F1771">
        <f>IFERROR(INDEX($S$4:$S$3183,MATCH(SMALL($V$4:$V$3183,1768),$V$4:$V$3183,0)),"")</f>
        <v/>
      </c>
      <c r="I1771" s="29">
        <f>IF($B1771="","",IFERROR(INDEX($U$4:$U$3183,MATCH(SMALL($V$4:$V$3183,1768),$V$4:$V$3183,0)),""))</f>
        <v/>
      </c>
      <c r="J1771">
        <f>IF($B1771="","",IF($D1771&gt;$F$2,"À venir",IF($E1771&lt;$D$2,"Passé","Dans la période")))</f>
        <v/>
      </c>
      <c r="K1771">
        <f>IF(OR($B1771="",NOT(ISNUMBER($D1771))),"",IF(AND($E1771&lt;$D$2,$G1771&lt;&gt;"X",$F1771&lt;&gt;"Réalisé",$F1771&lt;&gt;"Clôturé"),"RETARD",""))</f>
        <v/>
      </c>
      <c r="L1771">
        <f>IF(OR($B1771="",NOT(ISNUMBER($D1771))),"",IF(AND($D1771&gt;=$D$2,$D1771&lt;=$H$2,$G1771&lt;&gt;"X",$F1771&lt;&gt;"Réalisé",$F1771&lt;&gt;"Clôturé"),"≤ 7 j",""))</f>
        <v/>
      </c>
      <c r="M1771" s="29">
        <f>IF($B1771="","",IFERROR(INDEX($T$4:$T$3183,MATCH(SMALL($V$4:$V$3183,1768),$V$4:$V$3183,0)),""))</f>
        <v/>
      </c>
      <c r="O1771">
        <f>IF(INDEX(Suivi!$B:$B,1805)="","",INDEX(Suivi!$B:$B,1805))</f>
        <v/>
      </c>
      <c r="P1771">
        <f>IF($O1771="","",IF(INDEX(Suivi!$D:$D,1805)="",INDEX(Suivi!$C:$C,1805),INDEX(Suivi!$D:$D,1805)))</f>
        <v/>
      </c>
      <c r="Q1771">
        <f>IF($O1771="","",INDEX(Suivi!$E:$E,1805))</f>
        <v/>
      </c>
      <c r="R1771">
        <f>IF($O1771="","",INDEX(Suivi!$F:$F,1805))</f>
        <v/>
      </c>
      <c r="S1771">
        <f>IF($O1771="","",INDEX(Suivi!$G:$G,1805))</f>
        <v/>
      </c>
      <c r="T1771">
        <f>IF($O1771="","",IF(INDEX(Dossiers!$F$4:$F$63,34)="","",INDEX(Dossiers!$F$4:$F$63,34)))</f>
        <v/>
      </c>
      <c r="U1771">
        <f>IF($O1771="","",IF(INDEX(Dossiers!$G$4:$G$63,34)="","",INDEX(Dossiers!$G$4:$G$63,34)))</f>
        <v/>
      </c>
      <c r="V1771">
        <f>IF(OR($O1771="",NOT(ISNUMBER($Q1771))),"",$Q1771*1000000+1771)</f>
        <v/>
      </c>
      <c r="W1771" s="29">
        <f>IF($B1771="","",IFERROR(INDEX($U$4:$U$3183,MATCH(SMALL($V$4:$V$3183,1768),$V$4:$V$3183,0)),""))</f>
        <v/>
      </c>
    </row>
    <row r="1772">
      <c r="A1772">
        <f>IFERROR(INDEX($N$4:$N$3183,MATCH(SMALL($V$4:$V$3183,1769),$V$4:$V$3183,0)),"")</f>
        <v/>
      </c>
      <c r="B1772">
        <f>IFERROR(INDEX($O$4:$O$3183,MATCH(SMALL($V$4:$V$3183,1769),$V$4:$V$3183,0)),"")</f>
        <v/>
      </c>
      <c r="C1772">
        <f>IFERROR(INDEX($P$4:$P$3183,MATCH(SMALL($V$4:$V$3183,1769),$V$4:$V$3183,0)),"")</f>
        <v/>
      </c>
      <c r="D1772" s="29">
        <f>IFERROR(INDEX($Q$4:$Q$3183,MATCH(SMALL($V$4:$V$3183,1769),$V$4:$V$3183,0)),"")</f>
        <v/>
      </c>
      <c r="E1772" s="29">
        <f>IFERROR(INDEX($R$4:$R$3183,MATCH(SMALL($V$4:$V$3183,1769),$V$4:$V$3183,0)),"")</f>
        <v/>
      </c>
      <c r="F1772">
        <f>IFERROR(INDEX($S$4:$S$3183,MATCH(SMALL($V$4:$V$3183,1769),$V$4:$V$3183,0)),"")</f>
        <v/>
      </c>
      <c r="I1772" s="29">
        <f>IF($B1772="","",IFERROR(INDEX($U$4:$U$3183,MATCH(SMALL($V$4:$V$3183,1769),$V$4:$V$3183,0)),""))</f>
        <v/>
      </c>
      <c r="J1772">
        <f>IF($B1772="","",IF($D1772&gt;$F$2,"À venir",IF($E1772&lt;$D$2,"Passé","Dans la période")))</f>
        <v/>
      </c>
      <c r="K1772">
        <f>IF(OR($B1772="",NOT(ISNUMBER($D1772))),"",IF(AND($E1772&lt;$D$2,$G1772&lt;&gt;"X",$F1772&lt;&gt;"Réalisé",$F1772&lt;&gt;"Clôturé"),"RETARD",""))</f>
        <v/>
      </c>
      <c r="L1772">
        <f>IF(OR($B1772="",NOT(ISNUMBER($D1772))),"",IF(AND($D1772&gt;=$D$2,$D1772&lt;=$H$2,$G1772&lt;&gt;"X",$F1772&lt;&gt;"Réalisé",$F1772&lt;&gt;"Clôturé"),"≤ 7 j",""))</f>
        <v/>
      </c>
      <c r="M1772" s="29">
        <f>IF($B1772="","",IFERROR(INDEX($T$4:$T$3183,MATCH(SMALL($V$4:$V$3183,1769),$V$4:$V$3183,0)),""))</f>
        <v/>
      </c>
      <c r="O1772">
        <f>IF(INDEX(Suivi!$B:$B,1806)="","",INDEX(Suivi!$B:$B,1806))</f>
        <v/>
      </c>
      <c r="P1772">
        <f>IF($O1772="","",IF(INDEX(Suivi!$D:$D,1806)="",INDEX(Suivi!$C:$C,1806),INDEX(Suivi!$D:$D,1806)))</f>
        <v/>
      </c>
      <c r="Q1772">
        <f>IF($O1772="","",INDEX(Suivi!$E:$E,1806))</f>
        <v/>
      </c>
      <c r="R1772">
        <f>IF($O1772="","",INDEX(Suivi!$F:$F,1806))</f>
        <v/>
      </c>
      <c r="S1772">
        <f>IF($O1772="","",INDEX(Suivi!$G:$G,1806))</f>
        <v/>
      </c>
      <c r="T1772">
        <f>IF($O1772="","",IF(INDEX(Dossiers!$F$4:$F$63,34)="","",INDEX(Dossiers!$F$4:$F$63,34)))</f>
        <v/>
      </c>
      <c r="U1772">
        <f>IF($O1772="","",IF(INDEX(Dossiers!$G$4:$G$63,34)="","",INDEX(Dossiers!$G$4:$G$63,34)))</f>
        <v/>
      </c>
      <c r="V1772">
        <f>IF(OR($O1772="",NOT(ISNUMBER($Q1772))),"",$Q1772*1000000+1772)</f>
        <v/>
      </c>
      <c r="W1772" s="29">
        <f>IF($B1772="","",IFERROR(INDEX($U$4:$U$3183,MATCH(SMALL($V$4:$V$3183,1769),$V$4:$V$3183,0)),""))</f>
        <v/>
      </c>
    </row>
    <row r="1773">
      <c r="A1773">
        <f>IFERROR(INDEX($N$4:$N$3183,MATCH(SMALL($V$4:$V$3183,1770),$V$4:$V$3183,0)),"")</f>
        <v/>
      </c>
      <c r="B1773">
        <f>IFERROR(INDEX($O$4:$O$3183,MATCH(SMALL($V$4:$V$3183,1770),$V$4:$V$3183,0)),"")</f>
        <v/>
      </c>
      <c r="C1773">
        <f>IFERROR(INDEX($P$4:$P$3183,MATCH(SMALL($V$4:$V$3183,1770),$V$4:$V$3183,0)),"")</f>
        <v/>
      </c>
      <c r="D1773" s="29">
        <f>IFERROR(INDEX($Q$4:$Q$3183,MATCH(SMALL($V$4:$V$3183,1770),$V$4:$V$3183,0)),"")</f>
        <v/>
      </c>
      <c r="E1773" s="29">
        <f>IFERROR(INDEX($R$4:$R$3183,MATCH(SMALL($V$4:$V$3183,1770),$V$4:$V$3183,0)),"")</f>
        <v/>
      </c>
      <c r="F1773">
        <f>IFERROR(INDEX($S$4:$S$3183,MATCH(SMALL($V$4:$V$3183,1770),$V$4:$V$3183,0)),"")</f>
        <v/>
      </c>
      <c r="I1773" s="29">
        <f>IF($B1773="","",IFERROR(INDEX($U$4:$U$3183,MATCH(SMALL($V$4:$V$3183,1770),$V$4:$V$3183,0)),""))</f>
        <v/>
      </c>
      <c r="J1773">
        <f>IF($B1773="","",IF($D1773&gt;$F$2,"À venir",IF($E1773&lt;$D$2,"Passé","Dans la période")))</f>
        <v/>
      </c>
      <c r="K1773">
        <f>IF(OR($B1773="",NOT(ISNUMBER($D1773))),"",IF(AND($E1773&lt;$D$2,$G1773&lt;&gt;"X",$F1773&lt;&gt;"Réalisé",$F1773&lt;&gt;"Clôturé"),"RETARD",""))</f>
        <v/>
      </c>
      <c r="L1773">
        <f>IF(OR($B1773="",NOT(ISNUMBER($D1773))),"",IF(AND($D1773&gt;=$D$2,$D1773&lt;=$H$2,$G1773&lt;&gt;"X",$F1773&lt;&gt;"Réalisé",$F1773&lt;&gt;"Clôturé"),"≤ 7 j",""))</f>
        <v/>
      </c>
      <c r="M1773" s="29">
        <f>IF($B1773="","",IFERROR(INDEX($T$4:$T$3183,MATCH(SMALL($V$4:$V$3183,1770),$V$4:$V$3183,0)),""))</f>
        <v/>
      </c>
      <c r="O1773">
        <f>IF(INDEX(Suivi!$B:$B,1807)="","",INDEX(Suivi!$B:$B,1807))</f>
        <v/>
      </c>
      <c r="P1773">
        <f>IF($O1773="","",IF(INDEX(Suivi!$D:$D,1807)="",INDEX(Suivi!$C:$C,1807),INDEX(Suivi!$D:$D,1807)))</f>
        <v/>
      </c>
      <c r="Q1773">
        <f>IF($O1773="","",INDEX(Suivi!$E:$E,1807))</f>
        <v/>
      </c>
      <c r="R1773">
        <f>IF($O1773="","",INDEX(Suivi!$F:$F,1807))</f>
        <v/>
      </c>
      <c r="S1773">
        <f>IF($O1773="","",INDEX(Suivi!$G:$G,1807))</f>
        <v/>
      </c>
      <c r="T1773">
        <f>IF($O1773="","",IF(INDEX(Dossiers!$F$4:$F$63,34)="","",INDEX(Dossiers!$F$4:$F$63,34)))</f>
        <v/>
      </c>
      <c r="U1773">
        <f>IF($O1773="","",IF(INDEX(Dossiers!$G$4:$G$63,34)="","",INDEX(Dossiers!$G$4:$G$63,34)))</f>
        <v/>
      </c>
      <c r="V1773">
        <f>IF(OR($O1773="",NOT(ISNUMBER($Q1773))),"",$Q1773*1000000+1773)</f>
        <v/>
      </c>
      <c r="W1773" s="29">
        <f>IF($B1773="","",IFERROR(INDEX($U$4:$U$3183,MATCH(SMALL($V$4:$V$3183,1770),$V$4:$V$3183,0)),""))</f>
        <v/>
      </c>
    </row>
    <row r="1774">
      <c r="A1774">
        <f>IFERROR(INDEX($N$4:$N$3183,MATCH(SMALL($V$4:$V$3183,1771),$V$4:$V$3183,0)),"")</f>
        <v/>
      </c>
      <c r="B1774">
        <f>IFERROR(INDEX($O$4:$O$3183,MATCH(SMALL($V$4:$V$3183,1771),$V$4:$V$3183,0)),"")</f>
        <v/>
      </c>
      <c r="C1774">
        <f>IFERROR(INDEX($P$4:$P$3183,MATCH(SMALL($V$4:$V$3183,1771),$V$4:$V$3183,0)),"")</f>
        <v/>
      </c>
      <c r="D1774" s="29">
        <f>IFERROR(INDEX($Q$4:$Q$3183,MATCH(SMALL($V$4:$V$3183,1771),$V$4:$V$3183,0)),"")</f>
        <v/>
      </c>
      <c r="E1774" s="29">
        <f>IFERROR(INDEX($R$4:$R$3183,MATCH(SMALL($V$4:$V$3183,1771),$V$4:$V$3183,0)),"")</f>
        <v/>
      </c>
      <c r="F1774">
        <f>IFERROR(INDEX($S$4:$S$3183,MATCH(SMALL($V$4:$V$3183,1771),$V$4:$V$3183,0)),"")</f>
        <v/>
      </c>
      <c r="I1774" s="29">
        <f>IF($B1774="","",IFERROR(INDEX($U$4:$U$3183,MATCH(SMALL($V$4:$V$3183,1771),$V$4:$V$3183,0)),""))</f>
        <v/>
      </c>
      <c r="J1774">
        <f>IF($B1774="","",IF($D1774&gt;$F$2,"À venir",IF($E1774&lt;$D$2,"Passé","Dans la période")))</f>
        <v/>
      </c>
      <c r="K1774">
        <f>IF(OR($B1774="",NOT(ISNUMBER($D1774))),"",IF(AND($E1774&lt;$D$2,$G1774&lt;&gt;"X",$F1774&lt;&gt;"Réalisé",$F1774&lt;&gt;"Clôturé"),"RETARD",""))</f>
        <v/>
      </c>
      <c r="L1774">
        <f>IF(OR($B1774="",NOT(ISNUMBER($D1774))),"",IF(AND($D1774&gt;=$D$2,$D1774&lt;=$H$2,$G1774&lt;&gt;"X",$F1774&lt;&gt;"Réalisé",$F1774&lt;&gt;"Clôturé"),"≤ 7 j",""))</f>
        <v/>
      </c>
      <c r="M1774" s="29">
        <f>IF($B1774="","",IFERROR(INDEX($T$4:$T$3183,MATCH(SMALL($V$4:$V$3183,1771),$V$4:$V$3183,0)),""))</f>
        <v/>
      </c>
      <c r="O1774">
        <f>IF(INDEX(Suivi!$B:$B,1808)="","",INDEX(Suivi!$B:$B,1808))</f>
        <v/>
      </c>
      <c r="P1774">
        <f>IF($O1774="","",IF(INDEX(Suivi!$D:$D,1808)="",INDEX(Suivi!$C:$C,1808),INDEX(Suivi!$D:$D,1808)))</f>
        <v/>
      </c>
      <c r="Q1774">
        <f>IF($O1774="","",INDEX(Suivi!$E:$E,1808))</f>
        <v/>
      </c>
      <c r="R1774">
        <f>IF($O1774="","",INDEX(Suivi!$F:$F,1808))</f>
        <v/>
      </c>
      <c r="S1774">
        <f>IF($O1774="","",INDEX(Suivi!$G:$G,1808))</f>
        <v/>
      </c>
      <c r="T1774">
        <f>IF($O1774="","",IF(INDEX(Dossiers!$F$4:$F$63,34)="","",INDEX(Dossiers!$F$4:$F$63,34)))</f>
        <v/>
      </c>
      <c r="U1774">
        <f>IF($O1774="","",IF(INDEX(Dossiers!$G$4:$G$63,34)="","",INDEX(Dossiers!$G$4:$G$63,34)))</f>
        <v/>
      </c>
      <c r="V1774">
        <f>IF(OR($O1774="",NOT(ISNUMBER($Q1774))),"",$Q1774*1000000+1774)</f>
        <v/>
      </c>
      <c r="W1774" s="29">
        <f>IF($B1774="","",IFERROR(INDEX($U$4:$U$3183,MATCH(SMALL($V$4:$V$3183,1771),$V$4:$V$3183,0)),""))</f>
        <v/>
      </c>
    </row>
    <row r="1775">
      <c r="A1775">
        <f>IFERROR(INDEX($N$4:$N$3183,MATCH(SMALL($V$4:$V$3183,1772),$V$4:$V$3183,0)),"")</f>
        <v/>
      </c>
      <c r="B1775">
        <f>IFERROR(INDEX($O$4:$O$3183,MATCH(SMALL($V$4:$V$3183,1772),$V$4:$V$3183,0)),"")</f>
        <v/>
      </c>
      <c r="C1775">
        <f>IFERROR(INDEX($P$4:$P$3183,MATCH(SMALL($V$4:$V$3183,1772),$V$4:$V$3183,0)),"")</f>
        <v/>
      </c>
      <c r="D1775" s="29">
        <f>IFERROR(INDEX($Q$4:$Q$3183,MATCH(SMALL($V$4:$V$3183,1772),$V$4:$V$3183,0)),"")</f>
        <v/>
      </c>
      <c r="E1775" s="29">
        <f>IFERROR(INDEX($R$4:$R$3183,MATCH(SMALL($V$4:$V$3183,1772),$V$4:$V$3183,0)),"")</f>
        <v/>
      </c>
      <c r="F1775">
        <f>IFERROR(INDEX($S$4:$S$3183,MATCH(SMALL($V$4:$V$3183,1772),$V$4:$V$3183,0)),"")</f>
        <v/>
      </c>
      <c r="I1775" s="29">
        <f>IF($B1775="","",IFERROR(INDEX($U$4:$U$3183,MATCH(SMALL($V$4:$V$3183,1772),$V$4:$V$3183,0)),""))</f>
        <v/>
      </c>
      <c r="J1775">
        <f>IF($B1775="","",IF($D1775&gt;$F$2,"À venir",IF($E1775&lt;$D$2,"Passé","Dans la période")))</f>
        <v/>
      </c>
      <c r="K1775">
        <f>IF(OR($B1775="",NOT(ISNUMBER($D1775))),"",IF(AND($E1775&lt;$D$2,$G1775&lt;&gt;"X",$F1775&lt;&gt;"Réalisé",$F1775&lt;&gt;"Clôturé"),"RETARD",""))</f>
        <v/>
      </c>
      <c r="L1775">
        <f>IF(OR($B1775="",NOT(ISNUMBER($D1775))),"",IF(AND($D1775&gt;=$D$2,$D1775&lt;=$H$2,$G1775&lt;&gt;"X",$F1775&lt;&gt;"Réalisé",$F1775&lt;&gt;"Clôturé"),"≤ 7 j",""))</f>
        <v/>
      </c>
      <c r="M1775" s="29">
        <f>IF($B1775="","",IFERROR(INDEX($T$4:$T$3183,MATCH(SMALL($V$4:$V$3183,1772),$V$4:$V$3183,0)),""))</f>
        <v/>
      </c>
      <c r="O1775">
        <f>IF(INDEX(Suivi!$B:$B,1809)="","",INDEX(Suivi!$B:$B,1809))</f>
        <v/>
      </c>
      <c r="P1775">
        <f>IF($O1775="","",IF(INDEX(Suivi!$D:$D,1809)="",INDEX(Suivi!$C:$C,1809),INDEX(Suivi!$D:$D,1809)))</f>
        <v/>
      </c>
      <c r="Q1775">
        <f>IF($O1775="","",INDEX(Suivi!$E:$E,1809))</f>
        <v/>
      </c>
      <c r="R1775">
        <f>IF($O1775="","",INDEX(Suivi!$F:$F,1809))</f>
        <v/>
      </c>
      <c r="S1775">
        <f>IF($O1775="","",INDEX(Suivi!$G:$G,1809))</f>
        <v/>
      </c>
      <c r="T1775">
        <f>IF($O1775="","",IF(INDEX(Dossiers!$F$4:$F$63,34)="","",INDEX(Dossiers!$F$4:$F$63,34)))</f>
        <v/>
      </c>
      <c r="U1775">
        <f>IF($O1775="","",IF(INDEX(Dossiers!$G$4:$G$63,34)="","",INDEX(Dossiers!$G$4:$G$63,34)))</f>
        <v/>
      </c>
      <c r="V1775">
        <f>IF(OR($O1775="",NOT(ISNUMBER($Q1775))),"",$Q1775*1000000+1775)</f>
        <v/>
      </c>
      <c r="W1775" s="29">
        <f>IF($B1775="","",IFERROR(INDEX($U$4:$U$3183,MATCH(SMALL($V$4:$V$3183,1772),$V$4:$V$3183,0)),""))</f>
        <v/>
      </c>
    </row>
    <row r="1776">
      <c r="A1776">
        <f>IFERROR(INDEX($N$4:$N$3183,MATCH(SMALL($V$4:$V$3183,1773),$V$4:$V$3183,0)),"")</f>
        <v/>
      </c>
      <c r="B1776">
        <f>IFERROR(INDEX($O$4:$O$3183,MATCH(SMALL($V$4:$V$3183,1773),$V$4:$V$3183,0)),"")</f>
        <v/>
      </c>
      <c r="C1776">
        <f>IFERROR(INDEX($P$4:$P$3183,MATCH(SMALL($V$4:$V$3183,1773),$V$4:$V$3183,0)),"")</f>
        <v/>
      </c>
      <c r="D1776" s="29">
        <f>IFERROR(INDEX($Q$4:$Q$3183,MATCH(SMALL($V$4:$V$3183,1773),$V$4:$V$3183,0)),"")</f>
        <v/>
      </c>
      <c r="E1776" s="29">
        <f>IFERROR(INDEX($R$4:$R$3183,MATCH(SMALL($V$4:$V$3183,1773),$V$4:$V$3183,0)),"")</f>
        <v/>
      </c>
      <c r="F1776">
        <f>IFERROR(INDEX($S$4:$S$3183,MATCH(SMALL($V$4:$V$3183,1773),$V$4:$V$3183,0)),"")</f>
        <v/>
      </c>
      <c r="I1776" s="29">
        <f>IF($B1776="","",IFERROR(INDEX($U$4:$U$3183,MATCH(SMALL($V$4:$V$3183,1773),$V$4:$V$3183,0)),""))</f>
        <v/>
      </c>
      <c r="J1776">
        <f>IF($B1776="","",IF($D1776&gt;$F$2,"À venir",IF($E1776&lt;$D$2,"Passé","Dans la période")))</f>
        <v/>
      </c>
      <c r="K1776">
        <f>IF(OR($B1776="",NOT(ISNUMBER($D1776))),"",IF(AND($E1776&lt;$D$2,$G1776&lt;&gt;"X",$F1776&lt;&gt;"Réalisé",$F1776&lt;&gt;"Clôturé"),"RETARD",""))</f>
        <v/>
      </c>
      <c r="L1776">
        <f>IF(OR($B1776="",NOT(ISNUMBER($D1776))),"",IF(AND($D1776&gt;=$D$2,$D1776&lt;=$H$2,$G1776&lt;&gt;"X",$F1776&lt;&gt;"Réalisé",$F1776&lt;&gt;"Clôturé"),"≤ 7 j",""))</f>
        <v/>
      </c>
      <c r="M1776" s="29">
        <f>IF($B1776="","",IFERROR(INDEX($T$4:$T$3183,MATCH(SMALL($V$4:$V$3183,1773),$V$4:$V$3183,0)),""))</f>
        <v/>
      </c>
      <c r="O1776">
        <f>IF(INDEX(Suivi!$B:$B,1810)="","",INDEX(Suivi!$B:$B,1810))</f>
        <v/>
      </c>
      <c r="P1776">
        <f>IF($O1776="","",IF(INDEX(Suivi!$D:$D,1810)="",INDEX(Suivi!$C:$C,1810),INDEX(Suivi!$D:$D,1810)))</f>
        <v/>
      </c>
      <c r="Q1776">
        <f>IF($O1776="","",INDEX(Suivi!$E:$E,1810))</f>
        <v/>
      </c>
      <c r="R1776">
        <f>IF($O1776="","",INDEX(Suivi!$F:$F,1810))</f>
        <v/>
      </c>
      <c r="S1776">
        <f>IF($O1776="","",INDEX(Suivi!$G:$G,1810))</f>
        <v/>
      </c>
      <c r="T1776">
        <f>IF($O1776="","",IF(INDEX(Dossiers!$F$4:$F$63,34)="","",INDEX(Dossiers!$F$4:$F$63,34)))</f>
        <v/>
      </c>
      <c r="U1776">
        <f>IF($O1776="","",IF(INDEX(Dossiers!$G$4:$G$63,34)="","",INDEX(Dossiers!$G$4:$G$63,34)))</f>
        <v/>
      </c>
      <c r="V1776">
        <f>IF(OR($O1776="",NOT(ISNUMBER($Q1776))),"",$Q1776*1000000+1776)</f>
        <v/>
      </c>
      <c r="W1776" s="29">
        <f>IF($B1776="","",IFERROR(INDEX($U$4:$U$3183,MATCH(SMALL($V$4:$V$3183,1773),$V$4:$V$3183,0)),""))</f>
        <v/>
      </c>
    </row>
    <row r="1777">
      <c r="A1777">
        <f>IFERROR(INDEX($N$4:$N$3183,MATCH(SMALL($V$4:$V$3183,1774),$V$4:$V$3183,0)),"")</f>
        <v/>
      </c>
      <c r="B1777">
        <f>IFERROR(INDEX($O$4:$O$3183,MATCH(SMALL($V$4:$V$3183,1774),$V$4:$V$3183,0)),"")</f>
        <v/>
      </c>
      <c r="C1777">
        <f>IFERROR(INDEX($P$4:$P$3183,MATCH(SMALL($V$4:$V$3183,1774),$V$4:$V$3183,0)),"")</f>
        <v/>
      </c>
      <c r="D1777" s="29">
        <f>IFERROR(INDEX($Q$4:$Q$3183,MATCH(SMALL($V$4:$V$3183,1774),$V$4:$V$3183,0)),"")</f>
        <v/>
      </c>
      <c r="E1777" s="29">
        <f>IFERROR(INDEX($R$4:$R$3183,MATCH(SMALL($V$4:$V$3183,1774),$V$4:$V$3183,0)),"")</f>
        <v/>
      </c>
      <c r="F1777">
        <f>IFERROR(INDEX($S$4:$S$3183,MATCH(SMALL($V$4:$V$3183,1774),$V$4:$V$3183,0)),"")</f>
        <v/>
      </c>
      <c r="I1777" s="29">
        <f>IF($B1777="","",IFERROR(INDEX($U$4:$U$3183,MATCH(SMALL($V$4:$V$3183,1774),$V$4:$V$3183,0)),""))</f>
        <v/>
      </c>
      <c r="J1777">
        <f>IF($B1777="","",IF($D1777&gt;$F$2,"À venir",IF($E1777&lt;$D$2,"Passé","Dans la période")))</f>
        <v/>
      </c>
      <c r="K1777">
        <f>IF(OR($B1777="",NOT(ISNUMBER($D1777))),"",IF(AND($E1777&lt;$D$2,$G1777&lt;&gt;"X",$F1777&lt;&gt;"Réalisé",$F1777&lt;&gt;"Clôturé"),"RETARD",""))</f>
        <v/>
      </c>
      <c r="L1777">
        <f>IF(OR($B1777="",NOT(ISNUMBER($D1777))),"",IF(AND($D1777&gt;=$D$2,$D1777&lt;=$H$2,$G1777&lt;&gt;"X",$F1777&lt;&gt;"Réalisé",$F1777&lt;&gt;"Clôturé"),"≤ 7 j",""))</f>
        <v/>
      </c>
      <c r="M1777" s="29">
        <f>IF($B1777="","",IFERROR(INDEX($T$4:$T$3183,MATCH(SMALL($V$4:$V$3183,1774),$V$4:$V$3183,0)),""))</f>
        <v/>
      </c>
      <c r="O1777">
        <f>IF(INDEX(Suivi!$B:$B,1811)="","",INDEX(Suivi!$B:$B,1811))</f>
        <v/>
      </c>
      <c r="P1777">
        <f>IF($O1777="","",IF(INDEX(Suivi!$D:$D,1811)="",INDEX(Suivi!$C:$C,1811),INDEX(Suivi!$D:$D,1811)))</f>
        <v/>
      </c>
      <c r="Q1777">
        <f>IF($O1777="","",INDEX(Suivi!$E:$E,1811))</f>
        <v/>
      </c>
      <c r="R1777">
        <f>IF($O1777="","",INDEX(Suivi!$F:$F,1811))</f>
        <v/>
      </c>
      <c r="S1777">
        <f>IF($O1777="","",INDEX(Suivi!$G:$G,1811))</f>
        <v/>
      </c>
      <c r="T1777">
        <f>IF($O1777="","",IF(INDEX(Dossiers!$F$4:$F$63,34)="","",INDEX(Dossiers!$F$4:$F$63,34)))</f>
        <v/>
      </c>
      <c r="U1777">
        <f>IF($O1777="","",IF(INDEX(Dossiers!$G$4:$G$63,34)="","",INDEX(Dossiers!$G$4:$G$63,34)))</f>
        <v/>
      </c>
      <c r="V1777">
        <f>IF(OR($O1777="",NOT(ISNUMBER($Q1777))),"",$Q1777*1000000+1777)</f>
        <v/>
      </c>
      <c r="W1777" s="29">
        <f>IF($B1777="","",IFERROR(INDEX($U$4:$U$3183,MATCH(SMALL($V$4:$V$3183,1774),$V$4:$V$3183,0)),""))</f>
        <v/>
      </c>
    </row>
    <row r="1778">
      <c r="A1778">
        <f>IFERROR(INDEX($N$4:$N$3183,MATCH(SMALL($V$4:$V$3183,1775),$V$4:$V$3183,0)),"")</f>
        <v/>
      </c>
      <c r="B1778">
        <f>IFERROR(INDEX($O$4:$O$3183,MATCH(SMALL($V$4:$V$3183,1775),$V$4:$V$3183,0)),"")</f>
        <v/>
      </c>
      <c r="C1778">
        <f>IFERROR(INDEX($P$4:$P$3183,MATCH(SMALL($V$4:$V$3183,1775),$V$4:$V$3183,0)),"")</f>
        <v/>
      </c>
      <c r="D1778" s="29">
        <f>IFERROR(INDEX($Q$4:$Q$3183,MATCH(SMALL($V$4:$V$3183,1775),$V$4:$V$3183,0)),"")</f>
        <v/>
      </c>
      <c r="E1778" s="29">
        <f>IFERROR(INDEX($R$4:$R$3183,MATCH(SMALL($V$4:$V$3183,1775),$V$4:$V$3183,0)),"")</f>
        <v/>
      </c>
      <c r="F1778">
        <f>IFERROR(INDEX($S$4:$S$3183,MATCH(SMALL($V$4:$V$3183,1775),$V$4:$V$3183,0)),"")</f>
        <v/>
      </c>
      <c r="I1778" s="29">
        <f>IF($B1778="","",IFERROR(INDEX($U$4:$U$3183,MATCH(SMALL($V$4:$V$3183,1775),$V$4:$V$3183,0)),""))</f>
        <v/>
      </c>
      <c r="J1778">
        <f>IF($B1778="","",IF($D1778&gt;$F$2,"À venir",IF($E1778&lt;$D$2,"Passé","Dans la période")))</f>
        <v/>
      </c>
      <c r="K1778">
        <f>IF(OR($B1778="",NOT(ISNUMBER($D1778))),"",IF(AND($E1778&lt;$D$2,$G1778&lt;&gt;"X",$F1778&lt;&gt;"Réalisé",$F1778&lt;&gt;"Clôturé"),"RETARD",""))</f>
        <v/>
      </c>
      <c r="L1778">
        <f>IF(OR($B1778="",NOT(ISNUMBER($D1778))),"",IF(AND($D1778&gt;=$D$2,$D1778&lt;=$H$2,$G1778&lt;&gt;"X",$F1778&lt;&gt;"Réalisé",$F1778&lt;&gt;"Clôturé"),"≤ 7 j",""))</f>
        <v/>
      </c>
      <c r="M1778" s="29">
        <f>IF($B1778="","",IFERROR(INDEX($T$4:$T$3183,MATCH(SMALL($V$4:$V$3183,1775),$V$4:$V$3183,0)),""))</f>
        <v/>
      </c>
      <c r="O1778">
        <f>IF(INDEX(Suivi!$B:$B,1812)="","",INDEX(Suivi!$B:$B,1812))</f>
        <v/>
      </c>
      <c r="P1778">
        <f>IF($O1778="","",IF(INDEX(Suivi!$D:$D,1812)="",INDEX(Suivi!$C:$C,1812),INDEX(Suivi!$D:$D,1812)))</f>
        <v/>
      </c>
      <c r="Q1778">
        <f>IF($O1778="","",INDEX(Suivi!$E:$E,1812))</f>
        <v/>
      </c>
      <c r="R1778">
        <f>IF($O1778="","",INDEX(Suivi!$F:$F,1812))</f>
        <v/>
      </c>
      <c r="S1778">
        <f>IF($O1778="","",INDEX(Suivi!$G:$G,1812))</f>
        <v/>
      </c>
      <c r="T1778">
        <f>IF($O1778="","",IF(INDEX(Dossiers!$F$4:$F$63,34)="","",INDEX(Dossiers!$F$4:$F$63,34)))</f>
        <v/>
      </c>
      <c r="U1778">
        <f>IF($O1778="","",IF(INDEX(Dossiers!$G$4:$G$63,34)="","",INDEX(Dossiers!$G$4:$G$63,34)))</f>
        <v/>
      </c>
      <c r="V1778">
        <f>IF(OR($O1778="",NOT(ISNUMBER($Q1778))),"",$Q1778*1000000+1778)</f>
        <v/>
      </c>
      <c r="W1778" s="29">
        <f>IF($B1778="","",IFERROR(INDEX($U$4:$U$3183,MATCH(SMALL($V$4:$V$3183,1775),$V$4:$V$3183,0)),""))</f>
        <v/>
      </c>
    </row>
    <row r="1779">
      <c r="A1779">
        <f>IFERROR(INDEX($N$4:$N$3183,MATCH(SMALL($V$4:$V$3183,1776),$V$4:$V$3183,0)),"")</f>
        <v/>
      </c>
      <c r="B1779">
        <f>IFERROR(INDEX($O$4:$O$3183,MATCH(SMALL($V$4:$V$3183,1776),$V$4:$V$3183,0)),"")</f>
        <v/>
      </c>
      <c r="C1779">
        <f>IFERROR(INDEX($P$4:$P$3183,MATCH(SMALL($V$4:$V$3183,1776),$V$4:$V$3183,0)),"")</f>
        <v/>
      </c>
      <c r="D1779" s="29">
        <f>IFERROR(INDEX($Q$4:$Q$3183,MATCH(SMALL($V$4:$V$3183,1776),$V$4:$V$3183,0)),"")</f>
        <v/>
      </c>
      <c r="E1779" s="29">
        <f>IFERROR(INDEX($R$4:$R$3183,MATCH(SMALL($V$4:$V$3183,1776),$V$4:$V$3183,0)),"")</f>
        <v/>
      </c>
      <c r="F1779">
        <f>IFERROR(INDEX($S$4:$S$3183,MATCH(SMALL($V$4:$V$3183,1776),$V$4:$V$3183,0)),"")</f>
        <v/>
      </c>
      <c r="I1779" s="29">
        <f>IF($B1779="","",IFERROR(INDEX($U$4:$U$3183,MATCH(SMALL($V$4:$V$3183,1776),$V$4:$V$3183,0)),""))</f>
        <v/>
      </c>
      <c r="J1779">
        <f>IF($B1779="","",IF($D1779&gt;$F$2,"À venir",IF($E1779&lt;$D$2,"Passé","Dans la période")))</f>
        <v/>
      </c>
      <c r="K1779">
        <f>IF(OR($B1779="",NOT(ISNUMBER($D1779))),"",IF(AND($E1779&lt;$D$2,$G1779&lt;&gt;"X",$F1779&lt;&gt;"Réalisé",$F1779&lt;&gt;"Clôturé"),"RETARD",""))</f>
        <v/>
      </c>
      <c r="L1779">
        <f>IF(OR($B1779="",NOT(ISNUMBER($D1779))),"",IF(AND($D1779&gt;=$D$2,$D1779&lt;=$H$2,$G1779&lt;&gt;"X",$F1779&lt;&gt;"Réalisé",$F1779&lt;&gt;"Clôturé"),"≤ 7 j",""))</f>
        <v/>
      </c>
      <c r="M1779" s="29">
        <f>IF($B1779="","",IFERROR(INDEX($T$4:$T$3183,MATCH(SMALL($V$4:$V$3183,1776),$V$4:$V$3183,0)),""))</f>
        <v/>
      </c>
      <c r="O1779">
        <f>IF(INDEX(Suivi!$B:$B,1813)="","",INDEX(Suivi!$B:$B,1813))</f>
        <v/>
      </c>
      <c r="P1779">
        <f>IF($O1779="","",IF(INDEX(Suivi!$D:$D,1813)="",INDEX(Suivi!$C:$C,1813),INDEX(Suivi!$D:$D,1813)))</f>
        <v/>
      </c>
      <c r="Q1779">
        <f>IF($O1779="","",INDEX(Suivi!$E:$E,1813))</f>
        <v/>
      </c>
      <c r="R1779">
        <f>IF($O1779="","",INDEX(Suivi!$F:$F,1813))</f>
        <v/>
      </c>
      <c r="S1779">
        <f>IF($O1779="","",INDEX(Suivi!$G:$G,1813))</f>
        <v/>
      </c>
      <c r="T1779">
        <f>IF($O1779="","",IF(INDEX(Dossiers!$F$4:$F$63,34)="","",INDEX(Dossiers!$F$4:$F$63,34)))</f>
        <v/>
      </c>
      <c r="U1779">
        <f>IF($O1779="","",IF(INDEX(Dossiers!$G$4:$G$63,34)="","",INDEX(Dossiers!$G$4:$G$63,34)))</f>
        <v/>
      </c>
      <c r="V1779">
        <f>IF(OR($O1779="",NOT(ISNUMBER($Q1779))),"",$Q1779*1000000+1779)</f>
        <v/>
      </c>
      <c r="W1779" s="29">
        <f>IF($B1779="","",IFERROR(INDEX($U$4:$U$3183,MATCH(SMALL($V$4:$V$3183,1776),$V$4:$V$3183,0)),""))</f>
        <v/>
      </c>
    </row>
    <row r="1780">
      <c r="A1780">
        <f>IFERROR(INDEX($N$4:$N$3183,MATCH(SMALL($V$4:$V$3183,1777),$V$4:$V$3183,0)),"")</f>
        <v/>
      </c>
      <c r="B1780">
        <f>IFERROR(INDEX($O$4:$O$3183,MATCH(SMALL($V$4:$V$3183,1777),$V$4:$V$3183,0)),"")</f>
        <v/>
      </c>
      <c r="C1780">
        <f>IFERROR(INDEX($P$4:$P$3183,MATCH(SMALL($V$4:$V$3183,1777),$V$4:$V$3183,0)),"")</f>
        <v/>
      </c>
      <c r="D1780" s="29">
        <f>IFERROR(INDEX($Q$4:$Q$3183,MATCH(SMALL($V$4:$V$3183,1777),$V$4:$V$3183,0)),"")</f>
        <v/>
      </c>
      <c r="E1780" s="29">
        <f>IFERROR(INDEX($R$4:$R$3183,MATCH(SMALL($V$4:$V$3183,1777),$V$4:$V$3183,0)),"")</f>
        <v/>
      </c>
      <c r="F1780">
        <f>IFERROR(INDEX($S$4:$S$3183,MATCH(SMALL($V$4:$V$3183,1777),$V$4:$V$3183,0)),"")</f>
        <v/>
      </c>
      <c r="I1780" s="29">
        <f>IF($B1780="","",IFERROR(INDEX($U$4:$U$3183,MATCH(SMALL($V$4:$V$3183,1777),$V$4:$V$3183,0)),""))</f>
        <v/>
      </c>
      <c r="J1780">
        <f>IF($B1780="","",IF($D1780&gt;$F$2,"À venir",IF($E1780&lt;$D$2,"Passé","Dans la période")))</f>
        <v/>
      </c>
      <c r="K1780">
        <f>IF(OR($B1780="",NOT(ISNUMBER($D1780))),"",IF(AND($E1780&lt;$D$2,$G1780&lt;&gt;"X",$F1780&lt;&gt;"Réalisé",$F1780&lt;&gt;"Clôturé"),"RETARD",""))</f>
        <v/>
      </c>
      <c r="L1780">
        <f>IF(OR($B1780="",NOT(ISNUMBER($D1780))),"",IF(AND($D1780&gt;=$D$2,$D1780&lt;=$H$2,$G1780&lt;&gt;"X",$F1780&lt;&gt;"Réalisé",$F1780&lt;&gt;"Clôturé"),"≤ 7 j",""))</f>
        <v/>
      </c>
      <c r="M1780" s="29">
        <f>IF($B1780="","",IFERROR(INDEX($T$4:$T$3183,MATCH(SMALL($V$4:$V$3183,1777),$V$4:$V$3183,0)),""))</f>
        <v/>
      </c>
      <c r="O1780">
        <f>IF(INDEX(Suivi!$B:$B,1814)="","",INDEX(Suivi!$B:$B,1814))</f>
        <v/>
      </c>
      <c r="P1780">
        <f>IF($O1780="","",IF(INDEX(Suivi!$D:$D,1814)="",INDEX(Suivi!$C:$C,1814),INDEX(Suivi!$D:$D,1814)))</f>
        <v/>
      </c>
      <c r="Q1780">
        <f>IF($O1780="","",INDEX(Suivi!$E:$E,1814))</f>
        <v/>
      </c>
      <c r="R1780">
        <f>IF($O1780="","",INDEX(Suivi!$F:$F,1814))</f>
        <v/>
      </c>
      <c r="S1780">
        <f>IF($O1780="","",INDEX(Suivi!$G:$G,1814))</f>
        <v/>
      </c>
      <c r="T1780">
        <f>IF($O1780="","",IF(INDEX(Dossiers!$F$4:$F$63,34)="","",INDEX(Dossiers!$F$4:$F$63,34)))</f>
        <v/>
      </c>
      <c r="U1780">
        <f>IF($O1780="","",IF(INDEX(Dossiers!$G$4:$G$63,34)="","",INDEX(Dossiers!$G$4:$G$63,34)))</f>
        <v/>
      </c>
      <c r="V1780">
        <f>IF(OR($O1780="",NOT(ISNUMBER($Q1780))),"",$Q1780*1000000+1780)</f>
        <v/>
      </c>
      <c r="W1780" s="29">
        <f>IF($B1780="","",IFERROR(INDEX($U$4:$U$3183,MATCH(SMALL($V$4:$V$3183,1777),$V$4:$V$3183,0)),""))</f>
        <v/>
      </c>
    </row>
    <row r="1781">
      <c r="A1781">
        <f>IFERROR(INDEX($N$4:$N$3183,MATCH(SMALL($V$4:$V$3183,1778),$V$4:$V$3183,0)),"")</f>
        <v/>
      </c>
      <c r="B1781">
        <f>IFERROR(INDEX($O$4:$O$3183,MATCH(SMALL($V$4:$V$3183,1778),$V$4:$V$3183,0)),"")</f>
        <v/>
      </c>
      <c r="C1781">
        <f>IFERROR(INDEX($P$4:$P$3183,MATCH(SMALL($V$4:$V$3183,1778),$V$4:$V$3183,0)),"")</f>
        <v/>
      </c>
      <c r="D1781" s="29">
        <f>IFERROR(INDEX($Q$4:$Q$3183,MATCH(SMALL($V$4:$V$3183,1778),$V$4:$V$3183,0)),"")</f>
        <v/>
      </c>
      <c r="E1781" s="29">
        <f>IFERROR(INDEX($R$4:$R$3183,MATCH(SMALL($V$4:$V$3183,1778),$V$4:$V$3183,0)),"")</f>
        <v/>
      </c>
      <c r="F1781">
        <f>IFERROR(INDEX($S$4:$S$3183,MATCH(SMALL($V$4:$V$3183,1778),$V$4:$V$3183,0)),"")</f>
        <v/>
      </c>
      <c r="I1781" s="29">
        <f>IF($B1781="","",IFERROR(INDEX($U$4:$U$3183,MATCH(SMALL($V$4:$V$3183,1778),$V$4:$V$3183,0)),""))</f>
        <v/>
      </c>
      <c r="J1781">
        <f>IF($B1781="","",IF($D1781&gt;$F$2,"À venir",IF($E1781&lt;$D$2,"Passé","Dans la période")))</f>
        <v/>
      </c>
      <c r="K1781">
        <f>IF(OR($B1781="",NOT(ISNUMBER($D1781))),"",IF(AND($E1781&lt;$D$2,$G1781&lt;&gt;"X",$F1781&lt;&gt;"Réalisé",$F1781&lt;&gt;"Clôturé"),"RETARD",""))</f>
        <v/>
      </c>
      <c r="L1781">
        <f>IF(OR($B1781="",NOT(ISNUMBER($D1781))),"",IF(AND($D1781&gt;=$D$2,$D1781&lt;=$H$2,$G1781&lt;&gt;"X",$F1781&lt;&gt;"Réalisé",$F1781&lt;&gt;"Clôturé"),"≤ 7 j",""))</f>
        <v/>
      </c>
      <c r="M1781" s="29">
        <f>IF($B1781="","",IFERROR(INDEX($T$4:$T$3183,MATCH(SMALL($V$4:$V$3183,1778),$V$4:$V$3183,0)),""))</f>
        <v/>
      </c>
      <c r="O1781">
        <f>IF(INDEX(Suivi!$B:$B,1815)="","",INDEX(Suivi!$B:$B,1815))</f>
        <v/>
      </c>
      <c r="P1781">
        <f>IF($O1781="","",IF(INDEX(Suivi!$D:$D,1815)="",INDEX(Suivi!$C:$C,1815),INDEX(Suivi!$D:$D,1815)))</f>
        <v/>
      </c>
      <c r="Q1781">
        <f>IF($O1781="","",INDEX(Suivi!$E:$E,1815))</f>
        <v/>
      </c>
      <c r="R1781">
        <f>IF($O1781="","",INDEX(Suivi!$F:$F,1815))</f>
        <v/>
      </c>
      <c r="S1781">
        <f>IF($O1781="","",INDEX(Suivi!$G:$G,1815))</f>
        <v/>
      </c>
      <c r="T1781">
        <f>IF($O1781="","",IF(INDEX(Dossiers!$F$4:$F$63,34)="","",INDEX(Dossiers!$F$4:$F$63,34)))</f>
        <v/>
      </c>
      <c r="U1781">
        <f>IF($O1781="","",IF(INDEX(Dossiers!$G$4:$G$63,34)="","",INDEX(Dossiers!$G$4:$G$63,34)))</f>
        <v/>
      </c>
      <c r="V1781">
        <f>IF(OR($O1781="",NOT(ISNUMBER($Q1781))),"",$Q1781*1000000+1781)</f>
        <v/>
      </c>
      <c r="W1781" s="29">
        <f>IF($B1781="","",IFERROR(INDEX($U$4:$U$3183,MATCH(SMALL($V$4:$V$3183,1778),$V$4:$V$3183,0)),""))</f>
        <v/>
      </c>
    </row>
    <row r="1782">
      <c r="A1782">
        <f>IFERROR(INDEX($N$4:$N$3183,MATCH(SMALL($V$4:$V$3183,1779),$V$4:$V$3183,0)),"")</f>
        <v/>
      </c>
      <c r="B1782">
        <f>IFERROR(INDEX($O$4:$O$3183,MATCH(SMALL($V$4:$V$3183,1779),$V$4:$V$3183,0)),"")</f>
        <v/>
      </c>
      <c r="C1782">
        <f>IFERROR(INDEX($P$4:$P$3183,MATCH(SMALL($V$4:$V$3183,1779),$V$4:$V$3183,0)),"")</f>
        <v/>
      </c>
      <c r="D1782" s="29">
        <f>IFERROR(INDEX($Q$4:$Q$3183,MATCH(SMALL($V$4:$V$3183,1779),$V$4:$V$3183,0)),"")</f>
        <v/>
      </c>
      <c r="E1782" s="29">
        <f>IFERROR(INDEX($R$4:$R$3183,MATCH(SMALL($V$4:$V$3183,1779),$V$4:$V$3183,0)),"")</f>
        <v/>
      </c>
      <c r="F1782">
        <f>IFERROR(INDEX($S$4:$S$3183,MATCH(SMALL($V$4:$V$3183,1779),$V$4:$V$3183,0)),"")</f>
        <v/>
      </c>
      <c r="I1782" s="29">
        <f>IF($B1782="","",IFERROR(INDEX($U$4:$U$3183,MATCH(SMALL($V$4:$V$3183,1779),$V$4:$V$3183,0)),""))</f>
        <v/>
      </c>
      <c r="J1782">
        <f>IF($B1782="","",IF($D1782&gt;$F$2,"À venir",IF($E1782&lt;$D$2,"Passé","Dans la période")))</f>
        <v/>
      </c>
      <c r="K1782">
        <f>IF(OR($B1782="",NOT(ISNUMBER($D1782))),"",IF(AND($E1782&lt;$D$2,$G1782&lt;&gt;"X",$F1782&lt;&gt;"Réalisé",$F1782&lt;&gt;"Clôturé"),"RETARD",""))</f>
        <v/>
      </c>
      <c r="L1782">
        <f>IF(OR($B1782="",NOT(ISNUMBER($D1782))),"",IF(AND($D1782&gt;=$D$2,$D1782&lt;=$H$2,$G1782&lt;&gt;"X",$F1782&lt;&gt;"Réalisé",$F1782&lt;&gt;"Clôturé"),"≤ 7 j",""))</f>
        <v/>
      </c>
      <c r="M1782" s="29">
        <f>IF($B1782="","",IFERROR(INDEX($T$4:$T$3183,MATCH(SMALL($V$4:$V$3183,1779),$V$4:$V$3183,0)),""))</f>
        <v/>
      </c>
      <c r="O1782">
        <f>IF(INDEX(Suivi!$B:$B,1816)="","",INDEX(Suivi!$B:$B,1816))</f>
        <v/>
      </c>
      <c r="P1782">
        <f>IF($O1782="","",IF(INDEX(Suivi!$D:$D,1816)="",INDEX(Suivi!$C:$C,1816),INDEX(Suivi!$D:$D,1816)))</f>
        <v/>
      </c>
      <c r="Q1782">
        <f>IF($O1782="","",INDEX(Suivi!$E:$E,1816))</f>
        <v/>
      </c>
      <c r="R1782">
        <f>IF($O1782="","",INDEX(Suivi!$F:$F,1816))</f>
        <v/>
      </c>
      <c r="S1782">
        <f>IF($O1782="","",INDEX(Suivi!$G:$G,1816))</f>
        <v/>
      </c>
      <c r="T1782">
        <f>IF($O1782="","",IF(INDEX(Dossiers!$F$4:$F$63,34)="","",INDEX(Dossiers!$F$4:$F$63,34)))</f>
        <v/>
      </c>
      <c r="U1782">
        <f>IF($O1782="","",IF(INDEX(Dossiers!$G$4:$G$63,34)="","",INDEX(Dossiers!$G$4:$G$63,34)))</f>
        <v/>
      </c>
      <c r="V1782">
        <f>IF(OR($O1782="",NOT(ISNUMBER($Q1782))),"",$Q1782*1000000+1782)</f>
        <v/>
      </c>
      <c r="W1782" s="29">
        <f>IF($B1782="","",IFERROR(INDEX($U$4:$U$3183,MATCH(SMALL($V$4:$V$3183,1779),$V$4:$V$3183,0)),""))</f>
        <v/>
      </c>
    </row>
    <row r="1783">
      <c r="A1783">
        <f>IFERROR(INDEX($N$4:$N$3183,MATCH(SMALL($V$4:$V$3183,1780),$V$4:$V$3183,0)),"")</f>
        <v/>
      </c>
      <c r="B1783">
        <f>IFERROR(INDEX($O$4:$O$3183,MATCH(SMALL($V$4:$V$3183,1780),$V$4:$V$3183,0)),"")</f>
        <v/>
      </c>
      <c r="C1783">
        <f>IFERROR(INDEX($P$4:$P$3183,MATCH(SMALL($V$4:$V$3183,1780),$V$4:$V$3183,0)),"")</f>
        <v/>
      </c>
      <c r="D1783" s="29">
        <f>IFERROR(INDEX($Q$4:$Q$3183,MATCH(SMALL($V$4:$V$3183,1780),$V$4:$V$3183,0)),"")</f>
        <v/>
      </c>
      <c r="E1783" s="29">
        <f>IFERROR(INDEX($R$4:$R$3183,MATCH(SMALL($V$4:$V$3183,1780),$V$4:$V$3183,0)),"")</f>
        <v/>
      </c>
      <c r="F1783">
        <f>IFERROR(INDEX($S$4:$S$3183,MATCH(SMALL($V$4:$V$3183,1780),$V$4:$V$3183,0)),"")</f>
        <v/>
      </c>
      <c r="I1783" s="29">
        <f>IF($B1783="","",IFERROR(INDEX($U$4:$U$3183,MATCH(SMALL($V$4:$V$3183,1780),$V$4:$V$3183,0)),""))</f>
        <v/>
      </c>
      <c r="J1783">
        <f>IF($B1783="","",IF($D1783&gt;$F$2,"À venir",IF($E1783&lt;$D$2,"Passé","Dans la période")))</f>
        <v/>
      </c>
      <c r="K1783">
        <f>IF(OR($B1783="",NOT(ISNUMBER($D1783))),"",IF(AND($E1783&lt;$D$2,$G1783&lt;&gt;"X",$F1783&lt;&gt;"Réalisé",$F1783&lt;&gt;"Clôturé"),"RETARD",""))</f>
        <v/>
      </c>
      <c r="L1783">
        <f>IF(OR($B1783="",NOT(ISNUMBER($D1783))),"",IF(AND($D1783&gt;=$D$2,$D1783&lt;=$H$2,$G1783&lt;&gt;"X",$F1783&lt;&gt;"Réalisé",$F1783&lt;&gt;"Clôturé"),"≤ 7 j",""))</f>
        <v/>
      </c>
      <c r="M1783" s="29">
        <f>IF($B1783="","",IFERROR(INDEX($T$4:$T$3183,MATCH(SMALL($V$4:$V$3183,1780),$V$4:$V$3183,0)),""))</f>
        <v/>
      </c>
      <c r="O1783">
        <f>IF(INDEX(Suivi!$B:$B,1817)="","",INDEX(Suivi!$B:$B,1817))</f>
        <v/>
      </c>
      <c r="P1783">
        <f>IF($O1783="","",IF(INDEX(Suivi!$D:$D,1817)="",INDEX(Suivi!$C:$C,1817),INDEX(Suivi!$D:$D,1817)))</f>
        <v/>
      </c>
      <c r="Q1783">
        <f>IF($O1783="","",INDEX(Suivi!$E:$E,1817))</f>
        <v/>
      </c>
      <c r="R1783">
        <f>IF($O1783="","",INDEX(Suivi!$F:$F,1817))</f>
        <v/>
      </c>
      <c r="S1783">
        <f>IF($O1783="","",INDEX(Suivi!$G:$G,1817))</f>
        <v/>
      </c>
      <c r="T1783">
        <f>IF($O1783="","",IF(INDEX(Dossiers!$F$4:$F$63,34)="","",INDEX(Dossiers!$F$4:$F$63,34)))</f>
        <v/>
      </c>
      <c r="U1783">
        <f>IF($O1783="","",IF(INDEX(Dossiers!$G$4:$G$63,34)="","",INDEX(Dossiers!$G$4:$G$63,34)))</f>
        <v/>
      </c>
      <c r="V1783">
        <f>IF(OR($O1783="",NOT(ISNUMBER($Q1783))),"",$Q1783*1000000+1783)</f>
        <v/>
      </c>
      <c r="W1783" s="29">
        <f>IF($B1783="","",IFERROR(INDEX($U$4:$U$3183,MATCH(SMALL($V$4:$V$3183,1780),$V$4:$V$3183,0)),""))</f>
        <v/>
      </c>
    </row>
    <row r="1784">
      <c r="A1784">
        <f>IFERROR(INDEX($N$4:$N$3183,MATCH(SMALL($V$4:$V$3183,1781),$V$4:$V$3183,0)),"")</f>
        <v/>
      </c>
      <c r="B1784">
        <f>IFERROR(INDEX($O$4:$O$3183,MATCH(SMALL($V$4:$V$3183,1781),$V$4:$V$3183,0)),"")</f>
        <v/>
      </c>
      <c r="C1784">
        <f>IFERROR(INDEX($P$4:$P$3183,MATCH(SMALL($V$4:$V$3183,1781),$V$4:$V$3183,0)),"")</f>
        <v/>
      </c>
      <c r="D1784" s="29">
        <f>IFERROR(INDEX($Q$4:$Q$3183,MATCH(SMALL($V$4:$V$3183,1781),$V$4:$V$3183,0)),"")</f>
        <v/>
      </c>
      <c r="E1784" s="29">
        <f>IFERROR(INDEX($R$4:$R$3183,MATCH(SMALL($V$4:$V$3183,1781),$V$4:$V$3183,0)),"")</f>
        <v/>
      </c>
      <c r="F1784">
        <f>IFERROR(INDEX($S$4:$S$3183,MATCH(SMALL($V$4:$V$3183,1781),$V$4:$V$3183,0)),"")</f>
        <v/>
      </c>
      <c r="I1784" s="29">
        <f>IF($B1784="","",IFERROR(INDEX($U$4:$U$3183,MATCH(SMALL($V$4:$V$3183,1781),$V$4:$V$3183,0)),""))</f>
        <v/>
      </c>
      <c r="J1784">
        <f>IF($B1784="","",IF($D1784&gt;$F$2,"À venir",IF($E1784&lt;$D$2,"Passé","Dans la période")))</f>
        <v/>
      </c>
      <c r="K1784">
        <f>IF(OR($B1784="",NOT(ISNUMBER($D1784))),"",IF(AND($E1784&lt;$D$2,$G1784&lt;&gt;"X",$F1784&lt;&gt;"Réalisé",$F1784&lt;&gt;"Clôturé"),"RETARD",""))</f>
        <v/>
      </c>
      <c r="L1784">
        <f>IF(OR($B1784="",NOT(ISNUMBER($D1784))),"",IF(AND($D1784&gt;=$D$2,$D1784&lt;=$H$2,$G1784&lt;&gt;"X",$F1784&lt;&gt;"Réalisé",$F1784&lt;&gt;"Clôturé"),"≤ 7 j",""))</f>
        <v/>
      </c>
      <c r="M1784" s="29">
        <f>IF($B1784="","",IFERROR(INDEX($T$4:$T$3183,MATCH(SMALL($V$4:$V$3183,1781),$V$4:$V$3183,0)),""))</f>
        <v/>
      </c>
      <c r="O1784">
        <f>IF(INDEX(Suivi!$B:$B,1818)="","",INDEX(Suivi!$B:$B,1818))</f>
        <v/>
      </c>
      <c r="P1784">
        <f>IF($O1784="","",IF(INDEX(Suivi!$D:$D,1818)="",INDEX(Suivi!$C:$C,1818),INDEX(Suivi!$D:$D,1818)))</f>
        <v/>
      </c>
      <c r="Q1784">
        <f>IF($O1784="","",INDEX(Suivi!$E:$E,1818))</f>
        <v/>
      </c>
      <c r="R1784">
        <f>IF($O1784="","",INDEX(Suivi!$F:$F,1818))</f>
        <v/>
      </c>
      <c r="S1784">
        <f>IF($O1784="","",INDEX(Suivi!$G:$G,1818))</f>
        <v/>
      </c>
      <c r="T1784">
        <f>IF($O1784="","",IF(INDEX(Dossiers!$F$4:$F$63,34)="","",INDEX(Dossiers!$F$4:$F$63,34)))</f>
        <v/>
      </c>
      <c r="U1784">
        <f>IF($O1784="","",IF(INDEX(Dossiers!$G$4:$G$63,34)="","",INDEX(Dossiers!$G$4:$G$63,34)))</f>
        <v/>
      </c>
      <c r="V1784">
        <f>IF(OR($O1784="",NOT(ISNUMBER($Q1784))),"",$Q1784*1000000+1784)</f>
        <v/>
      </c>
      <c r="W1784" s="29">
        <f>IF($B1784="","",IFERROR(INDEX($U$4:$U$3183,MATCH(SMALL($V$4:$V$3183,1781),$V$4:$V$3183,0)),""))</f>
        <v/>
      </c>
    </row>
    <row r="1785">
      <c r="A1785">
        <f>IFERROR(INDEX($N$4:$N$3183,MATCH(SMALL($V$4:$V$3183,1782),$V$4:$V$3183,0)),"")</f>
        <v/>
      </c>
      <c r="B1785">
        <f>IFERROR(INDEX($O$4:$O$3183,MATCH(SMALL($V$4:$V$3183,1782),$V$4:$V$3183,0)),"")</f>
        <v/>
      </c>
      <c r="C1785">
        <f>IFERROR(INDEX($P$4:$P$3183,MATCH(SMALL($V$4:$V$3183,1782),$V$4:$V$3183,0)),"")</f>
        <v/>
      </c>
      <c r="D1785" s="29">
        <f>IFERROR(INDEX($Q$4:$Q$3183,MATCH(SMALL($V$4:$V$3183,1782),$V$4:$V$3183,0)),"")</f>
        <v/>
      </c>
      <c r="E1785" s="29">
        <f>IFERROR(INDEX($R$4:$R$3183,MATCH(SMALL($V$4:$V$3183,1782),$V$4:$V$3183,0)),"")</f>
        <v/>
      </c>
      <c r="F1785">
        <f>IFERROR(INDEX($S$4:$S$3183,MATCH(SMALL($V$4:$V$3183,1782),$V$4:$V$3183,0)),"")</f>
        <v/>
      </c>
      <c r="I1785" s="29">
        <f>IF($B1785="","",IFERROR(INDEX($U$4:$U$3183,MATCH(SMALL($V$4:$V$3183,1782),$V$4:$V$3183,0)),""))</f>
        <v/>
      </c>
      <c r="J1785">
        <f>IF($B1785="","",IF($D1785&gt;$F$2,"À venir",IF($E1785&lt;$D$2,"Passé","Dans la période")))</f>
        <v/>
      </c>
      <c r="K1785">
        <f>IF(OR($B1785="",NOT(ISNUMBER($D1785))),"",IF(AND($E1785&lt;$D$2,$G1785&lt;&gt;"X",$F1785&lt;&gt;"Réalisé",$F1785&lt;&gt;"Clôturé"),"RETARD",""))</f>
        <v/>
      </c>
      <c r="L1785">
        <f>IF(OR($B1785="",NOT(ISNUMBER($D1785))),"",IF(AND($D1785&gt;=$D$2,$D1785&lt;=$H$2,$G1785&lt;&gt;"X",$F1785&lt;&gt;"Réalisé",$F1785&lt;&gt;"Clôturé"),"≤ 7 j",""))</f>
        <v/>
      </c>
      <c r="M1785" s="29">
        <f>IF($B1785="","",IFERROR(INDEX($T$4:$T$3183,MATCH(SMALL($V$4:$V$3183,1782),$V$4:$V$3183,0)),""))</f>
        <v/>
      </c>
      <c r="O1785">
        <f>IF(INDEX(Suivi!$B:$B,1819)="","",INDEX(Suivi!$B:$B,1819))</f>
        <v/>
      </c>
      <c r="P1785">
        <f>IF($O1785="","",IF(INDEX(Suivi!$D:$D,1819)="",INDEX(Suivi!$C:$C,1819),INDEX(Suivi!$D:$D,1819)))</f>
        <v/>
      </c>
      <c r="Q1785">
        <f>IF($O1785="","",INDEX(Suivi!$E:$E,1819))</f>
        <v/>
      </c>
      <c r="R1785">
        <f>IF($O1785="","",INDEX(Suivi!$F:$F,1819))</f>
        <v/>
      </c>
      <c r="S1785">
        <f>IF($O1785="","",INDEX(Suivi!$G:$G,1819))</f>
        <v/>
      </c>
      <c r="T1785">
        <f>IF($O1785="","",IF(INDEX(Dossiers!$F$4:$F$63,34)="","",INDEX(Dossiers!$F$4:$F$63,34)))</f>
        <v/>
      </c>
      <c r="U1785">
        <f>IF($O1785="","",IF(INDEX(Dossiers!$G$4:$G$63,34)="","",INDEX(Dossiers!$G$4:$G$63,34)))</f>
        <v/>
      </c>
      <c r="V1785">
        <f>IF(OR($O1785="",NOT(ISNUMBER($Q1785))),"",$Q1785*1000000+1785)</f>
        <v/>
      </c>
      <c r="W1785" s="29">
        <f>IF($B1785="","",IFERROR(INDEX($U$4:$U$3183,MATCH(SMALL($V$4:$V$3183,1782),$V$4:$V$3183,0)),""))</f>
        <v/>
      </c>
    </row>
    <row r="1786">
      <c r="A1786">
        <f>IFERROR(INDEX($N$4:$N$3183,MATCH(SMALL($V$4:$V$3183,1783),$V$4:$V$3183,0)),"")</f>
        <v/>
      </c>
      <c r="B1786">
        <f>IFERROR(INDEX($O$4:$O$3183,MATCH(SMALL($V$4:$V$3183,1783),$V$4:$V$3183,0)),"")</f>
        <v/>
      </c>
      <c r="C1786">
        <f>IFERROR(INDEX($P$4:$P$3183,MATCH(SMALL($V$4:$V$3183,1783),$V$4:$V$3183,0)),"")</f>
        <v/>
      </c>
      <c r="D1786" s="29">
        <f>IFERROR(INDEX($Q$4:$Q$3183,MATCH(SMALL($V$4:$V$3183,1783),$V$4:$V$3183,0)),"")</f>
        <v/>
      </c>
      <c r="E1786" s="29">
        <f>IFERROR(INDEX($R$4:$R$3183,MATCH(SMALL($V$4:$V$3183,1783),$V$4:$V$3183,0)),"")</f>
        <v/>
      </c>
      <c r="F1786">
        <f>IFERROR(INDEX($S$4:$S$3183,MATCH(SMALL($V$4:$V$3183,1783),$V$4:$V$3183,0)),"")</f>
        <v/>
      </c>
      <c r="I1786" s="29">
        <f>IF($B1786="","",IFERROR(INDEX($U$4:$U$3183,MATCH(SMALL($V$4:$V$3183,1783),$V$4:$V$3183,0)),""))</f>
        <v/>
      </c>
      <c r="J1786">
        <f>IF($B1786="","",IF($D1786&gt;$F$2,"À venir",IF($E1786&lt;$D$2,"Passé","Dans la période")))</f>
        <v/>
      </c>
      <c r="K1786">
        <f>IF(OR($B1786="",NOT(ISNUMBER($D1786))),"",IF(AND($E1786&lt;$D$2,$G1786&lt;&gt;"X",$F1786&lt;&gt;"Réalisé",$F1786&lt;&gt;"Clôturé"),"RETARD",""))</f>
        <v/>
      </c>
      <c r="L1786">
        <f>IF(OR($B1786="",NOT(ISNUMBER($D1786))),"",IF(AND($D1786&gt;=$D$2,$D1786&lt;=$H$2,$G1786&lt;&gt;"X",$F1786&lt;&gt;"Réalisé",$F1786&lt;&gt;"Clôturé"),"≤ 7 j",""))</f>
        <v/>
      </c>
      <c r="M1786" s="29">
        <f>IF($B1786="","",IFERROR(INDEX($T$4:$T$3183,MATCH(SMALL($V$4:$V$3183,1783),$V$4:$V$3183,0)),""))</f>
        <v/>
      </c>
      <c r="O1786">
        <f>IF(INDEX(Suivi!$B:$B,1820)="","",INDEX(Suivi!$B:$B,1820))</f>
        <v/>
      </c>
      <c r="P1786">
        <f>IF($O1786="","",IF(INDEX(Suivi!$D:$D,1820)="",INDEX(Suivi!$C:$C,1820),INDEX(Suivi!$D:$D,1820)))</f>
        <v/>
      </c>
      <c r="Q1786">
        <f>IF($O1786="","",INDEX(Suivi!$E:$E,1820))</f>
        <v/>
      </c>
      <c r="R1786">
        <f>IF($O1786="","",INDEX(Suivi!$F:$F,1820))</f>
        <v/>
      </c>
      <c r="S1786">
        <f>IF($O1786="","",INDEX(Suivi!$G:$G,1820))</f>
        <v/>
      </c>
      <c r="T1786">
        <f>IF($O1786="","",IF(INDEX(Dossiers!$F$4:$F$63,34)="","",INDEX(Dossiers!$F$4:$F$63,34)))</f>
        <v/>
      </c>
      <c r="U1786">
        <f>IF($O1786="","",IF(INDEX(Dossiers!$G$4:$G$63,34)="","",INDEX(Dossiers!$G$4:$G$63,34)))</f>
        <v/>
      </c>
      <c r="V1786">
        <f>IF(OR($O1786="",NOT(ISNUMBER($Q1786))),"",$Q1786*1000000+1786)</f>
        <v/>
      </c>
      <c r="W1786" s="29">
        <f>IF($B1786="","",IFERROR(INDEX($U$4:$U$3183,MATCH(SMALL($V$4:$V$3183,1783),$V$4:$V$3183,0)),""))</f>
        <v/>
      </c>
    </row>
    <row r="1787">
      <c r="A1787">
        <f>IFERROR(INDEX($N$4:$N$3183,MATCH(SMALL($V$4:$V$3183,1784),$V$4:$V$3183,0)),"")</f>
        <v/>
      </c>
      <c r="B1787">
        <f>IFERROR(INDEX($O$4:$O$3183,MATCH(SMALL($V$4:$V$3183,1784),$V$4:$V$3183,0)),"")</f>
        <v/>
      </c>
      <c r="C1787">
        <f>IFERROR(INDEX($P$4:$P$3183,MATCH(SMALL($V$4:$V$3183,1784),$V$4:$V$3183,0)),"")</f>
        <v/>
      </c>
      <c r="D1787" s="29">
        <f>IFERROR(INDEX($Q$4:$Q$3183,MATCH(SMALL($V$4:$V$3183,1784),$V$4:$V$3183,0)),"")</f>
        <v/>
      </c>
      <c r="E1787" s="29">
        <f>IFERROR(INDEX($R$4:$R$3183,MATCH(SMALL($V$4:$V$3183,1784),$V$4:$V$3183,0)),"")</f>
        <v/>
      </c>
      <c r="F1787">
        <f>IFERROR(INDEX($S$4:$S$3183,MATCH(SMALL($V$4:$V$3183,1784),$V$4:$V$3183,0)),"")</f>
        <v/>
      </c>
      <c r="I1787" s="29">
        <f>IF($B1787="","",IFERROR(INDEX($U$4:$U$3183,MATCH(SMALL($V$4:$V$3183,1784),$V$4:$V$3183,0)),""))</f>
        <v/>
      </c>
      <c r="J1787">
        <f>IF($B1787="","",IF($D1787&gt;$F$2,"À venir",IF($E1787&lt;$D$2,"Passé","Dans la période")))</f>
        <v/>
      </c>
      <c r="K1787">
        <f>IF(OR($B1787="",NOT(ISNUMBER($D1787))),"",IF(AND($E1787&lt;$D$2,$G1787&lt;&gt;"X",$F1787&lt;&gt;"Réalisé",$F1787&lt;&gt;"Clôturé"),"RETARD",""))</f>
        <v/>
      </c>
      <c r="L1787">
        <f>IF(OR($B1787="",NOT(ISNUMBER($D1787))),"",IF(AND($D1787&gt;=$D$2,$D1787&lt;=$H$2,$G1787&lt;&gt;"X",$F1787&lt;&gt;"Réalisé",$F1787&lt;&gt;"Clôturé"),"≤ 7 j",""))</f>
        <v/>
      </c>
      <c r="M1787" s="29">
        <f>IF($B1787="","",IFERROR(INDEX($T$4:$T$3183,MATCH(SMALL($V$4:$V$3183,1784),$V$4:$V$3183,0)),""))</f>
        <v/>
      </c>
      <c r="O1787">
        <f>IF(INDEX(Suivi!$B:$B,1821)="","",INDEX(Suivi!$B:$B,1821))</f>
        <v/>
      </c>
      <c r="P1787">
        <f>IF($O1787="","",IF(INDEX(Suivi!$D:$D,1821)="",INDEX(Suivi!$C:$C,1821),INDEX(Suivi!$D:$D,1821)))</f>
        <v/>
      </c>
      <c r="Q1787">
        <f>IF($O1787="","",INDEX(Suivi!$E:$E,1821))</f>
        <v/>
      </c>
      <c r="R1787">
        <f>IF($O1787="","",INDEX(Suivi!$F:$F,1821))</f>
        <v/>
      </c>
      <c r="S1787">
        <f>IF($O1787="","",INDEX(Suivi!$G:$G,1821))</f>
        <v/>
      </c>
      <c r="T1787">
        <f>IF($O1787="","",IF(INDEX(Dossiers!$F$4:$F$63,34)="","",INDEX(Dossiers!$F$4:$F$63,34)))</f>
        <v/>
      </c>
      <c r="U1787">
        <f>IF($O1787="","",IF(INDEX(Dossiers!$G$4:$G$63,34)="","",INDEX(Dossiers!$G$4:$G$63,34)))</f>
        <v/>
      </c>
      <c r="V1787">
        <f>IF(OR($O1787="",NOT(ISNUMBER($Q1787))),"",$Q1787*1000000+1787)</f>
        <v/>
      </c>
      <c r="W1787" s="29">
        <f>IF($B1787="","",IFERROR(INDEX($U$4:$U$3183,MATCH(SMALL($V$4:$V$3183,1784),$V$4:$V$3183,0)),""))</f>
        <v/>
      </c>
    </row>
    <row r="1788">
      <c r="A1788">
        <f>IFERROR(INDEX($N$4:$N$3183,MATCH(SMALL($V$4:$V$3183,1785),$V$4:$V$3183,0)),"")</f>
        <v/>
      </c>
      <c r="B1788">
        <f>IFERROR(INDEX($O$4:$O$3183,MATCH(SMALL($V$4:$V$3183,1785),$V$4:$V$3183,0)),"")</f>
        <v/>
      </c>
      <c r="C1788">
        <f>IFERROR(INDEX($P$4:$P$3183,MATCH(SMALL($V$4:$V$3183,1785),$V$4:$V$3183,0)),"")</f>
        <v/>
      </c>
      <c r="D1788" s="29">
        <f>IFERROR(INDEX($Q$4:$Q$3183,MATCH(SMALL($V$4:$V$3183,1785),$V$4:$V$3183,0)),"")</f>
        <v/>
      </c>
      <c r="E1788" s="29">
        <f>IFERROR(INDEX($R$4:$R$3183,MATCH(SMALL($V$4:$V$3183,1785),$V$4:$V$3183,0)),"")</f>
        <v/>
      </c>
      <c r="F1788">
        <f>IFERROR(INDEX($S$4:$S$3183,MATCH(SMALL($V$4:$V$3183,1785),$V$4:$V$3183,0)),"")</f>
        <v/>
      </c>
      <c r="I1788" s="29">
        <f>IF($B1788="","",IFERROR(INDEX($U$4:$U$3183,MATCH(SMALL($V$4:$V$3183,1785),$V$4:$V$3183,0)),""))</f>
        <v/>
      </c>
      <c r="J1788">
        <f>IF($B1788="","",IF($D1788&gt;$F$2,"À venir",IF($E1788&lt;$D$2,"Passé","Dans la période")))</f>
        <v/>
      </c>
      <c r="K1788">
        <f>IF(OR($B1788="",NOT(ISNUMBER($D1788))),"",IF(AND($E1788&lt;$D$2,$G1788&lt;&gt;"X",$F1788&lt;&gt;"Réalisé",$F1788&lt;&gt;"Clôturé"),"RETARD",""))</f>
        <v/>
      </c>
      <c r="L1788">
        <f>IF(OR($B1788="",NOT(ISNUMBER($D1788))),"",IF(AND($D1788&gt;=$D$2,$D1788&lt;=$H$2,$G1788&lt;&gt;"X",$F1788&lt;&gt;"Réalisé",$F1788&lt;&gt;"Clôturé"),"≤ 7 j",""))</f>
        <v/>
      </c>
      <c r="M1788" s="29">
        <f>IF($B1788="","",IFERROR(INDEX($T$4:$T$3183,MATCH(SMALL($V$4:$V$3183,1785),$V$4:$V$3183,0)),""))</f>
        <v/>
      </c>
      <c r="O1788">
        <f>IF(INDEX(Suivi!$B:$B,1822)="","",INDEX(Suivi!$B:$B,1822))</f>
        <v/>
      </c>
      <c r="P1788">
        <f>IF($O1788="","",IF(INDEX(Suivi!$D:$D,1822)="",INDEX(Suivi!$C:$C,1822),INDEX(Suivi!$D:$D,1822)))</f>
        <v/>
      </c>
      <c r="Q1788">
        <f>IF($O1788="","",INDEX(Suivi!$E:$E,1822))</f>
        <v/>
      </c>
      <c r="R1788">
        <f>IF($O1788="","",INDEX(Suivi!$F:$F,1822))</f>
        <v/>
      </c>
      <c r="S1788">
        <f>IF($O1788="","",INDEX(Suivi!$G:$G,1822))</f>
        <v/>
      </c>
      <c r="T1788">
        <f>IF($O1788="","",IF(INDEX(Dossiers!$F$4:$F$63,34)="","",INDEX(Dossiers!$F$4:$F$63,34)))</f>
        <v/>
      </c>
      <c r="U1788">
        <f>IF($O1788="","",IF(INDEX(Dossiers!$G$4:$G$63,34)="","",INDEX(Dossiers!$G$4:$G$63,34)))</f>
        <v/>
      </c>
      <c r="V1788">
        <f>IF(OR($O1788="",NOT(ISNUMBER($Q1788))),"",$Q1788*1000000+1788)</f>
        <v/>
      </c>
      <c r="W1788" s="29">
        <f>IF($B1788="","",IFERROR(INDEX($U$4:$U$3183,MATCH(SMALL($V$4:$V$3183,1785),$V$4:$V$3183,0)),""))</f>
        <v/>
      </c>
    </row>
    <row r="1789">
      <c r="A1789">
        <f>IFERROR(INDEX($N$4:$N$3183,MATCH(SMALL($V$4:$V$3183,1786),$V$4:$V$3183,0)),"")</f>
        <v/>
      </c>
      <c r="B1789">
        <f>IFERROR(INDEX($O$4:$O$3183,MATCH(SMALL($V$4:$V$3183,1786),$V$4:$V$3183,0)),"")</f>
        <v/>
      </c>
      <c r="C1789">
        <f>IFERROR(INDEX($P$4:$P$3183,MATCH(SMALL($V$4:$V$3183,1786),$V$4:$V$3183,0)),"")</f>
        <v/>
      </c>
      <c r="D1789" s="29">
        <f>IFERROR(INDEX($Q$4:$Q$3183,MATCH(SMALL($V$4:$V$3183,1786),$V$4:$V$3183,0)),"")</f>
        <v/>
      </c>
      <c r="E1789" s="29">
        <f>IFERROR(INDEX($R$4:$R$3183,MATCH(SMALL($V$4:$V$3183,1786),$V$4:$V$3183,0)),"")</f>
        <v/>
      </c>
      <c r="F1789">
        <f>IFERROR(INDEX($S$4:$S$3183,MATCH(SMALL($V$4:$V$3183,1786),$V$4:$V$3183,0)),"")</f>
        <v/>
      </c>
      <c r="I1789" s="29">
        <f>IF($B1789="","",IFERROR(INDEX($U$4:$U$3183,MATCH(SMALL($V$4:$V$3183,1786),$V$4:$V$3183,0)),""))</f>
        <v/>
      </c>
      <c r="J1789">
        <f>IF($B1789="","",IF($D1789&gt;$F$2,"À venir",IF($E1789&lt;$D$2,"Passé","Dans la période")))</f>
        <v/>
      </c>
      <c r="K1789">
        <f>IF(OR($B1789="",NOT(ISNUMBER($D1789))),"",IF(AND($E1789&lt;$D$2,$G1789&lt;&gt;"X",$F1789&lt;&gt;"Réalisé",$F1789&lt;&gt;"Clôturé"),"RETARD",""))</f>
        <v/>
      </c>
      <c r="L1789">
        <f>IF(OR($B1789="",NOT(ISNUMBER($D1789))),"",IF(AND($D1789&gt;=$D$2,$D1789&lt;=$H$2,$G1789&lt;&gt;"X",$F1789&lt;&gt;"Réalisé",$F1789&lt;&gt;"Clôturé"),"≤ 7 j",""))</f>
        <v/>
      </c>
      <c r="M1789" s="29">
        <f>IF($B1789="","",IFERROR(INDEX($T$4:$T$3183,MATCH(SMALL($V$4:$V$3183,1786),$V$4:$V$3183,0)),""))</f>
        <v/>
      </c>
      <c r="O1789">
        <f>IF(INDEX(Suivi!$B:$B,1823)="","",INDEX(Suivi!$B:$B,1823))</f>
        <v/>
      </c>
      <c r="P1789">
        <f>IF($O1789="","",IF(INDEX(Suivi!$D:$D,1823)="",INDEX(Suivi!$C:$C,1823),INDEX(Suivi!$D:$D,1823)))</f>
        <v/>
      </c>
      <c r="Q1789">
        <f>IF($O1789="","",INDEX(Suivi!$E:$E,1823))</f>
        <v/>
      </c>
      <c r="R1789">
        <f>IF($O1789="","",INDEX(Suivi!$F:$F,1823))</f>
        <v/>
      </c>
      <c r="S1789">
        <f>IF($O1789="","",INDEX(Suivi!$G:$G,1823))</f>
        <v/>
      </c>
      <c r="T1789">
        <f>IF($O1789="","",IF(INDEX(Dossiers!$F$4:$F$63,34)="","",INDEX(Dossiers!$F$4:$F$63,34)))</f>
        <v/>
      </c>
      <c r="U1789">
        <f>IF($O1789="","",IF(INDEX(Dossiers!$G$4:$G$63,34)="","",INDEX(Dossiers!$G$4:$G$63,34)))</f>
        <v/>
      </c>
      <c r="V1789">
        <f>IF(OR($O1789="",NOT(ISNUMBER($Q1789))),"",$Q1789*1000000+1789)</f>
        <v/>
      </c>
      <c r="W1789" s="29">
        <f>IF($B1789="","",IFERROR(INDEX($U$4:$U$3183,MATCH(SMALL($V$4:$V$3183,1786),$V$4:$V$3183,0)),""))</f>
        <v/>
      </c>
    </row>
    <row r="1790">
      <c r="A1790">
        <f>IFERROR(INDEX($N$4:$N$3183,MATCH(SMALL($V$4:$V$3183,1787),$V$4:$V$3183,0)),"")</f>
        <v/>
      </c>
      <c r="B1790">
        <f>IFERROR(INDEX($O$4:$O$3183,MATCH(SMALL($V$4:$V$3183,1787),$V$4:$V$3183,0)),"")</f>
        <v/>
      </c>
      <c r="C1790">
        <f>IFERROR(INDEX($P$4:$P$3183,MATCH(SMALL($V$4:$V$3183,1787),$V$4:$V$3183,0)),"")</f>
        <v/>
      </c>
      <c r="D1790" s="29">
        <f>IFERROR(INDEX($Q$4:$Q$3183,MATCH(SMALL($V$4:$V$3183,1787),$V$4:$V$3183,0)),"")</f>
        <v/>
      </c>
      <c r="E1790" s="29">
        <f>IFERROR(INDEX($R$4:$R$3183,MATCH(SMALL($V$4:$V$3183,1787),$V$4:$V$3183,0)),"")</f>
        <v/>
      </c>
      <c r="F1790">
        <f>IFERROR(INDEX($S$4:$S$3183,MATCH(SMALL($V$4:$V$3183,1787),$V$4:$V$3183,0)),"")</f>
        <v/>
      </c>
      <c r="I1790" s="29">
        <f>IF($B1790="","",IFERROR(INDEX($U$4:$U$3183,MATCH(SMALL($V$4:$V$3183,1787),$V$4:$V$3183,0)),""))</f>
        <v/>
      </c>
      <c r="J1790">
        <f>IF($B1790="","",IF($D1790&gt;$F$2,"À venir",IF($E1790&lt;$D$2,"Passé","Dans la période")))</f>
        <v/>
      </c>
      <c r="K1790">
        <f>IF(OR($B1790="",NOT(ISNUMBER($D1790))),"",IF(AND($E1790&lt;$D$2,$G1790&lt;&gt;"X",$F1790&lt;&gt;"Réalisé",$F1790&lt;&gt;"Clôturé"),"RETARD",""))</f>
        <v/>
      </c>
      <c r="L1790">
        <f>IF(OR($B1790="",NOT(ISNUMBER($D1790))),"",IF(AND($D1790&gt;=$D$2,$D1790&lt;=$H$2,$G1790&lt;&gt;"X",$F1790&lt;&gt;"Réalisé",$F1790&lt;&gt;"Clôturé"),"≤ 7 j",""))</f>
        <v/>
      </c>
      <c r="M1790" s="29">
        <f>IF($B1790="","",IFERROR(INDEX($T$4:$T$3183,MATCH(SMALL($V$4:$V$3183,1787),$V$4:$V$3183,0)),""))</f>
        <v/>
      </c>
      <c r="O1790">
        <f>IF(INDEX(Suivi!$B:$B,1824)="","",INDEX(Suivi!$B:$B,1824))</f>
        <v/>
      </c>
      <c r="P1790">
        <f>IF($O1790="","",IF(INDEX(Suivi!$D:$D,1824)="",INDEX(Suivi!$C:$C,1824),INDEX(Suivi!$D:$D,1824)))</f>
        <v/>
      </c>
      <c r="Q1790">
        <f>IF($O1790="","",INDEX(Suivi!$E:$E,1824))</f>
        <v/>
      </c>
      <c r="R1790">
        <f>IF($O1790="","",INDEX(Suivi!$F:$F,1824))</f>
        <v/>
      </c>
      <c r="S1790">
        <f>IF($O1790="","",INDEX(Suivi!$G:$G,1824))</f>
        <v/>
      </c>
      <c r="T1790">
        <f>IF($O1790="","",IF(INDEX(Dossiers!$F$4:$F$63,34)="","",INDEX(Dossiers!$F$4:$F$63,34)))</f>
        <v/>
      </c>
      <c r="U1790">
        <f>IF($O1790="","",IF(INDEX(Dossiers!$G$4:$G$63,34)="","",INDEX(Dossiers!$G$4:$G$63,34)))</f>
        <v/>
      </c>
      <c r="V1790">
        <f>IF(OR($O1790="",NOT(ISNUMBER($Q1790))),"",$Q1790*1000000+1790)</f>
        <v/>
      </c>
      <c r="W1790" s="29">
        <f>IF($B1790="","",IFERROR(INDEX($U$4:$U$3183,MATCH(SMALL($V$4:$V$3183,1787),$V$4:$V$3183,0)),""))</f>
        <v/>
      </c>
    </row>
    <row r="1791">
      <c r="A1791">
        <f>IFERROR(INDEX($N$4:$N$3183,MATCH(SMALL($V$4:$V$3183,1788),$V$4:$V$3183,0)),"")</f>
        <v/>
      </c>
      <c r="B1791">
        <f>IFERROR(INDEX($O$4:$O$3183,MATCH(SMALL($V$4:$V$3183,1788),$V$4:$V$3183,0)),"")</f>
        <v/>
      </c>
      <c r="C1791">
        <f>IFERROR(INDEX($P$4:$P$3183,MATCH(SMALL($V$4:$V$3183,1788),$V$4:$V$3183,0)),"")</f>
        <v/>
      </c>
      <c r="D1791" s="29">
        <f>IFERROR(INDEX($Q$4:$Q$3183,MATCH(SMALL($V$4:$V$3183,1788),$V$4:$V$3183,0)),"")</f>
        <v/>
      </c>
      <c r="E1791" s="29">
        <f>IFERROR(INDEX($R$4:$R$3183,MATCH(SMALL($V$4:$V$3183,1788),$V$4:$V$3183,0)),"")</f>
        <v/>
      </c>
      <c r="F1791">
        <f>IFERROR(INDEX($S$4:$S$3183,MATCH(SMALL($V$4:$V$3183,1788),$V$4:$V$3183,0)),"")</f>
        <v/>
      </c>
      <c r="I1791" s="29">
        <f>IF($B1791="","",IFERROR(INDEX($U$4:$U$3183,MATCH(SMALL($V$4:$V$3183,1788),$V$4:$V$3183,0)),""))</f>
        <v/>
      </c>
      <c r="J1791">
        <f>IF($B1791="","",IF($D1791&gt;$F$2,"À venir",IF($E1791&lt;$D$2,"Passé","Dans la période")))</f>
        <v/>
      </c>
      <c r="K1791">
        <f>IF(OR($B1791="",NOT(ISNUMBER($D1791))),"",IF(AND($E1791&lt;$D$2,$G1791&lt;&gt;"X",$F1791&lt;&gt;"Réalisé",$F1791&lt;&gt;"Clôturé"),"RETARD",""))</f>
        <v/>
      </c>
      <c r="L1791">
        <f>IF(OR($B1791="",NOT(ISNUMBER($D1791))),"",IF(AND($D1791&gt;=$D$2,$D1791&lt;=$H$2,$G1791&lt;&gt;"X",$F1791&lt;&gt;"Réalisé",$F1791&lt;&gt;"Clôturé"),"≤ 7 j",""))</f>
        <v/>
      </c>
      <c r="M1791" s="29">
        <f>IF($B1791="","",IFERROR(INDEX($T$4:$T$3183,MATCH(SMALL($V$4:$V$3183,1788),$V$4:$V$3183,0)),""))</f>
        <v/>
      </c>
      <c r="O1791">
        <f>IF(INDEX(Suivi!$B:$B,1825)="","",INDEX(Suivi!$B:$B,1825))</f>
        <v/>
      </c>
      <c r="P1791">
        <f>IF($O1791="","",IF(INDEX(Suivi!$D:$D,1825)="",INDEX(Suivi!$C:$C,1825),INDEX(Suivi!$D:$D,1825)))</f>
        <v/>
      </c>
      <c r="Q1791">
        <f>IF($O1791="","",INDEX(Suivi!$E:$E,1825))</f>
        <v/>
      </c>
      <c r="R1791">
        <f>IF($O1791="","",INDEX(Suivi!$F:$F,1825))</f>
        <v/>
      </c>
      <c r="S1791">
        <f>IF($O1791="","",INDEX(Suivi!$G:$G,1825))</f>
        <v/>
      </c>
      <c r="T1791">
        <f>IF($O1791="","",IF(INDEX(Dossiers!$F$4:$F$63,34)="","",INDEX(Dossiers!$F$4:$F$63,34)))</f>
        <v/>
      </c>
      <c r="U1791">
        <f>IF($O1791="","",IF(INDEX(Dossiers!$G$4:$G$63,34)="","",INDEX(Dossiers!$G$4:$G$63,34)))</f>
        <v/>
      </c>
      <c r="V1791">
        <f>IF(OR($O1791="",NOT(ISNUMBER($Q1791))),"",$Q1791*1000000+1791)</f>
        <v/>
      </c>
      <c r="W1791" s="29">
        <f>IF($B1791="","",IFERROR(INDEX($U$4:$U$3183,MATCH(SMALL($V$4:$V$3183,1788),$V$4:$V$3183,0)),""))</f>
        <v/>
      </c>
    </row>
    <row r="1792">
      <c r="A1792">
        <f>IFERROR(INDEX($N$4:$N$3183,MATCH(SMALL($V$4:$V$3183,1789),$V$4:$V$3183,0)),"")</f>
        <v/>
      </c>
      <c r="B1792">
        <f>IFERROR(INDEX($O$4:$O$3183,MATCH(SMALL($V$4:$V$3183,1789),$V$4:$V$3183,0)),"")</f>
        <v/>
      </c>
      <c r="C1792">
        <f>IFERROR(INDEX($P$4:$P$3183,MATCH(SMALL($V$4:$V$3183,1789),$V$4:$V$3183,0)),"")</f>
        <v/>
      </c>
      <c r="D1792" s="29">
        <f>IFERROR(INDEX($Q$4:$Q$3183,MATCH(SMALL($V$4:$V$3183,1789),$V$4:$V$3183,0)),"")</f>
        <v/>
      </c>
      <c r="E1792" s="29">
        <f>IFERROR(INDEX($R$4:$R$3183,MATCH(SMALL($V$4:$V$3183,1789),$V$4:$V$3183,0)),"")</f>
        <v/>
      </c>
      <c r="F1792">
        <f>IFERROR(INDEX($S$4:$S$3183,MATCH(SMALL($V$4:$V$3183,1789),$V$4:$V$3183,0)),"")</f>
        <v/>
      </c>
      <c r="I1792" s="29">
        <f>IF($B1792="","",IFERROR(INDEX($U$4:$U$3183,MATCH(SMALL($V$4:$V$3183,1789),$V$4:$V$3183,0)),""))</f>
        <v/>
      </c>
      <c r="J1792">
        <f>IF($B1792="","",IF($D1792&gt;$F$2,"À venir",IF($E1792&lt;$D$2,"Passé","Dans la période")))</f>
        <v/>
      </c>
      <c r="K1792">
        <f>IF(OR($B1792="",NOT(ISNUMBER($D1792))),"",IF(AND($E1792&lt;$D$2,$G1792&lt;&gt;"X",$F1792&lt;&gt;"Réalisé",$F1792&lt;&gt;"Clôturé"),"RETARD",""))</f>
        <v/>
      </c>
      <c r="L1792">
        <f>IF(OR($B1792="",NOT(ISNUMBER($D1792))),"",IF(AND($D1792&gt;=$D$2,$D1792&lt;=$H$2,$G1792&lt;&gt;"X",$F1792&lt;&gt;"Réalisé",$F1792&lt;&gt;"Clôturé"),"≤ 7 j",""))</f>
        <v/>
      </c>
      <c r="M1792" s="29">
        <f>IF($B1792="","",IFERROR(INDEX($T$4:$T$3183,MATCH(SMALL($V$4:$V$3183,1789),$V$4:$V$3183,0)),""))</f>
        <v/>
      </c>
      <c r="O1792">
        <f>IF(INDEX(Suivi!$B:$B,1826)="","",INDEX(Suivi!$B:$B,1826))</f>
        <v/>
      </c>
      <c r="P1792">
        <f>IF($O1792="","",IF(INDEX(Suivi!$D:$D,1826)="",INDEX(Suivi!$C:$C,1826),INDEX(Suivi!$D:$D,1826)))</f>
        <v/>
      </c>
      <c r="Q1792">
        <f>IF($O1792="","",INDEX(Suivi!$E:$E,1826))</f>
        <v/>
      </c>
      <c r="R1792">
        <f>IF($O1792="","",INDEX(Suivi!$F:$F,1826))</f>
        <v/>
      </c>
      <c r="S1792">
        <f>IF($O1792="","",INDEX(Suivi!$G:$G,1826))</f>
        <v/>
      </c>
      <c r="T1792">
        <f>IF($O1792="","",IF(INDEX(Dossiers!$F$4:$F$63,34)="","",INDEX(Dossiers!$F$4:$F$63,34)))</f>
        <v/>
      </c>
      <c r="U1792">
        <f>IF($O1792="","",IF(INDEX(Dossiers!$G$4:$G$63,34)="","",INDEX(Dossiers!$G$4:$G$63,34)))</f>
        <v/>
      </c>
      <c r="V1792">
        <f>IF(OR($O1792="",NOT(ISNUMBER($Q1792))),"",$Q1792*1000000+1792)</f>
        <v/>
      </c>
      <c r="W1792" s="29">
        <f>IF($B1792="","",IFERROR(INDEX($U$4:$U$3183,MATCH(SMALL($V$4:$V$3183,1789),$V$4:$V$3183,0)),""))</f>
        <v/>
      </c>
    </row>
    <row r="1793">
      <c r="A1793">
        <f>IFERROR(INDEX($N$4:$N$3183,MATCH(SMALL($V$4:$V$3183,1790),$V$4:$V$3183,0)),"")</f>
        <v/>
      </c>
      <c r="B1793">
        <f>IFERROR(INDEX($O$4:$O$3183,MATCH(SMALL($V$4:$V$3183,1790),$V$4:$V$3183,0)),"")</f>
        <v/>
      </c>
      <c r="C1793">
        <f>IFERROR(INDEX($P$4:$P$3183,MATCH(SMALL($V$4:$V$3183,1790),$V$4:$V$3183,0)),"")</f>
        <v/>
      </c>
      <c r="D1793" s="29">
        <f>IFERROR(INDEX($Q$4:$Q$3183,MATCH(SMALL($V$4:$V$3183,1790),$V$4:$V$3183,0)),"")</f>
        <v/>
      </c>
      <c r="E1793" s="29">
        <f>IFERROR(INDEX($R$4:$R$3183,MATCH(SMALL($V$4:$V$3183,1790),$V$4:$V$3183,0)),"")</f>
        <v/>
      </c>
      <c r="F1793">
        <f>IFERROR(INDEX($S$4:$S$3183,MATCH(SMALL($V$4:$V$3183,1790),$V$4:$V$3183,0)),"")</f>
        <v/>
      </c>
      <c r="I1793" s="29">
        <f>IF($B1793="","",IFERROR(INDEX($U$4:$U$3183,MATCH(SMALL($V$4:$V$3183,1790),$V$4:$V$3183,0)),""))</f>
        <v/>
      </c>
      <c r="J1793">
        <f>IF($B1793="","",IF($D1793&gt;$F$2,"À venir",IF($E1793&lt;$D$2,"Passé","Dans la période")))</f>
        <v/>
      </c>
      <c r="K1793">
        <f>IF(OR($B1793="",NOT(ISNUMBER($D1793))),"",IF(AND($E1793&lt;$D$2,$G1793&lt;&gt;"X",$F1793&lt;&gt;"Réalisé",$F1793&lt;&gt;"Clôturé"),"RETARD",""))</f>
        <v/>
      </c>
      <c r="L1793">
        <f>IF(OR($B1793="",NOT(ISNUMBER($D1793))),"",IF(AND($D1793&gt;=$D$2,$D1793&lt;=$H$2,$G1793&lt;&gt;"X",$F1793&lt;&gt;"Réalisé",$F1793&lt;&gt;"Clôturé"),"≤ 7 j",""))</f>
        <v/>
      </c>
      <c r="M1793" s="29">
        <f>IF($B1793="","",IFERROR(INDEX($T$4:$T$3183,MATCH(SMALL($V$4:$V$3183,1790),$V$4:$V$3183,0)),""))</f>
        <v/>
      </c>
      <c r="O1793">
        <f>IF(INDEX(Suivi!$B:$B,1827)="","",INDEX(Suivi!$B:$B,1827))</f>
        <v/>
      </c>
      <c r="P1793">
        <f>IF($O1793="","",IF(INDEX(Suivi!$D:$D,1827)="",INDEX(Suivi!$C:$C,1827),INDEX(Suivi!$D:$D,1827)))</f>
        <v/>
      </c>
      <c r="Q1793">
        <f>IF($O1793="","",INDEX(Suivi!$E:$E,1827))</f>
        <v/>
      </c>
      <c r="R1793">
        <f>IF($O1793="","",INDEX(Suivi!$F:$F,1827))</f>
        <v/>
      </c>
      <c r="S1793">
        <f>IF($O1793="","",INDEX(Suivi!$G:$G,1827))</f>
        <v/>
      </c>
      <c r="T1793">
        <f>IF($O1793="","",IF(INDEX(Dossiers!$F$4:$F$63,34)="","",INDEX(Dossiers!$F$4:$F$63,34)))</f>
        <v/>
      </c>
      <c r="U1793">
        <f>IF($O1793="","",IF(INDEX(Dossiers!$G$4:$G$63,34)="","",INDEX(Dossiers!$G$4:$G$63,34)))</f>
        <v/>
      </c>
      <c r="V1793">
        <f>IF(OR($O1793="",NOT(ISNUMBER($Q1793))),"",$Q1793*1000000+1793)</f>
        <v/>
      </c>
      <c r="W1793" s="29">
        <f>IF($B1793="","",IFERROR(INDEX($U$4:$U$3183,MATCH(SMALL($V$4:$V$3183,1790),$V$4:$V$3183,0)),""))</f>
        <v/>
      </c>
    </row>
    <row r="1794">
      <c r="A1794">
        <f>IFERROR(INDEX($N$4:$N$3183,MATCH(SMALL($V$4:$V$3183,1791),$V$4:$V$3183,0)),"")</f>
        <v/>
      </c>
      <c r="B1794">
        <f>IFERROR(INDEX($O$4:$O$3183,MATCH(SMALL($V$4:$V$3183,1791),$V$4:$V$3183,0)),"")</f>
        <v/>
      </c>
      <c r="C1794">
        <f>IFERROR(INDEX($P$4:$P$3183,MATCH(SMALL($V$4:$V$3183,1791),$V$4:$V$3183,0)),"")</f>
        <v/>
      </c>
      <c r="D1794" s="29">
        <f>IFERROR(INDEX($Q$4:$Q$3183,MATCH(SMALL($V$4:$V$3183,1791),$V$4:$V$3183,0)),"")</f>
        <v/>
      </c>
      <c r="E1794" s="29">
        <f>IFERROR(INDEX($R$4:$R$3183,MATCH(SMALL($V$4:$V$3183,1791),$V$4:$V$3183,0)),"")</f>
        <v/>
      </c>
      <c r="F1794">
        <f>IFERROR(INDEX($S$4:$S$3183,MATCH(SMALL($V$4:$V$3183,1791),$V$4:$V$3183,0)),"")</f>
        <v/>
      </c>
      <c r="I1794" s="29">
        <f>IF($B1794="","",IFERROR(INDEX($U$4:$U$3183,MATCH(SMALL($V$4:$V$3183,1791),$V$4:$V$3183,0)),""))</f>
        <v/>
      </c>
      <c r="J1794">
        <f>IF($B1794="","",IF($D1794&gt;$F$2,"À venir",IF($E1794&lt;$D$2,"Passé","Dans la période")))</f>
        <v/>
      </c>
      <c r="K1794">
        <f>IF(OR($B1794="",NOT(ISNUMBER($D1794))),"",IF(AND($E1794&lt;$D$2,$G1794&lt;&gt;"X",$F1794&lt;&gt;"Réalisé",$F1794&lt;&gt;"Clôturé"),"RETARD",""))</f>
        <v/>
      </c>
      <c r="L1794">
        <f>IF(OR($B1794="",NOT(ISNUMBER($D1794))),"",IF(AND($D1794&gt;=$D$2,$D1794&lt;=$H$2,$G1794&lt;&gt;"X",$F1794&lt;&gt;"Réalisé",$F1794&lt;&gt;"Clôturé"),"≤ 7 j",""))</f>
        <v/>
      </c>
      <c r="M1794" s="29">
        <f>IF($B1794="","",IFERROR(INDEX($T$4:$T$3183,MATCH(SMALL($V$4:$V$3183,1791),$V$4:$V$3183,0)),""))</f>
        <v/>
      </c>
      <c r="O1794">
        <f>IF(INDEX(Suivi!$B:$B,1828)="","",INDEX(Suivi!$B:$B,1828))</f>
        <v/>
      </c>
      <c r="P1794">
        <f>IF($O1794="","",IF(INDEX(Suivi!$D:$D,1828)="",INDEX(Suivi!$C:$C,1828),INDEX(Suivi!$D:$D,1828)))</f>
        <v/>
      </c>
      <c r="Q1794">
        <f>IF($O1794="","",INDEX(Suivi!$E:$E,1828))</f>
        <v/>
      </c>
      <c r="R1794">
        <f>IF($O1794="","",INDEX(Suivi!$F:$F,1828))</f>
        <v/>
      </c>
      <c r="S1794">
        <f>IF($O1794="","",INDEX(Suivi!$G:$G,1828))</f>
        <v/>
      </c>
      <c r="T1794">
        <f>IF($O1794="","",IF(INDEX(Dossiers!$F$4:$F$63,34)="","",INDEX(Dossiers!$F$4:$F$63,34)))</f>
        <v/>
      </c>
      <c r="U1794">
        <f>IF($O1794="","",IF(INDEX(Dossiers!$G$4:$G$63,34)="","",INDEX(Dossiers!$G$4:$G$63,34)))</f>
        <v/>
      </c>
      <c r="V1794">
        <f>IF(OR($O1794="",NOT(ISNUMBER($Q1794))),"",$Q1794*1000000+1794)</f>
        <v/>
      </c>
      <c r="W1794" s="29">
        <f>IF($B1794="","",IFERROR(INDEX($U$4:$U$3183,MATCH(SMALL($V$4:$V$3183,1791),$V$4:$V$3183,0)),""))</f>
        <v/>
      </c>
    </row>
    <row r="1795">
      <c r="A1795">
        <f>IFERROR(INDEX($N$4:$N$3183,MATCH(SMALL($V$4:$V$3183,1792),$V$4:$V$3183,0)),"")</f>
        <v/>
      </c>
      <c r="B1795">
        <f>IFERROR(INDEX($O$4:$O$3183,MATCH(SMALL($V$4:$V$3183,1792),$V$4:$V$3183,0)),"")</f>
        <v/>
      </c>
      <c r="C1795">
        <f>IFERROR(INDEX($P$4:$P$3183,MATCH(SMALL($V$4:$V$3183,1792),$V$4:$V$3183,0)),"")</f>
        <v/>
      </c>
      <c r="D1795" s="29">
        <f>IFERROR(INDEX($Q$4:$Q$3183,MATCH(SMALL($V$4:$V$3183,1792),$V$4:$V$3183,0)),"")</f>
        <v/>
      </c>
      <c r="E1795" s="29">
        <f>IFERROR(INDEX($R$4:$R$3183,MATCH(SMALL($V$4:$V$3183,1792),$V$4:$V$3183,0)),"")</f>
        <v/>
      </c>
      <c r="F1795">
        <f>IFERROR(INDEX($S$4:$S$3183,MATCH(SMALL($V$4:$V$3183,1792),$V$4:$V$3183,0)),"")</f>
        <v/>
      </c>
      <c r="I1795" s="29">
        <f>IF($B1795="","",IFERROR(INDEX($U$4:$U$3183,MATCH(SMALL($V$4:$V$3183,1792),$V$4:$V$3183,0)),""))</f>
        <v/>
      </c>
      <c r="J1795">
        <f>IF($B1795="","",IF($D1795&gt;$F$2,"À venir",IF($E1795&lt;$D$2,"Passé","Dans la période")))</f>
        <v/>
      </c>
      <c r="K1795">
        <f>IF(OR($B1795="",NOT(ISNUMBER($D1795))),"",IF(AND($E1795&lt;$D$2,$G1795&lt;&gt;"X",$F1795&lt;&gt;"Réalisé",$F1795&lt;&gt;"Clôturé"),"RETARD",""))</f>
        <v/>
      </c>
      <c r="L1795">
        <f>IF(OR($B1795="",NOT(ISNUMBER($D1795))),"",IF(AND($D1795&gt;=$D$2,$D1795&lt;=$H$2,$G1795&lt;&gt;"X",$F1795&lt;&gt;"Réalisé",$F1795&lt;&gt;"Clôturé"),"≤ 7 j",""))</f>
        <v/>
      </c>
      <c r="M1795" s="29">
        <f>IF($B1795="","",IFERROR(INDEX($T$4:$T$3183,MATCH(SMALL($V$4:$V$3183,1792),$V$4:$V$3183,0)),""))</f>
        <v/>
      </c>
      <c r="O1795">
        <f>IF(INDEX(Suivi!$B:$B,1829)="","",INDEX(Suivi!$B:$B,1829))</f>
        <v/>
      </c>
      <c r="P1795">
        <f>IF($O1795="","",IF(INDEX(Suivi!$D:$D,1829)="",INDEX(Suivi!$C:$C,1829),INDEX(Suivi!$D:$D,1829)))</f>
        <v/>
      </c>
      <c r="Q1795">
        <f>IF($O1795="","",INDEX(Suivi!$E:$E,1829))</f>
        <v/>
      </c>
      <c r="R1795">
        <f>IF($O1795="","",INDEX(Suivi!$F:$F,1829))</f>
        <v/>
      </c>
      <c r="S1795">
        <f>IF($O1795="","",INDEX(Suivi!$G:$G,1829))</f>
        <v/>
      </c>
      <c r="T1795">
        <f>IF($O1795="","",IF(INDEX(Dossiers!$F$4:$F$63,34)="","",INDEX(Dossiers!$F$4:$F$63,34)))</f>
        <v/>
      </c>
      <c r="U1795">
        <f>IF($O1795="","",IF(INDEX(Dossiers!$G$4:$G$63,34)="","",INDEX(Dossiers!$G$4:$G$63,34)))</f>
        <v/>
      </c>
      <c r="V1795">
        <f>IF(OR($O1795="",NOT(ISNUMBER($Q1795))),"",$Q1795*1000000+1795)</f>
        <v/>
      </c>
      <c r="W1795" s="29">
        <f>IF($B1795="","",IFERROR(INDEX($U$4:$U$3183,MATCH(SMALL($V$4:$V$3183,1792),$V$4:$V$3183,0)),""))</f>
        <v/>
      </c>
    </row>
    <row r="1796">
      <c r="A1796">
        <f>IFERROR(INDEX($N$4:$N$3183,MATCH(SMALL($V$4:$V$3183,1793),$V$4:$V$3183,0)),"")</f>
        <v/>
      </c>
      <c r="B1796">
        <f>IFERROR(INDEX($O$4:$O$3183,MATCH(SMALL($V$4:$V$3183,1793),$V$4:$V$3183,0)),"")</f>
        <v/>
      </c>
      <c r="C1796">
        <f>IFERROR(INDEX($P$4:$P$3183,MATCH(SMALL($V$4:$V$3183,1793),$V$4:$V$3183,0)),"")</f>
        <v/>
      </c>
      <c r="D1796" s="29">
        <f>IFERROR(INDEX($Q$4:$Q$3183,MATCH(SMALL($V$4:$V$3183,1793),$V$4:$V$3183,0)),"")</f>
        <v/>
      </c>
      <c r="E1796" s="29">
        <f>IFERROR(INDEX($R$4:$R$3183,MATCH(SMALL($V$4:$V$3183,1793),$V$4:$V$3183,0)),"")</f>
        <v/>
      </c>
      <c r="F1796">
        <f>IFERROR(INDEX($S$4:$S$3183,MATCH(SMALL($V$4:$V$3183,1793),$V$4:$V$3183,0)),"")</f>
        <v/>
      </c>
      <c r="I1796" s="29">
        <f>IF($B1796="","",IFERROR(INDEX($U$4:$U$3183,MATCH(SMALL($V$4:$V$3183,1793),$V$4:$V$3183,0)),""))</f>
        <v/>
      </c>
      <c r="J1796">
        <f>IF($B1796="","",IF($D1796&gt;$F$2,"À venir",IF($E1796&lt;$D$2,"Passé","Dans la période")))</f>
        <v/>
      </c>
      <c r="K1796">
        <f>IF(OR($B1796="",NOT(ISNUMBER($D1796))),"",IF(AND($E1796&lt;$D$2,$G1796&lt;&gt;"X",$F1796&lt;&gt;"Réalisé",$F1796&lt;&gt;"Clôturé"),"RETARD",""))</f>
        <v/>
      </c>
      <c r="L1796">
        <f>IF(OR($B1796="",NOT(ISNUMBER($D1796))),"",IF(AND($D1796&gt;=$D$2,$D1796&lt;=$H$2,$G1796&lt;&gt;"X",$F1796&lt;&gt;"Réalisé",$F1796&lt;&gt;"Clôturé"),"≤ 7 j",""))</f>
        <v/>
      </c>
      <c r="M1796" s="29">
        <f>IF($B1796="","",IFERROR(INDEX($T$4:$T$3183,MATCH(SMALL($V$4:$V$3183,1793),$V$4:$V$3183,0)),""))</f>
        <v/>
      </c>
      <c r="O1796">
        <f>IF(INDEX(Suivi!$B:$B,1830)="","",INDEX(Suivi!$B:$B,1830))</f>
        <v/>
      </c>
      <c r="P1796">
        <f>IF($O1796="","",IF(INDEX(Suivi!$D:$D,1830)="",INDEX(Suivi!$C:$C,1830),INDEX(Suivi!$D:$D,1830)))</f>
        <v/>
      </c>
      <c r="Q1796">
        <f>IF($O1796="","",INDEX(Suivi!$E:$E,1830))</f>
        <v/>
      </c>
      <c r="R1796">
        <f>IF($O1796="","",INDEX(Suivi!$F:$F,1830))</f>
        <v/>
      </c>
      <c r="S1796">
        <f>IF($O1796="","",INDEX(Suivi!$G:$G,1830))</f>
        <v/>
      </c>
      <c r="T1796">
        <f>IF($O1796="","",IF(INDEX(Dossiers!$F$4:$F$63,34)="","",INDEX(Dossiers!$F$4:$F$63,34)))</f>
        <v/>
      </c>
      <c r="U1796">
        <f>IF($O1796="","",IF(INDEX(Dossiers!$G$4:$G$63,34)="","",INDEX(Dossiers!$G$4:$G$63,34)))</f>
        <v/>
      </c>
      <c r="V1796">
        <f>IF(OR($O1796="",NOT(ISNUMBER($Q1796))),"",$Q1796*1000000+1796)</f>
        <v/>
      </c>
      <c r="W1796" s="29">
        <f>IF($B1796="","",IFERROR(INDEX($U$4:$U$3183,MATCH(SMALL($V$4:$V$3183,1793),$V$4:$V$3183,0)),""))</f>
        <v/>
      </c>
    </row>
    <row r="1797">
      <c r="A1797">
        <f>IFERROR(INDEX($N$4:$N$3183,MATCH(SMALL($V$4:$V$3183,1794),$V$4:$V$3183,0)),"")</f>
        <v/>
      </c>
      <c r="B1797">
        <f>IFERROR(INDEX($O$4:$O$3183,MATCH(SMALL($V$4:$V$3183,1794),$V$4:$V$3183,0)),"")</f>
        <v/>
      </c>
      <c r="C1797">
        <f>IFERROR(INDEX($P$4:$P$3183,MATCH(SMALL($V$4:$V$3183,1794),$V$4:$V$3183,0)),"")</f>
        <v/>
      </c>
      <c r="D1797" s="29">
        <f>IFERROR(INDEX($Q$4:$Q$3183,MATCH(SMALL($V$4:$V$3183,1794),$V$4:$V$3183,0)),"")</f>
        <v/>
      </c>
      <c r="E1797" s="29">
        <f>IFERROR(INDEX($R$4:$R$3183,MATCH(SMALL($V$4:$V$3183,1794),$V$4:$V$3183,0)),"")</f>
        <v/>
      </c>
      <c r="F1797">
        <f>IFERROR(INDEX($S$4:$S$3183,MATCH(SMALL($V$4:$V$3183,1794),$V$4:$V$3183,0)),"")</f>
        <v/>
      </c>
      <c r="I1797" s="29">
        <f>IF($B1797="","",IFERROR(INDEX($U$4:$U$3183,MATCH(SMALL($V$4:$V$3183,1794),$V$4:$V$3183,0)),""))</f>
        <v/>
      </c>
      <c r="J1797">
        <f>IF($B1797="","",IF($D1797&gt;$F$2,"À venir",IF($E1797&lt;$D$2,"Passé","Dans la période")))</f>
        <v/>
      </c>
      <c r="K1797">
        <f>IF(OR($B1797="",NOT(ISNUMBER($D1797))),"",IF(AND($E1797&lt;$D$2,$G1797&lt;&gt;"X",$F1797&lt;&gt;"Réalisé",$F1797&lt;&gt;"Clôturé"),"RETARD",""))</f>
        <v/>
      </c>
      <c r="L1797">
        <f>IF(OR($B1797="",NOT(ISNUMBER($D1797))),"",IF(AND($D1797&gt;=$D$2,$D1797&lt;=$H$2,$G1797&lt;&gt;"X",$F1797&lt;&gt;"Réalisé",$F1797&lt;&gt;"Clôturé"),"≤ 7 j",""))</f>
        <v/>
      </c>
      <c r="M1797" s="29">
        <f>IF($B1797="","",IFERROR(INDEX($T$4:$T$3183,MATCH(SMALL($V$4:$V$3183,1794),$V$4:$V$3183,0)),""))</f>
        <v/>
      </c>
      <c r="O1797">
        <f>IF(INDEX(Suivi!$B:$B,1831)="","",INDEX(Suivi!$B:$B,1831))</f>
        <v/>
      </c>
      <c r="P1797">
        <f>IF($O1797="","",IF(INDEX(Suivi!$D:$D,1831)="",INDEX(Suivi!$C:$C,1831),INDEX(Suivi!$D:$D,1831)))</f>
        <v/>
      </c>
      <c r="Q1797">
        <f>IF($O1797="","",INDEX(Suivi!$E:$E,1831))</f>
        <v/>
      </c>
      <c r="R1797">
        <f>IF($O1797="","",INDEX(Suivi!$F:$F,1831))</f>
        <v/>
      </c>
      <c r="S1797">
        <f>IF($O1797="","",INDEX(Suivi!$G:$G,1831))</f>
        <v/>
      </c>
      <c r="T1797">
        <f>IF($O1797="","",IF(INDEX(Dossiers!$F$4:$F$63,34)="","",INDEX(Dossiers!$F$4:$F$63,34)))</f>
        <v/>
      </c>
      <c r="U1797">
        <f>IF($O1797="","",IF(INDEX(Dossiers!$G$4:$G$63,34)="","",INDEX(Dossiers!$G$4:$G$63,34)))</f>
        <v/>
      </c>
      <c r="V1797">
        <f>IF(OR($O1797="",NOT(ISNUMBER($Q1797))),"",$Q1797*1000000+1797)</f>
        <v/>
      </c>
      <c r="W1797" s="29">
        <f>IF($B1797="","",IFERROR(INDEX($U$4:$U$3183,MATCH(SMALL($V$4:$V$3183,1794),$V$4:$V$3183,0)),""))</f>
        <v/>
      </c>
    </row>
    <row r="1798">
      <c r="A1798">
        <f>IFERROR(INDEX($N$4:$N$3183,MATCH(SMALL($V$4:$V$3183,1795),$V$4:$V$3183,0)),"")</f>
        <v/>
      </c>
      <c r="B1798">
        <f>IFERROR(INDEX($O$4:$O$3183,MATCH(SMALL($V$4:$V$3183,1795),$V$4:$V$3183,0)),"")</f>
        <v/>
      </c>
      <c r="C1798">
        <f>IFERROR(INDEX($P$4:$P$3183,MATCH(SMALL($V$4:$V$3183,1795),$V$4:$V$3183,0)),"")</f>
        <v/>
      </c>
      <c r="D1798" s="29">
        <f>IFERROR(INDEX($Q$4:$Q$3183,MATCH(SMALL($V$4:$V$3183,1795),$V$4:$V$3183,0)),"")</f>
        <v/>
      </c>
      <c r="E1798" s="29">
        <f>IFERROR(INDEX($R$4:$R$3183,MATCH(SMALL($V$4:$V$3183,1795),$V$4:$V$3183,0)),"")</f>
        <v/>
      </c>
      <c r="F1798">
        <f>IFERROR(INDEX($S$4:$S$3183,MATCH(SMALL($V$4:$V$3183,1795),$V$4:$V$3183,0)),"")</f>
        <v/>
      </c>
      <c r="I1798" s="29">
        <f>IF($B1798="","",IFERROR(INDEX($U$4:$U$3183,MATCH(SMALL($V$4:$V$3183,1795),$V$4:$V$3183,0)),""))</f>
        <v/>
      </c>
      <c r="J1798">
        <f>IF($B1798="","",IF($D1798&gt;$F$2,"À venir",IF($E1798&lt;$D$2,"Passé","Dans la période")))</f>
        <v/>
      </c>
      <c r="K1798">
        <f>IF(OR($B1798="",NOT(ISNUMBER($D1798))),"",IF(AND($E1798&lt;$D$2,$G1798&lt;&gt;"X",$F1798&lt;&gt;"Réalisé",$F1798&lt;&gt;"Clôturé"),"RETARD",""))</f>
        <v/>
      </c>
      <c r="L1798">
        <f>IF(OR($B1798="",NOT(ISNUMBER($D1798))),"",IF(AND($D1798&gt;=$D$2,$D1798&lt;=$H$2,$G1798&lt;&gt;"X",$F1798&lt;&gt;"Réalisé",$F1798&lt;&gt;"Clôturé"),"≤ 7 j",""))</f>
        <v/>
      </c>
      <c r="M1798" s="29">
        <f>IF($B1798="","",IFERROR(INDEX($T$4:$T$3183,MATCH(SMALL($V$4:$V$3183,1795),$V$4:$V$3183,0)),""))</f>
        <v/>
      </c>
      <c r="O1798">
        <f>IF(INDEX(Suivi!$B:$B,1832)="","",INDEX(Suivi!$B:$B,1832))</f>
        <v/>
      </c>
      <c r="P1798">
        <f>IF($O1798="","",IF(INDEX(Suivi!$D:$D,1832)="",INDEX(Suivi!$C:$C,1832),INDEX(Suivi!$D:$D,1832)))</f>
        <v/>
      </c>
      <c r="Q1798">
        <f>IF($O1798="","",INDEX(Suivi!$E:$E,1832))</f>
        <v/>
      </c>
      <c r="R1798">
        <f>IF($O1798="","",INDEX(Suivi!$F:$F,1832))</f>
        <v/>
      </c>
      <c r="S1798">
        <f>IF($O1798="","",INDEX(Suivi!$G:$G,1832))</f>
        <v/>
      </c>
      <c r="T1798">
        <f>IF($O1798="","",IF(INDEX(Dossiers!$F$4:$F$63,34)="","",INDEX(Dossiers!$F$4:$F$63,34)))</f>
        <v/>
      </c>
      <c r="U1798">
        <f>IF($O1798="","",IF(INDEX(Dossiers!$G$4:$G$63,34)="","",INDEX(Dossiers!$G$4:$G$63,34)))</f>
        <v/>
      </c>
      <c r="V1798">
        <f>IF(OR($O1798="",NOT(ISNUMBER($Q1798))),"",$Q1798*1000000+1798)</f>
        <v/>
      </c>
      <c r="W1798" s="29">
        <f>IF($B1798="","",IFERROR(INDEX($U$4:$U$3183,MATCH(SMALL($V$4:$V$3183,1795),$V$4:$V$3183,0)),""))</f>
        <v/>
      </c>
    </row>
    <row r="1799">
      <c r="A1799">
        <f>IFERROR(INDEX($N$4:$N$3183,MATCH(SMALL($V$4:$V$3183,1796),$V$4:$V$3183,0)),"")</f>
        <v/>
      </c>
      <c r="B1799">
        <f>IFERROR(INDEX($O$4:$O$3183,MATCH(SMALL($V$4:$V$3183,1796),$V$4:$V$3183,0)),"")</f>
        <v/>
      </c>
      <c r="C1799">
        <f>IFERROR(INDEX($P$4:$P$3183,MATCH(SMALL($V$4:$V$3183,1796),$V$4:$V$3183,0)),"")</f>
        <v/>
      </c>
      <c r="D1799" s="29">
        <f>IFERROR(INDEX($Q$4:$Q$3183,MATCH(SMALL($V$4:$V$3183,1796),$V$4:$V$3183,0)),"")</f>
        <v/>
      </c>
      <c r="E1799" s="29">
        <f>IFERROR(INDEX($R$4:$R$3183,MATCH(SMALL($V$4:$V$3183,1796),$V$4:$V$3183,0)),"")</f>
        <v/>
      </c>
      <c r="F1799">
        <f>IFERROR(INDEX($S$4:$S$3183,MATCH(SMALL($V$4:$V$3183,1796),$V$4:$V$3183,0)),"")</f>
        <v/>
      </c>
      <c r="I1799" s="29">
        <f>IF($B1799="","",IFERROR(INDEX($U$4:$U$3183,MATCH(SMALL($V$4:$V$3183,1796),$V$4:$V$3183,0)),""))</f>
        <v/>
      </c>
      <c r="J1799">
        <f>IF($B1799="","",IF($D1799&gt;$F$2,"À venir",IF($E1799&lt;$D$2,"Passé","Dans la période")))</f>
        <v/>
      </c>
      <c r="K1799">
        <f>IF(OR($B1799="",NOT(ISNUMBER($D1799))),"",IF(AND($E1799&lt;$D$2,$G1799&lt;&gt;"X",$F1799&lt;&gt;"Réalisé",$F1799&lt;&gt;"Clôturé"),"RETARD",""))</f>
        <v/>
      </c>
      <c r="L1799">
        <f>IF(OR($B1799="",NOT(ISNUMBER($D1799))),"",IF(AND($D1799&gt;=$D$2,$D1799&lt;=$H$2,$G1799&lt;&gt;"X",$F1799&lt;&gt;"Réalisé",$F1799&lt;&gt;"Clôturé"),"≤ 7 j",""))</f>
        <v/>
      </c>
      <c r="M1799" s="29">
        <f>IF($B1799="","",IFERROR(INDEX($T$4:$T$3183,MATCH(SMALL($V$4:$V$3183,1796),$V$4:$V$3183,0)),""))</f>
        <v/>
      </c>
      <c r="O1799">
        <f>IF(INDEX(Suivi!$B:$B,1833)="","",INDEX(Suivi!$B:$B,1833))</f>
        <v/>
      </c>
      <c r="P1799">
        <f>IF($O1799="","",IF(INDEX(Suivi!$D:$D,1833)="",INDEX(Suivi!$C:$C,1833),INDEX(Suivi!$D:$D,1833)))</f>
        <v/>
      </c>
      <c r="Q1799">
        <f>IF($O1799="","",INDEX(Suivi!$E:$E,1833))</f>
        <v/>
      </c>
      <c r="R1799">
        <f>IF($O1799="","",INDEX(Suivi!$F:$F,1833))</f>
        <v/>
      </c>
      <c r="S1799">
        <f>IF($O1799="","",INDEX(Suivi!$G:$G,1833))</f>
        <v/>
      </c>
      <c r="T1799">
        <f>IF($O1799="","",IF(INDEX(Dossiers!$F$4:$F$63,34)="","",INDEX(Dossiers!$F$4:$F$63,34)))</f>
        <v/>
      </c>
      <c r="U1799">
        <f>IF($O1799="","",IF(INDEX(Dossiers!$G$4:$G$63,34)="","",INDEX(Dossiers!$G$4:$G$63,34)))</f>
        <v/>
      </c>
      <c r="V1799">
        <f>IF(OR($O1799="",NOT(ISNUMBER($Q1799))),"",$Q1799*1000000+1799)</f>
        <v/>
      </c>
      <c r="W1799" s="29">
        <f>IF($B1799="","",IFERROR(INDEX($U$4:$U$3183,MATCH(SMALL($V$4:$V$3183,1796),$V$4:$V$3183,0)),""))</f>
        <v/>
      </c>
    </row>
    <row r="1800">
      <c r="A1800">
        <f>IFERROR(INDEX($N$4:$N$3183,MATCH(SMALL($V$4:$V$3183,1797),$V$4:$V$3183,0)),"")</f>
        <v/>
      </c>
      <c r="B1800">
        <f>IFERROR(INDEX($O$4:$O$3183,MATCH(SMALL($V$4:$V$3183,1797),$V$4:$V$3183,0)),"")</f>
        <v/>
      </c>
      <c r="C1800">
        <f>IFERROR(INDEX($P$4:$P$3183,MATCH(SMALL($V$4:$V$3183,1797),$V$4:$V$3183,0)),"")</f>
        <v/>
      </c>
      <c r="D1800" s="29">
        <f>IFERROR(INDEX($Q$4:$Q$3183,MATCH(SMALL($V$4:$V$3183,1797),$V$4:$V$3183,0)),"")</f>
        <v/>
      </c>
      <c r="E1800" s="29">
        <f>IFERROR(INDEX($R$4:$R$3183,MATCH(SMALL($V$4:$V$3183,1797),$V$4:$V$3183,0)),"")</f>
        <v/>
      </c>
      <c r="F1800">
        <f>IFERROR(INDEX($S$4:$S$3183,MATCH(SMALL($V$4:$V$3183,1797),$V$4:$V$3183,0)),"")</f>
        <v/>
      </c>
      <c r="I1800" s="29">
        <f>IF($B1800="","",IFERROR(INDEX($U$4:$U$3183,MATCH(SMALL($V$4:$V$3183,1797),$V$4:$V$3183,0)),""))</f>
        <v/>
      </c>
      <c r="J1800">
        <f>IF($B1800="","",IF($D1800&gt;$F$2,"À venir",IF($E1800&lt;$D$2,"Passé","Dans la période")))</f>
        <v/>
      </c>
      <c r="K1800">
        <f>IF(OR($B1800="",NOT(ISNUMBER($D1800))),"",IF(AND($E1800&lt;$D$2,$G1800&lt;&gt;"X",$F1800&lt;&gt;"Réalisé",$F1800&lt;&gt;"Clôturé"),"RETARD",""))</f>
        <v/>
      </c>
      <c r="L1800">
        <f>IF(OR($B1800="",NOT(ISNUMBER($D1800))),"",IF(AND($D1800&gt;=$D$2,$D1800&lt;=$H$2,$G1800&lt;&gt;"X",$F1800&lt;&gt;"Réalisé",$F1800&lt;&gt;"Clôturé"),"≤ 7 j",""))</f>
        <v/>
      </c>
      <c r="M1800" s="29">
        <f>IF($B1800="","",IFERROR(INDEX($T$4:$T$3183,MATCH(SMALL($V$4:$V$3183,1797),$V$4:$V$3183,0)),""))</f>
        <v/>
      </c>
      <c r="O1800">
        <f>IF(INDEX(Suivi!$B:$B,1834)="","",INDEX(Suivi!$B:$B,1834))</f>
        <v/>
      </c>
      <c r="P1800">
        <f>IF($O1800="","",IF(INDEX(Suivi!$D:$D,1834)="",INDEX(Suivi!$C:$C,1834),INDEX(Suivi!$D:$D,1834)))</f>
        <v/>
      </c>
      <c r="Q1800">
        <f>IF($O1800="","",INDEX(Suivi!$E:$E,1834))</f>
        <v/>
      </c>
      <c r="R1800">
        <f>IF($O1800="","",INDEX(Suivi!$F:$F,1834))</f>
        <v/>
      </c>
      <c r="S1800">
        <f>IF($O1800="","",INDEX(Suivi!$G:$G,1834))</f>
        <v/>
      </c>
      <c r="T1800">
        <f>IF($O1800="","",IF(INDEX(Dossiers!$F$4:$F$63,34)="","",INDEX(Dossiers!$F$4:$F$63,34)))</f>
        <v/>
      </c>
      <c r="U1800">
        <f>IF($O1800="","",IF(INDEX(Dossiers!$G$4:$G$63,34)="","",INDEX(Dossiers!$G$4:$G$63,34)))</f>
        <v/>
      </c>
      <c r="V1800">
        <f>IF(OR($O1800="",NOT(ISNUMBER($Q1800))),"",$Q1800*1000000+1800)</f>
        <v/>
      </c>
      <c r="W1800" s="29">
        <f>IF($B1800="","",IFERROR(INDEX($U$4:$U$3183,MATCH(SMALL($V$4:$V$3183,1797),$V$4:$V$3183,0)),""))</f>
        <v/>
      </c>
    </row>
    <row r="1801">
      <c r="A1801">
        <f>IFERROR(INDEX($N$4:$N$3183,MATCH(SMALL($V$4:$V$3183,1798),$V$4:$V$3183,0)),"")</f>
        <v/>
      </c>
      <c r="B1801">
        <f>IFERROR(INDEX($O$4:$O$3183,MATCH(SMALL($V$4:$V$3183,1798),$V$4:$V$3183,0)),"")</f>
        <v/>
      </c>
      <c r="C1801">
        <f>IFERROR(INDEX($P$4:$P$3183,MATCH(SMALL($V$4:$V$3183,1798),$V$4:$V$3183,0)),"")</f>
        <v/>
      </c>
      <c r="D1801" s="29">
        <f>IFERROR(INDEX($Q$4:$Q$3183,MATCH(SMALL($V$4:$V$3183,1798),$V$4:$V$3183,0)),"")</f>
        <v/>
      </c>
      <c r="E1801" s="29">
        <f>IFERROR(INDEX($R$4:$R$3183,MATCH(SMALL($V$4:$V$3183,1798),$V$4:$V$3183,0)),"")</f>
        <v/>
      </c>
      <c r="F1801">
        <f>IFERROR(INDEX($S$4:$S$3183,MATCH(SMALL($V$4:$V$3183,1798),$V$4:$V$3183,0)),"")</f>
        <v/>
      </c>
      <c r="I1801" s="29">
        <f>IF($B1801="","",IFERROR(INDEX($U$4:$U$3183,MATCH(SMALL($V$4:$V$3183,1798),$V$4:$V$3183,0)),""))</f>
        <v/>
      </c>
      <c r="J1801">
        <f>IF($B1801="","",IF($D1801&gt;$F$2,"À venir",IF($E1801&lt;$D$2,"Passé","Dans la période")))</f>
        <v/>
      </c>
      <c r="K1801">
        <f>IF(OR($B1801="",NOT(ISNUMBER($D1801))),"",IF(AND($E1801&lt;$D$2,$G1801&lt;&gt;"X",$F1801&lt;&gt;"Réalisé",$F1801&lt;&gt;"Clôturé"),"RETARD",""))</f>
        <v/>
      </c>
      <c r="L1801">
        <f>IF(OR($B1801="",NOT(ISNUMBER($D1801))),"",IF(AND($D1801&gt;=$D$2,$D1801&lt;=$H$2,$G1801&lt;&gt;"X",$F1801&lt;&gt;"Réalisé",$F1801&lt;&gt;"Clôturé"),"≤ 7 j",""))</f>
        <v/>
      </c>
      <c r="M1801" s="29">
        <f>IF($B1801="","",IFERROR(INDEX($T$4:$T$3183,MATCH(SMALL($V$4:$V$3183,1798),$V$4:$V$3183,0)),""))</f>
        <v/>
      </c>
      <c r="O1801">
        <f>IF(INDEX(Suivi!$B:$B,1835)="","",INDEX(Suivi!$B:$B,1835))</f>
        <v/>
      </c>
      <c r="P1801">
        <f>IF($O1801="","",IF(INDEX(Suivi!$D:$D,1835)="",INDEX(Suivi!$C:$C,1835),INDEX(Suivi!$D:$D,1835)))</f>
        <v/>
      </c>
      <c r="Q1801">
        <f>IF($O1801="","",INDEX(Suivi!$E:$E,1835))</f>
        <v/>
      </c>
      <c r="R1801">
        <f>IF($O1801="","",INDEX(Suivi!$F:$F,1835))</f>
        <v/>
      </c>
      <c r="S1801">
        <f>IF($O1801="","",INDEX(Suivi!$G:$G,1835))</f>
        <v/>
      </c>
      <c r="T1801">
        <f>IF($O1801="","",IF(INDEX(Dossiers!$F$4:$F$63,34)="","",INDEX(Dossiers!$F$4:$F$63,34)))</f>
        <v/>
      </c>
      <c r="U1801">
        <f>IF($O1801="","",IF(INDEX(Dossiers!$G$4:$G$63,34)="","",INDEX(Dossiers!$G$4:$G$63,34)))</f>
        <v/>
      </c>
      <c r="V1801">
        <f>IF(OR($O1801="",NOT(ISNUMBER($Q1801))),"",$Q1801*1000000+1801)</f>
        <v/>
      </c>
      <c r="W1801" s="29">
        <f>IF($B1801="","",IFERROR(INDEX($U$4:$U$3183,MATCH(SMALL($V$4:$V$3183,1798),$V$4:$V$3183,0)),""))</f>
        <v/>
      </c>
    </row>
    <row r="1802">
      <c r="A1802">
        <f>IFERROR(INDEX($N$4:$N$3183,MATCH(SMALL($V$4:$V$3183,1799),$V$4:$V$3183,0)),"")</f>
        <v/>
      </c>
      <c r="B1802">
        <f>IFERROR(INDEX($O$4:$O$3183,MATCH(SMALL($V$4:$V$3183,1799),$V$4:$V$3183,0)),"")</f>
        <v/>
      </c>
      <c r="C1802">
        <f>IFERROR(INDEX($P$4:$P$3183,MATCH(SMALL($V$4:$V$3183,1799),$V$4:$V$3183,0)),"")</f>
        <v/>
      </c>
      <c r="D1802" s="29">
        <f>IFERROR(INDEX($Q$4:$Q$3183,MATCH(SMALL($V$4:$V$3183,1799),$V$4:$V$3183,0)),"")</f>
        <v/>
      </c>
      <c r="E1802" s="29">
        <f>IFERROR(INDEX($R$4:$R$3183,MATCH(SMALL($V$4:$V$3183,1799),$V$4:$V$3183,0)),"")</f>
        <v/>
      </c>
      <c r="F1802">
        <f>IFERROR(INDEX($S$4:$S$3183,MATCH(SMALL($V$4:$V$3183,1799),$V$4:$V$3183,0)),"")</f>
        <v/>
      </c>
      <c r="I1802" s="29">
        <f>IF($B1802="","",IFERROR(INDEX($U$4:$U$3183,MATCH(SMALL($V$4:$V$3183,1799),$V$4:$V$3183,0)),""))</f>
        <v/>
      </c>
      <c r="J1802">
        <f>IF($B1802="","",IF($D1802&gt;$F$2,"À venir",IF($E1802&lt;$D$2,"Passé","Dans la période")))</f>
        <v/>
      </c>
      <c r="K1802">
        <f>IF(OR($B1802="",NOT(ISNUMBER($D1802))),"",IF(AND($E1802&lt;$D$2,$G1802&lt;&gt;"X",$F1802&lt;&gt;"Réalisé",$F1802&lt;&gt;"Clôturé"),"RETARD",""))</f>
        <v/>
      </c>
      <c r="L1802">
        <f>IF(OR($B1802="",NOT(ISNUMBER($D1802))),"",IF(AND($D1802&gt;=$D$2,$D1802&lt;=$H$2,$G1802&lt;&gt;"X",$F1802&lt;&gt;"Réalisé",$F1802&lt;&gt;"Clôturé"),"≤ 7 j",""))</f>
        <v/>
      </c>
      <c r="M1802" s="29">
        <f>IF($B1802="","",IFERROR(INDEX($T$4:$T$3183,MATCH(SMALL($V$4:$V$3183,1799),$V$4:$V$3183,0)),""))</f>
        <v/>
      </c>
      <c r="O1802">
        <f>IF(INDEX(Suivi!$B:$B,1836)="","",INDEX(Suivi!$B:$B,1836))</f>
        <v/>
      </c>
      <c r="P1802">
        <f>IF($O1802="","",IF(INDEX(Suivi!$D:$D,1836)="",INDEX(Suivi!$C:$C,1836),INDEX(Suivi!$D:$D,1836)))</f>
        <v/>
      </c>
      <c r="Q1802">
        <f>IF($O1802="","",INDEX(Suivi!$E:$E,1836))</f>
        <v/>
      </c>
      <c r="R1802">
        <f>IF($O1802="","",INDEX(Suivi!$F:$F,1836))</f>
        <v/>
      </c>
      <c r="S1802">
        <f>IF($O1802="","",INDEX(Suivi!$G:$G,1836))</f>
        <v/>
      </c>
      <c r="T1802">
        <f>IF($O1802="","",IF(INDEX(Dossiers!$F$4:$F$63,34)="","",INDEX(Dossiers!$F$4:$F$63,34)))</f>
        <v/>
      </c>
      <c r="U1802">
        <f>IF($O1802="","",IF(INDEX(Dossiers!$G$4:$G$63,34)="","",INDEX(Dossiers!$G$4:$G$63,34)))</f>
        <v/>
      </c>
      <c r="V1802">
        <f>IF(OR($O1802="",NOT(ISNUMBER($Q1802))),"",$Q1802*1000000+1802)</f>
        <v/>
      </c>
      <c r="W1802" s="29">
        <f>IF($B1802="","",IFERROR(INDEX($U$4:$U$3183,MATCH(SMALL($V$4:$V$3183,1799),$V$4:$V$3183,0)),""))</f>
        <v/>
      </c>
    </row>
    <row r="1803">
      <c r="A1803">
        <f>IFERROR(INDEX($N$4:$N$3183,MATCH(SMALL($V$4:$V$3183,1800),$V$4:$V$3183,0)),"")</f>
        <v/>
      </c>
      <c r="B1803">
        <f>IFERROR(INDEX($O$4:$O$3183,MATCH(SMALL($V$4:$V$3183,1800),$V$4:$V$3183,0)),"")</f>
        <v/>
      </c>
      <c r="C1803">
        <f>IFERROR(INDEX($P$4:$P$3183,MATCH(SMALL($V$4:$V$3183,1800),$V$4:$V$3183,0)),"")</f>
        <v/>
      </c>
      <c r="D1803" s="29">
        <f>IFERROR(INDEX($Q$4:$Q$3183,MATCH(SMALL($V$4:$V$3183,1800),$V$4:$V$3183,0)),"")</f>
        <v/>
      </c>
      <c r="E1803" s="29">
        <f>IFERROR(INDEX($R$4:$R$3183,MATCH(SMALL($V$4:$V$3183,1800),$V$4:$V$3183,0)),"")</f>
        <v/>
      </c>
      <c r="F1803">
        <f>IFERROR(INDEX($S$4:$S$3183,MATCH(SMALL($V$4:$V$3183,1800),$V$4:$V$3183,0)),"")</f>
        <v/>
      </c>
      <c r="I1803" s="29">
        <f>IF($B1803="","",IFERROR(INDEX($U$4:$U$3183,MATCH(SMALL($V$4:$V$3183,1800),$V$4:$V$3183,0)),""))</f>
        <v/>
      </c>
      <c r="J1803">
        <f>IF($B1803="","",IF($D1803&gt;$F$2,"À venir",IF($E1803&lt;$D$2,"Passé","Dans la période")))</f>
        <v/>
      </c>
      <c r="K1803">
        <f>IF(OR($B1803="",NOT(ISNUMBER($D1803))),"",IF(AND($E1803&lt;$D$2,$G1803&lt;&gt;"X",$F1803&lt;&gt;"Réalisé",$F1803&lt;&gt;"Clôturé"),"RETARD",""))</f>
        <v/>
      </c>
      <c r="L1803">
        <f>IF(OR($B1803="",NOT(ISNUMBER($D1803))),"",IF(AND($D1803&gt;=$D$2,$D1803&lt;=$H$2,$G1803&lt;&gt;"X",$F1803&lt;&gt;"Réalisé",$F1803&lt;&gt;"Clôturé"),"≤ 7 j",""))</f>
        <v/>
      </c>
      <c r="M1803" s="29">
        <f>IF($B1803="","",IFERROR(INDEX($T$4:$T$3183,MATCH(SMALL($V$4:$V$3183,1800),$V$4:$V$3183,0)),""))</f>
        <v/>
      </c>
      <c r="O1803">
        <f>IF(INDEX(Suivi!$B:$B,1837)="","",INDEX(Suivi!$B:$B,1837))</f>
        <v/>
      </c>
      <c r="P1803">
        <f>IF($O1803="","",IF(INDEX(Suivi!$D:$D,1837)="",INDEX(Suivi!$C:$C,1837),INDEX(Suivi!$D:$D,1837)))</f>
        <v/>
      </c>
      <c r="Q1803">
        <f>IF($O1803="","",INDEX(Suivi!$E:$E,1837))</f>
        <v/>
      </c>
      <c r="R1803">
        <f>IF($O1803="","",INDEX(Suivi!$F:$F,1837))</f>
        <v/>
      </c>
      <c r="S1803">
        <f>IF($O1803="","",INDEX(Suivi!$G:$G,1837))</f>
        <v/>
      </c>
      <c r="T1803">
        <f>IF($O1803="","",IF(INDEX(Dossiers!$F$4:$F$63,34)="","",INDEX(Dossiers!$F$4:$F$63,34)))</f>
        <v/>
      </c>
      <c r="U1803">
        <f>IF($O1803="","",IF(INDEX(Dossiers!$G$4:$G$63,34)="","",INDEX(Dossiers!$G$4:$G$63,34)))</f>
        <v/>
      </c>
      <c r="V1803">
        <f>IF(OR($O1803="",NOT(ISNUMBER($Q1803))),"",$Q1803*1000000+1803)</f>
        <v/>
      </c>
      <c r="W1803" s="29">
        <f>IF($B1803="","",IFERROR(INDEX($U$4:$U$3183,MATCH(SMALL($V$4:$V$3183,1800),$V$4:$V$3183,0)),""))</f>
        <v/>
      </c>
    </row>
    <row r="1804">
      <c r="A1804">
        <f>IFERROR(INDEX($N$4:$N$3183,MATCH(SMALL($V$4:$V$3183,1801),$V$4:$V$3183,0)),"")</f>
        <v/>
      </c>
      <c r="B1804">
        <f>IFERROR(INDEX($O$4:$O$3183,MATCH(SMALL($V$4:$V$3183,1801),$V$4:$V$3183,0)),"")</f>
        <v/>
      </c>
      <c r="C1804">
        <f>IFERROR(INDEX($P$4:$P$3183,MATCH(SMALL($V$4:$V$3183,1801),$V$4:$V$3183,0)),"")</f>
        <v/>
      </c>
      <c r="D1804" s="29">
        <f>IFERROR(INDEX($Q$4:$Q$3183,MATCH(SMALL($V$4:$V$3183,1801),$V$4:$V$3183,0)),"")</f>
        <v/>
      </c>
      <c r="E1804" s="29">
        <f>IFERROR(INDEX($R$4:$R$3183,MATCH(SMALL($V$4:$V$3183,1801),$V$4:$V$3183,0)),"")</f>
        <v/>
      </c>
      <c r="F1804">
        <f>IFERROR(INDEX($S$4:$S$3183,MATCH(SMALL($V$4:$V$3183,1801),$V$4:$V$3183,0)),"")</f>
        <v/>
      </c>
      <c r="I1804" s="29">
        <f>IF($B1804="","",IFERROR(INDEX($U$4:$U$3183,MATCH(SMALL($V$4:$V$3183,1801),$V$4:$V$3183,0)),""))</f>
        <v/>
      </c>
      <c r="J1804">
        <f>IF($B1804="","",IF($D1804&gt;$F$2,"À venir",IF($E1804&lt;$D$2,"Passé","Dans la période")))</f>
        <v/>
      </c>
      <c r="K1804">
        <f>IF(OR($B1804="",NOT(ISNUMBER($D1804))),"",IF(AND($E1804&lt;$D$2,$G1804&lt;&gt;"X",$F1804&lt;&gt;"Réalisé",$F1804&lt;&gt;"Clôturé"),"RETARD",""))</f>
        <v/>
      </c>
      <c r="L1804">
        <f>IF(OR($B1804="",NOT(ISNUMBER($D1804))),"",IF(AND($D1804&gt;=$D$2,$D1804&lt;=$H$2,$G1804&lt;&gt;"X",$F1804&lt;&gt;"Réalisé",$F1804&lt;&gt;"Clôturé"),"≤ 7 j",""))</f>
        <v/>
      </c>
      <c r="M1804" s="29">
        <f>IF($B1804="","",IFERROR(INDEX($T$4:$T$3183,MATCH(SMALL($V$4:$V$3183,1801),$V$4:$V$3183,0)),""))</f>
        <v/>
      </c>
      <c r="O1804">
        <f>IF(INDEX(Suivi!$B:$B,1838)="","",INDEX(Suivi!$B:$B,1838))</f>
        <v/>
      </c>
      <c r="P1804">
        <f>IF($O1804="","",IF(INDEX(Suivi!$D:$D,1838)="",INDEX(Suivi!$C:$C,1838),INDEX(Suivi!$D:$D,1838)))</f>
        <v/>
      </c>
      <c r="Q1804">
        <f>IF($O1804="","",INDEX(Suivi!$E:$E,1838))</f>
        <v/>
      </c>
      <c r="R1804">
        <f>IF($O1804="","",INDEX(Suivi!$F:$F,1838))</f>
        <v/>
      </c>
      <c r="S1804">
        <f>IF($O1804="","",INDEX(Suivi!$G:$G,1838))</f>
        <v/>
      </c>
      <c r="T1804">
        <f>IF($O1804="","",IF(INDEX(Dossiers!$F$4:$F$63,34)="","",INDEX(Dossiers!$F$4:$F$63,34)))</f>
        <v/>
      </c>
      <c r="U1804">
        <f>IF($O1804="","",IF(INDEX(Dossiers!$G$4:$G$63,34)="","",INDEX(Dossiers!$G$4:$G$63,34)))</f>
        <v/>
      </c>
      <c r="V1804">
        <f>IF(OR($O1804="",NOT(ISNUMBER($Q1804))),"",$Q1804*1000000+1804)</f>
        <v/>
      </c>
      <c r="W1804" s="29">
        <f>IF($B1804="","",IFERROR(INDEX($U$4:$U$3183,MATCH(SMALL($V$4:$V$3183,1801),$V$4:$V$3183,0)),""))</f>
        <v/>
      </c>
    </row>
    <row r="1805">
      <c r="A1805">
        <f>IFERROR(INDEX($N$4:$N$3183,MATCH(SMALL($V$4:$V$3183,1802),$V$4:$V$3183,0)),"")</f>
        <v/>
      </c>
      <c r="B1805">
        <f>IFERROR(INDEX($O$4:$O$3183,MATCH(SMALL($V$4:$V$3183,1802),$V$4:$V$3183,0)),"")</f>
        <v/>
      </c>
      <c r="C1805">
        <f>IFERROR(INDEX($P$4:$P$3183,MATCH(SMALL($V$4:$V$3183,1802),$V$4:$V$3183,0)),"")</f>
        <v/>
      </c>
      <c r="D1805" s="29">
        <f>IFERROR(INDEX($Q$4:$Q$3183,MATCH(SMALL($V$4:$V$3183,1802),$V$4:$V$3183,0)),"")</f>
        <v/>
      </c>
      <c r="E1805" s="29">
        <f>IFERROR(INDEX($R$4:$R$3183,MATCH(SMALL($V$4:$V$3183,1802),$V$4:$V$3183,0)),"")</f>
        <v/>
      </c>
      <c r="F1805">
        <f>IFERROR(INDEX($S$4:$S$3183,MATCH(SMALL($V$4:$V$3183,1802),$V$4:$V$3183,0)),"")</f>
        <v/>
      </c>
      <c r="I1805" s="29">
        <f>IF($B1805="","",IFERROR(INDEX($U$4:$U$3183,MATCH(SMALL($V$4:$V$3183,1802),$V$4:$V$3183,0)),""))</f>
        <v/>
      </c>
      <c r="J1805">
        <f>IF($B1805="","",IF($D1805&gt;$F$2,"À venir",IF($E1805&lt;$D$2,"Passé","Dans la période")))</f>
        <v/>
      </c>
      <c r="K1805">
        <f>IF(OR($B1805="",NOT(ISNUMBER($D1805))),"",IF(AND($E1805&lt;$D$2,$G1805&lt;&gt;"X",$F1805&lt;&gt;"Réalisé",$F1805&lt;&gt;"Clôturé"),"RETARD",""))</f>
        <v/>
      </c>
      <c r="L1805">
        <f>IF(OR($B1805="",NOT(ISNUMBER($D1805))),"",IF(AND($D1805&gt;=$D$2,$D1805&lt;=$H$2,$G1805&lt;&gt;"X",$F1805&lt;&gt;"Réalisé",$F1805&lt;&gt;"Clôturé"),"≤ 7 j",""))</f>
        <v/>
      </c>
      <c r="M1805" s="29">
        <f>IF($B1805="","",IFERROR(INDEX($T$4:$T$3183,MATCH(SMALL($V$4:$V$3183,1802),$V$4:$V$3183,0)),""))</f>
        <v/>
      </c>
      <c r="O1805">
        <f>IF(INDEX(Suivi!$B:$B,1839)="","",INDEX(Suivi!$B:$B,1839))</f>
        <v/>
      </c>
      <c r="P1805">
        <f>IF($O1805="","",IF(INDEX(Suivi!$D:$D,1839)="",INDEX(Suivi!$C:$C,1839),INDEX(Suivi!$D:$D,1839)))</f>
        <v/>
      </c>
      <c r="Q1805">
        <f>IF($O1805="","",INDEX(Suivi!$E:$E,1839))</f>
        <v/>
      </c>
      <c r="R1805">
        <f>IF($O1805="","",INDEX(Suivi!$F:$F,1839))</f>
        <v/>
      </c>
      <c r="S1805">
        <f>IF($O1805="","",INDEX(Suivi!$G:$G,1839))</f>
        <v/>
      </c>
      <c r="T1805">
        <f>IF($O1805="","",IF(INDEX(Dossiers!$F$4:$F$63,34)="","",INDEX(Dossiers!$F$4:$F$63,34)))</f>
        <v/>
      </c>
      <c r="U1805">
        <f>IF($O1805="","",IF(INDEX(Dossiers!$G$4:$G$63,34)="","",INDEX(Dossiers!$G$4:$G$63,34)))</f>
        <v/>
      </c>
      <c r="V1805">
        <f>IF(OR($O1805="",NOT(ISNUMBER($Q1805))),"",$Q1805*1000000+1805)</f>
        <v/>
      </c>
      <c r="W1805" s="29">
        <f>IF($B1805="","",IFERROR(INDEX($U$4:$U$3183,MATCH(SMALL($V$4:$V$3183,1802),$V$4:$V$3183,0)),""))</f>
        <v/>
      </c>
    </row>
    <row r="1806">
      <c r="A1806">
        <f>IFERROR(INDEX($N$4:$N$3183,MATCH(SMALL($V$4:$V$3183,1803),$V$4:$V$3183,0)),"")</f>
        <v/>
      </c>
      <c r="B1806">
        <f>IFERROR(INDEX($O$4:$O$3183,MATCH(SMALL($V$4:$V$3183,1803),$V$4:$V$3183,0)),"")</f>
        <v/>
      </c>
      <c r="C1806">
        <f>IFERROR(INDEX($P$4:$P$3183,MATCH(SMALL($V$4:$V$3183,1803),$V$4:$V$3183,0)),"")</f>
        <v/>
      </c>
      <c r="D1806" s="29">
        <f>IFERROR(INDEX($Q$4:$Q$3183,MATCH(SMALL($V$4:$V$3183,1803),$V$4:$V$3183,0)),"")</f>
        <v/>
      </c>
      <c r="E1806" s="29">
        <f>IFERROR(INDEX($R$4:$R$3183,MATCH(SMALL($V$4:$V$3183,1803),$V$4:$V$3183,0)),"")</f>
        <v/>
      </c>
      <c r="F1806">
        <f>IFERROR(INDEX($S$4:$S$3183,MATCH(SMALL($V$4:$V$3183,1803),$V$4:$V$3183,0)),"")</f>
        <v/>
      </c>
      <c r="I1806" s="29">
        <f>IF($B1806="","",IFERROR(INDEX($U$4:$U$3183,MATCH(SMALL($V$4:$V$3183,1803),$V$4:$V$3183,0)),""))</f>
        <v/>
      </c>
      <c r="J1806">
        <f>IF($B1806="","",IF($D1806&gt;$F$2,"À venir",IF($E1806&lt;$D$2,"Passé","Dans la période")))</f>
        <v/>
      </c>
      <c r="K1806">
        <f>IF(OR($B1806="",NOT(ISNUMBER($D1806))),"",IF(AND($E1806&lt;$D$2,$G1806&lt;&gt;"X",$F1806&lt;&gt;"Réalisé",$F1806&lt;&gt;"Clôturé"),"RETARD",""))</f>
        <v/>
      </c>
      <c r="L1806">
        <f>IF(OR($B1806="",NOT(ISNUMBER($D1806))),"",IF(AND($D1806&gt;=$D$2,$D1806&lt;=$H$2,$G1806&lt;&gt;"X",$F1806&lt;&gt;"Réalisé",$F1806&lt;&gt;"Clôturé"),"≤ 7 j",""))</f>
        <v/>
      </c>
      <c r="M1806" s="29">
        <f>IF($B1806="","",IFERROR(INDEX($T$4:$T$3183,MATCH(SMALL($V$4:$V$3183,1803),$V$4:$V$3183,0)),""))</f>
        <v/>
      </c>
      <c r="O1806">
        <f>IF(INDEX(Suivi!$B:$B,1841)="","",INDEX(Suivi!$B:$B,1841))</f>
        <v/>
      </c>
      <c r="P1806">
        <f>IF($O1806="","",IF(INDEX(Suivi!$D:$D,1841)="",INDEX(Suivi!$C:$C,1841),INDEX(Suivi!$D:$D,1841)))</f>
        <v/>
      </c>
      <c r="Q1806">
        <f>IF($O1806="","",INDEX(Suivi!$E:$E,1841))</f>
        <v/>
      </c>
      <c r="R1806">
        <f>IF($O1806="","",INDEX(Suivi!$F:$F,1841))</f>
        <v/>
      </c>
      <c r="S1806">
        <f>IF($O1806="","",INDEX(Suivi!$G:$G,1841))</f>
        <v/>
      </c>
      <c r="T1806">
        <f>IF($O1806="","",IF(INDEX(Dossiers!$F$4:$F$63,35)="","",INDEX(Dossiers!$F$4:$F$63,35)))</f>
        <v/>
      </c>
      <c r="U1806">
        <f>IF($O1806="","",IF(INDEX(Dossiers!$G$4:$G$63,35)="","",INDEX(Dossiers!$G$4:$G$63,35)))</f>
        <v/>
      </c>
      <c r="V1806">
        <f>IF(OR($O1806="",NOT(ISNUMBER($Q1806))),"",$Q1806*1000000+1806)</f>
        <v/>
      </c>
      <c r="W1806" s="29">
        <f>IF($B1806="","",IFERROR(INDEX($U$4:$U$3183,MATCH(SMALL($V$4:$V$3183,1803),$V$4:$V$3183,0)),""))</f>
        <v/>
      </c>
    </row>
    <row r="1807">
      <c r="A1807">
        <f>IFERROR(INDEX($N$4:$N$3183,MATCH(SMALL($V$4:$V$3183,1804),$V$4:$V$3183,0)),"")</f>
        <v/>
      </c>
      <c r="B1807">
        <f>IFERROR(INDEX($O$4:$O$3183,MATCH(SMALL($V$4:$V$3183,1804),$V$4:$V$3183,0)),"")</f>
        <v/>
      </c>
      <c r="C1807">
        <f>IFERROR(INDEX($P$4:$P$3183,MATCH(SMALL($V$4:$V$3183,1804),$V$4:$V$3183,0)),"")</f>
        <v/>
      </c>
      <c r="D1807" s="29">
        <f>IFERROR(INDEX($Q$4:$Q$3183,MATCH(SMALL($V$4:$V$3183,1804),$V$4:$V$3183,0)),"")</f>
        <v/>
      </c>
      <c r="E1807" s="29">
        <f>IFERROR(INDEX($R$4:$R$3183,MATCH(SMALL($V$4:$V$3183,1804),$V$4:$V$3183,0)),"")</f>
        <v/>
      </c>
      <c r="F1807">
        <f>IFERROR(INDEX($S$4:$S$3183,MATCH(SMALL($V$4:$V$3183,1804),$V$4:$V$3183,0)),"")</f>
        <v/>
      </c>
      <c r="I1807" s="29">
        <f>IF($B1807="","",IFERROR(INDEX($U$4:$U$3183,MATCH(SMALL($V$4:$V$3183,1804),$V$4:$V$3183,0)),""))</f>
        <v/>
      </c>
      <c r="J1807">
        <f>IF($B1807="","",IF($D1807&gt;$F$2,"À venir",IF($E1807&lt;$D$2,"Passé","Dans la période")))</f>
        <v/>
      </c>
      <c r="K1807">
        <f>IF(OR($B1807="",NOT(ISNUMBER($D1807))),"",IF(AND($E1807&lt;$D$2,$G1807&lt;&gt;"X",$F1807&lt;&gt;"Réalisé",$F1807&lt;&gt;"Clôturé"),"RETARD",""))</f>
        <v/>
      </c>
      <c r="L1807">
        <f>IF(OR($B1807="",NOT(ISNUMBER($D1807))),"",IF(AND($D1807&gt;=$D$2,$D1807&lt;=$H$2,$G1807&lt;&gt;"X",$F1807&lt;&gt;"Réalisé",$F1807&lt;&gt;"Clôturé"),"≤ 7 j",""))</f>
        <v/>
      </c>
      <c r="M1807" s="29">
        <f>IF($B1807="","",IFERROR(INDEX($T$4:$T$3183,MATCH(SMALL($V$4:$V$3183,1804),$V$4:$V$3183,0)),""))</f>
        <v/>
      </c>
      <c r="O1807">
        <f>IF(INDEX(Suivi!$B:$B,1842)="","",INDEX(Suivi!$B:$B,1842))</f>
        <v/>
      </c>
      <c r="P1807">
        <f>IF($O1807="","",IF(INDEX(Suivi!$D:$D,1842)="",INDEX(Suivi!$C:$C,1842),INDEX(Suivi!$D:$D,1842)))</f>
        <v/>
      </c>
      <c r="Q1807">
        <f>IF($O1807="","",INDEX(Suivi!$E:$E,1842))</f>
        <v/>
      </c>
      <c r="R1807">
        <f>IF($O1807="","",INDEX(Suivi!$F:$F,1842))</f>
        <v/>
      </c>
      <c r="S1807">
        <f>IF($O1807="","",INDEX(Suivi!$G:$G,1842))</f>
        <v/>
      </c>
      <c r="T1807">
        <f>IF($O1807="","",IF(INDEX(Dossiers!$F$4:$F$63,35)="","",INDEX(Dossiers!$F$4:$F$63,35)))</f>
        <v/>
      </c>
      <c r="U1807">
        <f>IF($O1807="","",IF(INDEX(Dossiers!$G$4:$G$63,35)="","",INDEX(Dossiers!$G$4:$G$63,35)))</f>
        <v/>
      </c>
      <c r="V1807">
        <f>IF(OR($O1807="",NOT(ISNUMBER($Q1807))),"",$Q1807*1000000+1807)</f>
        <v/>
      </c>
      <c r="W1807" s="29">
        <f>IF($B1807="","",IFERROR(INDEX($U$4:$U$3183,MATCH(SMALL($V$4:$V$3183,1804),$V$4:$V$3183,0)),""))</f>
        <v/>
      </c>
    </row>
    <row r="1808">
      <c r="A1808">
        <f>IFERROR(INDEX($N$4:$N$3183,MATCH(SMALL($V$4:$V$3183,1805),$V$4:$V$3183,0)),"")</f>
        <v/>
      </c>
      <c r="B1808">
        <f>IFERROR(INDEX($O$4:$O$3183,MATCH(SMALL($V$4:$V$3183,1805),$V$4:$V$3183,0)),"")</f>
        <v/>
      </c>
      <c r="C1808">
        <f>IFERROR(INDEX($P$4:$P$3183,MATCH(SMALL($V$4:$V$3183,1805),$V$4:$V$3183,0)),"")</f>
        <v/>
      </c>
      <c r="D1808" s="29">
        <f>IFERROR(INDEX($Q$4:$Q$3183,MATCH(SMALL($V$4:$V$3183,1805),$V$4:$V$3183,0)),"")</f>
        <v/>
      </c>
      <c r="E1808" s="29">
        <f>IFERROR(INDEX($R$4:$R$3183,MATCH(SMALL($V$4:$V$3183,1805),$V$4:$V$3183,0)),"")</f>
        <v/>
      </c>
      <c r="F1808">
        <f>IFERROR(INDEX($S$4:$S$3183,MATCH(SMALL($V$4:$V$3183,1805),$V$4:$V$3183,0)),"")</f>
        <v/>
      </c>
      <c r="I1808" s="29">
        <f>IF($B1808="","",IFERROR(INDEX($U$4:$U$3183,MATCH(SMALL($V$4:$V$3183,1805),$V$4:$V$3183,0)),""))</f>
        <v/>
      </c>
      <c r="J1808">
        <f>IF($B1808="","",IF($D1808&gt;$F$2,"À venir",IF($E1808&lt;$D$2,"Passé","Dans la période")))</f>
        <v/>
      </c>
      <c r="K1808">
        <f>IF(OR($B1808="",NOT(ISNUMBER($D1808))),"",IF(AND($E1808&lt;$D$2,$G1808&lt;&gt;"X",$F1808&lt;&gt;"Réalisé",$F1808&lt;&gt;"Clôturé"),"RETARD",""))</f>
        <v/>
      </c>
      <c r="L1808">
        <f>IF(OR($B1808="",NOT(ISNUMBER($D1808))),"",IF(AND($D1808&gt;=$D$2,$D1808&lt;=$H$2,$G1808&lt;&gt;"X",$F1808&lt;&gt;"Réalisé",$F1808&lt;&gt;"Clôturé"),"≤ 7 j",""))</f>
        <v/>
      </c>
      <c r="M1808" s="29">
        <f>IF($B1808="","",IFERROR(INDEX($T$4:$T$3183,MATCH(SMALL($V$4:$V$3183,1805),$V$4:$V$3183,0)),""))</f>
        <v/>
      </c>
      <c r="O1808">
        <f>IF(INDEX(Suivi!$B:$B,1843)="","",INDEX(Suivi!$B:$B,1843))</f>
        <v/>
      </c>
      <c r="P1808">
        <f>IF($O1808="","",IF(INDEX(Suivi!$D:$D,1843)="",INDEX(Suivi!$C:$C,1843),INDEX(Suivi!$D:$D,1843)))</f>
        <v/>
      </c>
      <c r="Q1808">
        <f>IF($O1808="","",INDEX(Suivi!$E:$E,1843))</f>
        <v/>
      </c>
      <c r="R1808">
        <f>IF($O1808="","",INDEX(Suivi!$F:$F,1843))</f>
        <v/>
      </c>
      <c r="S1808">
        <f>IF($O1808="","",INDEX(Suivi!$G:$G,1843))</f>
        <v/>
      </c>
      <c r="T1808">
        <f>IF($O1808="","",IF(INDEX(Dossiers!$F$4:$F$63,35)="","",INDEX(Dossiers!$F$4:$F$63,35)))</f>
        <v/>
      </c>
      <c r="U1808">
        <f>IF($O1808="","",IF(INDEX(Dossiers!$G$4:$G$63,35)="","",INDEX(Dossiers!$G$4:$G$63,35)))</f>
        <v/>
      </c>
      <c r="V1808">
        <f>IF(OR($O1808="",NOT(ISNUMBER($Q1808))),"",$Q1808*1000000+1808)</f>
        <v/>
      </c>
      <c r="W1808" s="29">
        <f>IF($B1808="","",IFERROR(INDEX($U$4:$U$3183,MATCH(SMALL($V$4:$V$3183,1805),$V$4:$V$3183,0)),""))</f>
        <v/>
      </c>
    </row>
    <row r="1809">
      <c r="A1809">
        <f>IFERROR(INDEX($N$4:$N$3183,MATCH(SMALL($V$4:$V$3183,1806),$V$4:$V$3183,0)),"")</f>
        <v/>
      </c>
      <c r="B1809">
        <f>IFERROR(INDEX($O$4:$O$3183,MATCH(SMALL($V$4:$V$3183,1806),$V$4:$V$3183,0)),"")</f>
        <v/>
      </c>
      <c r="C1809">
        <f>IFERROR(INDEX($P$4:$P$3183,MATCH(SMALL($V$4:$V$3183,1806),$V$4:$V$3183,0)),"")</f>
        <v/>
      </c>
      <c r="D1809" s="29">
        <f>IFERROR(INDEX($Q$4:$Q$3183,MATCH(SMALL($V$4:$V$3183,1806),$V$4:$V$3183,0)),"")</f>
        <v/>
      </c>
      <c r="E1809" s="29">
        <f>IFERROR(INDEX($R$4:$R$3183,MATCH(SMALL($V$4:$V$3183,1806),$V$4:$V$3183,0)),"")</f>
        <v/>
      </c>
      <c r="F1809">
        <f>IFERROR(INDEX($S$4:$S$3183,MATCH(SMALL($V$4:$V$3183,1806),$V$4:$V$3183,0)),"")</f>
        <v/>
      </c>
      <c r="I1809" s="29">
        <f>IF($B1809="","",IFERROR(INDEX($U$4:$U$3183,MATCH(SMALL($V$4:$V$3183,1806),$V$4:$V$3183,0)),""))</f>
        <v/>
      </c>
      <c r="J1809">
        <f>IF($B1809="","",IF($D1809&gt;$F$2,"À venir",IF($E1809&lt;$D$2,"Passé","Dans la période")))</f>
        <v/>
      </c>
      <c r="K1809">
        <f>IF(OR($B1809="",NOT(ISNUMBER($D1809))),"",IF(AND($E1809&lt;$D$2,$G1809&lt;&gt;"X",$F1809&lt;&gt;"Réalisé",$F1809&lt;&gt;"Clôturé"),"RETARD",""))</f>
        <v/>
      </c>
      <c r="L1809">
        <f>IF(OR($B1809="",NOT(ISNUMBER($D1809))),"",IF(AND($D1809&gt;=$D$2,$D1809&lt;=$H$2,$G1809&lt;&gt;"X",$F1809&lt;&gt;"Réalisé",$F1809&lt;&gt;"Clôturé"),"≤ 7 j",""))</f>
        <v/>
      </c>
      <c r="M1809" s="29">
        <f>IF($B1809="","",IFERROR(INDEX($T$4:$T$3183,MATCH(SMALL($V$4:$V$3183,1806),$V$4:$V$3183,0)),""))</f>
        <v/>
      </c>
      <c r="O1809">
        <f>IF(INDEX(Suivi!$B:$B,1844)="","",INDEX(Suivi!$B:$B,1844))</f>
        <v/>
      </c>
      <c r="P1809">
        <f>IF($O1809="","",IF(INDEX(Suivi!$D:$D,1844)="",INDEX(Suivi!$C:$C,1844),INDEX(Suivi!$D:$D,1844)))</f>
        <v/>
      </c>
      <c r="Q1809">
        <f>IF($O1809="","",INDEX(Suivi!$E:$E,1844))</f>
        <v/>
      </c>
      <c r="R1809">
        <f>IF($O1809="","",INDEX(Suivi!$F:$F,1844))</f>
        <v/>
      </c>
      <c r="S1809">
        <f>IF($O1809="","",INDEX(Suivi!$G:$G,1844))</f>
        <v/>
      </c>
      <c r="T1809">
        <f>IF($O1809="","",IF(INDEX(Dossiers!$F$4:$F$63,35)="","",INDEX(Dossiers!$F$4:$F$63,35)))</f>
        <v/>
      </c>
      <c r="U1809">
        <f>IF($O1809="","",IF(INDEX(Dossiers!$G$4:$G$63,35)="","",INDEX(Dossiers!$G$4:$G$63,35)))</f>
        <v/>
      </c>
      <c r="V1809">
        <f>IF(OR($O1809="",NOT(ISNUMBER($Q1809))),"",$Q1809*1000000+1809)</f>
        <v/>
      </c>
      <c r="W1809" s="29">
        <f>IF($B1809="","",IFERROR(INDEX($U$4:$U$3183,MATCH(SMALL($V$4:$V$3183,1806),$V$4:$V$3183,0)),""))</f>
        <v/>
      </c>
    </row>
    <row r="1810">
      <c r="A1810">
        <f>IFERROR(INDEX($N$4:$N$3183,MATCH(SMALL($V$4:$V$3183,1807),$V$4:$V$3183,0)),"")</f>
        <v/>
      </c>
      <c r="B1810">
        <f>IFERROR(INDEX($O$4:$O$3183,MATCH(SMALL($V$4:$V$3183,1807),$V$4:$V$3183,0)),"")</f>
        <v/>
      </c>
      <c r="C1810">
        <f>IFERROR(INDEX($P$4:$P$3183,MATCH(SMALL($V$4:$V$3183,1807),$V$4:$V$3183,0)),"")</f>
        <v/>
      </c>
      <c r="D1810" s="29">
        <f>IFERROR(INDEX($Q$4:$Q$3183,MATCH(SMALL($V$4:$V$3183,1807),$V$4:$V$3183,0)),"")</f>
        <v/>
      </c>
      <c r="E1810" s="29">
        <f>IFERROR(INDEX($R$4:$R$3183,MATCH(SMALL($V$4:$V$3183,1807),$V$4:$V$3183,0)),"")</f>
        <v/>
      </c>
      <c r="F1810">
        <f>IFERROR(INDEX($S$4:$S$3183,MATCH(SMALL($V$4:$V$3183,1807),$V$4:$V$3183,0)),"")</f>
        <v/>
      </c>
      <c r="I1810" s="29">
        <f>IF($B1810="","",IFERROR(INDEX($U$4:$U$3183,MATCH(SMALL($V$4:$V$3183,1807),$V$4:$V$3183,0)),""))</f>
        <v/>
      </c>
      <c r="J1810">
        <f>IF($B1810="","",IF($D1810&gt;$F$2,"À venir",IF($E1810&lt;$D$2,"Passé","Dans la période")))</f>
        <v/>
      </c>
      <c r="K1810">
        <f>IF(OR($B1810="",NOT(ISNUMBER($D1810))),"",IF(AND($E1810&lt;$D$2,$G1810&lt;&gt;"X",$F1810&lt;&gt;"Réalisé",$F1810&lt;&gt;"Clôturé"),"RETARD",""))</f>
        <v/>
      </c>
      <c r="L1810">
        <f>IF(OR($B1810="",NOT(ISNUMBER($D1810))),"",IF(AND($D1810&gt;=$D$2,$D1810&lt;=$H$2,$G1810&lt;&gt;"X",$F1810&lt;&gt;"Réalisé",$F1810&lt;&gt;"Clôturé"),"≤ 7 j",""))</f>
        <v/>
      </c>
      <c r="M1810" s="29">
        <f>IF($B1810="","",IFERROR(INDEX($T$4:$T$3183,MATCH(SMALL($V$4:$V$3183,1807),$V$4:$V$3183,0)),""))</f>
        <v/>
      </c>
      <c r="O1810">
        <f>IF(INDEX(Suivi!$B:$B,1845)="","",INDEX(Suivi!$B:$B,1845))</f>
        <v/>
      </c>
      <c r="P1810">
        <f>IF($O1810="","",IF(INDEX(Suivi!$D:$D,1845)="",INDEX(Suivi!$C:$C,1845),INDEX(Suivi!$D:$D,1845)))</f>
        <v/>
      </c>
      <c r="Q1810">
        <f>IF($O1810="","",INDEX(Suivi!$E:$E,1845))</f>
        <v/>
      </c>
      <c r="R1810">
        <f>IF($O1810="","",INDEX(Suivi!$F:$F,1845))</f>
        <v/>
      </c>
      <c r="S1810">
        <f>IF($O1810="","",INDEX(Suivi!$G:$G,1845))</f>
        <v/>
      </c>
      <c r="T1810">
        <f>IF($O1810="","",IF(INDEX(Dossiers!$F$4:$F$63,35)="","",INDEX(Dossiers!$F$4:$F$63,35)))</f>
        <v/>
      </c>
      <c r="U1810">
        <f>IF($O1810="","",IF(INDEX(Dossiers!$G$4:$G$63,35)="","",INDEX(Dossiers!$G$4:$G$63,35)))</f>
        <v/>
      </c>
      <c r="V1810">
        <f>IF(OR($O1810="",NOT(ISNUMBER($Q1810))),"",$Q1810*1000000+1810)</f>
        <v/>
      </c>
      <c r="W1810" s="29">
        <f>IF($B1810="","",IFERROR(INDEX($U$4:$U$3183,MATCH(SMALL($V$4:$V$3183,1807),$V$4:$V$3183,0)),""))</f>
        <v/>
      </c>
    </row>
    <row r="1811">
      <c r="A1811">
        <f>IFERROR(INDEX($N$4:$N$3183,MATCH(SMALL($V$4:$V$3183,1808),$V$4:$V$3183,0)),"")</f>
        <v/>
      </c>
      <c r="B1811">
        <f>IFERROR(INDEX($O$4:$O$3183,MATCH(SMALL($V$4:$V$3183,1808),$V$4:$V$3183,0)),"")</f>
        <v/>
      </c>
      <c r="C1811">
        <f>IFERROR(INDEX($P$4:$P$3183,MATCH(SMALL($V$4:$V$3183,1808),$V$4:$V$3183,0)),"")</f>
        <v/>
      </c>
      <c r="D1811" s="29">
        <f>IFERROR(INDEX($Q$4:$Q$3183,MATCH(SMALL($V$4:$V$3183,1808),$V$4:$V$3183,0)),"")</f>
        <v/>
      </c>
      <c r="E1811" s="29">
        <f>IFERROR(INDEX($R$4:$R$3183,MATCH(SMALL($V$4:$V$3183,1808),$V$4:$V$3183,0)),"")</f>
        <v/>
      </c>
      <c r="F1811">
        <f>IFERROR(INDEX($S$4:$S$3183,MATCH(SMALL($V$4:$V$3183,1808),$V$4:$V$3183,0)),"")</f>
        <v/>
      </c>
      <c r="I1811" s="29">
        <f>IF($B1811="","",IFERROR(INDEX($U$4:$U$3183,MATCH(SMALL($V$4:$V$3183,1808),$V$4:$V$3183,0)),""))</f>
        <v/>
      </c>
      <c r="J1811">
        <f>IF($B1811="","",IF($D1811&gt;$F$2,"À venir",IF($E1811&lt;$D$2,"Passé","Dans la période")))</f>
        <v/>
      </c>
      <c r="K1811">
        <f>IF(OR($B1811="",NOT(ISNUMBER($D1811))),"",IF(AND($E1811&lt;$D$2,$G1811&lt;&gt;"X",$F1811&lt;&gt;"Réalisé",$F1811&lt;&gt;"Clôturé"),"RETARD",""))</f>
        <v/>
      </c>
      <c r="L1811">
        <f>IF(OR($B1811="",NOT(ISNUMBER($D1811))),"",IF(AND($D1811&gt;=$D$2,$D1811&lt;=$H$2,$G1811&lt;&gt;"X",$F1811&lt;&gt;"Réalisé",$F1811&lt;&gt;"Clôturé"),"≤ 7 j",""))</f>
        <v/>
      </c>
      <c r="M1811" s="29">
        <f>IF($B1811="","",IFERROR(INDEX($T$4:$T$3183,MATCH(SMALL($V$4:$V$3183,1808),$V$4:$V$3183,0)),""))</f>
        <v/>
      </c>
      <c r="O1811">
        <f>IF(INDEX(Suivi!$B:$B,1846)="","",INDEX(Suivi!$B:$B,1846))</f>
        <v/>
      </c>
      <c r="P1811">
        <f>IF($O1811="","",IF(INDEX(Suivi!$D:$D,1846)="",INDEX(Suivi!$C:$C,1846),INDEX(Suivi!$D:$D,1846)))</f>
        <v/>
      </c>
      <c r="Q1811">
        <f>IF($O1811="","",INDEX(Suivi!$E:$E,1846))</f>
        <v/>
      </c>
      <c r="R1811">
        <f>IF($O1811="","",INDEX(Suivi!$F:$F,1846))</f>
        <v/>
      </c>
      <c r="S1811">
        <f>IF($O1811="","",INDEX(Suivi!$G:$G,1846))</f>
        <v/>
      </c>
      <c r="T1811">
        <f>IF($O1811="","",IF(INDEX(Dossiers!$F$4:$F$63,35)="","",INDEX(Dossiers!$F$4:$F$63,35)))</f>
        <v/>
      </c>
      <c r="U1811">
        <f>IF($O1811="","",IF(INDEX(Dossiers!$G$4:$G$63,35)="","",INDEX(Dossiers!$G$4:$G$63,35)))</f>
        <v/>
      </c>
      <c r="V1811">
        <f>IF(OR($O1811="",NOT(ISNUMBER($Q1811))),"",$Q1811*1000000+1811)</f>
        <v/>
      </c>
      <c r="W1811" s="29">
        <f>IF($B1811="","",IFERROR(INDEX($U$4:$U$3183,MATCH(SMALL($V$4:$V$3183,1808),$V$4:$V$3183,0)),""))</f>
        <v/>
      </c>
    </row>
    <row r="1812">
      <c r="A1812">
        <f>IFERROR(INDEX($N$4:$N$3183,MATCH(SMALL($V$4:$V$3183,1809),$V$4:$V$3183,0)),"")</f>
        <v/>
      </c>
      <c r="B1812">
        <f>IFERROR(INDEX($O$4:$O$3183,MATCH(SMALL($V$4:$V$3183,1809),$V$4:$V$3183,0)),"")</f>
        <v/>
      </c>
      <c r="C1812">
        <f>IFERROR(INDEX($P$4:$P$3183,MATCH(SMALL($V$4:$V$3183,1809),$V$4:$V$3183,0)),"")</f>
        <v/>
      </c>
      <c r="D1812" s="29">
        <f>IFERROR(INDEX($Q$4:$Q$3183,MATCH(SMALL($V$4:$V$3183,1809),$V$4:$V$3183,0)),"")</f>
        <v/>
      </c>
      <c r="E1812" s="29">
        <f>IFERROR(INDEX($R$4:$R$3183,MATCH(SMALL($V$4:$V$3183,1809),$V$4:$V$3183,0)),"")</f>
        <v/>
      </c>
      <c r="F1812">
        <f>IFERROR(INDEX($S$4:$S$3183,MATCH(SMALL($V$4:$V$3183,1809),$V$4:$V$3183,0)),"")</f>
        <v/>
      </c>
      <c r="I1812" s="29">
        <f>IF($B1812="","",IFERROR(INDEX($U$4:$U$3183,MATCH(SMALL($V$4:$V$3183,1809),$V$4:$V$3183,0)),""))</f>
        <v/>
      </c>
      <c r="J1812">
        <f>IF($B1812="","",IF($D1812&gt;$F$2,"À venir",IF($E1812&lt;$D$2,"Passé","Dans la période")))</f>
        <v/>
      </c>
      <c r="K1812">
        <f>IF(OR($B1812="",NOT(ISNUMBER($D1812))),"",IF(AND($E1812&lt;$D$2,$G1812&lt;&gt;"X",$F1812&lt;&gt;"Réalisé",$F1812&lt;&gt;"Clôturé"),"RETARD",""))</f>
        <v/>
      </c>
      <c r="L1812">
        <f>IF(OR($B1812="",NOT(ISNUMBER($D1812))),"",IF(AND($D1812&gt;=$D$2,$D1812&lt;=$H$2,$G1812&lt;&gt;"X",$F1812&lt;&gt;"Réalisé",$F1812&lt;&gt;"Clôturé"),"≤ 7 j",""))</f>
        <v/>
      </c>
      <c r="M1812" s="29">
        <f>IF($B1812="","",IFERROR(INDEX($T$4:$T$3183,MATCH(SMALL($V$4:$V$3183,1809),$V$4:$V$3183,0)),""))</f>
        <v/>
      </c>
      <c r="O1812">
        <f>IF(INDEX(Suivi!$B:$B,1847)="","",INDEX(Suivi!$B:$B,1847))</f>
        <v/>
      </c>
      <c r="P1812">
        <f>IF($O1812="","",IF(INDEX(Suivi!$D:$D,1847)="",INDEX(Suivi!$C:$C,1847),INDEX(Suivi!$D:$D,1847)))</f>
        <v/>
      </c>
      <c r="Q1812">
        <f>IF($O1812="","",INDEX(Suivi!$E:$E,1847))</f>
        <v/>
      </c>
      <c r="R1812">
        <f>IF($O1812="","",INDEX(Suivi!$F:$F,1847))</f>
        <v/>
      </c>
      <c r="S1812">
        <f>IF($O1812="","",INDEX(Suivi!$G:$G,1847))</f>
        <v/>
      </c>
      <c r="T1812">
        <f>IF($O1812="","",IF(INDEX(Dossiers!$F$4:$F$63,35)="","",INDEX(Dossiers!$F$4:$F$63,35)))</f>
        <v/>
      </c>
      <c r="U1812">
        <f>IF($O1812="","",IF(INDEX(Dossiers!$G$4:$G$63,35)="","",INDEX(Dossiers!$G$4:$G$63,35)))</f>
        <v/>
      </c>
      <c r="V1812">
        <f>IF(OR($O1812="",NOT(ISNUMBER($Q1812))),"",$Q1812*1000000+1812)</f>
        <v/>
      </c>
      <c r="W1812" s="29">
        <f>IF($B1812="","",IFERROR(INDEX($U$4:$U$3183,MATCH(SMALL($V$4:$V$3183,1809),$V$4:$V$3183,0)),""))</f>
        <v/>
      </c>
    </row>
    <row r="1813">
      <c r="A1813">
        <f>IFERROR(INDEX($N$4:$N$3183,MATCH(SMALL($V$4:$V$3183,1810),$V$4:$V$3183,0)),"")</f>
        <v/>
      </c>
      <c r="B1813">
        <f>IFERROR(INDEX($O$4:$O$3183,MATCH(SMALL($V$4:$V$3183,1810),$V$4:$V$3183,0)),"")</f>
        <v/>
      </c>
      <c r="C1813">
        <f>IFERROR(INDEX($P$4:$P$3183,MATCH(SMALL($V$4:$V$3183,1810),$V$4:$V$3183,0)),"")</f>
        <v/>
      </c>
      <c r="D1813" s="29">
        <f>IFERROR(INDEX($Q$4:$Q$3183,MATCH(SMALL($V$4:$V$3183,1810),$V$4:$V$3183,0)),"")</f>
        <v/>
      </c>
      <c r="E1813" s="29">
        <f>IFERROR(INDEX($R$4:$R$3183,MATCH(SMALL($V$4:$V$3183,1810),$V$4:$V$3183,0)),"")</f>
        <v/>
      </c>
      <c r="F1813">
        <f>IFERROR(INDEX($S$4:$S$3183,MATCH(SMALL($V$4:$V$3183,1810),$V$4:$V$3183,0)),"")</f>
        <v/>
      </c>
      <c r="I1813" s="29">
        <f>IF($B1813="","",IFERROR(INDEX($U$4:$U$3183,MATCH(SMALL($V$4:$V$3183,1810),$V$4:$V$3183,0)),""))</f>
        <v/>
      </c>
      <c r="J1813">
        <f>IF($B1813="","",IF($D1813&gt;$F$2,"À venir",IF($E1813&lt;$D$2,"Passé","Dans la période")))</f>
        <v/>
      </c>
      <c r="K1813">
        <f>IF(OR($B1813="",NOT(ISNUMBER($D1813))),"",IF(AND($E1813&lt;$D$2,$G1813&lt;&gt;"X",$F1813&lt;&gt;"Réalisé",$F1813&lt;&gt;"Clôturé"),"RETARD",""))</f>
        <v/>
      </c>
      <c r="L1813">
        <f>IF(OR($B1813="",NOT(ISNUMBER($D1813))),"",IF(AND($D1813&gt;=$D$2,$D1813&lt;=$H$2,$G1813&lt;&gt;"X",$F1813&lt;&gt;"Réalisé",$F1813&lt;&gt;"Clôturé"),"≤ 7 j",""))</f>
        <v/>
      </c>
      <c r="M1813" s="29">
        <f>IF($B1813="","",IFERROR(INDEX($T$4:$T$3183,MATCH(SMALL($V$4:$V$3183,1810),$V$4:$V$3183,0)),""))</f>
        <v/>
      </c>
      <c r="O1813">
        <f>IF(INDEX(Suivi!$B:$B,1848)="","",INDEX(Suivi!$B:$B,1848))</f>
        <v/>
      </c>
      <c r="P1813">
        <f>IF($O1813="","",IF(INDEX(Suivi!$D:$D,1848)="",INDEX(Suivi!$C:$C,1848),INDEX(Suivi!$D:$D,1848)))</f>
        <v/>
      </c>
      <c r="Q1813">
        <f>IF($O1813="","",INDEX(Suivi!$E:$E,1848))</f>
        <v/>
      </c>
      <c r="R1813">
        <f>IF($O1813="","",INDEX(Suivi!$F:$F,1848))</f>
        <v/>
      </c>
      <c r="S1813">
        <f>IF($O1813="","",INDEX(Suivi!$G:$G,1848))</f>
        <v/>
      </c>
      <c r="T1813">
        <f>IF($O1813="","",IF(INDEX(Dossiers!$F$4:$F$63,35)="","",INDEX(Dossiers!$F$4:$F$63,35)))</f>
        <v/>
      </c>
      <c r="U1813">
        <f>IF($O1813="","",IF(INDEX(Dossiers!$G$4:$G$63,35)="","",INDEX(Dossiers!$G$4:$G$63,35)))</f>
        <v/>
      </c>
      <c r="V1813">
        <f>IF(OR($O1813="",NOT(ISNUMBER($Q1813))),"",$Q1813*1000000+1813)</f>
        <v/>
      </c>
      <c r="W1813" s="29">
        <f>IF($B1813="","",IFERROR(INDEX($U$4:$U$3183,MATCH(SMALL($V$4:$V$3183,1810),$V$4:$V$3183,0)),""))</f>
        <v/>
      </c>
    </row>
    <row r="1814">
      <c r="A1814">
        <f>IFERROR(INDEX($N$4:$N$3183,MATCH(SMALL($V$4:$V$3183,1811),$V$4:$V$3183,0)),"")</f>
        <v/>
      </c>
      <c r="B1814">
        <f>IFERROR(INDEX($O$4:$O$3183,MATCH(SMALL($V$4:$V$3183,1811),$V$4:$V$3183,0)),"")</f>
        <v/>
      </c>
      <c r="C1814">
        <f>IFERROR(INDEX($P$4:$P$3183,MATCH(SMALL($V$4:$V$3183,1811),$V$4:$V$3183,0)),"")</f>
        <v/>
      </c>
      <c r="D1814" s="29">
        <f>IFERROR(INDEX($Q$4:$Q$3183,MATCH(SMALL($V$4:$V$3183,1811),$V$4:$V$3183,0)),"")</f>
        <v/>
      </c>
      <c r="E1814" s="29">
        <f>IFERROR(INDEX($R$4:$R$3183,MATCH(SMALL($V$4:$V$3183,1811),$V$4:$V$3183,0)),"")</f>
        <v/>
      </c>
      <c r="F1814">
        <f>IFERROR(INDEX($S$4:$S$3183,MATCH(SMALL($V$4:$V$3183,1811),$V$4:$V$3183,0)),"")</f>
        <v/>
      </c>
      <c r="I1814" s="29">
        <f>IF($B1814="","",IFERROR(INDEX($U$4:$U$3183,MATCH(SMALL($V$4:$V$3183,1811),$V$4:$V$3183,0)),""))</f>
        <v/>
      </c>
      <c r="J1814">
        <f>IF($B1814="","",IF($D1814&gt;$F$2,"À venir",IF($E1814&lt;$D$2,"Passé","Dans la période")))</f>
        <v/>
      </c>
      <c r="K1814">
        <f>IF(OR($B1814="",NOT(ISNUMBER($D1814))),"",IF(AND($E1814&lt;$D$2,$G1814&lt;&gt;"X",$F1814&lt;&gt;"Réalisé",$F1814&lt;&gt;"Clôturé"),"RETARD",""))</f>
        <v/>
      </c>
      <c r="L1814">
        <f>IF(OR($B1814="",NOT(ISNUMBER($D1814))),"",IF(AND($D1814&gt;=$D$2,$D1814&lt;=$H$2,$G1814&lt;&gt;"X",$F1814&lt;&gt;"Réalisé",$F1814&lt;&gt;"Clôturé"),"≤ 7 j",""))</f>
        <v/>
      </c>
      <c r="M1814" s="29">
        <f>IF($B1814="","",IFERROR(INDEX($T$4:$T$3183,MATCH(SMALL($V$4:$V$3183,1811),$V$4:$V$3183,0)),""))</f>
        <v/>
      </c>
      <c r="O1814">
        <f>IF(INDEX(Suivi!$B:$B,1849)="","",INDEX(Suivi!$B:$B,1849))</f>
        <v/>
      </c>
      <c r="P1814">
        <f>IF($O1814="","",IF(INDEX(Suivi!$D:$D,1849)="",INDEX(Suivi!$C:$C,1849),INDEX(Suivi!$D:$D,1849)))</f>
        <v/>
      </c>
      <c r="Q1814">
        <f>IF($O1814="","",INDEX(Suivi!$E:$E,1849))</f>
        <v/>
      </c>
      <c r="R1814">
        <f>IF($O1814="","",INDEX(Suivi!$F:$F,1849))</f>
        <v/>
      </c>
      <c r="S1814">
        <f>IF($O1814="","",INDEX(Suivi!$G:$G,1849))</f>
        <v/>
      </c>
      <c r="T1814">
        <f>IF($O1814="","",IF(INDEX(Dossiers!$F$4:$F$63,35)="","",INDEX(Dossiers!$F$4:$F$63,35)))</f>
        <v/>
      </c>
      <c r="U1814">
        <f>IF($O1814="","",IF(INDEX(Dossiers!$G$4:$G$63,35)="","",INDEX(Dossiers!$G$4:$G$63,35)))</f>
        <v/>
      </c>
      <c r="V1814">
        <f>IF(OR($O1814="",NOT(ISNUMBER($Q1814))),"",$Q1814*1000000+1814)</f>
        <v/>
      </c>
      <c r="W1814" s="29">
        <f>IF($B1814="","",IFERROR(INDEX($U$4:$U$3183,MATCH(SMALL($V$4:$V$3183,1811),$V$4:$V$3183,0)),""))</f>
        <v/>
      </c>
    </row>
    <row r="1815">
      <c r="A1815">
        <f>IFERROR(INDEX($N$4:$N$3183,MATCH(SMALL($V$4:$V$3183,1812),$V$4:$V$3183,0)),"")</f>
        <v/>
      </c>
      <c r="B1815">
        <f>IFERROR(INDEX($O$4:$O$3183,MATCH(SMALL($V$4:$V$3183,1812),$V$4:$V$3183,0)),"")</f>
        <v/>
      </c>
      <c r="C1815">
        <f>IFERROR(INDEX($P$4:$P$3183,MATCH(SMALL($V$4:$V$3183,1812),$V$4:$V$3183,0)),"")</f>
        <v/>
      </c>
      <c r="D1815" s="29">
        <f>IFERROR(INDEX($Q$4:$Q$3183,MATCH(SMALL($V$4:$V$3183,1812),$V$4:$V$3183,0)),"")</f>
        <v/>
      </c>
      <c r="E1815" s="29">
        <f>IFERROR(INDEX($R$4:$R$3183,MATCH(SMALL($V$4:$V$3183,1812),$V$4:$V$3183,0)),"")</f>
        <v/>
      </c>
      <c r="F1815">
        <f>IFERROR(INDEX($S$4:$S$3183,MATCH(SMALL($V$4:$V$3183,1812),$V$4:$V$3183,0)),"")</f>
        <v/>
      </c>
      <c r="I1815" s="29">
        <f>IF($B1815="","",IFERROR(INDEX($U$4:$U$3183,MATCH(SMALL($V$4:$V$3183,1812),$V$4:$V$3183,0)),""))</f>
        <v/>
      </c>
      <c r="J1815">
        <f>IF($B1815="","",IF($D1815&gt;$F$2,"À venir",IF($E1815&lt;$D$2,"Passé","Dans la période")))</f>
        <v/>
      </c>
      <c r="K1815">
        <f>IF(OR($B1815="",NOT(ISNUMBER($D1815))),"",IF(AND($E1815&lt;$D$2,$G1815&lt;&gt;"X",$F1815&lt;&gt;"Réalisé",$F1815&lt;&gt;"Clôturé"),"RETARD",""))</f>
        <v/>
      </c>
      <c r="L1815">
        <f>IF(OR($B1815="",NOT(ISNUMBER($D1815))),"",IF(AND($D1815&gt;=$D$2,$D1815&lt;=$H$2,$G1815&lt;&gt;"X",$F1815&lt;&gt;"Réalisé",$F1815&lt;&gt;"Clôturé"),"≤ 7 j",""))</f>
        <v/>
      </c>
      <c r="M1815" s="29">
        <f>IF($B1815="","",IFERROR(INDEX($T$4:$T$3183,MATCH(SMALL($V$4:$V$3183,1812),$V$4:$V$3183,0)),""))</f>
        <v/>
      </c>
      <c r="O1815">
        <f>IF(INDEX(Suivi!$B:$B,1850)="","",INDEX(Suivi!$B:$B,1850))</f>
        <v/>
      </c>
      <c r="P1815">
        <f>IF($O1815="","",IF(INDEX(Suivi!$D:$D,1850)="",INDEX(Suivi!$C:$C,1850),INDEX(Suivi!$D:$D,1850)))</f>
        <v/>
      </c>
      <c r="Q1815">
        <f>IF($O1815="","",INDEX(Suivi!$E:$E,1850))</f>
        <v/>
      </c>
      <c r="R1815">
        <f>IF($O1815="","",INDEX(Suivi!$F:$F,1850))</f>
        <v/>
      </c>
      <c r="S1815">
        <f>IF($O1815="","",INDEX(Suivi!$G:$G,1850))</f>
        <v/>
      </c>
      <c r="T1815">
        <f>IF($O1815="","",IF(INDEX(Dossiers!$F$4:$F$63,35)="","",INDEX(Dossiers!$F$4:$F$63,35)))</f>
        <v/>
      </c>
      <c r="U1815">
        <f>IF($O1815="","",IF(INDEX(Dossiers!$G$4:$G$63,35)="","",INDEX(Dossiers!$G$4:$G$63,35)))</f>
        <v/>
      </c>
      <c r="V1815">
        <f>IF(OR($O1815="",NOT(ISNUMBER($Q1815))),"",$Q1815*1000000+1815)</f>
        <v/>
      </c>
      <c r="W1815" s="29">
        <f>IF($B1815="","",IFERROR(INDEX($U$4:$U$3183,MATCH(SMALL($V$4:$V$3183,1812),$V$4:$V$3183,0)),""))</f>
        <v/>
      </c>
    </row>
    <row r="1816">
      <c r="A1816">
        <f>IFERROR(INDEX($N$4:$N$3183,MATCH(SMALL($V$4:$V$3183,1813),$V$4:$V$3183,0)),"")</f>
        <v/>
      </c>
      <c r="B1816">
        <f>IFERROR(INDEX($O$4:$O$3183,MATCH(SMALL($V$4:$V$3183,1813),$V$4:$V$3183,0)),"")</f>
        <v/>
      </c>
      <c r="C1816">
        <f>IFERROR(INDEX($P$4:$P$3183,MATCH(SMALL($V$4:$V$3183,1813),$V$4:$V$3183,0)),"")</f>
        <v/>
      </c>
      <c r="D1816" s="29">
        <f>IFERROR(INDEX($Q$4:$Q$3183,MATCH(SMALL($V$4:$V$3183,1813),$V$4:$V$3183,0)),"")</f>
        <v/>
      </c>
      <c r="E1816" s="29">
        <f>IFERROR(INDEX($R$4:$R$3183,MATCH(SMALL($V$4:$V$3183,1813),$V$4:$V$3183,0)),"")</f>
        <v/>
      </c>
      <c r="F1816">
        <f>IFERROR(INDEX($S$4:$S$3183,MATCH(SMALL($V$4:$V$3183,1813),$V$4:$V$3183,0)),"")</f>
        <v/>
      </c>
      <c r="I1816" s="29">
        <f>IF($B1816="","",IFERROR(INDEX($U$4:$U$3183,MATCH(SMALL($V$4:$V$3183,1813),$V$4:$V$3183,0)),""))</f>
        <v/>
      </c>
      <c r="J1816">
        <f>IF($B1816="","",IF($D1816&gt;$F$2,"À venir",IF($E1816&lt;$D$2,"Passé","Dans la période")))</f>
        <v/>
      </c>
      <c r="K1816">
        <f>IF(OR($B1816="",NOT(ISNUMBER($D1816))),"",IF(AND($E1816&lt;$D$2,$G1816&lt;&gt;"X",$F1816&lt;&gt;"Réalisé",$F1816&lt;&gt;"Clôturé"),"RETARD",""))</f>
        <v/>
      </c>
      <c r="L1816">
        <f>IF(OR($B1816="",NOT(ISNUMBER($D1816))),"",IF(AND($D1816&gt;=$D$2,$D1816&lt;=$H$2,$G1816&lt;&gt;"X",$F1816&lt;&gt;"Réalisé",$F1816&lt;&gt;"Clôturé"),"≤ 7 j",""))</f>
        <v/>
      </c>
      <c r="M1816" s="29">
        <f>IF($B1816="","",IFERROR(INDEX($T$4:$T$3183,MATCH(SMALL($V$4:$V$3183,1813),$V$4:$V$3183,0)),""))</f>
        <v/>
      </c>
      <c r="O1816">
        <f>IF(INDEX(Suivi!$B:$B,1851)="","",INDEX(Suivi!$B:$B,1851))</f>
        <v/>
      </c>
      <c r="P1816">
        <f>IF($O1816="","",IF(INDEX(Suivi!$D:$D,1851)="",INDEX(Suivi!$C:$C,1851),INDEX(Suivi!$D:$D,1851)))</f>
        <v/>
      </c>
      <c r="Q1816">
        <f>IF($O1816="","",INDEX(Suivi!$E:$E,1851))</f>
        <v/>
      </c>
      <c r="R1816">
        <f>IF($O1816="","",INDEX(Suivi!$F:$F,1851))</f>
        <v/>
      </c>
      <c r="S1816">
        <f>IF($O1816="","",INDEX(Suivi!$G:$G,1851))</f>
        <v/>
      </c>
      <c r="T1816">
        <f>IF($O1816="","",IF(INDEX(Dossiers!$F$4:$F$63,35)="","",INDEX(Dossiers!$F$4:$F$63,35)))</f>
        <v/>
      </c>
      <c r="U1816">
        <f>IF($O1816="","",IF(INDEX(Dossiers!$G$4:$G$63,35)="","",INDEX(Dossiers!$G$4:$G$63,35)))</f>
        <v/>
      </c>
      <c r="V1816">
        <f>IF(OR($O1816="",NOT(ISNUMBER($Q1816))),"",$Q1816*1000000+1816)</f>
        <v/>
      </c>
      <c r="W1816" s="29">
        <f>IF($B1816="","",IFERROR(INDEX($U$4:$U$3183,MATCH(SMALL($V$4:$V$3183,1813),$V$4:$V$3183,0)),""))</f>
        <v/>
      </c>
    </row>
    <row r="1817">
      <c r="A1817">
        <f>IFERROR(INDEX($N$4:$N$3183,MATCH(SMALL($V$4:$V$3183,1814),$V$4:$V$3183,0)),"")</f>
        <v/>
      </c>
      <c r="B1817">
        <f>IFERROR(INDEX($O$4:$O$3183,MATCH(SMALL($V$4:$V$3183,1814),$V$4:$V$3183,0)),"")</f>
        <v/>
      </c>
      <c r="C1817">
        <f>IFERROR(INDEX($P$4:$P$3183,MATCH(SMALL($V$4:$V$3183,1814),$V$4:$V$3183,0)),"")</f>
        <v/>
      </c>
      <c r="D1817" s="29">
        <f>IFERROR(INDEX($Q$4:$Q$3183,MATCH(SMALL($V$4:$V$3183,1814),$V$4:$V$3183,0)),"")</f>
        <v/>
      </c>
      <c r="E1817" s="29">
        <f>IFERROR(INDEX($R$4:$R$3183,MATCH(SMALL($V$4:$V$3183,1814),$V$4:$V$3183,0)),"")</f>
        <v/>
      </c>
      <c r="F1817">
        <f>IFERROR(INDEX($S$4:$S$3183,MATCH(SMALL($V$4:$V$3183,1814),$V$4:$V$3183,0)),"")</f>
        <v/>
      </c>
      <c r="I1817" s="29">
        <f>IF($B1817="","",IFERROR(INDEX($U$4:$U$3183,MATCH(SMALL($V$4:$V$3183,1814),$V$4:$V$3183,0)),""))</f>
        <v/>
      </c>
      <c r="J1817">
        <f>IF($B1817="","",IF($D1817&gt;$F$2,"À venir",IF($E1817&lt;$D$2,"Passé","Dans la période")))</f>
        <v/>
      </c>
      <c r="K1817">
        <f>IF(OR($B1817="",NOT(ISNUMBER($D1817))),"",IF(AND($E1817&lt;$D$2,$G1817&lt;&gt;"X",$F1817&lt;&gt;"Réalisé",$F1817&lt;&gt;"Clôturé"),"RETARD",""))</f>
        <v/>
      </c>
      <c r="L1817">
        <f>IF(OR($B1817="",NOT(ISNUMBER($D1817))),"",IF(AND($D1817&gt;=$D$2,$D1817&lt;=$H$2,$G1817&lt;&gt;"X",$F1817&lt;&gt;"Réalisé",$F1817&lt;&gt;"Clôturé"),"≤ 7 j",""))</f>
        <v/>
      </c>
      <c r="M1817" s="29">
        <f>IF($B1817="","",IFERROR(INDEX($T$4:$T$3183,MATCH(SMALL($V$4:$V$3183,1814),$V$4:$V$3183,0)),""))</f>
        <v/>
      </c>
      <c r="O1817">
        <f>IF(INDEX(Suivi!$B:$B,1852)="","",INDEX(Suivi!$B:$B,1852))</f>
        <v/>
      </c>
      <c r="P1817">
        <f>IF($O1817="","",IF(INDEX(Suivi!$D:$D,1852)="",INDEX(Suivi!$C:$C,1852),INDEX(Suivi!$D:$D,1852)))</f>
        <v/>
      </c>
      <c r="Q1817">
        <f>IF($O1817="","",INDEX(Suivi!$E:$E,1852))</f>
        <v/>
      </c>
      <c r="R1817">
        <f>IF($O1817="","",INDEX(Suivi!$F:$F,1852))</f>
        <v/>
      </c>
      <c r="S1817">
        <f>IF($O1817="","",INDEX(Suivi!$G:$G,1852))</f>
        <v/>
      </c>
      <c r="T1817">
        <f>IF($O1817="","",IF(INDEX(Dossiers!$F$4:$F$63,35)="","",INDEX(Dossiers!$F$4:$F$63,35)))</f>
        <v/>
      </c>
      <c r="U1817">
        <f>IF($O1817="","",IF(INDEX(Dossiers!$G$4:$G$63,35)="","",INDEX(Dossiers!$G$4:$G$63,35)))</f>
        <v/>
      </c>
      <c r="V1817">
        <f>IF(OR($O1817="",NOT(ISNUMBER($Q1817))),"",$Q1817*1000000+1817)</f>
        <v/>
      </c>
      <c r="W1817" s="29">
        <f>IF($B1817="","",IFERROR(INDEX($U$4:$U$3183,MATCH(SMALL($V$4:$V$3183,1814),$V$4:$V$3183,0)),""))</f>
        <v/>
      </c>
    </row>
    <row r="1818">
      <c r="A1818">
        <f>IFERROR(INDEX($N$4:$N$3183,MATCH(SMALL($V$4:$V$3183,1815),$V$4:$V$3183,0)),"")</f>
        <v/>
      </c>
      <c r="B1818">
        <f>IFERROR(INDEX($O$4:$O$3183,MATCH(SMALL($V$4:$V$3183,1815),$V$4:$V$3183,0)),"")</f>
        <v/>
      </c>
      <c r="C1818">
        <f>IFERROR(INDEX($P$4:$P$3183,MATCH(SMALL($V$4:$V$3183,1815),$V$4:$V$3183,0)),"")</f>
        <v/>
      </c>
      <c r="D1818" s="29">
        <f>IFERROR(INDEX($Q$4:$Q$3183,MATCH(SMALL($V$4:$V$3183,1815),$V$4:$V$3183,0)),"")</f>
        <v/>
      </c>
      <c r="E1818" s="29">
        <f>IFERROR(INDEX($R$4:$R$3183,MATCH(SMALL($V$4:$V$3183,1815),$V$4:$V$3183,0)),"")</f>
        <v/>
      </c>
      <c r="F1818">
        <f>IFERROR(INDEX($S$4:$S$3183,MATCH(SMALL($V$4:$V$3183,1815),$V$4:$V$3183,0)),"")</f>
        <v/>
      </c>
      <c r="I1818" s="29">
        <f>IF($B1818="","",IFERROR(INDEX($U$4:$U$3183,MATCH(SMALL($V$4:$V$3183,1815),$V$4:$V$3183,0)),""))</f>
        <v/>
      </c>
      <c r="J1818">
        <f>IF($B1818="","",IF($D1818&gt;$F$2,"À venir",IF($E1818&lt;$D$2,"Passé","Dans la période")))</f>
        <v/>
      </c>
      <c r="K1818">
        <f>IF(OR($B1818="",NOT(ISNUMBER($D1818))),"",IF(AND($E1818&lt;$D$2,$G1818&lt;&gt;"X",$F1818&lt;&gt;"Réalisé",$F1818&lt;&gt;"Clôturé"),"RETARD",""))</f>
        <v/>
      </c>
      <c r="L1818">
        <f>IF(OR($B1818="",NOT(ISNUMBER($D1818))),"",IF(AND($D1818&gt;=$D$2,$D1818&lt;=$H$2,$G1818&lt;&gt;"X",$F1818&lt;&gt;"Réalisé",$F1818&lt;&gt;"Clôturé"),"≤ 7 j",""))</f>
        <v/>
      </c>
      <c r="M1818" s="29">
        <f>IF($B1818="","",IFERROR(INDEX($T$4:$T$3183,MATCH(SMALL($V$4:$V$3183,1815),$V$4:$V$3183,0)),""))</f>
        <v/>
      </c>
      <c r="O1818">
        <f>IF(INDEX(Suivi!$B:$B,1853)="","",INDEX(Suivi!$B:$B,1853))</f>
        <v/>
      </c>
      <c r="P1818">
        <f>IF($O1818="","",IF(INDEX(Suivi!$D:$D,1853)="",INDEX(Suivi!$C:$C,1853),INDEX(Suivi!$D:$D,1853)))</f>
        <v/>
      </c>
      <c r="Q1818">
        <f>IF($O1818="","",INDEX(Suivi!$E:$E,1853))</f>
        <v/>
      </c>
      <c r="R1818">
        <f>IF($O1818="","",INDEX(Suivi!$F:$F,1853))</f>
        <v/>
      </c>
      <c r="S1818">
        <f>IF($O1818="","",INDEX(Suivi!$G:$G,1853))</f>
        <v/>
      </c>
      <c r="T1818">
        <f>IF($O1818="","",IF(INDEX(Dossiers!$F$4:$F$63,35)="","",INDEX(Dossiers!$F$4:$F$63,35)))</f>
        <v/>
      </c>
      <c r="U1818">
        <f>IF($O1818="","",IF(INDEX(Dossiers!$G$4:$G$63,35)="","",INDEX(Dossiers!$G$4:$G$63,35)))</f>
        <v/>
      </c>
      <c r="V1818">
        <f>IF(OR($O1818="",NOT(ISNUMBER($Q1818))),"",$Q1818*1000000+1818)</f>
        <v/>
      </c>
      <c r="W1818" s="29">
        <f>IF($B1818="","",IFERROR(INDEX($U$4:$U$3183,MATCH(SMALL($V$4:$V$3183,1815),$V$4:$V$3183,0)),""))</f>
        <v/>
      </c>
    </row>
    <row r="1819">
      <c r="A1819">
        <f>IFERROR(INDEX($N$4:$N$3183,MATCH(SMALL($V$4:$V$3183,1816),$V$4:$V$3183,0)),"")</f>
        <v/>
      </c>
      <c r="B1819">
        <f>IFERROR(INDEX($O$4:$O$3183,MATCH(SMALL($V$4:$V$3183,1816),$V$4:$V$3183,0)),"")</f>
        <v/>
      </c>
      <c r="C1819">
        <f>IFERROR(INDEX($P$4:$P$3183,MATCH(SMALL($V$4:$V$3183,1816),$V$4:$V$3183,0)),"")</f>
        <v/>
      </c>
      <c r="D1819" s="29">
        <f>IFERROR(INDEX($Q$4:$Q$3183,MATCH(SMALL($V$4:$V$3183,1816),$V$4:$V$3183,0)),"")</f>
        <v/>
      </c>
      <c r="E1819" s="29">
        <f>IFERROR(INDEX($R$4:$R$3183,MATCH(SMALL($V$4:$V$3183,1816),$V$4:$V$3183,0)),"")</f>
        <v/>
      </c>
      <c r="F1819">
        <f>IFERROR(INDEX($S$4:$S$3183,MATCH(SMALL($V$4:$V$3183,1816),$V$4:$V$3183,0)),"")</f>
        <v/>
      </c>
      <c r="I1819" s="29">
        <f>IF($B1819="","",IFERROR(INDEX($U$4:$U$3183,MATCH(SMALL($V$4:$V$3183,1816),$V$4:$V$3183,0)),""))</f>
        <v/>
      </c>
      <c r="J1819">
        <f>IF($B1819="","",IF($D1819&gt;$F$2,"À venir",IF($E1819&lt;$D$2,"Passé","Dans la période")))</f>
        <v/>
      </c>
      <c r="K1819">
        <f>IF(OR($B1819="",NOT(ISNUMBER($D1819))),"",IF(AND($E1819&lt;$D$2,$G1819&lt;&gt;"X",$F1819&lt;&gt;"Réalisé",$F1819&lt;&gt;"Clôturé"),"RETARD",""))</f>
        <v/>
      </c>
      <c r="L1819">
        <f>IF(OR($B1819="",NOT(ISNUMBER($D1819))),"",IF(AND($D1819&gt;=$D$2,$D1819&lt;=$H$2,$G1819&lt;&gt;"X",$F1819&lt;&gt;"Réalisé",$F1819&lt;&gt;"Clôturé"),"≤ 7 j",""))</f>
        <v/>
      </c>
      <c r="M1819" s="29">
        <f>IF($B1819="","",IFERROR(INDEX($T$4:$T$3183,MATCH(SMALL($V$4:$V$3183,1816),$V$4:$V$3183,0)),""))</f>
        <v/>
      </c>
      <c r="O1819">
        <f>IF(INDEX(Suivi!$B:$B,1854)="","",INDEX(Suivi!$B:$B,1854))</f>
        <v/>
      </c>
      <c r="P1819">
        <f>IF($O1819="","",IF(INDEX(Suivi!$D:$D,1854)="",INDEX(Suivi!$C:$C,1854),INDEX(Suivi!$D:$D,1854)))</f>
        <v/>
      </c>
      <c r="Q1819">
        <f>IF($O1819="","",INDEX(Suivi!$E:$E,1854))</f>
        <v/>
      </c>
      <c r="R1819">
        <f>IF($O1819="","",INDEX(Suivi!$F:$F,1854))</f>
        <v/>
      </c>
      <c r="S1819">
        <f>IF($O1819="","",INDEX(Suivi!$G:$G,1854))</f>
        <v/>
      </c>
      <c r="T1819">
        <f>IF($O1819="","",IF(INDEX(Dossiers!$F$4:$F$63,35)="","",INDEX(Dossiers!$F$4:$F$63,35)))</f>
        <v/>
      </c>
      <c r="U1819">
        <f>IF($O1819="","",IF(INDEX(Dossiers!$G$4:$G$63,35)="","",INDEX(Dossiers!$G$4:$G$63,35)))</f>
        <v/>
      </c>
      <c r="V1819">
        <f>IF(OR($O1819="",NOT(ISNUMBER($Q1819))),"",$Q1819*1000000+1819)</f>
        <v/>
      </c>
      <c r="W1819" s="29">
        <f>IF($B1819="","",IFERROR(INDEX($U$4:$U$3183,MATCH(SMALL($V$4:$V$3183,1816),$V$4:$V$3183,0)),""))</f>
        <v/>
      </c>
    </row>
    <row r="1820">
      <c r="A1820">
        <f>IFERROR(INDEX($N$4:$N$3183,MATCH(SMALL($V$4:$V$3183,1817),$V$4:$V$3183,0)),"")</f>
        <v/>
      </c>
      <c r="B1820">
        <f>IFERROR(INDEX($O$4:$O$3183,MATCH(SMALL($V$4:$V$3183,1817),$V$4:$V$3183,0)),"")</f>
        <v/>
      </c>
      <c r="C1820">
        <f>IFERROR(INDEX($P$4:$P$3183,MATCH(SMALL($V$4:$V$3183,1817),$V$4:$V$3183,0)),"")</f>
        <v/>
      </c>
      <c r="D1820" s="29">
        <f>IFERROR(INDEX($Q$4:$Q$3183,MATCH(SMALL($V$4:$V$3183,1817),$V$4:$V$3183,0)),"")</f>
        <v/>
      </c>
      <c r="E1820" s="29">
        <f>IFERROR(INDEX($R$4:$R$3183,MATCH(SMALL($V$4:$V$3183,1817),$V$4:$V$3183,0)),"")</f>
        <v/>
      </c>
      <c r="F1820">
        <f>IFERROR(INDEX($S$4:$S$3183,MATCH(SMALL($V$4:$V$3183,1817),$V$4:$V$3183,0)),"")</f>
        <v/>
      </c>
      <c r="I1820" s="29">
        <f>IF($B1820="","",IFERROR(INDEX($U$4:$U$3183,MATCH(SMALL($V$4:$V$3183,1817),$V$4:$V$3183,0)),""))</f>
        <v/>
      </c>
      <c r="J1820">
        <f>IF($B1820="","",IF($D1820&gt;$F$2,"À venir",IF($E1820&lt;$D$2,"Passé","Dans la période")))</f>
        <v/>
      </c>
      <c r="K1820">
        <f>IF(OR($B1820="",NOT(ISNUMBER($D1820))),"",IF(AND($E1820&lt;$D$2,$G1820&lt;&gt;"X",$F1820&lt;&gt;"Réalisé",$F1820&lt;&gt;"Clôturé"),"RETARD",""))</f>
        <v/>
      </c>
      <c r="L1820">
        <f>IF(OR($B1820="",NOT(ISNUMBER($D1820))),"",IF(AND($D1820&gt;=$D$2,$D1820&lt;=$H$2,$G1820&lt;&gt;"X",$F1820&lt;&gt;"Réalisé",$F1820&lt;&gt;"Clôturé"),"≤ 7 j",""))</f>
        <v/>
      </c>
      <c r="M1820" s="29">
        <f>IF($B1820="","",IFERROR(INDEX($T$4:$T$3183,MATCH(SMALL($V$4:$V$3183,1817),$V$4:$V$3183,0)),""))</f>
        <v/>
      </c>
      <c r="O1820">
        <f>IF(INDEX(Suivi!$B:$B,1855)="","",INDEX(Suivi!$B:$B,1855))</f>
        <v/>
      </c>
      <c r="P1820">
        <f>IF($O1820="","",IF(INDEX(Suivi!$D:$D,1855)="",INDEX(Suivi!$C:$C,1855),INDEX(Suivi!$D:$D,1855)))</f>
        <v/>
      </c>
      <c r="Q1820">
        <f>IF($O1820="","",INDEX(Suivi!$E:$E,1855))</f>
        <v/>
      </c>
      <c r="R1820">
        <f>IF($O1820="","",INDEX(Suivi!$F:$F,1855))</f>
        <v/>
      </c>
      <c r="S1820">
        <f>IF($O1820="","",INDEX(Suivi!$G:$G,1855))</f>
        <v/>
      </c>
      <c r="T1820">
        <f>IF($O1820="","",IF(INDEX(Dossiers!$F$4:$F$63,35)="","",INDEX(Dossiers!$F$4:$F$63,35)))</f>
        <v/>
      </c>
      <c r="U1820">
        <f>IF($O1820="","",IF(INDEX(Dossiers!$G$4:$G$63,35)="","",INDEX(Dossiers!$G$4:$G$63,35)))</f>
        <v/>
      </c>
      <c r="V1820">
        <f>IF(OR($O1820="",NOT(ISNUMBER($Q1820))),"",$Q1820*1000000+1820)</f>
        <v/>
      </c>
      <c r="W1820" s="29">
        <f>IF($B1820="","",IFERROR(INDEX($U$4:$U$3183,MATCH(SMALL($V$4:$V$3183,1817),$V$4:$V$3183,0)),""))</f>
        <v/>
      </c>
    </row>
    <row r="1821">
      <c r="A1821">
        <f>IFERROR(INDEX($N$4:$N$3183,MATCH(SMALL($V$4:$V$3183,1818),$V$4:$V$3183,0)),"")</f>
        <v/>
      </c>
      <c r="B1821">
        <f>IFERROR(INDEX($O$4:$O$3183,MATCH(SMALL($V$4:$V$3183,1818),$V$4:$V$3183,0)),"")</f>
        <v/>
      </c>
      <c r="C1821">
        <f>IFERROR(INDEX($P$4:$P$3183,MATCH(SMALL($V$4:$V$3183,1818),$V$4:$V$3183,0)),"")</f>
        <v/>
      </c>
      <c r="D1821" s="29">
        <f>IFERROR(INDEX($Q$4:$Q$3183,MATCH(SMALL($V$4:$V$3183,1818),$V$4:$V$3183,0)),"")</f>
        <v/>
      </c>
      <c r="E1821" s="29">
        <f>IFERROR(INDEX($R$4:$R$3183,MATCH(SMALL($V$4:$V$3183,1818),$V$4:$V$3183,0)),"")</f>
        <v/>
      </c>
      <c r="F1821">
        <f>IFERROR(INDEX($S$4:$S$3183,MATCH(SMALL($V$4:$V$3183,1818),$V$4:$V$3183,0)),"")</f>
        <v/>
      </c>
      <c r="I1821" s="29">
        <f>IF($B1821="","",IFERROR(INDEX($U$4:$U$3183,MATCH(SMALL($V$4:$V$3183,1818),$V$4:$V$3183,0)),""))</f>
        <v/>
      </c>
      <c r="J1821">
        <f>IF($B1821="","",IF($D1821&gt;$F$2,"À venir",IF($E1821&lt;$D$2,"Passé","Dans la période")))</f>
        <v/>
      </c>
      <c r="K1821">
        <f>IF(OR($B1821="",NOT(ISNUMBER($D1821))),"",IF(AND($E1821&lt;$D$2,$G1821&lt;&gt;"X",$F1821&lt;&gt;"Réalisé",$F1821&lt;&gt;"Clôturé"),"RETARD",""))</f>
        <v/>
      </c>
      <c r="L1821">
        <f>IF(OR($B1821="",NOT(ISNUMBER($D1821))),"",IF(AND($D1821&gt;=$D$2,$D1821&lt;=$H$2,$G1821&lt;&gt;"X",$F1821&lt;&gt;"Réalisé",$F1821&lt;&gt;"Clôturé"),"≤ 7 j",""))</f>
        <v/>
      </c>
      <c r="M1821" s="29">
        <f>IF($B1821="","",IFERROR(INDEX($T$4:$T$3183,MATCH(SMALL($V$4:$V$3183,1818),$V$4:$V$3183,0)),""))</f>
        <v/>
      </c>
      <c r="O1821">
        <f>IF(INDEX(Suivi!$B:$B,1856)="","",INDEX(Suivi!$B:$B,1856))</f>
        <v/>
      </c>
      <c r="P1821">
        <f>IF($O1821="","",IF(INDEX(Suivi!$D:$D,1856)="",INDEX(Suivi!$C:$C,1856),INDEX(Suivi!$D:$D,1856)))</f>
        <v/>
      </c>
      <c r="Q1821">
        <f>IF($O1821="","",INDEX(Suivi!$E:$E,1856))</f>
        <v/>
      </c>
      <c r="R1821">
        <f>IF($O1821="","",INDEX(Suivi!$F:$F,1856))</f>
        <v/>
      </c>
      <c r="S1821">
        <f>IF($O1821="","",INDEX(Suivi!$G:$G,1856))</f>
        <v/>
      </c>
      <c r="T1821">
        <f>IF($O1821="","",IF(INDEX(Dossiers!$F$4:$F$63,35)="","",INDEX(Dossiers!$F$4:$F$63,35)))</f>
        <v/>
      </c>
      <c r="U1821">
        <f>IF($O1821="","",IF(INDEX(Dossiers!$G$4:$G$63,35)="","",INDEX(Dossiers!$G$4:$G$63,35)))</f>
        <v/>
      </c>
      <c r="V1821">
        <f>IF(OR($O1821="",NOT(ISNUMBER($Q1821))),"",$Q1821*1000000+1821)</f>
        <v/>
      </c>
      <c r="W1821" s="29">
        <f>IF($B1821="","",IFERROR(INDEX($U$4:$U$3183,MATCH(SMALL($V$4:$V$3183,1818),$V$4:$V$3183,0)),""))</f>
        <v/>
      </c>
    </row>
    <row r="1822">
      <c r="A1822">
        <f>IFERROR(INDEX($N$4:$N$3183,MATCH(SMALL($V$4:$V$3183,1819),$V$4:$V$3183,0)),"")</f>
        <v/>
      </c>
      <c r="B1822">
        <f>IFERROR(INDEX($O$4:$O$3183,MATCH(SMALL($V$4:$V$3183,1819),$V$4:$V$3183,0)),"")</f>
        <v/>
      </c>
      <c r="C1822">
        <f>IFERROR(INDEX($P$4:$P$3183,MATCH(SMALL($V$4:$V$3183,1819),$V$4:$V$3183,0)),"")</f>
        <v/>
      </c>
      <c r="D1822" s="29">
        <f>IFERROR(INDEX($Q$4:$Q$3183,MATCH(SMALL($V$4:$V$3183,1819),$V$4:$V$3183,0)),"")</f>
        <v/>
      </c>
      <c r="E1822" s="29">
        <f>IFERROR(INDEX($R$4:$R$3183,MATCH(SMALL($V$4:$V$3183,1819),$V$4:$V$3183,0)),"")</f>
        <v/>
      </c>
      <c r="F1822">
        <f>IFERROR(INDEX($S$4:$S$3183,MATCH(SMALL($V$4:$V$3183,1819),$V$4:$V$3183,0)),"")</f>
        <v/>
      </c>
      <c r="I1822" s="29">
        <f>IF($B1822="","",IFERROR(INDEX($U$4:$U$3183,MATCH(SMALL($V$4:$V$3183,1819),$V$4:$V$3183,0)),""))</f>
        <v/>
      </c>
      <c r="J1822">
        <f>IF($B1822="","",IF($D1822&gt;$F$2,"À venir",IF($E1822&lt;$D$2,"Passé","Dans la période")))</f>
        <v/>
      </c>
      <c r="K1822">
        <f>IF(OR($B1822="",NOT(ISNUMBER($D1822))),"",IF(AND($E1822&lt;$D$2,$G1822&lt;&gt;"X",$F1822&lt;&gt;"Réalisé",$F1822&lt;&gt;"Clôturé"),"RETARD",""))</f>
        <v/>
      </c>
      <c r="L1822">
        <f>IF(OR($B1822="",NOT(ISNUMBER($D1822))),"",IF(AND($D1822&gt;=$D$2,$D1822&lt;=$H$2,$G1822&lt;&gt;"X",$F1822&lt;&gt;"Réalisé",$F1822&lt;&gt;"Clôturé"),"≤ 7 j",""))</f>
        <v/>
      </c>
      <c r="M1822" s="29">
        <f>IF($B1822="","",IFERROR(INDEX($T$4:$T$3183,MATCH(SMALL($V$4:$V$3183,1819),$V$4:$V$3183,0)),""))</f>
        <v/>
      </c>
      <c r="O1822">
        <f>IF(INDEX(Suivi!$B:$B,1857)="","",INDEX(Suivi!$B:$B,1857))</f>
        <v/>
      </c>
      <c r="P1822">
        <f>IF($O1822="","",IF(INDEX(Suivi!$D:$D,1857)="",INDEX(Suivi!$C:$C,1857),INDEX(Suivi!$D:$D,1857)))</f>
        <v/>
      </c>
      <c r="Q1822">
        <f>IF($O1822="","",INDEX(Suivi!$E:$E,1857))</f>
        <v/>
      </c>
      <c r="R1822">
        <f>IF($O1822="","",INDEX(Suivi!$F:$F,1857))</f>
        <v/>
      </c>
      <c r="S1822">
        <f>IF($O1822="","",INDEX(Suivi!$G:$G,1857))</f>
        <v/>
      </c>
      <c r="T1822">
        <f>IF($O1822="","",IF(INDEX(Dossiers!$F$4:$F$63,35)="","",INDEX(Dossiers!$F$4:$F$63,35)))</f>
        <v/>
      </c>
      <c r="U1822">
        <f>IF($O1822="","",IF(INDEX(Dossiers!$G$4:$G$63,35)="","",INDEX(Dossiers!$G$4:$G$63,35)))</f>
        <v/>
      </c>
      <c r="V1822">
        <f>IF(OR($O1822="",NOT(ISNUMBER($Q1822))),"",$Q1822*1000000+1822)</f>
        <v/>
      </c>
      <c r="W1822" s="29">
        <f>IF($B1822="","",IFERROR(INDEX($U$4:$U$3183,MATCH(SMALL($V$4:$V$3183,1819),$V$4:$V$3183,0)),""))</f>
        <v/>
      </c>
    </row>
    <row r="1823">
      <c r="A1823">
        <f>IFERROR(INDEX($N$4:$N$3183,MATCH(SMALL($V$4:$V$3183,1820),$V$4:$V$3183,0)),"")</f>
        <v/>
      </c>
      <c r="B1823">
        <f>IFERROR(INDEX($O$4:$O$3183,MATCH(SMALL($V$4:$V$3183,1820),$V$4:$V$3183,0)),"")</f>
        <v/>
      </c>
      <c r="C1823">
        <f>IFERROR(INDEX($P$4:$P$3183,MATCH(SMALL($V$4:$V$3183,1820),$V$4:$V$3183,0)),"")</f>
        <v/>
      </c>
      <c r="D1823" s="29">
        <f>IFERROR(INDEX($Q$4:$Q$3183,MATCH(SMALL($V$4:$V$3183,1820),$V$4:$V$3183,0)),"")</f>
        <v/>
      </c>
      <c r="E1823" s="29">
        <f>IFERROR(INDEX($R$4:$R$3183,MATCH(SMALL($V$4:$V$3183,1820),$V$4:$V$3183,0)),"")</f>
        <v/>
      </c>
      <c r="F1823">
        <f>IFERROR(INDEX($S$4:$S$3183,MATCH(SMALL($V$4:$V$3183,1820),$V$4:$V$3183,0)),"")</f>
        <v/>
      </c>
      <c r="I1823" s="29">
        <f>IF($B1823="","",IFERROR(INDEX($U$4:$U$3183,MATCH(SMALL($V$4:$V$3183,1820),$V$4:$V$3183,0)),""))</f>
        <v/>
      </c>
      <c r="J1823">
        <f>IF($B1823="","",IF($D1823&gt;$F$2,"À venir",IF($E1823&lt;$D$2,"Passé","Dans la période")))</f>
        <v/>
      </c>
      <c r="K1823">
        <f>IF(OR($B1823="",NOT(ISNUMBER($D1823))),"",IF(AND($E1823&lt;$D$2,$G1823&lt;&gt;"X",$F1823&lt;&gt;"Réalisé",$F1823&lt;&gt;"Clôturé"),"RETARD",""))</f>
        <v/>
      </c>
      <c r="L1823">
        <f>IF(OR($B1823="",NOT(ISNUMBER($D1823))),"",IF(AND($D1823&gt;=$D$2,$D1823&lt;=$H$2,$G1823&lt;&gt;"X",$F1823&lt;&gt;"Réalisé",$F1823&lt;&gt;"Clôturé"),"≤ 7 j",""))</f>
        <v/>
      </c>
      <c r="M1823" s="29">
        <f>IF($B1823="","",IFERROR(INDEX($T$4:$T$3183,MATCH(SMALL($V$4:$V$3183,1820),$V$4:$V$3183,0)),""))</f>
        <v/>
      </c>
      <c r="O1823">
        <f>IF(INDEX(Suivi!$B:$B,1858)="","",INDEX(Suivi!$B:$B,1858))</f>
        <v/>
      </c>
      <c r="P1823">
        <f>IF($O1823="","",IF(INDEX(Suivi!$D:$D,1858)="",INDEX(Suivi!$C:$C,1858),INDEX(Suivi!$D:$D,1858)))</f>
        <v/>
      </c>
      <c r="Q1823">
        <f>IF($O1823="","",INDEX(Suivi!$E:$E,1858))</f>
        <v/>
      </c>
      <c r="R1823">
        <f>IF($O1823="","",INDEX(Suivi!$F:$F,1858))</f>
        <v/>
      </c>
      <c r="S1823">
        <f>IF($O1823="","",INDEX(Suivi!$G:$G,1858))</f>
        <v/>
      </c>
      <c r="T1823">
        <f>IF($O1823="","",IF(INDEX(Dossiers!$F$4:$F$63,35)="","",INDEX(Dossiers!$F$4:$F$63,35)))</f>
        <v/>
      </c>
      <c r="U1823">
        <f>IF($O1823="","",IF(INDEX(Dossiers!$G$4:$G$63,35)="","",INDEX(Dossiers!$G$4:$G$63,35)))</f>
        <v/>
      </c>
      <c r="V1823">
        <f>IF(OR($O1823="",NOT(ISNUMBER($Q1823))),"",$Q1823*1000000+1823)</f>
        <v/>
      </c>
      <c r="W1823" s="29">
        <f>IF($B1823="","",IFERROR(INDEX($U$4:$U$3183,MATCH(SMALL($V$4:$V$3183,1820),$V$4:$V$3183,0)),""))</f>
        <v/>
      </c>
    </row>
    <row r="1824">
      <c r="A1824">
        <f>IFERROR(INDEX($N$4:$N$3183,MATCH(SMALL($V$4:$V$3183,1821),$V$4:$V$3183,0)),"")</f>
        <v/>
      </c>
      <c r="B1824">
        <f>IFERROR(INDEX($O$4:$O$3183,MATCH(SMALL($V$4:$V$3183,1821),$V$4:$V$3183,0)),"")</f>
        <v/>
      </c>
      <c r="C1824">
        <f>IFERROR(INDEX($P$4:$P$3183,MATCH(SMALL($V$4:$V$3183,1821),$V$4:$V$3183,0)),"")</f>
        <v/>
      </c>
      <c r="D1824" s="29">
        <f>IFERROR(INDEX($Q$4:$Q$3183,MATCH(SMALL($V$4:$V$3183,1821),$V$4:$V$3183,0)),"")</f>
        <v/>
      </c>
      <c r="E1824" s="29">
        <f>IFERROR(INDEX($R$4:$R$3183,MATCH(SMALL($V$4:$V$3183,1821),$V$4:$V$3183,0)),"")</f>
        <v/>
      </c>
      <c r="F1824">
        <f>IFERROR(INDEX($S$4:$S$3183,MATCH(SMALL($V$4:$V$3183,1821),$V$4:$V$3183,0)),"")</f>
        <v/>
      </c>
      <c r="I1824" s="29">
        <f>IF($B1824="","",IFERROR(INDEX($U$4:$U$3183,MATCH(SMALL($V$4:$V$3183,1821),$V$4:$V$3183,0)),""))</f>
        <v/>
      </c>
      <c r="J1824">
        <f>IF($B1824="","",IF($D1824&gt;$F$2,"À venir",IF($E1824&lt;$D$2,"Passé","Dans la période")))</f>
        <v/>
      </c>
      <c r="K1824">
        <f>IF(OR($B1824="",NOT(ISNUMBER($D1824))),"",IF(AND($E1824&lt;$D$2,$G1824&lt;&gt;"X",$F1824&lt;&gt;"Réalisé",$F1824&lt;&gt;"Clôturé"),"RETARD",""))</f>
        <v/>
      </c>
      <c r="L1824">
        <f>IF(OR($B1824="",NOT(ISNUMBER($D1824))),"",IF(AND($D1824&gt;=$D$2,$D1824&lt;=$H$2,$G1824&lt;&gt;"X",$F1824&lt;&gt;"Réalisé",$F1824&lt;&gt;"Clôturé"),"≤ 7 j",""))</f>
        <v/>
      </c>
      <c r="M1824" s="29">
        <f>IF($B1824="","",IFERROR(INDEX($T$4:$T$3183,MATCH(SMALL($V$4:$V$3183,1821),$V$4:$V$3183,0)),""))</f>
        <v/>
      </c>
      <c r="O1824">
        <f>IF(INDEX(Suivi!$B:$B,1859)="","",INDEX(Suivi!$B:$B,1859))</f>
        <v/>
      </c>
      <c r="P1824">
        <f>IF($O1824="","",IF(INDEX(Suivi!$D:$D,1859)="",INDEX(Suivi!$C:$C,1859),INDEX(Suivi!$D:$D,1859)))</f>
        <v/>
      </c>
      <c r="Q1824">
        <f>IF($O1824="","",INDEX(Suivi!$E:$E,1859))</f>
        <v/>
      </c>
      <c r="R1824">
        <f>IF($O1824="","",INDEX(Suivi!$F:$F,1859))</f>
        <v/>
      </c>
      <c r="S1824">
        <f>IF($O1824="","",INDEX(Suivi!$G:$G,1859))</f>
        <v/>
      </c>
      <c r="T1824">
        <f>IF($O1824="","",IF(INDEX(Dossiers!$F$4:$F$63,35)="","",INDEX(Dossiers!$F$4:$F$63,35)))</f>
        <v/>
      </c>
      <c r="U1824">
        <f>IF($O1824="","",IF(INDEX(Dossiers!$G$4:$G$63,35)="","",INDEX(Dossiers!$G$4:$G$63,35)))</f>
        <v/>
      </c>
      <c r="V1824">
        <f>IF(OR($O1824="",NOT(ISNUMBER($Q1824))),"",$Q1824*1000000+1824)</f>
        <v/>
      </c>
      <c r="W1824" s="29">
        <f>IF($B1824="","",IFERROR(INDEX($U$4:$U$3183,MATCH(SMALL($V$4:$V$3183,1821),$V$4:$V$3183,0)),""))</f>
        <v/>
      </c>
    </row>
    <row r="1825">
      <c r="A1825">
        <f>IFERROR(INDEX($N$4:$N$3183,MATCH(SMALL($V$4:$V$3183,1822),$V$4:$V$3183,0)),"")</f>
        <v/>
      </c>
      <c r="B1825">
        <f>IFERROR(INDEX($O$4:$O$3183,MATCH(SMALL($V$4:$V$3183,1822),$V$4:$V$3183,0)),"")</f>
        <v/>
      </c>
      <c r="C1825">
        <f>IFERROR(INDEX($P$4:$P$3183,MATCH(SMALL($V$4:$V$3183,1822),$V$4:$V$3183,0)),"")</f>
        <v/>
      </c>
      <c r="D1825" s="29">
        <f>IFERROR(INDEX($Q$4:$Q$3183,MATCH(SMALL($V$4:$V$3183,1822),$V$4:$V$3183,0)),"")</f>
        <v/>
      </c>
      <c r="E1825" s="29">
        <f>IFERROR(INDEX($R$4:$R$3183,MATCH(SMALL($V$4:$V$3183,1822),$V$4:$V$3183,0)),"")</f>
        <v/>
      </c>
      <c r="F1825">
        <f>IFERROR(INDEX($S$4:$S$3183,MATCH(SMALL($V$4:$V$3183,1822),$V$4:$V$3183,0)),"")</f>
        <v/>
      </c>
      <c r="I1825" s="29">
        <f>IF($B1825="","",IFERROR(INDEX($U$4:$U$3183,MATCH(SMALL($V$4:$V$3183,1822),$V$4:$V$3183,0)),""))</f>
        <v/>
      </c>
      <c r="J1825">
        <f>IF($B1825="","",IF($D1825&gt;$F$2,"À venir",IF($E1825&lt;$D$2,"Passé","Dans la période")))</f>
        <v/>
      </c>
      <c r="K1825">
        <f>IF(OR($B1825="",NOT(ISNUMBER($D1825))),"",IF(AND($E1825&lt;$D$2,$G1825&lt;&gt;"X",$F1825&lt;&gt;"Réalisé",$F1825&lt;&gt;"Clôturé"),"RETARD",""))</f>
        <v/>
      </c>
      <c r="L1825">
        <f>IF(OR($B1825="",NOT(ISNUMBER($D1825))),"",IF(AND($D1825&gt;=$D$2,$D1825&lt;=$H$2,$G1825&lt;&gt;"X",$F1825&lt;&gt;"Réalisé",$F1825&lt;&gt;"Clôturé"),"≤ 7 j",""))</f>
        <v/>
      </c>
      <c r="M1825" s="29">
        <f>IF($B1825="","",IFERROR(INDEX($T$4:$T$3183,MATCH(SMALL($V$4:$V$3183,1822),$V$4:$V$3183,0)),""))</f>
        <v/>
      </c>
      <c r="O1825">
        <f>IF(INDEX(Suivi!$B:$B,1860)="","",INDEX(Suivi!$B:$B,1860))</f>
        <v/>
      </c>
      <c r="P1825">
        <f>IF($O1825="","",IF(INDEX(Suivi!$D:$D,1860)="",INDEX(Suivi!$C:$C,1860),INDEX(Suivi!$D:$D,1860)))</f>
        <v/>
      </c>
      <c r="Q1825">
        <f>IF($O1825="","",INDEX(Suivi!$E:$E,1860))</f>
        <v/>
      </c>
      <c r="R1825">
        <f>IF($O1825="","",INDEX(Suivi!$F:$F,1860))</f>
        <v/>
      </c>
      <c r="S1825">
        <f>IF($O1825="","",INDEX(Suivi!$G:$G,1860))</f>
        <v/>
      </c>
      <c r="T1825">
        <f>IF($O1825="","",IF(INDEX(Dossiers!$F$4:$F$63,35)="","",INDEX(Dossiers!$F$4:$F$63,35)))</f>
        <v/>
      </c>
      <c r="U1825">
        <f>IF($O1825="","",IF(INDEX(Dossiers!$G$4:$G$63,35)="","",INDEX(Dossiers!$G$4:$G$63,35)))</f>
        <v/>
      </c>
      <c r="V1825">
        <f>IF(OR($O1825="",NOT(ISNUMBER($Q1825))),"",$Q1825*1000000+1825)</f>
        <v/>
      </c>
      <c r="W1825" s="29">
        <f>IF($B1825="","",IFERROR(INDEX($U$4:$U$3183,MATCH(SMALL($V$4:$V$3183,1822),$V$4:$V$3183,0)),""))</f>
        <v/>
      </c>
    </row>
    <row r="1826">
      <c r="A1826">
        <f>IFERROR(INDEX($N$4:$N$3183,MATCH(SMALL($V$4:$V$3183,1823),$V$4:$V$3183,0)),"")</f>
        <v/>
      </c>
      <c r="B1826">
        <f>IFERROR(INDEX($O$4:$O$3183,MATCH(SMALL($V$4:$V$3183,1823),$V$4:$V$3183,0)),"")</f>
        <v/>
      </c>
      <c r="C1826">
        <f>IFERROR(INDEX($P$4:$P$3183,MATCH(SMALL($V$4:$V$3183,1823),$V$4:$V$3183,0)),"")</f>
        <v/>
      </c>
      <c r="D1826" s="29">
        <f>IFERROR(INDEX($Q$4:$Q$3183,MATCH(SMALL($V$4:$V$3183,1823),$V$4:$V$3183,0)),"")</f>
        <v/>
      </c>
      <c r="E1826" s="29">
        <f>IFERROR(INDEX($R$4:$R$3183,MATCH(SMALL($V$4:$V$3183,1823),$V$4:$V$3183,0)),"")</f>
        <v/>
      </c>
      <c r="F1826">
        <f>IFERROR(INDEX($S$4:$S$3183,MATCH(SMALL($V$4:$V$3183,1823),$V$4:$V$3183,0)),"")</f>
        <v/>
      </c>
      <c r="I1826" s="29">
        <f>IF($B1826="","",IFERROR(INDEX($U$4:$U$3183,MATCH(SMALL($V$4:$V$3183,1823),$V$4:$V$3183,0)),""))</f>
        <v/>
      </c>
      <c r="J1826">
        <f>IF($B1826="","",IF($D1826&gt;$F$2,"À venir",IF($E1826&lt;$D$2,"Passé","Dans la période")))</f>
        <v/>
      </c>
      <c r="K1826">
        <f>IF(OR($B1826="",NOT(ISNUMBER($D1826))),"",IF(AND($E1826&lt;$D$2,$G1826&lt;&gt;"X",$F1826&lt;&gt;"Réalisé",$F1826&lt;&gt;"Clôturé"),"RETARD",""))</f>
        <v/>
      </c>
      <c r="L1826">
        <f>IF(OR($B1826="",NOT(ISNUMBER($D1826))),"",IF(AND($D1826&gt;=$D$2,$D1826&lt;=$H$2,$G1826&lt;&gt;"X",$F1826&lt;&gt;"Réalisé",$F1826&lt;&gt;"Clôturé"),"≤ 7 j",""))</f>
        <v/>
      </c>
      <c r="M1826" s="29">
        <f>IF($B1826="","",IFERROR(INDEX($T$4:$T$3183,MATCH(SMALL($V$4:$V$3183,1823),$V$4:$V$3183,0)),""))</f>
        <v/>
      </c>
      <c r="O1826">
        <f>IF(INDEX(Suivi!$B:$B,1861)="","",INDEX(Suivi!$B:$B,1861))</f>
        <v/>
      </c>
      <c r="P1826">
        <f>IF($O1826="","",IF(INDEX(Suivi!$D:$D,1861)="",INDEX(Suivi!$C:$C,1861),INDEX(Suivi!$D:$D,1861)))</f>
        <v/>
      </c>
      <c r="Q1826">
        <f>IF($O1826="","",INDEX(Suivi!$E:$E,1861))</f>
        <v/>
      </c>
      <c r="R1826">
        <f>IF($O1826="","",INDEX(Suivi!$F:$F,1861))</f>
        <v/>
      </c>
      <c r="S1826">
        <f>IF($O1826="","",INDEX(Suivi!$G:$G,1861))</f>
        <v/>
      </c>
      <c r="T1826">
        <f>IF($O1826="","",IF(INDEX(Dossiers!$F$4:$F$63,35)="","",INDEX(Dossiers!$F$4:$F$63,35)))</f>
        <v/>
      </c>
      <c r="U1826">
        <f>IF($O1826="","",IF(INDEX(Dossiers!$G$4:$G$63,35)="","",INDEX(Dossiers!$G$4:$G$63,35)))</f>
        <v/>
      </c>
      <c r="V1826">
        <f>IF(OR($O1826="",NOT(ISNUMBER($Q1826))),"",$Q1826*1000000+1826)</f>
        <v/>
      </c>
      <c r="W1826" s="29">
        <f>IF($B1826="","",IFERROR(INDEX($U$4:$U$3183,MATCH(SMALL($V$4:$V$3183,1823),$V$4:$V$3183,0)),""))</f>
        <v/>
      </c>
    </row>
    <row r="1827">
      <c r="A1827">
        <f>IFERROR(INDEX($N$4:$N$3183,MATCH(SMALL($V$4:$V$3183,1824),$V$4:$V$3183,0)),"")</f>
        <v/>
      </c>
      <c r="B1827">
        <f>IFERROR(INDEX($O$4:$O$3183,MATCH(SMALL($V$4:$V$3183,1824),$V$4:$V$3183,0)),"")</f>
        <v/>
      </c>
      <c r="C1827">
        <f>IFERROR(INDEX($P$4:$P$3183,MATCH(SMALL($V$4:$V$3183,1824),$V$4:$V$3183,0)),"")</f>
        <v/>
      </c>
      <c r="D1827" s="29">
        <f>IFERROR(INDEX($Q$4:$Q$3183,MATCH(SMALL($V$4:$V$3183,1824),$V$4:$V$3183,0)),"")</f>
        <v/>
      </c>
      <c r="E1827" s="29">
        <f>IFERROR(INDEX($R$4:$R$3183,MATCH(SMALL($V$4:$V$3183,1824),$V$4:$V$3183,0)),"")</f>
        <v/>
      </c>
      <c r="F1827">
        <f>IFERROR(INDEX($S$4:$S$3183,MATCH(SMALL($V$4:$V$3183,1824),$V$4:$V$3183,0)),"")</f>
        <v/>
      </c>
      <c r="I1827" s="29">
        <f>IF($B1827="","",IFERROR(INDEX($U$4:$U$3183,MATCH(SMALL($V$4:$V$3183,1824),$V$4:$V$3183,0)),""))</f>
        <v/>
      </c>
      <c r="J1827">
        <f>IF($B1827="","",IF($D1827&gt;$F$2,"À venir",IF($E1827&lt;$D$2,"Passé","Dans la période")))</f>
        <v/>
      </c>
      <c r="K1827">
        <f>IF(OR($B1827="",NOT(ISNUMBER($D1827))),"",IF(AND($E1827&lt;$D$2,$G1827&lt;&gt;"X",$F1827&lt;&gt;"Réalisé",$F1827&lt;&gt;"Clôturé"),"RETARD",""))</f>
        <v/>
      </c>
      <c r="L1827">
        <f>IF(OR($B1827="",NOT(ISNUMBER($D1827))),"",IF(AND($D1827&gt;=$D$2,$D1827&lt;=$H$2,$G1827&lt;&gt;"X",$F1827&lt;&gt;"Réalisé",$F1827&lt;&gt;"Clôturé"),"≤ 7 j",""))</f>
        <v/>
      </c>
      <c r="M1827" s="29">
        <f>IF($B1827="","",IFERROR(INDEX($T$4:$T$3183,MATCH(SMALL($V$4:$V$3183,1824),$V$4:$V$3183,0)),""))</f>
        <v/>
      </c>
      <c r="O1827">
        <f>IF(INDEX(Suivi!$B:$B,1862)="","",INDEX(Suivi!$B:$B,1862))</f>
        <v/>
      </c>
      <c r="P1827">
        <f>IF($O1827="","",IF(INDEX(Suivi!$D:$D,1862)="",INDEX(Suivi!$C:$C,1862),INDEX(Suivi!$D:$D,1862)))</f>
        <v/>
      </c>
      <c r="Q1827">
        <f>IF($O1827="","",INDEX(Suivi!$E:$E,1862))</f>
        <v/>
      </c>
      <c r="R1827">
        <f>IF($O1827="","",INDEX(Suivi!$F:$F,1862))</f>
        <v/>
      </c>
      <c r="S1827">
        <f>IF($O1827="","",INDEX(Suivi!$G:$G,1862))</f>
        <v/>
      </c>
      <c r="T1827">
        <f>IF($O1827="","",IF(INDEX(Dossiers!$F$4:$F$63,35)="","",INDEX(Dossiers!$F$4:$F$63,35)))</f>
        <v/>
      </c>
      <c r="U1827">
        <f>IF($O1827="","",IF(INDEX(Dossiers!$G$4:$G$63,35)="","",INDEX(Dossiers!$G$4:$G$63,35)))</f>
        <v/>
      </c>
      <c r="V1827">
        <f>IF(OR($O1827="",NOT(ISNUMBER($Q1827))),"",$Q1827*1000000+1827)</f>
        <v/>
      </c>
      <c r="W1827" s="29">
        <f>IF($B1827="","",IFERROR(INDEX($U$4:$U$3183,MATCH(SMALL($V$4:$V$3183,1824),$V$4:$V$3183,0)),""))</f>
        <v/>
      </c>
    </row>
    <row r="1828">
      <c r="A1828">
        <f>IFERROR(INDEX($N$4:$N$3183,MATCH(SMALL($V$4:$V$3183,1825),$V$4:$V$3183,0)),"")</f>
        <v/>
      </c>
      <c r="B1828">
        <f>IFERROR(INDEX($O$4:$O$3183,MATCH(SMALL($V$4:$V$3183,1825),$V$4:$V$3183,0)),"")</f>
        <v/>
      </c>
      <c r="C1828">
        <f>IFERROR(INDEX($P$4:$P$3183,MATCH(SMALL($V$4:$V$3183,1825),$V$4:$V$3183,0)),"")</f>
        <v/>
      </c>
      <c r="D1828" s="29">
        <f>IFERROR(INDEX($Q$4:$Q$3183,MATCH(SMALL($V$4:$V$3183,1825),$V$4:$V$3183,0)),"")</f>
        <v/>
      </c>
      <c r="E1828" s="29">
        <f>IFERROR(INDEX($R$4:$R$3183,MATCH(SMALL($V$4:$V$3183,1825),$V$4:$V$3183,0)),"")</f>
        <v/>
      </c>
      <c r="F1828">
        <f>IFERROR(INDEX($S$4:$S$3183,MATCH(SMALL($V$4:$V$3183,1825),$V$4:$V$3183,0)),"")</f>
        <v/>
      </c>
      <c r="I1828" s="29">
        <f>IF($B1828="","",IFERROR(INDEX($U$4:$U$3183,MATCH(SMALL($V$4:$V$3183,1825),$V$4:$V$3183,0)),""))</f>
        <v/>
      </c>
      <c r="J1828">
        <f>IF($B1828="","",IF($D1828&gt;$F$2,"À venir",IF($E1828&lt;$D$2,"Passé","Dans la période")))</f>
        <v/>
      </c>
      <c r="K1828">
        <f>IF(OR($B1828="",NOT(ISNUMBER($D1828))),"",IF(AND($E1828&lt;$D$2,$G1828&lt;&gt;"X",$F1828&lt;&gt;"Réalisé",$F1828&lt;&gt;"Clôturé"),"RETARD",""))</f>
        <v/>
      </c>
      <c r="L1828">
        <f>IF(OR($B1828="",NOT(ISNUMBER($D1828))),"",IF(AND($D1828&gt;=$D$2,$D1828&lt;=$H$2,$G1828&lt;&gt;"X",$F1828&lt;&gt;"Réalisé",$F1828&lt;&gt;"Clôturé"),"≤ 7 j",""))</f>
        <v/>
      </c>
      <c r="M1828" s="29">
        <f>IF($B1828="","",IFERROR(INDEX($T$4:$T$3183,MATCH(SMALL($V$4:$V$3183,1825),$V$4:$V$3183,0)),""))</f>
        <v/>
      </c>
      <c r="O1828">
        <f>IF(INDEX(Suivi!$B:$B,1863)="","",INDEX(Suivi!$B:$B,1863))</f>
        <v/>
      </c>
      <c r="P1828">
        <f>IF($O1828="","",IF(INDEX(Suivi!$D:$D,1863)="",INDEX(Suivi!$C:$C,1863),INDEX(Suivi!$D:$D,1863)))</f>
        <v/>
      </c>
      <c r="Q1828">
        <f>IF($O1828="","",INDEX(Suivi!$E:$E,1863))</f>
        <v/>
      </c>
      <c r="R1828">
        <f>IF($O1828="","",INDEX(Suivi!$F:$F,1863))</f>
        <v/>
      </c>
      <c r="S1828">
        <f>IF($O1828="","",INDEX(Suivi!$G:$G,1863))</f>
        <v/>
      </c>
      <c r="T1828">
        <f>IF($O1828="","",IF(INDEX(Dossiers!$F$4:$F$63,35)="","",INDEX(Dossiers!$F$4:$F$63,35)))</f>
        <v/>
      </c>
      <c r="U1828">
        <f>IF($O1828="","",IF(INDEX(Dossiers!$G$4:$G$63,35)="","",INDEX(Dossiers!$G$4:$G$63,35)))</f>
        <v/>
      </c>
      <c r="V1828">
        <f>IF(OR($O1828="",NOT(ISNUMBER($Q1828))),"",$Q1828*1000000+1828)</f>
        <v/>
      </c>
      <c r="W1828" s="29">
        <f>IF($B1828="","",IFERROR(INDEX($U$4:$U$3183,MATCH(SMALL($V$4:$V$3183,1825),$V$4:$V$3183,0)),""))</f>
        <v/>
      </c>
    </row>
    <row r="1829">
      <c r="A1829">
        <f>IFERROR(INDEX($N$4:$N$3183,MATCH(SMALL($V$4:$V$3183,1826),$V$4:$V$3183,0)),"")</f>
        <v/>
      </c>
      <c r="B1829">
        <f>IFERROR(INDEX($O$4:$O$3183,MATCH(SMALL($V$4:$V$3183,1826),$V$4:$V$3183,0)),"")</f>
        <v/>
      </c>
      <c r="C1829">
        <f>IFERROR(INDEX($P$4:$P$3183,MATCH(SMALL($V$4:$V$3183,1826),$V$4:$V$3183,0)),"")</f>
        <v/>
      </c>
      <c r="D1829" s="29">
        <f>IFERROR(INDEX($Q$4:$Q$3183,MATCH(SMALL($V$4:$V$3183,1826),$V$4:$V$3183,0)),"")</f>
        <v/>
      </c>
      <c r="E1829" s="29">
        <f>IFERROR(INDEX($R$4:$R$3183,MATCH(SMALL($V$4:$V$3183,1826),$V$4:$V$3183,0)),"")</f>
        <v/>
      </c>
      <c r="F1829">
        <f>IFERROR(INDEX($S$4:$S$3183,MATCH(SMALL($V$4:$V$3183,1826),$V$4:$V$3183,0)),"")</f>
        <v/>
      </c>
      <c r="I1829" s="29">
        <f>IF($B1829="","",IFERROR(INDEX($U$4:$U$3183,MATCH(SMALL($V$4:$V$3183,1826),$V$4:$V$3183,0)),""))</f>
        <v/>
      </c>
      <c r="J1829">
        <f>IF($B1829="","",IF($D1829&gt;$F$2,"À venir",IF($E1829&lt;$D$2,"Passé","Dans la période")))</f>
        <v/>
      </c>
      <c r="K1829">
        <f>IF(OR($B1829="",NOT(ISNUMBER($D1829))),"",IF(AND($E1829&lt;$D$2,$G1829&lt;&gt;"X",$F1829&lt;&gt;"Réalisé",$F1829&lt;&gt;"Clôturé"),"RETARD",""))</f>
        <v/>
      </c>
      <c r="L1829">
        <f>IF(OR($B1829="",NOT(ISNUMBER($D1829))),"",IF(AND($D1829&gt;=$D$2,$D1829&lt;=$H$2,$G1829&lt;&gt;"X",$F1829&lt;&gt;"Réalisé",$F1829&lt;&gt;"Clôturé"),"≤ 7 j",""))</f>
        <v/>
      </c>
      <c r="M1829" s="29">
        <f>IF($B1829="","",IFERROR(INDEX($T$4:$T$3183,MATCH(SMALL($V$4:$V$3183,1826),$V$4:$V$3183,0)),""))</f>
        <v/>
      </c>
      <c r="O1829">
        <f>IF(INDEX(Suivi!$B:$B,1864)="","",INDEX(Suivi!$B:$B,1864))</f>
        <v/>
      </c>
      <c r="P1829">
        <f>IF($O1829="","",IF(INDEX(Suivi!$D:$D,1864)="",INDEX(Suivi!$C:$C,1864),INDEX(Suivi!$D:$D,1864)))</f>
        <v/>
      </c>
      <c r="Q1829">
        <f>IF($O1829="","",INDEX(Suivi!$E:$E,1864))</f>
        <v/>
      </c>
      <c r="R1829">
        <f>IF($O1829="","",INDEX(Suivi!$F:$F,1864))</f>
        <v/>
      </c>
      <c r="S1829">
        <f>IF($O1829="","",INDEX(Suivi!$G:$G,1864))</f>
        <v/>
      </c>
      <c r="T1829">
        <f>IF($O1829="","",IF(INDEX(Dossiers!$F$4:$F$63,35)="","",INDEX(Dossiers!$F$4:$F$63,35)))</f>
        <v/>
      </c>
      <c r="U1829">
        <f>IF($O1829="","",IF(INDEX(Dossiers!$G$4:$G$63,35)="","",INDEX(Dossiers!$G$4:$G$63,35)))</f>
        <v/>
      </c>
      <c r="V1829">
        <f>IF(OR($O1829="",NOT(ISNUMBER($Q1829))),"",$Q1829*1000000+1829)</f>
        <v/>
      </c>
      <c r="W1829" s="29">
        <f>IF($B1829="","",IFERROR(INDEX($U$4:$U$3183,MATCH(SMALL($V$4:$V$3183,1826),$V$4:$V$3183,0)),""))</f>
        <v/>
      </c>
    </row>
    <row r="1830">
      <c r="A1830">
        <f>IFERROR(INDEX($N$4:$N$3183,MATCH(SMALL($V$4:$V$3183,1827),$V$4:$V$3183,0)),"")</f>
        <v/>
      </c>
      <c r="B1830">
        <f>IFERROR(INDEX($O$4:$O$3183,MATCH(SMALL($V$4:$V$3183,1827),$V$4:$V$3183,0)),"")</f>
        <v/>
      </c>
      <c r="C1830">
        <f>IFERROR(INDEX($P$4:$P$3183,MATCH(SMALL($V$4:$V$3183,1827),$V$4:$V$3183,0)),"")</f>
        <v/>
      </c>
      <c r="D1830" s="29">
        <f>IFERROR(INDEX($Q$4:$Q$3183,MATCH(SMALL($V$4:$V$3183,1827),$V$4:$V$3183,0)),"")</f>
        <v/>
      </c>
      <c r="E1830" s="29">
        <f>IFERROR(INDEX($R$4:$R$3183,MATCH(SMALL($V$4:$V$3183,1827),$V$4:$V$3183,0)),"")</f>
        <v/>
      </c>
      <c r="F1830">
        <f>IFERROR(INDEX($S$4:$S$3183,MATCH(SMALL($V$4:$V$3183,1827),$V$4:$V$3183,0)),"")</f>
        <v/>
      </c>
      <c r="I1830" s="29">
        <f>IF($B1830="","",IFERROR(INDEX($U$4:$U$3183,MATCH(SMALL($V$4:$V$3183,1827),$V$4:$V$3183,0)),""))</f>
        <v/>
      </c>
      <c r="J1830">
        <f>IF($B1830="","",IF($D1830&gt;$F$2,"À venir",IF($E1830&lt;$D$2,"Passé","Dans la période")))</f>
        <v/>
      </c>
      <c r="K1830">
        <f>IF(OR($B1830="",NOT(ISNUMBER($D1830))),"",IF(AND($E1830&lt;$D$2,$G1830&lt;&gt;"X",$F1830&lt;&gt;"Réalisé",$F1830&lt;&gt;"Clôturé"),"RETARD",""))</f>
        <v/>
      </c>
      <c r="L1830">
        <f>IF(OR($B1830="",NOT(ISNUMBER($D1830))),"",IF(AND($D1830&gt;=$D$2,$D1830&lt;=$H$2,$G1830&lt;&gt;"X",$F1830&lt;&gt;"Réalisé",$F1830&lt;&gt;"Clôturé"),"≤ 7 j",""))</f>
        <v/>
      </c>
      <c r="M1830" s="29">
        <f>IF($B1830="","",IFERROR(INDEX($T$4:$T$3183,MATCH(SMALL($V$4:$V$3183,1827),$V$4:$V$3183,0)),""))</f>
        <v/>
      </c>
      <c r="O1830">
        <f>IF(INDEX(Suivi!$B:$B,1865)="","",INDEX(Suivi!$B:$B,1865))</f>
        <v/>
      </c>
      <c r="P1830">
        <f>IF($O1830="","",IF(INDEX(Suivi!$D:$D,1865)="",INDEX(Suivi!$C:$C,1865),INDEX(Suivi!$D:$D,1865)))</f>
        <v/>
      </c>
      <c r="Q1830">
        <f>IF($O1830="","",INDEX(Suivi!$E:$E,1865))</f>
        <v/>
      </c>
      <c r="R1830">
        <f>IF($O1830="","",INDEX(Suivi!$F:$F,1865))</f>
        <v/>
      </c>
      <c r="S1830">
        <f>IF($O1830="","",INDEX(Suivi!$G:$G,1865))</f>
        <v/>
      </c>
      <c r="T1830">
        <f>IF($O1830="","",IF(INDEX(Dossiers!$F$4:$F$63,35)="","",INDEX(Dossiers!$F$4:$F$63,35)))</f>
        <v/>
      </c>
      <c r="U1830">
        <f>IF($O1830="","",IF(INDEX(Dossiers!$G$4:$G$63,35)="","",INDEX(Dossiers!$G$4:$G$63,35)))</f>
        <v/>
      </c>
      <c r="V1830">
        <f>IF(OR($O1830="",NOT(ISNUMBER($Q1830))),"",$Q1830*1000000+1830)</f>
        <v/>
      </c>
      <c r="W1830" s="29">
        <f>IF($B1830="","",IFERROR(INDEX($U$4:$U$3183,MATCH(SMALL($V$4:$V$3183,1827),$V$4:$V$3183,0)),""))</f>
        <v/>
      </c>
    </row>
    <row r="1831">
      <c r="A1831">
        <f>IFERROR(INDEX($N$4:$N$3183,MATCH(SMALL($V$4:$V$3183,1828),$V$4:$V$3183,0)),"")</f>
        <v/>
      </c>
      <c r="B1831">
        <f>IFERROR(INDEX($O$4:$O$3183,MATCH(SMALL($V$4:$V$3183,1828),$V$4:$V$3183,0)),"")</f>
        <v/>
      </c>
      <c r="C1831">
        <f>IFERROR(INDEX($P$4:$P$3183,MATCH(SMALL($V$4:$V$3183,1828),$V$4:$V$3183,0)),"")</f>
        <v/>
      </c>
      <c r="D1831" s="29">
        <f>IFERROR(INDEX($Q$4:$Q$3183,MATCH(SMALL($V$4:$V$3183,1828),$V$4:$V$3183,0)),"")</f>
        <v/>
      </c>
      <c r="E1831" s="29">
        <f>IFERROR(INDEX($R$4:$R$3183,MATCH(SMALL($V$4:$V$3183,1828),$V$4:$V$3183,0)),"")</f>
        <v/>
      </c>
      <c r="F1831">
        <f>IFERROR(INDEX($S$4:$S$3183,MATCH(SMALL($V$4:$V$3183,1828),$V$4:$V$3183,0)),"")</f>
        <v/>
      </c>
      <c r="I1831" s="29">
        <f>IF($B1831="","",IFERROR(INDEX($U$4:$U$3183,MATCH(SMALL($V$4:$V$3183,1828),$V$4:$V$3183,0)),""))</f>
        <v/>
      </c>
      <c r="J1831">
        <f>IF($B1831="","",IF($D1831&gt;$F$2,"À venir",IF($E1831&lt;$D$2,"Passé","Dans la période")))</f>
        <v/>
      </c>
      <c r="K1831">
        <f>IF(OR($B1831="",NOT(ISNUMBER($D1831))),"",IF(AND($E1831&lt;$D$2,$G1831&lt;&gt;"X",$F1831&lt;&gt;"Réalisé",$F1831&lt;&gt;"Clôturé"),"RETARD",""))</f>
        <v/>
      </c>
      <c r="L1831">
        <f>IF(OR($B1831="",NOT(ISNUMBER($D1831))),"",IF(AND($D1831&gt;=$D$2,$D1831&lt;=$H$2,$G1831&lt;&gt;"X",$F1831&lt;&gt;"Réalisé",$F1831&lt;&gt;"Clôturé"),"≤ 7 j",""))</f>
        <v/>
      </c>
      <c r="M1831" s="29">
        <f>IF($B1831="","",IFERROR(INDEX($T$4:$T$3183,MATCH(SMALL($V$4:$V$3183,1828),$V$4:$V$3183,0)),""))</f>
        <v/>
      </c>
      <c r="O1831">
        <f>IF(INDEX(Suivi!$B:$B,1866)="","",INDEX(Suivi!$B:$B,1866))</f>
        <v/>
      </c>
      <c r="P1831">
        <f>IF($O1831="","",IF(INDEX(Suivi!$D:$D,1866)="",INDEX(Suivi!$C:$C,1866),INDEX(Suivi!$D:$D,1866)))</f>
        <v/>
      </c>
      <c r="Q1831">
        <f>IF($O1831="","",INDEX(Suivi!$E:$E,1866))</f>
        <v/>
      </c>
      <c r="R1831">
        <f>IF($O1831="","",INDEX(Suivi!$F:$F,1866))</f>
        <v/>
      </c>
      <c r="S1831">
        <f>IF($O1831="","",INDEX(Suivi!$G:$G,1866))</f>
        <v/>
      </c>
      <c r="T1831">
        <f>IF($O1831="","",IF(INDEX(Dossiers!$F$4:$F$63,35)="","",INDEX(Dossiers!$F$4:$F$63,35)))</f>
        <v/>
      </c>
      <c r="U1831">
        <f>IF($O1831="","",IF(INDEX(Dossiers!$G$4:$G$63,35)="","",INDEX(Dossiers!$G$4:$G$63,35)))</f>
        <v/>
      </c>
      <c r="V1831">
        <f>IF(OR($O1831="",NOT(ISNUMBER($Q1831))),"",$Q1831*1000000+1831)</f>
        <v/>
      </c>
      <c r="W1831" s="29">
        <f>IF($B1831="","",IFERROR(INDEX($U$4:$U$3183,MATCH(SMALL($V$4:$V$3183,1828),$V$4:$V$3183,0)),""))</f>
        <v/>
      </c>
    </row>
    <row r="1832">
      <c r="A1832">
        <f>IFERROR(INDEX($N$4:$N$3183,MATCH(SMALL($V$4:$V$3183,1829),$V$4:$V$3183,0)),"")</f>
        <v/>
      </c>
      <c r="B1832">
        <f>IFERROR(INDEX($O$4:$O$3183,MATCH(SMALL($V$4:$V$3183,1829),$V$4:$V$3183,0)),"")</f>
        <v/>
      </c>
      <c r="C1832">
        <f>IFERROR(INDEX($P$4:$P$3183,MATCH(SMALL($V$4:$V$3183,1829),$V$4:$V$3183,0)),"")</f>
        <v/>
      </c>
      <c r="D1832" s="29">
        <f>IFERROR(INDEX($Q$4:$Q$3183,MATCH(SMALL($V$4:$V$3183,1829),$V$4:$V$3183,0)),"")</f>
        <v/>
      </c>
      <c r="E1832" s="29">
        <f>IFERROR(INDEX($R$4:$R$3183,MATCH(SMALL($V$4:$V$3183,1829),$V$4:$V$3183,0)),"")</f>
        <v/>
      </c>
      <c r="F1832">
        <f>IFERROR(INDEX($S$4:$S$3183,MATCH(SMALL($V$4:$V$3183,1829),$V$4:$V$3183,0)),"")</f>
        <v/>
      </c>
      <c r="I1832" s="29">
        <f>IF($B1832="","",IFERROR(INDEX($U$4:$U$3183,MATCH(SMALL($V$4:$V$3183,1829),$V$4:$V$3183,0)),""))</f>
        <v/>
      </c>
      <c r="J1832">
        <f>IF($B1832="","",IF($D1832&gt;$F$2,"À venir",IF($E1832&lt;$D$2,"Passé","Dans la période")))</f>
        <v/>
      </c>
      <c r="K1832">
        <f>IF(OR($B1832="",NOT(ISNUMBER($D1832))),"",IF(AND($E1832&lt;$D$2,$G1832&lt;&gt;"X",$F1832&lt;&gt;"Réalisé",$F1832&lt;&gt;"Clôturé"),"RETARD",""))</f>
        <v/>
      </c>
      <c r="L1832">
        <f>IF(OR($B1832="",NOT(ISNUMBER($D1832))),"",IF(AND($D1832&gt;=$D$2,$D1832&lt;=$H$2,$G1832&lt;&gt;"X",$F1832&lt;&gt;"Réalisé",$F1832&lt;&gt;"Clôturé"),"≤ 7 j",""))</f>
        <v/>
      </c>
      <c r="M1832" s="29">
        <f>IF($B1832="","",IFERROR(INDEX($T$4:$T$3183,MATCH(SMALL($V$4:$V$3183,1829),$V$4:$V$3183,0)),""))</f>
        <v/>
      </c>
      <c r="O1832">
        <f>IF(INDEX(Suivi!$B:$B,1867)="","",INDEX(Suivi!$B:$B,1867))</f>
        <v/>
      </c>
      <c r="P1832">
        <f>IF($O1832="","",IF(INDEX(Suivi!$D:$D,1867)="",INDEX(Suivi!$C:$C,1867),INDEX(Suivi!$D:$D,1867)))</f>
        <v/>
      </c>
      <c r="Q1832">
        <f>IF($O1832="","",INDEX(Suivi!$E:$E,1867))</f>
        <v/>
      </c>
      <c r="R1832">
        <f>IF($O1832="","",INDEX(Suivi!$F:$F,1867))</f>
        <v/>
      </c>
      <c r="S1832">
        <f>IF($O1832="","",INDEX(Suivi!$G:$G,1867))</f>
        <v/>
      </c>
      <c r="T1832">
        <f>IF($O1832="","",IF(INDEX(Dossiers!$F$4:$F$63,35)="","",INDEX(Dossiers!$F$4:$F$63,35)))</f>
        <v/>
      </c>
      <c r="U1832">
        <f>IF($O1832="","",IF(INDEX(Dossiers!$G$4:$G$63,35)="","",INDEX(Dossiers!$G$4:$G$63,35)))</f>
        <v/>
      </c>
      <c r="V1832">
        <f>IF(OR($O1832="",NOT(ISNUMBER($Q1832))),"",$Q1832*1000000+1832)</f>
        <v/>
      </c>
      <c r="W1832" s="29">
        <f>IF($B1832="","",IFERROR(INDEX($U$4:$U$3183,MATCH(SMALL($V$4:$V$3183,1829),$V$4:$V$3183,0)),""))</f>
        <v/>
      </c>
    </row>
    <row r="1833">
      <c r="A1833">
        <f>IFERROR(INDEX($N$4:$N$3183,MATCH(SMALL($V$4:$V$3183,1830),$V$4:$V$3183,0)),"")</f>
        <v/>
      </c>
      <c r="B1833">
        <f>IFERROR(INDEX($O$4:$O$3183,MATCH(SMALL($V$4:$V$3183,1830),$V$4:$V$3183,0)),"")</f>
        <v/>
      </c>
      <c r="C1833">
        <f>IFERROR(INDEX($P$4:$P$3183,MATCH(SMALL($V$4:$V$3183,1830),$V$4:$V$3183,0)),"")</f>
        <v/>
      </c>
      <c r="D1833" s="29">
        <f>IFERROR(INDEX($Q$4:$Q$3183,MATCH(SMALL($V$4:$V$3183,1830),$V$4:$V$3183,0)),"")</f>
        <v/>
      </c>
      <c r="E1833" s="29">
        <f>IFERROR(INDEX($R$4:$R$3183,MATCH(SMALL($V$4:$V$3183,1830),$V$4:$V$3183,0)),"")</f>
        <v/>
      </c>
      <c r="F1833">
        <f>IFERROR(INDEX($S$4:$S$3183,MATCH(SMALL($V$4:$V$3183,1830),$V$4:$V$3183,0)),"")</f>
        <v/>
      </c>
      <c r="I1833" s="29">
        <f>IF($B1833="","",IFERROR(INDEX($U$4:$U$3183,MATCH(SMALL($V$4:$V$3183,1830),$V$4:$V$3183,0)),""))</f>
        <v/>
      </c>
      <c r="J1833">
        <f>IF($B1833="","",IF($D1833&gt;$F$2,"À venir",IF($E1833&lt;$D$2,"Passé","Dans la période")))</f>
        <v/>
      </c>
      <c r="K1833">
        <f>IF(OR($B1833="",NOT(ISNUMBER($D1833))),"",IF(AND($E1833&lt;$D$2,$G1833&lt;&gt;"X",$F1833&lt;&gt;"Réalisé",$F1833&lt;&gt;"Clôturé"),"RETARD",""))</f>
        <v/>
      </c>
      <c r="L1833">
        <f>IF(OR($B1833="",NOT(ISNUMBER($D1833))),"",IF(AND($D1833&gt;=$D$2,$D1833&lt;=$H$2,$G1833&lt;&gt;"X",$F1833&lt;&gt;"Réalisé",$F1833&lt;&gt;"Clôturé"),"≤ 7 j",""))</f>
        <v/>
      </c>
      <c r="M1833" s="29">
        <f>IF($B1833="","",IFERROR(INDEX($T$4:$T$3183,MATCH(SMALL($V$4:$V$3183,1830),$V$4:$V$3183,0)),""))</f>
        <v/>
      </c>
      <c r="O1833">
        <f>IF(INDEX(Suivi!$B:$B,1868)="","",INDEX(Suivi!$B:$B,1868))</f>
        <v/>
      </c>
      <c r="P1833">
        <f>IF($O1833="","",IF(INDEX(Suivi!$D:$D,1868)="",INDEX(Suivi!$C:$C,1868),INDEX(Suivi!$D:$D,1868)))</f>
        <v/>
      </c>
      <c r="Q1833">
        <f>IF($O1833="","",INDEX(Suivi!$E:$E,1868))</f>
        <v/>
      </c>
      <c r="R1833">
        <f>IF($O1833="","",INDEX(Suivi!$F:$F,1868))</f>
        <v/>
      </c>
      <c r="S1833">
        <f>IF($O1833="","",INDEX(Suivi!$G:$G,1868))</f>
        <v/>
      </c>
      <c r="T1833">
        <f>IF($O1833="","",IF(INDEX(Dossiers!$F$4:$F$63,35)="","",INDEX(Dossiers!$F$4:$F$63,35)))</f>
        <v/>
      </c>
      <c r="U1833">
        <f>IF($O1833="","",IF(INDEX(Dossiers!$G$4:$G$63,35)="","",INDEX(Dossiers!$G$4:$G$63,35)))</f>
        <v/>
      </c>
      <c r="V1833">
        <f>IF(OR($O1833="",NOT(ISNUMBER($Q1833))),"",$Q1833*1000000+1833)</f>
        <v/>
      </c>
      <c r="W1833" s="29">
        <f>IF($B1833="","",IFERROR(INDEX($U$4:$U$3183,MATCH(SMALL($V$4:$V$3183,1830),$V$4:$V$3183,0)),""))</f>
        <v/>
      </c>
    </row>
    <row r="1834">
      <c r="A1834">
        <f>IFERROR(INDEX($N$4:$N$3183,MATCH(SMALL($V$4:$V$3183,1831),$V$4:$V$3183,0)),"")</f>
        <v/>
      </c>
      <c r="B1834">
        <f>IFERROR(INDEX($O$4:$O$3183,MATCH(SMALL($V$4:$V$3183,1831),$V$4:$V$3183,0)),"")</f>
        <v/>
      </c>
      <c r="C1834">
        <f>IFERROR(INDEX($P$4:$P$3183,MATCH(SMALL($V$4:$V$3183,1831),$V$4:$V$3183,0)),"")</f>
        <v/>
      </c>
      <c r="D1834" s="29">
        <f>IFERROR(INDEX($Q$4:$Q$3183,MATCH(SMALL($V$4:$V$3183,1831),$V$4:$V$3183,0)),"")</f>
        <v/>
      </c>
      <c r="E1834" s="29">
        <f>IFERROR(INDEX($R$4:$R$3183,MATCH(SMALL($V$4:$V$3183,1831),$V$4:$V$3183,0)),"")</f>
        <v/>
      </c>
      <c r="F1834">
        <f>IFERROR(INDEX($S$4:$S$3183,MATCH(SMALL($V$4:$V$3183,1831),$V$4:$V$3183,0)),"")</f>
        <v/>
      </c>
      <c r="I1834" s="29">
        <f>IF($B1834="","",IFERROR(INDEX($U$4:$U$3183,MATCH(SMALL($V$4:$V$3183,1831),$V$4:$V$3183,0)),""))</f>
        <v/>
      </c>
      <c r="J1834">
        <f>IF($B1834="","",IF($D1834&gt;$F$2,"À venir",IF($E1834&lt;$D$2,"Passé","Dans la période")))</f>
        <v/>
      </c>
      <c r="K1834">
        <f>IF(OR($B1834="",NOT(ISNUMBER($D1834))),"",IF(AND($E1834&lt;$D$2,$G1834&lt;&gt;"X",$F1834&lt;&gt;"Réalisé",$F1834&lt;&gt;"Clôturé"),"RETARD",""))</f>
        <v/>
      </c>
      <c r="L1834">
        <f>IF(OR($B1834="",NOT(ISNUMBER($D1834))),"",IF(AND($D1834&gt;=$D$2,$D1834&lt;=$H$2,$G1834&lt;&gt;"X",$F1834&lt;&gt;"Réalisé",$F1834&lt;&gt;"Clôturé"),"≤ 7 j",""))</f>
        <v/>
      </c>
      <c r="M1834" s="29">
        <f>IF($B1834="","",IFERROR(INDEX($T$4:$T$3183,MATCH(SMALL($V$4:$V$3183,1831),$V$4:$V$3183,0)),""))</f>
        <v/>
      </c>
      <c r="O1834">
        <f>IF(INDEX(Suivi!$B:$B,1869)="","",INDEX(Suivi!$B:$B,1869))</f>
        <v/>
      </c>
      <c r="P1834">
        <f>IF($O1834="","",IF(INDEX(Suivi!$D:$D,1869)="",INDEX(Suivi!$C:$C,1869),INDEX(Suivi!$D:$D,1869)))</f>
        <v/>
      </c>
      <c r="Q1834">
        <f>IF($O1834="","",INDEX(Suivi!$E:$E,1869))</f>
        <v/>
      </c>
      <c r="R1834">
        <f>IF($O1834="","",INDEX(Suivi!$F:$F,1869))</f>
        <v/>
      </c>
      <c r="S1834">
        <f>IF($O1834="","",INDEX(Suivi!$G:$G,1869))</f>
        <v/>
      </c>
      <c r="T1834">
        <f>IF($O1834="","",IF(INDEX(Dossiers!$F$4:$F$63,35)="","",INDEX(Dossiers!$F$4:$F$63,35)))</f>
        <v/>
      </c>
      <c r="U1834">
        <f>IF($O1834="","",IF(INDEX(Dossiers!$G$4:$G$63,35)="","",INDEX(Dossiers!$G$4:$G$63,35)))</f>
        <v/>
      </c>
      <c r="V1834">
        <f>IF(OR($O1834="",NOT(ISNUMBER($Q1834))),"",$Q1834*1000000+1834)</f>
        <v/>
      </c>
      <c r="W1834" s="29">
        <f>IF($B1834="","",IFERROR(INDEX($U$4:$U$3183,MATCH(SMALL($V$4:$V$3183,1831),$V$4:$V$3183,0)),""))</f>
        <v/>
      </c>
    </row>
    <row r="1835">
      <c r="A1835">
        <f>IFERROR(INDEX($N$4:$N$3183,MATCH(SMALL($V$4:$V$3183,1832),$V$4:$V$3183,0)),"")</f>
        <v/>
      </c>
      <c r="B1835">
        <f>IFERROR(INDEX($O$4:$O$3183,MATCH(SMALL($V$4:$V$3183,1832),$V$4:$V$3183,0)),"")</f>
        <v/>
      </c>
      <c r="C1835">
        <f>IFERROR(INDEX($P$4:$P$3183,MATCH(SMALL($V$4:$V$3183,1832),$V$4:$V$3183,0)),"")</f>
        <v/>
      </c>
      <c r="D1835" s="29">
        <f>IFERROR(INDEX($Q$4:$Q$3183,MATCH(SMALL($V$4:$V$3183,1832),$V$4:$V$3183,0)),"")</f>
        <v/>
      </c>
      <c r="E1835" s="29">
        <f>IFERROR(INDEX($R$4:$R$3183,MATCH(SMALL($V$4:$V$3183,1832),$V$4:$V$3183,0)),"")</f>
        <v/>
      </c>
      <c r="F1835">
        <f>IFERROR(INDEX($S$4:$S$3183,MATCH(SMALL($V$4:$V$3183,1832),$V$4:$V$3183,0)),"")</f>
        <v/>
      </c>
      <c r="I1835" s="29">
        <f>IF($B1835="","",IFERROR(INDEX($U$4:$U$3183,MATCH(SMALL($V$4:$V$3183,1832),$V$4:$V$3183,0)),""))</f>
        <v/>
      </c>
      <c r="J1835">
        <f>IF($B1835="","",IF($D1835&gt;$F$2,"À venir",IF($E1835&lt;$D$2,"Passé","Dans la période")))</f>
        <v/>
      </c>
      <c r="K1835">
        <f>IF(OR($B1835="",NOT(ISNUMBER($D1835))),"",IF(AND($E1835&lt;$D$2,$G1835&lt;&gt;"X",$F1835&lt;&gt;"Réalisé",$F1835&lt;&gt;"Clôturé"),"RETARD",""))</f>
        <v/>
      </c>
      <c r="L1835">
        <f>IF(OR($B1835="",NOT(ISNUMBER($D1835))),"",IF(AND($D1835&gt;=$D$2,$D1835&lt;=$H$2,$G1835&lt;&gt;"X",$F1835&lt;&gt;"Réalisé",$F1835&lt;&gt;"Clôturé"),"≤ 7 j",""))</f>
        <v/>
      </c>
      <c r="M1835" s="29">
        <f>IF($B1835="","",IFERROR(INDEX($T$4:$T$3183,MATCH(SMALL($V$4:$V$3183,1832),$V$4:$V$3183,0)),""))</f>
        <v/>
      </c>
      <c r="O1835">
        <f>IF(INDEX(Suivi!$B:$B,1870)="","",INDEX(Suivi!$B:$B,1870))</f>
        <v/>
      </c>
      <c r="P1835">
        <f>IF($O1835="","",IF(INDEX(Suivi!$D:$D,1870)="",INDEX(Suivi!$C:$C,1870),INDEX(Suivi!$D:$D,1870)))</f>
        <v/>
      </c>
      <c r="Q1835">
        <f>IF($O1835="","",INDEX(Suivi!$E:$E,1870))</f>
        <v/>
      </c>
      <c r="R1835">
        <f>IF($O1835="","",INDEX(Suivi!$F:$F,1870))</f>
        <v/>
      </c>
      <c r="S1835">
        <f>IF($O1835="","",INDEX(Suivi!$G:$G,1870))</f>
        <v/>
      </c>
      <c r="T1835">
        <f>IF($O1835="","",IF(INDEX(Dossiers!$F$4:$F$63,35)="","",INDEX(Dossiers!$F$4:$F$63,35)))</f>
        <v/>
      </c>
      <c r="U1835">
        <f>IF($O1835="","",IF(INDEX(Dossiers!$G$4:$G$63,35)="","",INDEX(Dossiers!$G$4:$G$63,35)))</f>
        <v/>
      </c>
      <c r="V1835">
        <f>IF(OR($O1835="",NOT(ISNUMBER($Q1835))),"",$Q1835*1000000+1835)</f>
        <v/>
      </c>
      <c r="W1835" s="29">
        <f>IF($B1835="","",IFERROR(INDEX($U$4:$U$3183,MATCH(SMALL($V$4:$V$3183,1832),$V$4:$V$3183,0)),""))</f>
        <v/>
      </c>
    </row>
    <row r="1836">
      <c r="A1836">
        <f>IFERROR(INDEX($N$4:$N$3183,MATCH(SMALL($V$4:$V$3183,1833),$V$4:$V$3183,0)),"")</f>
        <v/>
      </c>
      <c r="B1836">
        <f>IFERROR(INDEX($O$4:$O$3183,MATCH(SMALL($V$4:$V$3183,1833),$V$4:$V$3183,0)),"")</f>
        <v/>
      </c>
      <c r="C1836">
        <f>IFERROR(INDEX($P$4:$P$3183,MATCH(SMALL($V$4:$V$3183,1833),$V$4:$V$3183,0)),"")</f>
        <v/>
      </c>
      <c r="D1836" s="29">
        <f>IFERROR(INDEX($Q$4:$Q$3183,MATCH(SMALL($V$4:$V$3183,1833),$V$4:$V$3183,0)),"")</f>
        <v/>
      </c>
      <c r="E1836" s="29">
        <f>IFERROR(INDEX($R$4:$R$3183,MATCH(SMALL($V$4:$V$3183,1833),$V$4:$V$3183,0)),"")</f>
        <v/>
      </c>
      <c r="F1836">
        <f>IFERROR(INDEX($S$4:$S$3183,MATCH(SMALL($V$4:$V$3183,1833),$V$4:$V$3183,0)),"")</f>
        <v/>
      </c>
      <c r="I1836" s="29">
        <f>IF($B1836="","",IFERROR(INDEX($U$4:$U$3183,MATCH(SMALL($V$4:$V$3183,1833),$V$4:$V$3183,0)),""))</f>
        <v/>
      </c>
      <c r="J1836">
        <f>IF($B1836="","",IF($D1836&gt;$F$2,"À venir",IF($E1836&lt;$D$2,"Passé","Dans la période")))</f>
        <v/>
      </c>
      <c r="K1836">
        <f>IF(OR($B1836="",NOT(ISNUMBER($D1836))),"",IF(AND($E1836&lt;$D$2,$G1836&lt;&gt;"X",$F1836&lt;&gt;"Réalisé",$F1836&lt;&gt;"Clôturé"),"RETARD",""))</f>
        <v/>
      </c>
      <c r="L1836">
        <f>IF(OR($B1836="",NOT(ISNUMBER($D1836))),"",IF(AND($D1836&gt;=$D$2,$D1836&lt;=$H$2,$G1836&lt;&gt;"X",$F1836&lt;&gt;"Réalisé",$F1836&lt;&gt;"Clôturé"),"≤ 7 j",""))</f>
        <v/>
      </c>
      <c r="M1836" s="29">
        <f>IF($B1836="","",IFERROR(INDEX($T$4:$T$3183,MATCH(SMALL($V$4:$V$3183,1833),$V$4:$V$3183,0)),""))</f>
        <v/>
      </c>
      <c r="O1836">
        <f>IF(INDEX(Suivi!$B:$B,1871)="","",INDEX(Suivi!$B:$B,1871))</f>
        <v/>
      </c>
      <c r="P1836">
        <f>IF($O1836="","",IF(INDEX(Suivi!$D:$D,1871)="",INDEX(Suivi!$C:$C,1871),INDEX(Suivi!$D:$D,1871)))</f>
        <v/>
      </c>
      <c r="Q1836">
        <f>IF($O1836="","",INDEX(Suivi!$E:$E,1871))</f>
        <v/>
      </c>
      <c r="R1836">
        <f>IF($O1836="","",INDEX(Suivi!$F:$F,1871))</f>
        <v/>
      </c>
      <c r="S1836">
        <f>IF($O1836="","",INDEX(Suivi!$G:$G,1871))</f>
        <v/>
      </c>
      <c r="T1836">
        <f>IF($O1836="","",IF(INDEX(Dossiers!$F$4:$F$63,35)="","",INDEX(Dossiers!$F$4:$F$63,35)))</f>
        <v/>
      </c>
      <c r="U1836">
        <f>IF($O1836="","",IF(INDEX(Dossiers!$G$4:$G$63,35)="","",INDEX(Dossiers!$G$4:$G$63,35)))</f>
        <v/>
      </c>
      <c r="V1836">
        <f>IF(OR($O1836="",NOT(ISNUMBER($Q1836))),"",$Q1836*1000000+1836)</f>
        <v/>
      </c>
      <c r="W1836" s="29">
        <f>IF($B1836="","",IFERROR(INDEX($U$4:$U$3183,MATCH(SMALL($V$4:$V$3183,1833),$V$4:$V$3183,0)),""))</f>
        <v/>
      </c>
    </row>
    <row r="1837">
      <c r="A1837">
        <f>IFERROR(INDEX($N$4:$N$3183,MATCH(SMALL($V$4:$V$3183,1834),$V$4:$V$3183,0)),"")</f>
        <v/>
      </c>
      <c r="B1837">
        <f>IFERROR(INDEX($O$4:$O$3183,MATCH(SMALL($V$4:$V$3183,1834),$V$4:$V$3183,0)),"")</f>
        <v/>
      </c>
      <c r="C1837">
        <f>IFERROR(INDEX($P$4:$P$3183,MATCH(SMALL($V$4:$V$3183,1834),$V$4:$V$3183,0)),"")</f>
        <v/>
      </c>
      <c r="D1837" s="29">
        <f>IFERROR(INDEX($Q$4:$Q$3183,MATCH(SMALL($V$4:$V$3183,1834),$V$4:$V$3183,0)),"")</f>
        <v/>
      </c>
      <c r="E1837" s="29">
        <f>IFERROR(INDEX($R$4:$R$3183,MATCH(SMALL($V$4:$V$3183,1834),$V$4:$V$3183,0)),"")</f>
        <v/>
      </c>
      <c r="F1837">
        <f>IFERROR(INDEX($S$4:$S$3183,MATCH(SMALL($V$4:$V$3183,1834),$V$4:$V$3183,0)),"")</f>
        <v/>
      </c>
      <c r="I1837" s="29">
        <f>IF($B1837="","",IFERROR(INDEX($U$4:$U$3183,MATCH(SMALL($V$4:$V$3183,1834),$V$4:$V$3183,0)),""))</f>
        <v/>
      </c>
      <c r="J1837">
        <f>IF($B1837="","",IF($D1837&gt;$F$2,"À venir",IF($E1837&lt;$D$2,"Passé","Dans la période")))</f>
        <v/>
      </c>
      <c r="K1837">
        <f>IF(OR($B1837="",NOT(ISNUMBER($D1837))),"",IF(AND($E1837&lt;$D$2,$G1837&lt;&gt;"X",$F1837&lt;&gt;"Réalisé",$F1837&lt;&gt;"Clôturé"),"RETARD",""))</f>
        <v/>
      </c>
      <c r="L1837">
        <f>IF(OR($B1837="",NOT(ISNUMBER($D1837))),"",IF(AND($D1837&gt;=$D$2,$D1837&lt;=$H$2,$G1837&lt;&gt;"X",$F1837&lt;&gt;"Réalisé",$F1837&lt;&gt;"Clôturé"),"≤ 7 j",""))</f>
        <v/>
      </c>
      <c r="M1837" s="29">
        <f>IF($B1837="","",IFERROR(INDEX($T$4:$T$3183,MATCH(SMALL($V$4:$V$3183,1834),$V$4:$V$3183,0)),""))</f>
        <v/>
      </c>
      <c r="O1837">
        <f>IF(INDEX(Suivi!$B:$B,1872)="","",INDEX(Suivi!$B:$B,1872))</f>
        <v/>
      </c>
      <c r="P1837">
        <f>IF($O1837="","",IF(INDEX(Suivi!$D:$D,1872)="",INDEX(Suivi!$C:$C,1872),INDEX(Suivi!$D:$D,1872)))</f>
        <v/>
      </c>
      <c r="Q1837">
        <f>IF($O1837="","",INDEX(Suivi!$E:$E,1872))</f>
        <v/>
      </c>
      <c r="R1837">
        <f>IF($O1837="","",INDEX(Suivi!$F:$F,1872))</f>
        <v/>
      </c>
      <c r="S1837">
        <f>IF($O1837="","",INDEX(Suivi!$G:$G,1872))</f>
        <v/>
      </c>
      <c r="T1837">
        <f>IF($O1837="","",IF(INDEX(Dossiers!$F$4:$F$63,35)="","",INDEX(Dossiers!$F$4:$F$63,35)))</f>
        <v/>
      </c>
      <c r="U1837">
        <f>IF($O1837="","",IF(INDEX(Dossiers!$G$4:$G$63,35)="","",INDEX(Dossiers!$G$4:$G$63,35)))</f>
        <v/>
      </c>
      <c r="V1837">
        <f>IF(OR($O1837="",NOT(ISNUMBER($Q1837))),"",$Q1837*1000000+1837)</f>
        <v/>
      </c>
      <c r="W1837" s="29">
        <f>IF($B1837="","",IFERROR(INDEX($U$4:$U$3183,MATCH(SMALL($V$4:$V$3183,1834),$V$4:$V$3183,0)),""))</f>
        <v/>
      </c>
    </row>
    <row r="1838">
      <c r="A1838">
        <f>IFERROR(INDEX($N$4:$N$3183,MATCH(SMALL($V$4:$V$3183,1835),$V$4:$V$3183,0)),"")</f>
        <v/>
      </c>
      <c r="B1838">
        <f>IFERROR(INDEX($O$4:$O$3183,MATCH(SMALL($V$4:$V$3183,1835),$V$4:$V$3183,0)),"")</f>
        <v/>
      </c>
      <c r="C1838">
        <f>IFERROR(INDEX($P$4:$P$3183,MATCH(SMALL($V$4:$V$3183,1835),$V$4:$V$3183,0)),"")</f>
        <v/>
      </c>
      <c r="D1838" s="29">
        <f>IFERROR(INDEX($Q$4:$Q$3183,MATCH(SMALL($V$4:$V$3183,1835),$V$4:$V$3183,0)),"")</f>
        <v/>
      </c>
      <c r="E1838" s="29">
        <f>IFERROR(INDEX($R$4:$R$3183,MATCH(SMALL($V$4:$V$3183,1835),$V$4:$V$3183,0)),"")</f>
        <v/>
      </c>
      <c r="F1838">
        <f>IFERROR(INDEX($S$4:$S$3183,MATCH(SMALL($V$4:$V$3183,1835),$V$4:$V$3183,0)),"")</f>
        <v/>
      </c>
      <c r="I1838" s="29">
        <f>IF($B1838="","",IFERROR(INDEX($U$4:$U$3183,MATCH(SMALL($V$4:$V$3183,1835),$V$4:$V$3183,0)),""))</f>
        <v/>
      </c>
      <c r="J1838">
        <f>IF($B1838="","",IF($D1838&gt;$F$2,"À venir",IF($E1838&lt;$D$2,"Passé","Dans la période")))</f>
        <v/>
      </c>
      <c r="K1838">
        <f>IF(OR($B1838="",NOT(ISNUMBER($D1838))),"",IF(AND($E1838&lt;$D$2,$G1838&lt;&gt;"X",$F1838&lt;&gt;"Réalisé",$F1838&lt;&gt;"Clôturé"),"RETARD",""))</f>
        <v/>
      </c>
      <c r="L1838">
        <f>IF(OR($B1838="",NOT(ISNUMBER($D1838))),"",IF(AND($D1838&gt;=$D$2,$D1838&lt;=$H$2,$G1838&lt;&gt;"X",$F1838&lt;&gt;"Réalisé",$F1838&lt;&gt;"Clôturé"),"≤ 7 j",""))</f>
        <v/>
      </c>
      <c r="M1838" s="29">
        <f>IF($B1838="","",IFERROR(INDEX($T$4:$T$3183,MATCH(SMALL($V$4:$V$3183,1835),$V$4:$V$3183,0)),""))</f>
        <v/>
      </c>
      <c r="O1838">
        <f>IF(INDEX(Suivi!$B:$B,1873)="","",INDEX(Suivi!$B:$B,1873))</f>
        <v/>
      </c>
      <c r="P1838">
        <f>IF($O1838="","",IF(INDEX(Suivi!$D:$D,1873)="",INDEX(Suivi!$C:$C,1873),INDEX(Suivi!$D:$D,1873)))</f>
        <v/>
      </c>
      <c r="Q1838">
        <f>IF($O1838="","",INDEX(Suivi!$E:$E,1873))</f>
        <v/>
      </c>
      <c r="R1838">
        <f>IF($O1838="","",INDEX(Suivi!$F:$F,1873))</f>
        <v/>
      </c>
      <c r="S1838">
        <f>IF($O1838="","",INDEX(Suivi!$G:$G,1873))</f>
        <v/>
      </c>
      <c r="T1838">
        <f>IF($O1838="","",IF(INDEX(Dossiers!$F$4:$F$63,35)="","",INDEX(Dossiers!$F$4:$F$63,35)))</f>
        <v/>
      </c>
      <c r="U1838">
        <f>IF($O1838="","",IF(INDEX(Dossiers!$G$4:$G$63,35)="","",INDEX(Dossiers!$G$4:$G$63,35)))</f>
        <v/>
      </c>
      <c r="V1838">
        <f>IF(OR($O1838="",NOT(ISNUMBER($Q1838))),"",$Q1838*1000000+1838)</f>
        <v/>
      </c>
      <c r="W1838" s="29">
        <f>IF($B1838="","",IFERROR(INDEX($U$4:$U$3183,MATCH(SMALL($V$4:$V$3183,1835),$V$4:$V$3183,0)),""))</f>
        <v/>
      </c>
    </row>
    <row r="1839">
      <c r="A1839">
        <f>IFERROR(INDEX($N$4:$N$3183,MATCH(SMALL($V$4:$V$3183,1836),$V$4:$V$3183,0)),"")</f>
        <v/>
      </c>
      <c r="B1839">
        <f>IFERROR(INDEX($O$4:$O$3183,MATCH(SMALL($V$4:$V$3183,1836),$V$4:$V$3183,0)),"")</f>
        <v/>
      </c>
      <c r="C1839">
        <f>IFERROR(INDEX($P$4:$P$3183,MATCH(SMALL($V$4:$V$3183,1836),$V$4:$V$3183,0)),"")</f>
        <v/>
      </c>
      <c r="D1839" s="29">
        <f>IFERROR(INDEX($Q$4:$Q$3183,MATCH(SMALL($V$4:$V$3183,1836),$V$4:$V$3183,0)),"")</f>
        <v/>
      </c>
      <c r="E1839" s="29">
        <f>IFERROR(INDEX($R$4:$R$3183,MATCH(SMALL($V$4:$V$3183,1836),$V$4:$V$3183,0)),"")</f>
        <v/>
      </c>
      <c r="F1839">
        <f>IFERROR(INDEX($S$4:$S$3183,MATCH(SMALL($V$4:$V$3183,1836),$V$4:$V$3183,0)),"")</f>
        <v/>
      </c>
      <c r="I1839" s="29">
        <f>IF($B1839="","",IFERROR(INDEX($U$4:$U$3183,MATCH(SMALL($V$4:$V$3183,1836),$V$4:$V$3183,0)),""))</f>
        <v/>
      </c>
      <c r="J1839">
        <f>IF($B1839="","",IF($D1839&gt;$F$2,"À venir",IF($E1839&lt;$D$2,"Passé","Dans la période")))</f>
        <v/>
      </c>
      <c r="K1839">
        <f>IF(OR($B1839="",NOT(ISNUMBER($D1839))),"",IF(AND($E1839&lt;$D$2,$G1839&lt;&gt;"X",$F1839&lt;&gt;"Réalisé",$F1839&lt;&gt;"Clôturé"),"RETARD",""))</f>
        <v/>
      </c>
      <c r="L1839">
        <f>IF(OR($B1839="",NOT(ISNUMBER($D1839))),"",IF(AND($D1839&gt;=$D$2,$D1839&lt;=$H$2,$G1839&lt;&gt;"X",$F1839&lt;&gt;"Réalisé",$F1839&lt;&gt;"Clôturé"),"≤ 7 j",""))</f>
        <v/>
      </c>
      <c r="M1839" s="29">
        <f>IF($B1839="","",IFERROR(INDEX($T$4:$T$3183,MATCH(SMALL($V$4:$V$3183,1836),$V$4:$V$3183,0)),""))</f>
        <v/>
      </c>
      <c r="O1839">
        <f>IF(INDEX(Suivi!$B:$B,1874)="","",INDEX(Suivi!$B:$B,1874))</f>
        <v/>
      </c>
      <c r="P1839">
        <f>IF($O1839="","",IF(INDEX(Suivi!$D:$D,1874)="",INDEX(Suivi!$C:$C,1874),INDEX(Suivi!$D:$D,1874)))</f>
        <v/>
      </c>
      <c r="Q1839">
        <f>IF($O1839="","",INDEX(Suivi!$E:$E,1874))</f>
        <v/>
      </c>
      <c r="R1839">
        <f>IF($O1839="","",INDEX(Suivi!$F:$F,1874))</f>
        <v/>
      </c>
      <c r="S1839">
        <f>IF($O1839="","",INDEX(Suivi!$G:$G,1874))</f>
        <v/>
      </c>
      <c r="T1839">
        <f>IF($O1839="","",IF(INDEX(Dossiers!$F$4:$F$63,35)="","",INDEX(Dossiers!$F$4:$F$63,35)))</f>
        <v/>
      </c>
      <c r="U1839">
        <f>IF($O1839="","",IF(INDEX(Dossiers!$G$4:$G$63,35)="","",INDEX(Dossiers!$G$4:$G$63,35)))</f>
        <v/>
      </c>
      <c r="V1839">
        <f>IF(OR($O1839="",NOT(ISNUMBER($Q1839))),"",$Q1839*1000000+1839)</f>
        <v/>
      </c>
      <c r="W1839" s="29">
        <f>IF($B1839="","",IFERROR(INDEX($U$4:$U$3183,MATCH(SMALL($V$4:$V$3183,1836),$V$4:$V$3183,0)),""))</f>
        <v/>
      </c>
    </row>
    <row r="1840">
      <c r="A1840">
        <f>IFERROR(INDEX($N$4:$N$3183,MATCH(SMALL($V$4:$V$3183,1837),$V$4:$V$3183,0)),"")</f>
        <v/>
      </c>
      <c r="B1840">
        <f>IFERROR(INDEX($O$4:$O$3183,MATCH(SMALL($V$4:$V$3183,1837),$V$4:$V$3183,0)),"")</f>
        <v/>
      </c>
      <c r="C1840">
        <f>IFERROR(INDEX($P$4:$P$3183,MATCH(SMALL($V$4:$V$3183,1837),$V$4:$V$3183,0)),"")</f>
        <v/>
      </c>
      <c r="D1840" s="29">
        <f>IFERROR(INDEX($Q$4:$Q$3183,MATCH(SMALL($V$4:$V$3183,1837),$V$4:$V$3183,0)),"")</f>
        <v/>
      </c>
      <c r="E1840" s="29">
        <f>IFERROR(INDEX($R$4:$R$3183,MATCH(SMALL($V$4:$V$3183,1837),$V$4:$V$3183,0)),"")</f>
        <v/>
      </c>
      <c r="F1840">
        <f>IFERROR(INDEX($S$4:$S$3183,MATCH(SMALL($V$4:$V$3183,1837),$V$4:$V$3183,0)),"")</f>
        <v/>
      </c>
      <c r="I1840" s="29">
        <f>IF($B1840="","",IFERROR(INDEX($U$4:$U$3183,MATCH(SMALL($V$4:$V$3183,1837),$V$4:$V$3183,0)),""))</f>
        <v/>
      </c>
      <c r="J1840">
        <f>IF($B1840="","",IF($D1840&gt;$F$2,"À venir",IF($E1840&lt;$D$2,"Passé","Dans la période")))</f>
        <v/>
      </c>
      <c r="K1840">
        <f>IF(OR($B1840="",NOT(ISNUMBER($D1840))),"",IF(AND($E1840&lt;$D$2,$G1840&lt;&gt;"X",$F1840&lt;&gt;"Réalisé",$F1840&lt;&gt;"Clôturé"),"RETARD",""))</f>
        <v/>
      </c>
      <c r="L1840">
        <f>IF(OR($B1840="",NOT(ISNUMBER($D1840))),"",IF(AND($D1840&gt;=$D$2,$D1840&lt;=$H$2,$G1840&lt;&gt;"X",$F1840&lt;&gt;"Réalisé",$F1840&lt;&gt;"Clôturé"),"≤ 7 j",""))</f>
        <v/>
      </c>
      <c r="M1840" s="29">
        <f>IF($B1840="","",IFERROR(INDEX($T$4:$T$3183,MATCH(SMALL($V$4:$V$3183,1837),$V$4:$V$3183,0)),""))</f>
        <v/>
      </c>
      <c r="O1840">
        <f>IF(INDEX(Suivi!$B:$B,1875)="","",INDEX(Suivi!$B:$B,1875))</f>
        <v/>
      </c>
      <c r="P1840">
        <f>IF($O1840="","",IF(INDEX(Suivi!$D:$D,1875)="",INDEX(Suivi!$C:$C,1875),INDEX(Suivi!$D:$D,1875)))</f>
        <v/>
      </c>
      <c r="Q1840">
        <f>IF($O1840="","",INDEX(Suivi!$E:$E,1875))</f>
        <v/>
      </c>
      <c r="R1840">
        <f>IF($O1840="","",INDEX(Suivi!$F:$F,1875))</f>
        <v/>
      </c>
      <c r="S1840">
        <f>IF($O1840="","",INDEX(Suivi!$G:$G,1875))</f>
        <v/>
      </c>
      <c r="T1840">
        <f>IF($O1840="","",IF(INDEX(Dossiers!$F$4:$F$63,35)="","",INDEX(Dossiers!$F$4:$F$63,35)))</f>
        <v/>
      </c>
      <c r="U1840">
        <f>IF($O1840="","",IF(INDEX(Dossiers!$G$4:$G$63,35)="","",INDEX(Dossiers!$G$4:$G$63,35)))</f>
        <v/>
      </c>
      <c r="V1840">
        <f>IF(OR($O1840="",NOT(ISNUMBER($Q1840))),"",$Q1840*1000000+1840)</f>
        <v/>
      </c>
      <c r="W1840" s="29">
        <f>IF($B1840="","",IFERROR(INDEX($U$4:$U$3183,MATCH(SMALL($V$4:$V$3183,1837),$V$4:$V$3183,0)),""))</f>
        <v/>
      </c>
    </row>
    <row r="1841">
      <c r="A1841">
        <f>IFERROR(INDEX($N$4:$N$3183,MATCH(SMALL($V$4:$V$3183,1838),$V$4:$V$3183,0)),"")</f>
        <v/>
      </c>
      <c r="B1841">
        <f>IFERROR(INDEX($O$4:$O$3183,MATCH(SMALL($V$4:$V$3183,1838),$V$4:$V$3183,0)),"")</f>
        <v/>
      </c>
      <c r="C1841">
        <f>IFERROR(INDEX($P$4:$P$3183,MATCH(SMALL($V$4:$V$3183,1838),$V$4:$V$3183,0)),"")</f>
        <v/>
      </c>
      <c r="D1841" s="29">
        <f>IFERROR(INDEX($Q$4:$Q$3183,MATCH(SMALL($V$4:$V$3183,1838),$V$4:$V$3183,0)),"")</f>
        <v/>
      </c>
      <c r="E1841" s="29">
        <f>IFERROR(INDEX($R$4:$R$3183,MATCH(SMALL($V$4:$V$3183,1838),$V$4:$V$3183,0)),"")</f>
        <v/>
      </c>
      <c r="F1841">
        <f>IFERROR(INDEX($S$4:$S$3183,MATCH(SMALL($V$4:$V$3183,1838),$V$4:$V$3183,0)),"")</f>
        <v/>
      </c>
      <c r="I1841" s="29">
        <f>IF($B1841="","",IFERROR(INDEX($U$4:$U$3183,MATCH(SMALL($V$4:$V$3183,1838),$V$4:$V$3183,0)),""))</f>
        <v/>
      </c>
      <c r="J1841">
        <f>IF($B1841="","",IF($D1841&gt;$F$2,"À venir",IF($E1841&lt;$D$2,"Passé","Dans la période")))</f>
        <v/>
      </c>
      <c r="K1841">
        <f>IF(OR($B1841="",NOT(ISNUMBER($D1841))),"",IF(AND($E1841&lt;$D$2,$G1841&lt;&gt;"X",$F1841&lt;&gt;"Réalisé",$F1841&lt;&gt;"Clôturé"),"RETARD",""))</f>
        <v/>
      </c>
      <c r="L1841">
        <f>IF(OR($B1841="",NOT(ISNUMBER($D1841))),"",IF(AND($D1841&gt;=$D$2,$D1841&lt;=$H$2,$G1841&lt;&gt;"X",$F1841&lt;&gt;"Réalisé",$F1841&lt;&gt;"Clôturé"),"≤ 7 j",""))</f>
        <v/>
      </c>
      <c r="M1841" s="29">
        <f>IF($B1841="","",IFERROR(INDEX($T$4:$T$3183,MATCH(SMALL($V$4:$V$3183,1838),$V$4:$V$3183,0)),""))</f>
        <v/>
      </c>
      <c r="O1841">
        <f>IF(INDEX(Suivi!$B:$B,1876)="","",INDEX(Suivi!$B:$B,1876))</f>
        <v/>
      </c>
      <c r="P1841">
        <f>IF($O1841="","",IF(INDEX(Suivi!$D:$D,1876)="",INDEX(Suivi!$C:$C,1876),INDEX(Suivi!$D:$D,1876)))</f>
        <v/>
      </c>
      <c r="Q1841">
        <f>IF($O1841="","",INDEX(Suivi!$E:$E,1876))</f>
        <v/>
      </c>
      <c r="R1841">
        <f>IF($O1841="","",INDEX(Suivi!$F:$F,1876))</f>
        <v/>
      </c>
      <c r="S1841">
        <f>IF($O1841="","",INDEX(Suivi!$G:$G,1876))</f>
        <v/>
      </c>
      <c r="T1841">
        <f>IF($O1841="","",IF(INDEX(Dossiers!$F$4:$F$63,35)="","",INDEX(Dossiers!$F$4:$F$63,35)))</f>
        <v/>
      </c>
      <c r="U1841">
        <f>IF($O1841="","",IF(INDEX(Dossiers!$G$4:$G$63,35)="","",INDEX(Dossiers!$G$4:$G$63,35)))</f>
        <v/>
      </c>
      <c r="V1841">
        <f>IF(OR($O1841="",NOT(ISNUMBER($Q1841))),"",$Q1841*1000000+1841)</f>
        <v/>
      </c>
      <c r="W1841" s="29">
        <f>IF($B1841="","",IFERROR(INDEX($U$4:$U$3183,MATCH(SMALL($V$4:$V$3183,1838),$V$4:$V$3183,0)),""))</f>
        <v/>
      </c>
    </row>
    <row r="1842">
      <c r="A1842">
        <f>IFERROR(INDEX($N$4:$N$3183,MATCH(SMALL($V$4:$V$3183,1839),$V$4:$V$3183,0)),"")</f>
        <v/>
      </c>
      <c r="B1842">
        <f>IFERROR(INDEX($O$4:$O$3183,MATCH(SMALL($V$4:$V$3183,1839),$V$4:$V$3183,0)),"")</f>
        <v/>
      </c>
      <c r="C1842">
        <f>IFERROR(INDEX($P$4:$P$3183,MATCH(SMALL($V$4:$V$3183,1839),$V$4:$V$3183,0)),"")</f>
        <v/>
      </c>
      <c r="D1842" s="29">
        <f>IFERROR(INDEX($Q$4:$Q$3183,MATCH(SMALL($V$4:$V$3183,1839),$V$4:$V$3183,0)),"")</f>
        <v/>
      </c>
      <c r="E1842" s="29">
        <f>IFERROR(INDEX($R$4:$R$3183,MATCH(SMALL($V$4:$V$3183,1839),$V$4:$V$3183,0)),"")</f>
        <v/>
      </c>
      <c r="F1842">
        <f>IFERROR(INDEX($S$4:$S$3183,MATCH(SMALL($V$4:$V$3183,1839),$V$4:$V$3183,0)),"")</f>
        <v/>
      </c>
      <c r="I1842" s="29">
        <f>IF($B1842="","",IFERROR(INDEX($U$4:$U$3183,MATCH(SMALL($V$4:$V$3183,1839),$V$4:$V$3183,0)),""))</f>
        <v/>
      </c>
      <c r="J1842">
        <f>IF($B1842="","",IF($D1842&gt;$F$2,"À venir",IF($E1842&lt;$D$2,"Passé","Dans la période")))</f>
        <v/>
      </c>
      <c r="K1842">
        <f>IF(OR($B1842="",NOT(ISNUMBER($D1842))),"",IF(AND($E1842&lt;$D$2,$G1842&lt;&gt;"X",$F1842&lt;&gt;"Réalisé",$F1842&lt;&gt;"Clôturé"),"RETARD",""))</f>
        <v/>
      </c>
      <c r="L1842">
        <f>IF(OR($B1842="",NOT(ISNUMBER($D1842))),"",IF(AND($D1842&gt;=$D$2,$D1842&lt;=$H$2,$G1842&lt;&gt;"X",$F1842&lt;&gt;"Réalisé",$F1842&lt;&gt;"Clôturé"),"≤ 7 j",""))</f>
        <v/>
      </c>
      <c r="M1842" s="29">
        <f>IF($B1842="","",IFERROR(INDEX($T$4:$T$3183,MATCH(SMALL($V$4:$V$3183,1839),$V$4:$V$3183,0)),""))</f>
        <v/>
      </c>
      <c r="O1842">
        <f>IF(INDEX(Suivi!$B:$B,1877)="","",INDEX(Suivi!$B:$B,1877))</f>
        <v/>
      </c>
      <c r="P1842">
        <f>IF($O1842="","",IF(INDEX(Suivi!$D:$D,1877)="",INDEX(Suivi!$C:$C,1877),INDEX(Suivi!$D:$D,1877)))</f>
        <v/>
      </c>
      <c r="Q1842">
        <f>IF($O1842="","",INDEX(Suivi!$E:$E,1877))</f>
        <v/>
      </c>
      <c r="R1842">
        <f>IF($O1842="","",INDEX(Suivi!$F:$F,1877))</f>
        <v/>
      </c>
      <c r="S1842">
        <f>IF($O1842="","",INDEX(Suivi!$G:$G,1877))</f>
        <v/>
      </c>
      <c r="T1842">
        <f>IF($O1842="","",IF(INDEX(Dossiers!$F$4:$F$63,35)="","",INDEX(Dossiers!$F$4:$F$63,35)))</f>
        <v/>
      </c>
      <c r="U1842">
        <f>IF($O1842="","",IF(INDEX(Dossiers!$G$4:$G$63,35)="","",INDEX(Dossiers!$G$4:$G$63,35)))</f>
        <v/>
      </c>
      <c r="V1842">
        <f>IF(OR($O1842="",NOT(ISNUMBER($Q1842))),"",$Q1842*1000000+1842)</f>
        <v/>
      </c>
      <c r="W1842" s="29">
        <f>IF($B1842="","",IFERROR(INDEX($U$4:$U$3183,MATCH(SMALL($V$4:$V$3183,1839),$V$4:$V$3183,0)),""))</f>
        <v/>
      </c>
    </row>
    <row r="1843">
      <c r="A1843">
        <f>IFERROR(INDEX($N$4:$N$3183,MATCH(SMALL($V$4:$V$3183,1840),$V$4:$V$3183,0)),"")</f>
        <v/>
      </c>
      <c r="B1843">
        <f>IFERROR(INDEX($O$4:$O$3183,MATCH(SMALL($V$4:$V$3183,1840),$V$4:$V$3183,0)),"")</f>
        <v/>
      </c>
      <c r="C1843">
        <f>IFERROR(INDEX($P$4:$P$3183,MATCH(SMALL($V$4:$V$3183,1840),$V$4:$V$3183,0)),"")</f>
        <v/>
      </c>
      <c r="D1843" s="29">
        <f>IFERROR(INDEX($Q$4:$Q$3183,MATCH(SMALL($V$4:$V$3183,1840),$V$4:$V$3183,0)),"")</f>
        <v/>
      </c>
      <c r="E1843" s="29">
        <f>IFERROR(INDEX($R$4:$R$3183,MATCH(SMALL($V$4:$V$3183,1840),$V$4:$V$3183,0)),"")</f>
        <v/>
      </c>
      <c r="F1843">
        <f>IFERROR(INDEX($S$4:$S$3183,MATCH(SMALL($V$4:$V$3183,1840),$V$4:$V$3183,0)),"")</f>
        <v/>
      </c>
      <c r="I1843" s="29">
        <f>IF($B1843="","",IFERROR(INDEX($U$4:$U$3183,MATCH(SMALL($V$4:$V$3183,1840),$V$4:$V$3183,0)),""))</f>
        <v/>
      </c>
      <c r="J1843">
        <f>IF($B1843="","",IF($D1843&gt;$F$2,"À venir",IF($E1843&lt;$D$2,"Passé","Dans la période")))</f>
        <v/>
      </c>
      <c r="K1843">
        <f>IF(OR($B1843="",NOT(ISNUMBER($D1843))),"",IF(AND($E1843&lt;$D$2,$G1843&lt;&gt;"X",$F1843&lt;&gt;"Réalisé",$F1843&lt;&gt;"Clôturé"),"RETARD",""))</f>
        <v/>
      </c>
      <c r="L1843">
        <f>IF(OR($B1843="",NOT(ISNUMBER($D1843))),"",IF(AND($D1843&gt;=$D$2,$D1843&lt;=$H$2,$G1843&lt;&gt;"X",$F1843&lt;&gt;"Réalisé",$F1843&lt;&gt;"Clôturé"),"≤ 7 j",""))</f>
        <v/>
      </c>
      <c r="M1843" s="29">
        <f>IF($B1843="","",IFERROR(INDEX($T$4:$T$3183,MATCH(SMALL($V$4:$V$3183,1840),$V$4:$V$3183,0)),""))</f>
        <v/>
      </c>
      <c r="O1843">
        <f>IF(INDEX(Suivi!$B:$B,1878)="","",INDEX(Suivi!$B:$B,1878))</f>
        <v/>
      </c>
      <c r="P1843">
        <f>IF($O1843="","",IF(INDEX(Suivi!$D:$D,1878)="",INDEX(Suivi!$C:$C,1878),INDEX(Suivi!$D:$D,1878)))</f>
        <v/>
      </c>
      <c r="Q1843">
        <f>IF($O1843="","",INDEX(Suivi!$E:$E,1878))</f>
        <v/>
      </c>
      <c r="R1843">
        <f>IF($O1843="","",INDEX(Suivi!$F:$F,1878))</f>
        <v/>
      </c>
      <c r="S1843">
        <f>IF($O1843="","",INDEX(Suivi!$G:$G,1878))</f>
        <v/>
      </c>
      <c r="T1843">
        <f>IF($O1843="","",IF(INDEX(Dossiers!$F$4:$F$63,35)="","",INDEX(Dossiers!$F$4:$F$63,35)))</f>
        <v/>
      </c>
      <c r="U1843">
        <f>IF($O1843="","",IF(INDEX(Dossiers!$G$4:$G$63,35)="","",INDEX(Dossiers!$G$4:$G$63,35)))</f>
        <v/>
      </c>
      <c r="V1843">
        <f>IF(OR($O1843="",NOT(ISNUMBER($Q1843))),"",$Q1843*1000000+1843)</f>
        <v/>
      </c>
      <c r="W1843" s="29">
        <f>IF($B1843="","",IFERROR(INDEX($U$4:$U$3183,MATCH(SMALL($V$4:$V$3183,1840),$V$4:$V$3183,0)),""))</f>
        <v/>
      </c>
    </row>
    <row r="1844">
      <c r="A1844">
        <f>IFERROR(INDEX($N$4:$N$3183,MATCH(SMALL($V$4:$V$3183,1841),$V$4:$V$3183,0)),"")</f>
        <v/>
      </c>
      <c r="B1844">
        <f>IFERROR(INDEX($O$4:$O$3183,MATCH(SMALL($V$4:$V$3183,1841),$V$4:$V$3183,0)),"")</f>
        <v/>
      </c>
      <c r="C1844">
        <f>IFERROR(INDEX($P$4:$P$3183,MATCH(SMALL($V$4:$V$3183,1841),$V$4:$V$3183,0)),"")</f>
        <v/>
      </c>
      <c r="D1844" s="29">
        <f>IFERROR(INDEX($Q$4:$Q$3183,MATCH(SMALL($V$4:$V$3183,1841),$V$4:$V$3183,0)),"")</f>
        <v/>
      </c>
      <c r="E1844" s="29">
        <f>IFERROR(INDEX($R$4:$R$3183,MATCH(SMALL($V$4:$V$3183,1841),$V$4:$V$3183,0)),"")</f>
        <v/>
      </c>
      <c r="F1844">
        <f>IFERROR(INDEX($S$4:$S$3183,MATCH(SMALL($V$4:$V$3183,1841),$V$4:$V$3183,0)),"")</f>
        <v/>
      </c>
      <c r="I1844" s="29">
        <f>IF($B1844="","",IFERROR(INDEX($U$4:$U$3183,MATCH(SMALL($V$4:$V$3183,1841),$V$4:$V$3183,0)),""))</f>
        <v/>
      </c>
      <c r="J1844">
        <f>IF($B1844="","",IF($D1844&gt;$F$2,"À venir",IF($E1844&lt;$D$2,"Passé","Dans la période")))</f>
        <v/>
      </c>
      <c r="K1844">
        <f>IF(OR($B1844="",NOT(ISNUMBER($D1844))),"",IF(AND($E1844&lt;$D$2,$G1844&lt;&gt;"X",$F1844&lt;&gt;"Réalisé",$F1844&lt;&gt;"Clôturé"),"RETARD",""))</f>
        <v/>
      </c>
      <c r="L1844">
        <f>IF(OR($B1844="",NOT(ISNUMBER($D1844))),"",IF(AND($D1844&gt;=$D$2,$D1844&lt;=$H$2,$G1844&lt;&gt;"X",$F1844&lt;&gt;"Réalisé",$F1844&lt;&gt;"Clôturé"),"≤ 7 j",""))</f>
        <v/>
      </c>
      <c r="M1844" s="29">
        <f>IF($B1844="","",IFERROR(INDEX($T$4:$T$3183,MATCH(SMALL($V$4:$V$3183,1841),$V$4:$V$3183,0)),""))</f>
        <v/>
      </c>
      <c r="O1844">
        <f>IF(INDEX(Suivi!$B:$B,1879)="","",INDEX(Suivi!$B:$B,1879))</f>
        <v/>
      </c>
      <c r="P1844">
        <f>IF($O1844="","",IF(INDEX(Suivi!$D:$D,1879)="",INDEX(Suivi!$C:$C,1879),INDEX(Suivi!$D:$D,1879)))</f>
        <v/>
      </c>
      <c r="Q1844">
        <f>IF($O1844="","",INDEX(Suivi!$E:$E,1879))</f>
        <v/>
      </c>
      <c r="R1844">
        <f>IF($O1844="","",INDEX(Suivi!$F:$F,1879))</f>
        <v/>
      </c>
      <c r="S1844">
        <f>IF($O1844="","",INDEX(Suivi!$G:$G,1879))</f>
        <v/>
      </c>
      <c r="T1844">
        <f>IF($O1844="","",IF(INDEX(Dossiers!$F$4:$F$63,35)="","",INDEX(Dossiers!$F$4:$F$63,35)))</f>
        <v/>
      </c>
      <c r="U1844">
        <f>IF($O1844="","",IF(INDEX(Dossiers!$G$4:$G$63,35)="","",INDEX(Dossiers!$G$4:$G$63,35)))</f>
        <v/>
      </c>
      <c r="V1844">
        <f>IF(OR($O1844="",NOT(ISNUMBER($Q1844))),"",$Q1844*1000000+1844)</f>
        <v/>
      </c>
      <c r="W1844" s="29">
        <f>IF($B1844="","",IFERROR(INDEX($U$4:$U$3183,MATCH(SMALL($V$4:$V$3183,1841),$V$4:$V$3183,0)),""))</f>
        <v/>
      </c>
    </row>
    <row r="1845">
      <c r="A1845">
        <f>IFERROR(INDEX($N$4:$N$3183,MATCH(SMALL($V$4:$V$3183,1842),$V$4:$V$3183,0)),"")</f>
        <v/>
      </c>
      <c r="B1845">
        <f>IFERROR(INDEX($O$4:$O$3183,MATCH(SMALL($V$4:$V$3183,1842),$V$4:$V$3183,0)),"")</f>
        <v/>
      </c>
      <c r="C1845">
        <f>IFERROR(INDEX($P$4:$P$3183,MATCH(SMALL($V$4:$V$3183,1842),$V$4:$V$3183,0)),"")</f>
        <v/>
      </c>
      <c r="D1845" s="29">
        <f>IFERROR(INDEX($Q$4:$Q$3183,MATCH(SMALL($V$4:$V$3183,1842),$V$4:$V$3183,0)),"")</f>
        <v/>
      </c>
      <c r="E1845" s="29">
        <f>IFERROR(INDEX($R$4:$R$3183,MATCH(SMALL($V$4:$V$3183,1842),$V$4:$V$3183,0)),"")</f>
        <v/>
      </c>
      <c r="F1845">
        <f>IFERROR(INDEX($S$4:$S$3183,MATCH(SMALL($V$4:$V$3183,1842),$V$4:$V$3183,0)),"")</f>
        <v/>
      </c>
      <c r="I1845" s="29">
        <f>IF($B1845="","",IFERROR(INDEX($U$4:$U$3183,MATCH(SMALL($V$4:$V$3183,1842),$V$4:$V$3183,0)),""))</f>
        <v/>
      </c>
      <c r="J1845">
        <f>IF($B1845="","",IF($D1845&gt;$F$2,"À venir",IF($E1845&lt;$D$2,"Passé","Dans la période")))</f>
        <v/>
      </c>
      <c r="K1845">
        <f>IF(OR($B1845="",NOT(ISNUMBER($D1845))),"",IF(AND($E1845&lt;$D$2,$G1845&lt;&gt;"X",$F1845&lt;&gt;"Réalisé",$F1845&lt;&gt;"Clôturé"),"RETARD",""))</f>
        <v/>
      </c>
      <c r="L1845">
        <f>IF(OR($B1845="",NOT(ISNUMBER($D1845))),"",IF(AND($D1845&gt;=$D$2,$D1845&lt;=$H$2,$G1845&lt;&gt;"X",$F1845&lt;&gt;"Réalisé",$F1845&lt;&gt;"Clôturé"),"≤ 7 j",""))</f>
        <v/>
      </c>
      <c r="M1845" s="29">
        <f>IF($B1845="","",IFERROR(INDEX($T$4:$T$3183,MATCH(SMALL($V$4:$V$3183,1842),$V$4:$V$3183,0)),""))</f>
        <v/>
      </c>
      <c r="O1845">
        <f>IF(INDEX(Suivi!$B:$B,1880)="","",INDEX(Suivi!$B:$B,1880))</f>
        <v/>
      </c>
      <c r="P1845">
        <f>IF($O1845="","",IF(INDEX(Suivi!$D:$D,1880)="",INDEX(Suivi!$C:$C,1880),INDEX(Suivi!$D:$D,1880)))</f>
        <v/>
      </c>
      <c r="Q1845">
        <f>IF($O1845="","",INDEX(Suivi!$E:$E,1880))</f>
        <v/>
      </c>
      <c r="R1845">
        <f>IF($O1845="","",INDEX(Suivi!$F:$F,1880))</f>
        <v/>
      </c>
      <c r="S1845">
        <f>IF($O1845="","",INDEX(Suivi!$G:$G,1880))</f>
        <v/>
      </c>
      <c r="T1845">
        <f>IF($O1845="","",IF(INDEX(Dossiers!$F$4:$F$63,35)="","",INDEX(Dossiers!$F$4:$F$63,35)))</f>
        <v/>
      </c>
      <c r="U1845">
        <f>IF($O1845="","",IF(INDEX(Dossiers!$G$4:$G$63,35)="","",INDEX(Dossiers!$G$4:$G$63,35)))</f>
        <v/>
      </c>
      <c r="V1845">
        <f>IF(OR($O1845="",NOT(ISNUMBER($Q1845))),"",$Q1845*1000000+1845)</f>
        <v/>
      </c>
      <c r="W1845" s="29">
        <f>IF($B1845="","",IFERROR(INDEX($U$4:$U$3183,MATCH(SMALL($V$4:$V$3183,1842),$V$4:$V$3183,0)),""))</f>
        <v/>
      </c>
    </row>
    <row r="1846">
      <c r="A1846">
        <f>IFERROR(INDEX($N$4:$N$3183,MATCH(SMALL($V$4:$V$3183,1843),$V$4:$V$3183,0)),"")</f>
        <v/>
      </c>
      <c r="B1846">
        <f>IFERROR(INDEX($O$4:$O$3183,MATCH(SMALL($V$4:$V$3183,1843),$V$4:$V$3183,0)),"")</f>
        <v/>
      </c>
      <c r="C1846">
        <f>IFERROR(INDEX($P$4:$P$3183,MATCH(SMALL($V$4:$V$3183,1843),$V$4:$V$3183,0)),"")</f>
        <v/>
      </c>
      <c r="D1846" s="29">
        <f>IFERROR(INDEX($Q$4:$Q$3183,MATCH(SMALL($V$4:$V$3183,1843),$V$4:$V$3183,0)),"")</f>
        <v/>
      </c>
      <c r="E1846" s="29">
        <f>IFERROR(INDEX($R$4:$R$3183,MATCH(SMALL($V$4:$V$3183,1843),$V$4:$V$3183,0)),"")</f>
        <v/>
      </c>
      <c r="F1846">
        <f>IFERROR(INDEX($S$4:$S$3183,MATCH(SMALL($V$4:$V$3183,1843),$V$4:$V$3183,0)),"")</f>
        <v/>
      </c>
      <c r="I1846" s="29">
        <f>IF($B1846="","",IFERROR(INDEX($U$4:$U$3183,MATCH(SMALL($V$4:$V$3183,1843),$V$4:$V$3183,0)),""))</f>
        <v/>
      </c>
      <c r="J1846">
        <f>IF($B1846="","",IF($D1846&gt;$F$2,"À venir",IF($E1846&lt;$D$2,"Passé","Dans la période")))</f>
        <v/>
      </c>
      <c r="K1846">
        <f>IF(OR($B1846="",NOT(ISNUMBER($D1846))),"",IF(AND($E1846&lt;$D$2,$G1846&lt;&gt;"X",$F1846&lt;&gt;"Réalisé",$F1846&lt;&gt;"Clôturé"),"RETARD",""))</f>
        <v/>
      </c>
      <c r="L1846">
        <f>IF(OR($B1846="",NOT(ISNUMBER($D1846))),"",IF(AND($D1846&gt;=$D$2,$D1846&lt;=$H$2,$G1846&lt;&gt;"X",$F1846&lt;&gt;"Réalisé",$F1846&lt;&gt;"Clôturé"),"≤ 7 j",""))</f>
        <v/>
      </c>
      <c r="M1846" s="29">
        <f>IF($B1846="","",IFERROR(INDEX($T$4:$T$3183,MATCH(SMALL($V$4:$V$3183,1843),$V$4:$V$3183,0)),""))</f>
        <v/>
      </c>
      <c r="O1846">
        <f>IF(INDEX(Suivi!$B:$B,1881)="","",INDEX(Suivi!$B:$B,1881))</f>
        <v/>
      </c>
      <c r="P1846">
        <f>IF($O1846="","",IF(INDEX(Suivi!$D:$D,1881)="",INDEX(Suivi!$C:$C,1881),INDEX(Suivi!$D:$D,1881)))</f>
        <v/>
      </c>
      <c r="Q1846">
        <f>IF($O1846="","",INDEX(Suivi!$E:$E,1881))</f>
        <v/>
      </c>
      <c r="R1846">
        <f>IF($O1846="","",INDEX(Suivi!$F:$F,1881))</f>
        <v/>
      </c>
      <c r="S1846">
        <f>IF($O1846="","",INDEX(Suivi!$G:$G,1881))</f>
        <v/>
      </c>
      <c r="T1846">
        <f>IF($O1846="","",IF(INDEX(Dossiers!$F$4:$F$63,35)="","",INDEX(Dossiers!$F$4:$F$63,35)))</f>
        <v/>
      </c>
      <c r="U1846">
        <f>IF($O1846="","",IF(INDEX(Dossiers!$G$4:$G$63,35)="","",INDEX(Dossiers!$G$4:$G$63,35)))</f>
        <v/>
      </c>
      <c r="V1846">
        <f>IF(OR($O1846="",NOT(ISNUMBER($Q1846))),"",$Q1846*1000000+1846)</f>
        <v/>
      </c>
      <c r="W1846" s="29">
        <f>IF($B1846="","",IFERROR(INDEX($U$4:$U$3183,MATCH(SMALL($V$4:$V$3183,1843),$V$4:$V$3183,0)),""))</f>
        <v/>
      </c>
    </row>
    <row r="1847">
      <c r="A1847">
        <f>IFERROR(INDEX($N$4:$N$3183,MATCH(SMALL($V$4:$V$3183,1844),$V$4:$V$3183,0)),"")</f>
        <v/>
      </c>
      <c r="B1847">
        <f>IFERROR(INDEX($O$4:$O$3183,MATCH(SMALL($V$4:$V$3183,1844),$V$4:$V$3183,0)),"")</f>
        <v/>
      </c>
      <c r="C1847">
        <f>IFERROR(INDEX($P$4:$P$3183,MATCH(SMALL($V$4:$V$3183,1844),$V$4:$V$3183,0)),"")</f>
        <v/>
      </c>
      <c r="D1847" s="29">
        <f>IFERROR(INDEX($Q$4:$Q$3183,MATCH(SMALL($V$4:$V$3183,1844),$V$4:$V$3183,0)),"")</f>
        <v/>
      </c>
      <c r="E1847" s="29">
        <f>IFERROR(INDEX($R$4:$R$3183,MATCH(SMALL($V$4:$V$3183,1844),$V$4:$V$3183,0)),"")</f>
        <v/>
      </c>
      <c r="F1847">
        <f>IFERROR(INDEX($S$4:$S$3183,MATCH(SMALL($V$4:$V$3183,1844),$V$4:$V$3183,0)),"")</f>
        <v/>
      </c>
      <c r="I1847" s="29">
        <f>IF($B1847="","",IFERROR(INDEX($U$4:$U$3183,MATCH(SMALL($V$4:$V$3183,1844),$V$4:$V$3183,0)),""))</f>
        <v/>
      </c>
      <c r="J1847">
        <f>IF($B1847="","",IF($D1847&gt;$F$2,"À venir",IF($E1847&lt;$D$2,"Passé","Dans la période")))</f>
        <v/>
      </c>
      <c r="K1847">
        <f>IF(OR($B1847="",NOT(ISNUMBER($D1847))),"",IF(AND($E1847&lt;$D$2,$G1847&lt;&gt;"X",$F1847&lt;&gt;"Réalisé",$F1847&lt;&gt;"Clôturé"),"RETARD",""))</f>
        <v/>
      </c>
      <c r="L1847">
        <f>IF(OR($B1847="",NOT(ISNUMBER($D1847))),"",IF(AND($D1847&gt;=$D$2,$D1847&lt;=$H$2,$G1847&lt;&gt;"X",$F1847&lt;&gt;"Réalisé",$F1847&lt;&gt;"Clôturé"),"≤ 7 j",""))</f>
        <v/>
      </c>
      <c r="M1847" s="29">
        <f>IF($B1847="","",IFERROR(INDEX($T$4:$T$3183,MATCH(SMALL($V$4:$V$3183,1844),$V$4:$V$3183,0)),""))</f>
        <v/>
      </c>
      <c r="O1847">
        <f>IF(INDEX(Suivi!$B:$B,1882)="","",INDEX(Suivi!$B:$B,1882))</f>
        <v/>
      </c>
      <c r="P1847">
        <f>IF($O1847="","",IF(INDEX(Suivi!$D:$D,1882)="",INDEX(Suivi!$C:$C,1882),INDEX(Suivi!$D:$D,1882)))</f>
        <v/>
      </c>
      <c r="Q1847">
        <f>IF($O1847="","",INDEX(Suivi!$E:$E,1882))</f>
        <v/>
      </c>
      <c r="R1847">
        <f>IF($O1847="","",INDEX(Suivi!$F:$F,1882))</f>
        <v/>
      </c>
      <c r="S1847">
        <f>IF($O1847="","",INDEX(Suivi!$G:$G,1882))</f>
        <v/>
      </c>
      <c r="T1847">
        <f>IF($O1847="","",IF(INDEX(Dossiers!$F$4:$F$63,35)="","",INDEX(Dossiers!$F$4:$F$63,35)))</f>
        <v/>
      </c>
      <c r="U1847">
        <f>IF($O1847="","",IF(INDEX(Dossiers!$G$4:$G$63,35)="","",INDEX(Dossiers!$G$4:$G$63,35)))</f>
        <v/>
      </c>
      <c r="V1847">
        <f>IF(OR($O1847="",NOT(ISNUMBER($Q1847))),"",$Q1847*1000000+1847)</f>
        <v/>
      </c>
      <c r="W1847" s="29">
        <f>IF($B1847="","",IFERROR(INDEX($U$4:$U$3183,MATCH(SMALL($V$4:$V$3183,1844),$V$4:$V$3183,0)),""))</f>
        <v/>
      </c>
    </row>
    <row r="1848">
      <c r="A1848">
        <f>IFERROR(INDEX($N$4:$N$3183,MATCH(SMALL($V$4:$V$3183,1845),$V$4:$V$3183,0)),"")</f>
        <v/>
      </c>
      <c r="B1848">
        <f>IFERROR(INDEX($O$4:$O$3183,MATCH(SMALL($V$4:$V$3183,1845),$V$4:$V$3183,0)),"")</f>
        <v/>
      </c>
      <c r="C1848">
        <f>IFERROR(INDEX($P$4:$P$3183,MATCH(SMALL($V$4:$V$3183,1845),$V$4:$V$3183,0)),"")</f>
        <v/>
      </c>
      <c r="D1848" s="29">
        <f>IFERROR(INDEX($Q$4:$Q$3183,MATCH(SMALL($V$4:$V$3183,1845),$V$4:$V$3183,0)),"")</f>
        <v/>
      </c>
      <c r="E1848" s="29">
        <f>IFERROR(INDEX($R$4:$R$3183,MATCH(SMALL($V$4:$V$3183,1845),$V$4:$V$3183,0)),"")</f>
        <v/>
      </c>
      <c r="F1848">
        <f>IFERROR(INDEX($S$4:$S$3183,MATCH(SMALL($V$4:$V$3183,1845),$V$4:$V$3183,0)),"")</f>
        <v/>
      </c>
      <c r="I1848" s="29">
        <f>IF($B1848="","",IFERROR(INDEX($U$4:$U$3183,MATCH(SMALL($V$4:$V$3183,1845),$V$4:$V$3183,0)),""))</f>
        <v/>
      </c>
      <c r="J1848">
        <f>IF($B1848="","",IF($D1848&gt;$F$2,"À venir",IF($E1848&lt;$D$2,"Passé","Dans la période")))</f>
        <v/>
      </c>
      <c r="K1848">
        <f>IF(OR($B1848="",NOT(ISNUMBER($D1848))),"",IF(AND($E1848&lt;$D$2,$G1848&lt;&gt;"X",$F1848&lt;&gt;"Réalisé",$F1848&lt;&gt;"Clôturé"),"RETARD",""))</f>
        <v/>
      </c>
      <c r="L1848">
        <f>IF(OR($B1848="",NOT(ISNUMBER($D1848))),"",IF(AND($D1848&gt;=$D$2,$D1848&lt;=$H$2,$G1848&lt;&gt;"X",$F1848&lt;&gt;"Réalisé",$F1848&lt;&gt;"Clôturé"),"≤ 7 j",""))</f>
        <v/>
      </c>
      <c r="M1848" s="29">
        <f>IF($B1848="","",IFERROR(INDEX($T$4:$T$3183,MATCH(SMALL($V$4:$V$3183,1845),$V$4:$V$3183,0)),""))</f>
        <v/>
      </c>
      <c r="O1848">
        <f>IF(INDEX(Suivi!$B:$B,1883)="","",INDEX(Suivi!$B:$B,1883))</f>
        <v/>
      </c>
      <c r="P1848">
        <f>IF($O1848="","",IF(INDEX(Suivi!$D:$D,1883)="",INDEX(Suivi!$C:$C,1883),INDEX(Suivi!$D:$D,1883)))</f>
        <v/>
      </c>
      <c r="Q1848">
        <f>IF($O1848="","",INDEX(Suivi!$E:$E,1883))</f>
        <v/>
      </c>
      <c r="R1848">
        <f>IF($O1848="","",INDEX(Suivi!$F:$F,1883))</f>
        <v/>
      </c>
      <c r="S1848">
        <f>IF($O1848="","",INDEX(Suivi!$G:$G,1883))</f>
        <v/>
      </c>
      <c r="T1848">
        <f>IF($O1848="","",IF(INDEX(Dossiers!$F$4:$F$63,35)="","",INDEX(Dossiers!$F$4:$F$63,35)))</f>
        <v/>
      </c>
      <c r="U1848">
        <f>IF($O1848="","",IF(INDEX(Dossiers!$G$4:$G$63,35)="","",INDEX(Dossiers!$G$4:$G$63,35)))</f>
        <v/>
      </c>
      <c r="V1848">
        <f>IF(OR($O1848="",NOT(ISNUMBER($Q1848))),"",$Q1848*1000000+1848)</f>
        <v/>
      </c>
      <c r="W1848" s="29">
        <f>IF($B1848="","",IFERROR(INDEX($U$4:$U$3183,MATCH(SMALL($V$4:$V$3183,1845),$V$4:$V$3183,0)),""))</f>
        <v/>
      </c>
    </row>
    <row r="1849">
      <c r="A1849">
        <f>IFERROR(INDEX($N$4:$N$3183,MATCH(SMALL($V$4:$V$3183,1846),$V$4:$V$3183,0)),"")</f>
        <v/>
      </c>
      <c r="B1849">
        <f>IFERROR(INDEX($O$4:$O$3183,MATCH(SMALL($V$4:$V$3183,1846),$V$4:$V$3183,0)),"")</f>
        <v/>
      </c>
      <c r="C1849">
        <f>IFERROR(INDEX($P$4:$P$3183,MATCH(SMALL($V$4:$V$3183,1846),$V$4:$V$3183,0)),"")</f>
        <v/>
      </c>
      <c r="D1849" s="29">
        <f>IFERROR(INDEX($Q$4:$Q$3183,MATCH(SMALL($V$4:$V$3183,1846),$V$4:$V$3183,0)),"")</f>
        <v/>
      </c>
      <c r="E1849" s="29">
        <f>IFERROR(INDEX($R$4:$R$3183,MATCH(SMALL($V$4:$V$3183,1846),$V$4:$V$3183,0)),"")</f>
        <v/>
      </c>
      <c r="F1849">
        <f>IFERROR(INDEX($S$4:$S$3183,MATCH(SMALL($V$4:$V$3183,1846),$V$4:$V$3183,0)),"")</f>
        <v/>
      </c>
      <c r="I1849" s="29">
        <f>IF($B1849="","",IFERROR(INDEX($U$4:$U$3183,MATCH(SMALL($V$4:$V$3183,1846),$V$4:$V$3183,0)),""))</f>
        <v/>
      </c>
      <c r="J1849">
        <f>IF($B1849="","",IF($D1849&gt;$F$2,"À venir",IF($E1849&lt;$D$2,"Passé","Dans la période")))</f>
        <v/>
      </c>
      <c r="K1849">
        <f>IF(OR($B1849="",NOT(ISNUMBER($D1849))),"",IF(AND($E1849&lt;$D$2,$G1849&lt;&gt;"X",$F1849&lt;&gt;"Réalisé",$F1849&lt;&gt;"Clôturé"),"RETARD",""))</f>
        <v/>
      </c>
      <c r="L1849">
        <f>IF(OR($B1849="",NOT(ISNUMBER($D1849))),"",IF(AND($D1849&gt;=$D$2,$D1849&lt;=$H$2,$G1849&lt;&gt;"X",$F1849&lt;&gt;"Réalisé",$F1849&lt;&gt;"Clôturé"),"≤ 7 j",""))</f>
        <v/>
      </c>
      <c r="M1849" s="29">
        <f>IF($B1849="","",IFERROR(INDEX($T$4:$T$3183,MATCH(SMALL($V$4:$V$3183,1846),$V$4:$V$3183,0)),""))</f>
        <v/>
      </c>
      <c r="O1849">
        <f>IF(INDEX(Suivi!$B:$B,1884)="","",INDEX(Suivi!$B:$B,1884))</f>
        <v/>
      </c>
      <c r="P1849">
        <f>IF($O1849="","",IF(INDEX(Suivi!$D:$D,1884)="",INDEX(Suivi!$C:$C,1884),INDEX(Suivi!$D:$D,1884)))</f>
        <v/>
      </c>
      <c r="Q1849">
        <f>IF($O1849="","",INDEX(Suivi!$E:$E,1884))</f>
        <v/>
      </c>
      <c r="R1849">
        <f>IF($O1849="","",INDEX(Suivi!$F:$F,1884))</f>
        <v/>
      </c>
      <c r="S1849">
        <f>IF($O1849="","",INDEX(Suivi!$G:$G,1884))</f>
        <v/>
      </c>
      <c r="T1849">
        <f>IF($O1849="","",IF(INDEX(Dossiers!$F$4:$F$63,35)="","",INDEX(Dossiers!$F$4:$F$63,35)))</f>
        <v/>
      </c>
      <c r="U1849">
        <f>IF($O1849="","",IF(INDEX(Dossiers!$G$4:$G$63,35)="","",INDEX(Dossiers!$G$4:$G$63,35)))</f>
        <v/>
      </c>
      <c r="V1849">
        <f>IF(OR($O1849="",NOT(ISNUMBER($Q1849))),"",$Q1849*1000000+1849)</f>
        <v/>
      </c>
      <c r="W1849" s="29">
        <f>IF($B1849="","",IFERROR(INDEX($U$4:$U$3183,MATCH(SMALL($V$4:$V$3183,1846),$V$4:$V$3183,0)),""))</f>
        <v/>
      </c>
    </row>
    <row r="1850">
      <c r="A1850">
        <f>IFERROR(INDEX($N$4:$N$3183,MATCH(SMALL($V$4:$V$3183,1847),$V$4:$V$3183,0)),"")</f>
        <v/>
      </c>
      <c r="B1850">
        <f>IFERROR(INDEX($O$4:$O$3183,MATCH(SMALL($V$4:$V$3183,1847),$V$4:$V$3183,0)),"")</f>
        <v/>
      </c>
      <c r="C1850">
        <f>IFERROR(INDEX($P$4:$P$3183,MATCH(SMALL($V$4:$V$3183,1847),$V$4:$V$3183,0)),"")</f>
        <v/>
      </c>
      <c r="D1850" s="29">
        <f>IFERROR(INDEX($Q$4:$Q$3183,MATCH(SMALL($V$4:$V$3183,1847),$V$4:$V$3183,0)),"")</f>
        <v/>
      </c>
      <c r="E1850" s="29">
        <f>IFERROR(INDEX($R$4:$R$3183,MATCH(SMALL($V$4:$V$3183,1847),$V$4:$V$3183,0)),"")</f>
        <v/>
      </c>
      <c r="F1850">
        <f>IFERROR(INDEX($S$4:$S$3183,MATCH(SMALL($V$4:$V$3183,1847),$V$4:$V$3183,0)),"")</f>
        <v/>
      </c>
      <c r="I1850" s="29">
        <f>IF($B1850="","",IFERROR(INDEX($U$4:$U$3183,MATCH(SMALL($V$4:$V$3183,1847),$V$4:$V$3183,0)),""))</f>
        <v/>
      </c>
      <c r="J1850">
        <f>IF($B1850="","",IF($D1850&gt;$F$2,"À venir",IF($E1850&lt;$D$2,"Passé","Dans la période")))</f>
        <v/>
      </c>
      <c r="K1850">
        <f>IF(OR($B1850="",NOT(ISNUMBER($D1850))),"",IF(AND($E1850&lt;$D$2,$G1850&lt;&gt;"X",$F1850&lt;&gt;"Réalisé",$F1850&lt;&gt;"Clôturé"),"RETARD",""))</f>
        <v/>
      </c>
      <c r="L1850">
        <f>IF(OR($B1850="",NOT(ISNUMBER($D1850))),"",IF(AND($D1850&gt;=$D$2,$D1850&lt;=$H$2,$G1850&lt;&gt;"X",$F1850&lt;&gt;"Réalisé",$F1850&lt;&gt;"Clôturé"),"≤ 7 j",""))</f>
        <v/>
      </c>
      <c r="M1850" s="29">
        <f>IF($B1850="","",IFERROR(INDEX($T$4:$T$3183,MATCH(SMALL($V$4:$V$3183,1847),$V$4:$V$3183,0)),""))</f>
        <v/>
      </c>
      <c r="O1850">
        <f>IF(INDEX(Suivi!$B:$B,1885)="","",INDEX(Suivi!$B:$B,1885))</f>
        <v/>
      </c>
      <c r="P1850">
        <f>IF($O1850="","",IF(INDEX(Suivi!$D:$D,1885)="",INDEX(Suivi!$C:$C,1885),INDEX(Suivi!$D:$D,1885)))</f>
        <v/>
      </c>
      <c r="Q1850">
        <f>IF($O1850="","",INDEX(Suivi!$E:$E,1885))</f>
        <v/>
      </c>
      <c r="R1850">
        <f>IF($O1850="","",INDEX(Suivi!$F:$F,1885))</f>
        <v/>
      </c>
      <c r="S1850">
        <f>IF($O1850="","",INDEX(Suivi!$G:$G,1885))</f>
        <v/>
      </c>
      <c r="T1850">
        <f>IF($O1850="","",IF(INDEX(Dossiers!$F$4:$F$63,35)="","",INDEX(Dossiers!$F$4:$F$63,35)))</f>
        <v/>
      </c>
      <c r="U1850">
        <f>IF($O1850="","",IF(INDEX(Dossiers!$G$4:$G$63,35)="","",INDEX(Dossiers!$G$4:$G$63,35)))</f>
        <v/>
      </c>
      <c r="V1850">
        <f>IF(OR($O1850="",NOT(ISNUMBER($Q1850))),"",$Q1850*1000000+1850)</f>
        <v/>
      </c>
      <c r="W1850" s="29">
        <f>IF($B1850="","",IFERROR(INDEX($U$4:$U$3183,MATCH(SMALL($V$4:$V$3183,1847),$V$4:$V$3183,0)),""))</f>
        <v/>
      </c>
    </row>
    <row r="1851">
      <c r="A1851">
        <f>IFERROR(INDEX($N$4:$N$3183,MATCH(SMALL($V$4:$V$3183,1848),$V$4:$V$3183,0)),"")</f>
        <v/>
      </c>
      <c r="B1851">
        <f>IFERROR(INDEX($O$4:$O$3183,MATCH(SMALL($V$4:$V$3183,1848),$V$4:$V$3183,0)),"")</f>
        <v/>
      </c>
      <c r="C1851">
        <f>IFERROR(INDEX($P$4:$P$3183,MATCH(SMALL($V$4:$V$3183,1848),$V$4:$V$3183,0)),"")</f>
        <v/>
      </c>
      <c r="D1851" s="29">
        <f>IFERROR(INDEX($Q$4:$Q$3183,MATCH(SMALL($V$4:$V$3183,1848),$V$4:$V$3183,0)),"")</f>
        <v/>
      </c>
      <c r="E1851" s="29">
        <f>IFERROR(INDEX($R$4:$R$3183,MATCH(SMALL($V$4:$V$3183,1848),$V$4:$V$3183,0)),"")</f>
        <v/>
      </c>
      <c r="F1851">
        <f>IFERROR(INDEX($S$4:$S$3183,MATCH(SMALL($V$4:$V$3183,1848),$V$4:$V$3183,0)),"")</f>
        <v/>
      </c>
      <c r="I1851" s="29">
        <f>IF($B1851="","",IFERROR(INDEX($U$4:$U$3183,MATCH(SMALL($V$4:$V$3183,1848),$V$4:$V$3183,0)),""))</f>
        <v/>
      </c>
      <c r="J1851">
        <f>IF($B1851="","",IF($D1851&gt;$F$2,"À venir",IF($E1851&lt;$D$2,"Passé","Dans la période")))</f>
        <v/>
      </c>
      <c r="K1851">
        <f>IF(OR($B1851="",NOT(ISNUMBER($D1851))),"",IF(AND($E1851&lt;$D$2,$G1851&lt;&gt;"X",$F1851&lt;&gt;"Réalisé",$F1851&lt;&gt;"Clôturé"),"RETARD",""))</f>
        <v/>
      </c>
      <c r="L1851">
        <f>IF(OR($B1851="",NOT(ISNUMBER($D1851))),"",IF(AND($D1851&gt;=$D$2,$D1851&lt;=$H$2,$G1851&lt;&gt;"X",$F1851&lt;&gt;"Réalisé",$F1851&lt;&gt;"Clôturé"),"≤ 7 j",""))</f>
        <v/>
      </c>
      <c r="M1851" s="29">
        <f>IF($B1851="","",IFERROR(INDEX($T$4:$T$3183,MATCH(SMALL($V$4:$V$3183,1848),$V$4:$V$3183,0)),""))</f>
        <v/>
      </c>
      <c r="O1851">
        <f>IF(INDEX(Suivi!$B:$B,1886)="","",INDEX(Suivi!$B:$B,1886))</f>
        <v/>
      </c>
      <c r="P1851">
        <f>IF($O1851="","",IF(INDEX(Suivi!$D:$D,1886)="",INDEX(Suivi!$C:$C,1886),INDEX(Suivi!$D:$D,1886)))</f>
        <v/>
      </c>
      <c r="Q1851">
        <f>IF($O1851="","",INDEX(Suivi!$E:$E,1886))</f>
        <v/>
      </c>
      <c r="R1851">
        <f>IF($O1851="","",INDEX(Suivi!$F:$F,1886))</f>
        <v/>
      </c>
      <c r="S1851">
        <f>IF($O1851="","",INDEX(Suivi!$G:$G,1886))</f>
        <v/>
      </c>
      <c r="T1851">
        <f>IF($O1851="","",IF(INDEX(Dossiers!$F$4:$F$63,35)="","",INDEX(Dossiers!$F$4:$F$63,35)))</f>
        <v/>
      </c>
      <c r="U1851">
        <f>IF($O1851="","",IF(INDEX(Dossiers!$G$4:$G$63,35)="","",INDEX(Dossiers!$G$4:$G$63,35)))</f>
        <v/>
      </c>
      <c r="V1851">
        <f>IF(OR($O1851="",NOT(ISNUMBER($Q1851))),"",$Q1851*1000000+1851)</f>
        <v/>
      </c>
      <c r="W1851" s="29">
        <f>IF($B1851="","",IFERROR(INDEX($U$4:$U$3183,MATCH(SMALL($V$4:$V$3183,1848),$V$4:$V$3183,0)),""))</f>
        <v/>
      </c>
    </row>
    <row r="1852">
      <c r="A1852">
        <f>IFERROR(INDEX($N$4:$N$3183,MATCH(SMALL($V$4:$V$3183,1849),$V$4:$V$3183,0)),"")</f>
        <v/>
      </c>
      <c r="B1852">
        <f>IFERROR(INDEX($O$4:$O$3183,MATCH(SMALL($V$4:$V$3183,1849),$V$4:$V$3183,0)),"")</f>
        <v/>
      </c>
      <c r="C1852">
        <f>IFERROR(INDEX($P$4:$P$3183,MATCH(SMALL($V$4:$V$3183,1849),$V$4:$V$3183,0)),"")</f>
        <v/>
      </c>
      <c r="D1852" s="29">
        <f>IFERROR(INDEX($Q$4:$Q$3183,MATCH(SMALL($V$4:$V$3183,1849),$V$4:$V$3183,0)),"")</f>
        <v/>
      </c>
      <c r="E1852" s="29">
        <f>IFERROR(INDEX($R$4:$R$3183,MATCH(SMALL($V$4:$V$3183,1849),$V$4:$V$3183,0)),"")</f>
        <v/>
      </c>
      <c r="F1852">
        <f>IFERROR(INDEX($S$4:$S$3183,MATCH(SMALL($V$4:$V$3183,1849),$V$4:$V$3183,0)),"")</f>
        <v/>
      </c>
      <c r="I1852" s="29">
        <f>IF($B1852="","",IFERROR(INDEX($U$4:$U$3183,MATCH(SMALL($V$4:$V$3183,1849),$V$4:$V$3183,0)),""))</f>
        <v/>
      </c>
      <c r="J1852">
        <f>IF($B1852="","",IF($D1852&gt;$F$2,"À venir",IF($E1852&lt;$D$2,"Passé","Dans la période")))</f>
        <v/>
      </c>
      <c r="K1852">
        <f>IF(OR($B1852="",NOT(ISNUMBER($D1852))),"",IF(AND($E1852&lt;$D$2,$G1852&lt;&gt;"X",$F1852&lt;&gt;"Réalisé",$F1852&lt;&gt;"Clôturé"),"RETARD",""))</f>
        <v/>
      </c>
      <c r="L1852">
        <f>IF(OR($B1852="",NOT(ISNUMBER($D1852))),"",IF(AND($D1852&gt;=$D$2,$D1852&lt;=$H$2,$G1852&lt;&gt;"X",$F1852&lt;&gt;"Réalisé",$F1852&lt;&gt;"Clôturé"),"≤ 7 j",""))</f>
        <v/>
      </c>
      <c r="M1852" s="29">
        <f>IF($B1852="","",IFERROR(INDEX($T$4:$T$3183,MATCH(SMALL($V$4:$V$3183,1849),$V$4:$V$3183,0)),""))</f>
        <v/>
      </c>
      <c r="O1852">
        <f>IF(INDEX(Suivi!$B:$B,1887)="","",INDEX(Suivi!$B:$B,1887))</f>
        <v/>
      </c>
      <c r="P1852">
        <f>IF($O1852="","",IF(INDEX(Suivi!$D:$D,1887)="",INDEX(Suivi!$C:$C,1887),INDEX(Suivi!$D:$D,1887)))</f>
        <v/>
      </c>
      <c r="Q1852">
        <f>IF($O1852="","",INDEX(Suivi!$E:$E,1887))</f>
        <v/>
      </c>
      <c r="R1852">
        <f>IF($O1852="","",INDEX(Suivi!$F:$F,1887))</f>
        <v/>
      </c>
      <c r="S1852">
        <f>IF($O1852="","",INDEX(Suivi!$G:$G,1887))</f>
        <v/>
      </c>
      <c r="T1852">
        <f>IF($O1852="","",IF(INDEX(Dossiers!$F$4:$F$63,35)="","",INDEX(Dossiers!$F$4:$F$63,35)))</f>
        <v/>
      </c>
      <c r="U1852">
        <f>IF($O1852="","",IF(INDEX(Dossiers!$G$4:$G$63,35)="","",INDEX(Dossiers!$G$4:$G$63,35)))</f>
        <v/>
      </c>
      <c r="V1852">
        <f>IF(OR($O1852="",NOT(ISNUMBER($Q1852))),"",$Q1852*1000000+1852)</f>
        <v/>
      </c>
      <c r="W1852" s="29">
        <f>IF($B1852="","",IFERROR(INDEX($U$4:$U$3183,MATCH(SMALL($V$4:$V$3183,1849),$V$4:$V$3183,0)),""))</f>
        <v/>
      </c>
    </row>
    <row r="1853">
      <c r="A1853">
        <f>IFERROR(INDEX($N$4:$N$3183,MATCH(SMALL($V$4:$V$3183,1850),$V$4:$V$3183,0)),"")</f>
        <v/>
      </c>
      <c r="B1853">
        <f>IFERROR(INDEX($O$4:$O$3183,MATCH(SMALL($V$4:$V$3183,1850),$V$4:$V$3183,0)),"")</f>
        <v/>
      </c>
      <c r="C1853">
        <f>IFERROR(INDEX($P$4:$P$3183,MATCH(SMALL($V$4:$V$3183,1850),$V$4:$V$3183,0)),"")</f>
        <v/>
      </c>
      <c r="D1853" s="29">
        <f>IFERROR(INDEX($Q$4:$Q$3183,MATCH(SMALL($V$4:$V$3183,1850),$V$4:$V$3183,0)),"")</f>
        <v/>
      </c>
      <c r="E1853" s="29">
        <f>IFERROR(INDEX($R$4:$R$3183,MATCH(SMALL($V$4:$V$3183,1850),$V$4:$V$3183,0)),"")</f>
        <v/>
      </c>
      <c r="F1853">
        <f>IFERROR(INDEX($S$4:$S$3183,MATCH(SMALL($V$4:$V$3183,1850),$V$4:$V$3183,0)),"")</f>
        <v/>
      </c>
      <c r="I1853" s="29">
        <f>IF($B1853="","",IFERROR(INDEX($U$4:$U$3183,MATCH(SMALL($V$4:$V$3183,1850),$V$4:$V$3183,0)),""))</f>
        <v/>
      </c>
      <c r="J1853">
        <f>IF($B1853="","",IF($D1853&gt;$F$2,"À venir",IF($E1853&lt;$D$2,"Passé","Dans la période")))</f>
        <v/>
      </c>
      <c r="K1853">
        <f>IF(OR($B1853="",NOT(ISNUMBER($D1853))),"",IF(AND($E1853&lt;$D$2,$G1853&lt;&gt;"X",$F1853&lt;&gt;"Réalisé",$F1853&lt;&gt;"Clôturé"),"RETARD",""))</f>
        <v/>
      </c>
      <c r="L1853">
        <f>IF(OR($B1853="",NOT(ISNUMBER($D1853))),"",IF(AND($D1853&gt;=$D$2,$D1853&lt;=$H$2,$G1853&lt;&gt;"X",$F1853&lt;&gt;"Réalisé",$F1853&lt;&gt;"Clôturé"),"≤ 7 j",""))</f>
        <v/>
      </c>
      <c r="M1853" s="29">
        <f>IF($B1853="","",IFERROR(INDEX($T$4:$T$3183,MATCH(SMALL($V$4:$V$3183,1850),$V$4:$V$3183,0)),""))</f>
        <v/>
      </c>
      <c r="O1853">
        <f>IF(INDEX(Suivi!$B:$B,1888)="","",INDEX(Suivi!$B:$B,1888))</f>
        <v/>
      </c>
      <c r="P1853">
        <f>IF($O1853="","",IF(INDEX(Suivi!$D:$D,1888)="",INDEX(Suivi!$C:$C,1888),INDEX(Suivi!$D:$D,1888)))</f>
        <v/>
      </c>
      <c r="Q1853">
        <f>IF($O1853="","",INDEX(Suivi!$E:$E,1888))</f>
        <v/>
      </c>
      <c r="R1853">
        <f>IF($O1853="","",INDEX(Suivi!$F:$F,1888))</f>
        <v/>
      </c>
      <c r="S1853">
        <f>IF($O1853="","",INDEX(Suivi!$G:$G,1888))</f>
        <v/>
      </c>
      <c r="T1853">
        <f>IF($O1853="","",IF(INDEX(Dossiers!$F$4:$F$63,35)="","",INDEX(Dossiers!$F$4:$F$63,35)))</f>
        <v/>
      </c>
      <c r="U1853">
        <f>IF($O1853="","",IF(INDEX(Dossiers!$G$4:$G$63,35)="","",INDEX(Dossiers!$G$4:$G$63,35)))</f>
        <v/>
      </c>
      <c r="V1853">
        <f>IF(OR($O1853="",NOT(ISNUMBER($Q1853))),"",$Q1853*1000000+1853)</f>
        <v/>
      </c>
      <c r="W1853" s="29">
        <f>IF($B1853="","",IFERROR(INDEX($U$4:$U$3183,MATCH(SMALL($V$4:$V$3183,1850),$V$4:$V$3183,0)),""))</f>
        <v/>
      </c>
    </row>
    <row r="1854">
      <c r="A1854">
        <f>IFERROR(INDEX($N$4:$N$3183,MATCH(SMALL($V$4:$V$3183,1851),$V$4:$V$3183,0)),"")</f>
        <v/>
      </c>
      <c r="B1854">
        <f>IFERROR(INDEX($O$4:$O$3183,MATCH(SMALL($V$4:$V$3183,1851),$V$4:$V$3183,0)),"")</f>
        <v/>
      </c>
      <c r="C1854">
        <f>IFERROR(INDEX($P$4:$P$3183,MATCH(SMALL($V$4:$V$3183,1851),$V$4:$V$3183,0)),"")</f>
        <v/>
      </c>
      <c r="D1854" s="29">
        <f>IFERROR(INDEX($Q$4:$Q$3183,MATCH(SMALL($V$4:$V$3183,1851),$V$4:$V$3183,0)),"")</f>
        <v/>
      </c>
      <c r="E1854" s="29">
        <f>IFERROR(INDEX($R$4:$R$3183,MATCH(SMALL($V$4:$V$3183,1851),$V$4:$V$3183,0)),"")</f>
        <v/>
      </c>
      <c r="F1854">
        <f>IFERROR(INDEX($S$4:$S$3183,MATCH(SMALL($V$4:$V$3183,1851),$V$4:$V$3183,0)),"")</f>
        <v/>
      </c>
      <c r="I1854" s="29">
        <f>IF($B1854="","",IFERROR(INDEX($U$4:$U$3183,MATCH(SMALL($V$4:$V$3183,1851),$V$4:$V$3183,0)),""))</f>
        <v/>
      </c>
      <c r="J1854">
        <f>IF($B1854="","",IF($D1854&gt;$F$2,"À venir",IF($E1854&lt;$D$2,"Passé","Dans la période")))</f>
        <v/>
      </c>
      <c r="K1854">
        <f>IF(OR($B1854="",NOT(ISNUMBER($D1854))),"",IF(AND($E1854&lt;$D$2,$G1854&lt;&gt;"X",$F1854&lt;&gt;"Réalisé",$F1854&lt;&gt;"Clôturé"),"RETARD",""))</f>
        <v/>
      </c>
      <c r="L1854">
        <f>IF(OR($B1854="",NOT(ISNUMBER($D1854))),"",IF(AND($D1854&gt;=$D$2,$D1854&lt;=$H$2,$G1854&lt;&gt;"X",$F1854&lt;&gt;"Réalisé",$F1854&lt;&gt;"Clôturé"),"≤ 7 j",""))</f>
        <v/>
      </c>
      <c r="M1854" s="29">
        <f>IF($B1854="","",IFERROR(INDEX($T$4:$T$3183,MATCH(SMALL($V$4:$V$3183,1851),$V$4:$V$3183,0)),""))</f>
        <v/>
      </c>
      <c r="O1854">
        <f>IF(INDEX(Suivi!$B:$B,1889)="","",INDEX(Suivi!$B:$B,1889))</f>
        <v/>
      </c>
      <c r="P1854">
        <f>IF($O1854="","",IF(INDEX(Suivi!$D:$D,1889)="",INDEX(Suivi!$C:$C,1889),INDEX(Suivi!$D:$D,1889)))</f>
        <v/>
      </c>
      <c r="Q1854">
        <f>IF($O1854="","",INDEX(Suivi!$E:$E,1889))</f>
        <v/>
      </c>
      <c r="R1854">
        <f>IF($O1854="","",INDEX(Suivi!$F:$F,1889))</f>
        <v/>
      </c>
      <c r="S1854">
        <f>IF($O1854="","",INDEX(Suivi!$G:$G,1889))</f>
        <v/>
      </c>
      <c r="T1854">
        <f>IF($O1854="","",IF(INDEX(Dossiers!$F$4:$F$63,35)="","",INDEX(Dossiers!$F$4:$F$63,35)))</f>
        <v/>
      </c>
      <c r="U1854">
        <f>IF($O1854="","",IF(INDEX(Dossiers!$G$4:$G$63,35)="","",INDEX(Dossiers!$G$4:$G$63,35)))</f>
        <v/>
      </c>
      <c r="V1854">
        <f>IF(OR($O1854="",NOT(ISNUMBER($Q1854))),"",$Q1854*1000000+1854)</f>
        <v/>
      </c>
      <c r="W1854" s="29">
        <f>IF($B1854="","",IFERROR(INDEX($U$4:$U$3183,MATCH(SMALL($V$4:$V$3183,1851),$V$4:$V$3183,0)),""))</f>
        <v/>
      </c>
    </row>
    <row r="1855">
      <c r="A1855">
        <f>IFERROR(INDEX($N$4:$N$3183,MATCH(SMALL($V$4:$V$3183,1852),$V$4:$V$3183,0)),"")</f>
        <v/>
      </c>
      <c r="B1855">
        <f>IFERROR(INDEX($O$4:$O$3183,MATCH(SMALL($V$4:$V$3183,1852),$V$4:$V$3183,0)),"")</f>
        <v/>
      </c>
      <c r="C1855">
        <f>IFERROR(INDEX($P$4:$P$3183,MATCH(SMALL($V$4:$V$3183,1852),$V$4:$V$3183,0)),"")</f>
        <v/>
      </c>
      <c r="D1855" s="29">
        <f>IFERROR(INDEX($Q$4:$Q$3183,MATCH(SMALL($V$4:$V$3183,1852),$V$4:$V$3183,0)),"")</f>
        <v/>
      </c>
      <c r="E1855" s="29">
        <f>IFERROR(INDEX($R$4:$R$3183,MATCH(SMALL($V$4:$V$3183,1852),$V$4:$V$3183,0)),"")</f>
        <v/>
      </c>
      <c r="F1855">
        <f>IFERROR(INDEX($S$4:$S$3183,MATCH(SMALL($V$4:$V$3183,1852),$V$4:$V$3183,0)),"")</f>
        <v/>
      </c>
      <c r="I1855" s="29">
        <f>IF($B1855="","",IFERROR(INDEX($U$4:$U$3183,MATCH(SMALL($V$4:$V$3183,1852),$V$4:$V$3183,0)),""))</f>
        <v/>
      </c>
      <c r="J1855">
        <f>IF($B1855="","",IF($D1855&gt;$F$2,"À venir",IF($E1855&lt;$D$2,"Passé","Dans la période")))</f>
        <v/>
      </c>
      <c r="K1855">
        <f>IF(OR($B1855="",NOT(ISNUMBER($D1855))),"",IF(AND($E1855&lt;$D$2,$G1855&lt;&gt;"X",$F1855&lt;&gt;"Réalisé",$F1855&lt;&gt;"Clôturé"),"RETARD",""))</f>
        <v/>
      </c>
      <c r="L1855">
        <f>IF(OR($B1855="",NOT(ISNUMBER($D1855))),"",IF(AND($D1855&gt;=$D$2,$D1855&lt;=$H$2,$G1855&lt;&gt;"X",$F1855&lt;&gt;"Réalisé",$F1855&lt;&gt;"Clôturé"),"≤ 7 j",""))</f>
        <v/>
      </c>
      <c r="M1855" s="29">
        <f>IF($B1855="","",IFERROR(INDEX($T$4:$T$3183,MATCH(SMALL($V$4:$V$3183,1852),$V$4:$V$3183,0)),""))</f>
        <v/>
      </c>
      <c r="O1855">
        <f>IF(INDEX(Suivi!$B:$B,1890)="","",INDEX(Suivi!$B:$B,1890))</f>
        <v/>
      </c>
      <c r="P1855">
        <f>IF($O1855="","",IF(INDEX(Suivi!$D:$D,1890)="",INDEX(Suivi!$C:$C,1890),INDEX(Suivi!$D:$D,1890)))</f>
        <v/>
      </c>
      <c r="Q1855">
        <f>IF($O1855="","",INDEX(Suivi!$E:$E,1890))</f>
        <v/>
      </c>
      <c r="R1855">
        <f>IF($O1855="","",INDEX(Suivi!$F:$F,1890))</f>
        <v/>
      </c>
      <c r="S1855">
        <f>IF($O1855="","",INDEX(Suivi!$G:$G,1890))</f>
        <v/>
      </c>
      <c r="T1855">
        <f>IF($O1855="","",IF(INDEX(Dossiers!$F$4:$F$63,35)="","",INDEX(Dossiers!$F$4:$F$63,35)))</f>
        <v/>
      </c>
      <c r="U1855">
        <f>IF($O1855="","",IF(INDEX(Dossiers!$G$4:$G$63,35)="","",INDEX(Dossiers!$G$4:$G$63,35)))</f>
        <v/>
      </c>
      <c r="V1855">
        <f>IF(OR($O1855="",NOT(ISNUMBER($Q1855))),"",$Q1855*1000000+1855)</f>
        <v/>
      </c>
      <c r="W1855" s="29">
        <f>IF($B1855="","",IFERROR(INDEX($U$4:$U$3183,MATCH(SMALL($V$4:$V$3183,1852),$V$4:$V$3183,0)),""))</f>
        <v/>
      </c>
    </row>
    <row r="1856">
      <c r="A1856">
        <f>IFERROR(INDEX($N$4:$N$3183,MATCH(SMALL($V$4:$V$3183,1853),$V$4:$V$3183,0)),"")</f>
        <v/>
      </c>
      <c r="B1856">
        <f>IFERROR(INDEX($O$4:$O$3183,MATCH(SMALL($V$4:$V$3183,1853),$V$4:$V$3183,0)),"")</f>
        <v/>
      </c>
      <c r="C1856">
        <f>IFERROR(INDEX($P$4:$P$3183,MATCH(SMALL($V$4:$V$3183,1853),$V$4:$V$3183,0)),"")</f>
        <v/>
      </c>
      <c r="D1856" s="29">
        <f>IFERROR(INDEX($Q$4:$Q$3183,MATCH(SMALL($V$4:$V$3183,1853),$V$4:$V$3183,0)),"")</f>
        <v/>
      </c>
      <c r="E1856" s="29">
        <f>IFERROR(INDEX($R$4:$R$3183,MATCH(SMALL($V$4:$V$3183,1853),$V$4:$V$3183,0)),"")</f>
        <v/>
      </c>
      <c r="F1856">
        <f>IFERROR(INDEX($S$4:$S$3183,MATCH(SMALL($V$4:$V$3183,1853),$V$4:$V$3183,0)),"")</f>
        <v/>
      </c>
      <c r="I1856" s="29">
        <f>IF($B1856="","",IFERROR(INDEX($U$4:$U$3183,MATCH(SMALL($V$4:$V$3183,1853),$V$4:$V$3183,0)),""))</f>
        <v/>
      </c>
      <c r="J1856">
        <f>IF($B1856="","",IF($D1856&gt;$F$2,"À venir",IF($E1856&lt;$D$2,"Passé","Dans la période")))</f>
        <v/>
      </c>
      <c r="K1856">
        <f>IF(OR($B1856="",NOT(ISNUMBER($D1856))),"",IF(AND($E1856&lt;$D$2,$G1856&lt;&gt;"X",$F1856&lt;&gt;"Réalisé",$F1856&lt;&gt;"Clôturé"),"RETARD",""))</f>
        <v/>
      </c>
      <c r="L1856">
        <f>IF(OR($B1856="",NOT(ISNUMBER($D1856))),"",IF(AND($D1856&gt;=$D$2,$D1856&lt;=$H$2,$G1856&lt;&gt;"X",$F1856&lt;&gt;"Réalisé",$F1856&lt;&gt;"Clôturé"),"≤ 7 j",""))</f>
        <v/>
      </c>
      <c r="M1856" s="29">
        <f>IF($B1856="","",IFERROR(INDEX($T$4:$T$3183,MATCH(SMALL($V$4:$V$3183,1853),$V$4:$V$3183,0)),""))</f>
        <v/>
      </c>
      <c r="O1856">
        <f>IF(INDEX(Suivi!$B:$B,1891)="","",INDEX(Suivi!$B:$B,1891))</f>
        <v/>
      </c>
      <c r="P1856">
        <f>IF($O1856="","",IF(INDEX(Suivi!$D:$D,1891)="",INDEX(Suivi!$C:$C,1891),INDEX(Suivi!$D:$D,1891)))</f>
        <v/>
      </c>
      <c r="Q1856">
        <f>IF($O1856="","",INDEX(Suivi!$E:$E,1891))</f>
        <v/>
      </c>
      <c r="R1856">
        <f>IF($O1856="","",INDEX(Suivi!$F:$F,1891))</f>
        <v/>
      </c>
      <c r="S1856">
        <f>IF($O1856="","",INDEX(Suivi!$G:$G,1891))</f>
        <v/>
      </c>
      <c r="T1856">
        <f>IF($O1856="","",IF(INDEX(Dossiers!$F$4:$F$63,35)="","",INDEX(Dossiers!$F$4:$F$63,35)))</f>
        <v/>
      </c>
      <c r="U1856">
        <f>IF($O1856="","",IF(INDEX(Dossiers!$G$4:$G$63,35)="","",INDEX(Dossiers!$G$4:$G$63,35)))</f>
        <v/>
      </c>
      <c r="V1856">
        <f>IF(OR($O1856="",NOT(ISNUMBER($Q1856))),"",$Q1856*1000000+1856)</f>
        <v/>
      </c>
      <c r="W1856" s="29">
        <f>IF($B1856="","",IFERROR(INDEX($U$4:$U$3183,MATCH(SMALL($V$4:$V$3183,1853),$V$4:$V$3183,0)),""))</f>
        <v/>
      </c>
    </row>
    <row r="1857">
      <c r="A1857">
        <f>IFERROR(INDEX($N$4:$N$3183,MATCH(SMALL($V$4:$V$3183,1854),$V$4:$V$3183,0)),"")</f>
        <v/>
      </c>
      <c r="B1857">
        <f>IFERROR(INDEX($O$4:$O$3183,MATCH(SMALL($V$4:$V$3183,1854),$V$4:$V$3183,0)),"")</f>
        <v/>
      </c>
      <c r="C1857">
        <f>IFERROR(INDEX($P$4:$P$3183,MATCH(SMALL($V$4:$V$3183,1854),$V$4:$V$3183,0)),"")</f>
        <v/>
      </c>
      <c r="D1857" s="29">
        <f>IFERROR(INDEX($Q$4:$Q$3183,MATCH(SMALL($V$4:$V$3183,1854),$V$4:$V$3183,0)),"")</f>
        <v/>
      </c>
      <c r="E1857" s="29">
        <f>IFERROR(INDEX($R$4:$R$3183,MATCH(SMALL($V$4:$V$3183,1854),$V$4:$V$3183,0)),"")</f>
        <v/>
      </c>
      <c r="F1857">
        <f>IFERROR(INDEX($S$4:$S$3183,MATCH(SMALL($V$4:$V$3183,1854),$V$4:$V$3183,0)),"")</f>
        <v/>
      </c>
      <c r="I1857" s="29">
        <f>IF($B1857="","",IFERROR(INDEX($U$4:$U$3183,MATCH(SMALL($V$4:$V$3183,1854),$V$4:$V$3183,0)),""))</f>
        <v/>
      </c>
      <c r="J1857">
        <f>IF($B1857="","",IF($D1857&gt;$F$2,"À venir",IF($E1857&lt;$D$2,"Passé","Dans la période")))</f>
        <v/>
      </c>
      <c r="K1857">
        <f>IF(OR($B1857="",NOT(ISNUMBER($D1857))),"",IF(AND($E1857&lt;$D$2,$G1857&lt;&gt;"X",$F1857&lt;&gt;"Réalisé",$F1857&lt;&gt;"Clôturé"),"RETARD",""))</f>
        <v/>
      </c>
      <c r="L1857">
        <f>IF(OR($B1857="",NOT(ISNUMBER($D1857))),"",IF(AND($D1857&gt;=$D$2,$D1857&lt;=$H$2,$G1857&lt;&gt;"X",$F1857&lt;&gt;"Réalisé",$F1857&lt;&gt;"Clôturé"),"≤ 7 j",""))</f>
        <v/>
      </c>
      <c r="M1857" s="29">
        <f>IF($B1857="","",IFERROR(INDEX($T$4:$T$3183,MATCH(SMALL($V$4:$V$3183,1854),$V$4:$V$3183,0)),""))</f>
        <v/>
      </c>
      <c r="O1857">
        <f>IF(INDEX(Suivi!$B:$B,1892)="","",INDEX(Suivi!$B:$B,1892))</f>
        <v/>
      </c>
      <c r="P1857">
        <f>IF($O1857="","",IF(INDEX(Suivi!$D:$D,1892)="",INDEX(Suivi!$C:$C,1892),INDEX(Suivi!$D:$D,1892)))</f>
        <v/>
      </c>
      <c r="Q1857">
        <f>IF($O1857="","",INDEX(Suivi!$E:$E,1892))</f>
        <v/>
      </c>
      <c r="R1857">
        <f>IF($O1857="","",INDEX(Suivi!$F:$F,1892))</f>
        <v/>
      </c>
      <c r="S1857">
        <f>IF($O1857="","",INDEX(Suivi!$G:$G,1892))</f>
        <v/>
      </c>
      <c r="T1857">
        <f>IF($O1857="","",IF(INDEX(Dossiers!$F$4:$F$63,35)="","",INDEX(Dossiers!$F$4:$F$63,35)))</f>
        <v/>
      </c>
      <c r="U1857">
        <f>IF($O1857="","",IF(INDEX(Dossiers!$G$4:$G$63,35)="","",INDEX(Dossiers!$G$4:$G$63,35)))</f>
        <v/>
      </c>
      <c r="V1857">
        <f>IF(OR($O1857="",NOT(ISNUMBER($Q1857))),"",$Q1857*1000000+1857)</f>
        <v/>
      </c>
      <c r="W1857" s="29">
        <f>IF($B1857="","",IFERROR(INDEX($U$4:$U$3183,MATCH(SMALL($V$4:$V$3183,1854),$V$4:$V$3183,0)),""))</f>
        <v/>
      </c>
    </row>
    <row r="1858">
      <c r="A1858">
        <f>IFERROR(INDEX($N$4:$N$3183,MATCH(SMALL($V$4:$V$3183,1855),$V$4:$V$3183,0)),"")</f>
        <v/>
      </c>
      <c r="B1858">
        <f>IFERROR(INDEX($O$4:$O$3183,MATCH(SMALL($V$4:$V$3183,1855),$V$4:$V$3183,0)),"")</f>
        <v/>
      </c>
      <c r="C1858">
        <f>IFERROR(INDEX($P$4:$P$3183,MATCH(SMALL($V$4:$V$3183,1855),$V$4:$V$3183,0)),"")</f>
        <v/>
      </c>
      <c r="D1858" s="29">
        <f>IFERROR(INDEX($Q$4:$Q$3183,MATCH(SMALL($V$4:$V$3183,1855),$V$4:$V$3183,0)),"")</f>
        <v/>
      </c>
      <c r="E1858" s="29">
        <f>IFERROR(INDEX($R$4:$R$3183,MATCH(SMALL($V$4:$V$3183,1855),$V$4:$V$3183,0)),"")</f>
        <v/>
      </c>
      <c r="F1858">
        <f>IFERROR(INDEX($S$4:$S$3183,MATCH(SMALL($V$4:$V$3183,1855),$V$4:$V$3183,0)),"")</f>
        <v/>
      </c>
      <c r="I1858" s="29">
        <f>IF($B1858="","",IFERROR(INDEX($U$4:$U$3183,MATCH(SMALL($V$4:$V$3183,1855),$V$4:$V$3183,0)),""))</f>
        <v/>
      </c>
      <c r="J1858">
        <f>IF($B1858="","",IF($D1858&gt;$F$2,"À venir",IF($E1858&lt;$D$2,"Passé","Dans la période")))</f>
        <v/>
      </c>
      <c r="K1858">
        <f>IF(OR($B1858="",NOT(ISNUMBER($D1858))),"",IF(AND($E1858&lt;$D$2,$G1858&lt;&gt;"X",$F1858&lt;&gt;"Réalisé",$F1858&lt;&gt;"Clôturé"),"RETARD",""))</f>
        <v/>
      </c>
      <c r="L1858">
        <f>IF(OR($B1858="",NOT(ISNUMBER($D1858))),"",IF(AND($D1858&gt;=$D$2,$D1858&lt;=$H$2,$G1858&lt;&gt;"X",$F1858&lt;&gt;"Réalisé",$F1858&lt;&gt;"Clôturé"),"≤ 7 j",""))</f>
        <v/>
      </c>
      <c r="M1858" s="29">
        <f>IF($B1858="","",IFERROR(INDEX($T$4:$T$3183,MATCH(SMALL($V$4:$V$3183,1855),$V$4:$V$3183,0)),""))</f>
        <v/>
      </c>
      <c r="O1858">
        <f>IF(INDEX(Suivi!$B:$B,1893)="","",INDEX(Suivi!$B:$B,1893))</f>
        <v/>
      </c>
      <c r="P1858">
        <f>IF($O1858="","",IF(INDEX(Suivi!$D:$D,1893)="",INDEX(Suivi!$C:$C,1893),INDEX(Suivi!$D:$D,1893)))</f>
        <v/>
      </c>
      <c r="Q1858">
        <f>IF($O1858="","",INDEX(Suivi!$E:$E,1893))</f>
        <v/>
      </c>
      <c r="R1858">
        <f>IF($O1858="","",INDEX(Suivi!$F:$F,1893))</f>
        <v/>
      </c>
      <c r="S1858">
        <f>IF($O1858="","",INDEX(Suivi!$G:$G,1893))</f>
        <v/>
      </c>
      <c r="T1858">
        <f>IF($O1858="","",IF(INDEX(Dossiers!$F$4:$F$63,35)="","",INDEX(Dossiers!$F$4:$F$63,35)))</f>
        <v/>
      </c>
      <c r="U1858">
        <f>IF($O1858="","",IF(INDEX(Dossiers!$G$4:$G$63,35)="","",INDEX(Dossiers!$G$4:$G$63,35)))</f>
        <v/>
      </c>
      <c r="V1858">
        <f>IF(OR($O1858="",NOT(ISNUMBER($Q1858))),"",$Q1858*1000000+1858)</f>
        <v/>
      </c>
      <c r="W1858" s="29">
        <f>IF($B1858="","",IFERROR(INDEX($U$4:$U$3183,MATCH(SMALL($V$4:$V$3183,1855),$V$4:$V$3183,0)),""))</f>
        <v/>
      </c>
    </row>
    <row r="1859">
      <c r="A1859">
        <f>IFERROR(INDEX($N$4:$N$3183,MATCH(SMALL($V$4:$V$3183,1856),$V$4:$V$3183,0)),"")</f>
        <v/>
      </c>
      <c r="B1859">
        <f>IFERROR(INDEX($O$4:$O$3183,MATCH(SMALL($V$4:$V$3183,1856),$V$4:$V$3183,0)),"")</f>
        <v/>
      </c>
      <c r="C1859">
        <f>IFERROR(INDEX($P$4:$P$3183,MATCH(SMALL($V$4:$V$3183,1856),$V$4:$V$3183,0)),"")</f>
        <v/>
      </c>
      <c r="D1859" s="29">
        <f>IFERROR(INDEX($Q$4:$Q$3183,MATCH(SMALL($V$4:$V$3183,1856),$V$4:$V$3183,0)),"")</f>
        <v/>
      </c>
      <c r="E1859" s="29">
        <f>IFERROR(INDEX($R$4:$R$3183,MATCH(SMALL($V$4:$V$3183,1856),$V$4:$V$3183,0)),"")</f>
        <v/>
      </c>
      <c r="F1859">
        <f>IFERROR(INDEX($S$4:$S$3183,MATCH(SMALL($V$4:$V$3183,1856),$V$4:$V$3183,0)),"")</f>
        <v/>
      </c>
      <c r="I1859" s="29">
        <f>IF($B1859="","",IFERROR(INDEX($U$4:$U$3183,MATCH(SMALL($V$4:$V$3183,1856),$V$4:$V$3183,0)),""))</f>
        <v/>
      </c>
      <c r="J1859">
        <f>IF($B1859="","",IF($D1859&gt;$F$2,"À venir",IF($E1859&lt;$D$2,"Passé","Dans la période")))</f>
        <v/>
      </c>
      <c r="K1859">
        <f>IF(OR($B1859="",NOT(ISNUMBER($D1859))),"",IF(AND($E1859&lt;$D$2,$G1859&lt;&gt;"X",$F1859&lt;&gt;"Réalisé",$F1859&lt;&gt;"Clôturé"),"RETARD",""))</f>
        <v/>
      </c>
      <c r="L1859">
        <f>IF(OR($B1859="",NOT(ISNUMBER($D1859))),"",IF(AND($D1859&gt;=$D$2,$D1859&lt;=$H$2,$G1859&lt;&gt;"X",$F1859&lt;&gt;"Réalisé",$F1859&lt;&gt;"Clôturé"),"≤ 7 j",""))</f>
        <v/>
      </c>
      <c r="M1859" s="29">
        <f>IF($B1859="","",IFERROR(INDEX($T$4:$T$3183,MATCH(SMALL($V$4:$V$3183,1856),$V$4:$V$3183,0)),""))</f>
        <v/>
      </c>
      <c r="O1859">
        <f>IF(INDEX(Suivi!$B:$B,1895)="","",INDEX(Suivi!$B:$B,1895))</f>
        <v/>
      </c>
      <c r="P1859">
        <f>IF($O1859="","",IF(INDEX(Suivi!$D:$D,1895)="",INDEX(Suivi!$C:$C,1895),INDEX(Suivi!$D:$D,1895)))</f>
        <v/>
      </c>
      <c r="Q1859">
        <f>IF($O1859="","",INDEX(Suivi!$E:$E,1895))</f>
        <v/>
      </c>
      <c r="R1859">
        <f>IF($O1859="","",INDEX(Suivi!$F:$F,1895))</f>
        <v/>
      </c>
      <c r="S1859">
        <f>IF($O1859="","",INDEX(Suivi!$G:$G,1895))</f>
        <v/>
      </c>
      <c r="T1859">
        <f>IF($O1859="","",IF(INDEX(Dossiers!$F$4:$F$63,36)="","",INDEX(Dossiers!$F$4:$F$63,36)))</f>
        <v/>
      </c>
      <c r="U1859">
        <f>IF($O1859="","",IF(INDEX(Dossiers!$G$4:$G$63,36)="","",INDEX(Dossiers!$G$4:$G$63,36)))</f>
        <v/>
      </c>
      <c r="V1859">
        <f>IF(OR($O1859="",NOT(ISNUMBER($Q1859))),"",$Q1859*1000000+1859)</f>
        <v/>
      </c>
      <c r="W1859" s="29">
        <f>IF($B1859="","",IFERROR(INDEX($U$4:$U$3183,MATCH(SMALL($V$4:$V$3183,1856),$V$4:$V$3183,0)),""))</f>
        <v/>
      </c>
    </row>
    <row r="1860">
      <c r="A1860">
        <f>IFERROR(INDEX($N$4:$N$3183,MATCH(SMALL($V$4:$V$3183,1857),$V$4:$V$3183,0)),"")</f>
        <v/>
      </c>
      <c r="B1860">
        <f>IFERROR(INDEX($O$4:$O$3183,MATCH(SMALL($V$4:$V$3183,1857),$V$4:$V$3183,0)),"")</f>
        <v/>
      </c>
      <c r="C1860">
        <f>IFERROR(INDEX($P$4:$P$3183,MATCH(SMALL($V$4:$V$3183,1857),$V$4:$V$3183,0)),"")</f>
        <v/>
      </c>
      <c r="D1860" s="29">
        <f>IFERROR(INDEX($Q$4:$Q$3183,MATCH(SMALL($V$4:$V$3183,1857),$V$4:$V$3183,0)),"")</f>
        <v/>
      </c>
      <c r="E1860" s="29">
        <f>IFERROR(INDEX($R$4:$R$3183,MATCH(SMALL($V$4:$V$3183,1857),$V$4:$V$3183,0)),"")</f>
        <v/>
      </c>
      <c r="F1860">
        <f>IFERROR(INDEX($S$4:$S$3183,MATCH(SMALL($V$4:$V$3183,1857),$V$4:$V$3183,0)),"")</f>
        <v/>
      </c>
      <c r="I1860" s="29">
        <f>IF($B1860="","",IFERROR(INDEX($U$4:$U$3183,MATCH(SMALL($V$4:$V$3183,1857),$V$4:$V$3183,0)),""))</f>
        <v/>
      </c>
      <c r="J1860">
        <f>IF($B1860="","",IF($D1860&gt;$F$2,"À venir",IF($E1860&lt;$D$2,"Passé","Dans la période")))</f>
        <v/>
      </c>
      <c r="K1860">
        <f>IF(OR($B1860="",NOT(ISNUMBER($D1860))),"",IF(AND($E1860&lt;$D$2,$G1860&lt;&gt;"X",$F1860&lt;&gt;"Réalisé",$F1860&lt;&gt;"Clôturé"),"RETARD",""))</f>
        <v/>
      </c>
      <c r="L1860">
        <f>IF(OR($B1860="",NOT(ISNUMBER($D1860))),"",IF(AND($D1860&gt;=$D$2,$D1860&lt;=$H$2,$G1860&lt;&gt;"X",$F1860&lt;&gt;"Réalisé",$F1860&lt;&gt;"Clôturé"),"≤ 7 j",""))</f>
        <v/>
      </c>
      <c r="M1860" s="29">
        <f>IF($B1860="","",IFERROR(INDEX($T$4:$T$3183,MATCH(SMALL($V$4:$V$3183,1857),$V$4:$V$3183,0)),""))</f>
        <v/>
      </c>
      <c r="O1860">
        <f>IF(INDEX(Suivi!$B:$B,1896)="","",INDEX(Suivi!$B:$B,1896))</f>
        <v/>
      </c>
      <c r="P1860">
        <f>IF($O1860="","",IF(INDEX(Suivi!$D:$D,1896)="",INDEX(Suivi!$C:$C,1896),INDEX(Suivi!$D:$D,1896)))</f>
        <v/>
      </c>
      <c r="Q1860">
        <f>IF($O1860="","",INDEX(Suivi!$E:$E,1896))</f>
        <v/>
      </c>
      <c r="R1860">
        <f>IF($O1860="","",INDEX(Suivi!$F:$F,1896))</f>
        <v/>
      </c>
      <c r="S1860">
        <f>IF($O1860="","",INDEX(Suivi!$G:$G,1896))</f>
        <v/>
      </c>
      <c r="T1860">
        <f>IF($O1860="","",IF(INDEX(Dossiers!$F$4:$F$63,36)="","",INDEX(Dossiers!$F$4:$F$63,36)))</f>
        <v/>
      </c>
      <c r="U1860">
        <f>IF($O1860="","",IF(INDEX(Dossiers!$G$4:$G$63,36)="","",INDEX(Dossiers!$G$4:$G$63,36)))</f>
        <v/>
      </c>
      <c r="V1860">
        <f>IF(OR($O1860="",NOT(ISNUMBER($Q1860))),"",$Q1860*1000000+1860)</f>
        <v/>
      </c>
      <c r="W1860" s="29">
        <f>IF($B1860="","",IFERROR(INDEX($U$4:$U$3183,MATCH(SMALL($V$4:$V$3183,1857),$V$4:$V$3183,0)),""))</f>
        <v/>
      </c>
    </row>
    <row r="1861">
      <c r="A1861">
        <f>IFERROR(INDEX($N$4:$N$3183,MATCH(SMALL($V$4:$V$3183,1858),$V$4:$V$3183,0)),"")</f>
        <v/>
      </c>
      <c r="B1861">
        <f>IFERROR(INDEX($O$4:$O$3183,MATCH(SMALL($V$4:$V$3183,1858),$V$4:$V$3183,0)),"")</f>
        <v/>
      </c>
      <c r="C1861">
        <f>IFERROR(INDEX($P$4:$P$3183,MATCH(SMALL($V$4:$V$3183,1858),$V$4:$V$3183,0)),"")</f>
        <v/>
      </c>
      <c r="D1861" s="29">
        <f>IFERROR(INDEX($Q$4:$Q$3183,MATCH(SMALL($V$4:$V$3183,1858),$V$4:$V$3183,0)),"")</f>
        <v/>
      </c>
      <c r="E1861" s="29">
        <f>IFERROR(INDEX($R$4:$R$3183,MATCH(SMALL($V$4:$V$3183,1858),$V$4:$V$3183,0)),"")</f>
        <v/>
      </c>
      <c r="F1861">
        <f>IFERROR(INDEX($S$4:$S$3183,MATCH(SMALL($V$4:$V$3183,1858),$V$4:$V$3183,0)),"")</f>
        <v/>
      </c>
      <c r="I1861" s="29">
        <f>IF($B1861="","",IFERROR(INDEX($U$4:$U$3183,MATCH(SMALL($V$4:$V$3183,1858),$V$4:$V$3183,0)),""))</f>
        <v/>
      </c>
      <c r="J1861">
        <f>IF($B1861="","",IF($D1861&gt;$F$2,"À venir",IF($E1861&lt;$D$2,"Passé","Dans la période")))</f>
        <v/>
      </c>
      <c r="K1861">
        <f>IF(OR($B1861="",NOT(ISNUMBER($D1861))),"",IF(AND($E1861&lt;$D$2,$G1861&lt;&gt;"X",$F1861&lt;&gt;"Réalisé",$F1861&lt;&gt;"Clôturé"),"RETARD",""))</f>
        <v/>
      </c>
      <c r="L1861">
        <f>IF(OR($B1861="",NOT(ISNUMBER($D1861))),"",IF(AND($D1861&gt;=$D$2,$D1861&lt;=$H$2,$G1861&lt;&gt;"X",$F1861&lt;&gt;"Réalisé",$F1861&lt;&gt;"Clôturé"),"≤ 7 j",""))</f>
        <v/>
      </c>
      <c r="M1861" s="29">
        <f>IF($B1861="","",IFERROR(INDEX($T$4:$T$3183,MATCH(SMALL($V$4:$V$3183,1858),$V$4:$V$3183,0)),""))</f>
        <v/>
      </c>
      <c r="O1861">
        <f>IF(INDEX(Suivi!$B:$B,1897)="","",INDEX(Suivi!$B:$B,1897))</f>
        <v/>
      </c>
      <c r="P1861">
        <f>IF($O1861="","",IF(INDEX(Suivi!$D:$D,1897)="",INDEX(Suivi!$C:$C,1897),INDEX(Suivi!$D:$D,1897)))</f>
        <v/>
      </c>
      <c r="Q1861">
        <f>IF($O1861="","",INDEX(Suivi!$E:$E,1897))</f>
        <v/>
      </c>
      <c r="R1861">
        <f>IF($O1861="","",INDEX(Suivi!$F:$F,1897))</f>
        <v/>
      </c>
      <c r="S1861">
        <f>IF($O1861="","",INDEX(Suivi!$G:$G,1897))</f>
        <v/>
      </c>
      <c r="T1861">
        <f>IF($O1861="","",IF(INDEX(Dossiers!$F$4:$F$63,36)="","",INDEX(Dossiers!$F$4:$F$63,36)))</f>
        <v/>
      </c>
      <c r="U1861">
        <f>IF($O1861="","",IF(INDEX(Dossiers!$G$4:$G$63,36)="","",INDEX(Dossiers!$G$4:$G$63,36)))</f>
        <v/>
      </c>
      <c r="V1861">
        <f>IF(OR($O1861="",NOT(ISNUMBER($Q1861))),"",$Q1861*1000000+1861)</f>
        <v/>
      </c>
      <c r="W1861" s="29">
        <f>IF($B1861="","",IFERROR(INDEX($U$4:$U$3183,MATCH(SMALL($V$4:$V$3183,1858),$V$4:$V$3183,0)),""))</f>
        <v/>
      </c>
    </row>
    <row r="1862">
      <c r="A1862">
        <f>IFERROR(INDEX($N$4:$N$3183,MATCH(SMALL($V$4:$V$3183,1859),$V$4:$V$3183,0)),"")</f>
        <v/>
      </c>
      <c r="B1862">
        <f>IFERROR(INDEX($O$4:$O$3183,MATCH(SMALL($V$4:$V$3183,1859),$V$4:$V$3183,0)),"")</f>
        <v/>
      </c>
      <c r="C1862">
        <f>IFERROR(INDEX($P$4:$P$3183,MATCH(SMALL($V$4:$V$3183,1859),$V$4:$V$3183,0)),"")</f>
        <v/>
      </c>
      <c r="D1862" s="29">
        <f>IFERROR(INDEX($Q$4:$Q$3183,MATCH(SMALL($V$4:$V$3183,1859),$V$4:$V$3183,0)),"")</f>
        <v/>
      </c>
      <c r="E1862" s="29">
        <f>IFERROR(INDEX($R$4:$R$3183,MATCH(SMALL($V$4:$V$3183,1859),$V$4:$V$3183,0)),"")</f>
        <v/>
      </c>
      <c r="F1862">
        <f>IFERROR(INDEX($S$4:$S$3183,MATCH(SMALL($V$4:$V$3183,1859),$V$4:$V$3183,0)),"")</f>
        <v/>
      </c>
      <c r="I1862" s="29">
        <f>IF($B1862="","",IFERROR(INDEX($U$4:$U$3183,MATCH(SMALL($V$4:$V$3183,1859),$V$4:$V$3183,0)),""))</f>
        <v/>
      </c>
      <c r="J1862">
        <f>IF($B1862="","",IF($D1862&gt;$F$2,"À venir",IF($E1862&lt;$D$2,"Passé","Dans la période")))</f>
        <v/>
      </c>
      <c r="K1862">
        <f>IF(OR($B1862="",NOT(ISNUMBER($D1862))),"",IF(AND($E1862&lt;$D$2,$G1862&lt;&gt;"X",$F1862&lt;&gt;"Réalisé",$F1862&lt;&gt;"Clôturé"),"RETARD",""))</f>
        <v/>
      </c>
      <c r="L1862">
        <f>IF(OR($B1862="",NOT(ISNUMBER($D1862))),"",IF(AND($D1862&gt;=$D$2,$D1862&lt;=$H$2,$G1862&lt;&gt;"X",$F1862&lt;&gt;"Réalisé",$F1862&lt;&gt;"Clôturé"),"≤ 7 j",""))</f>
        <v/>
      </c>
      <c r="M1862" s="29">
        <f>IF($B1862="","",IFERROR(INDEX($T$4:$T$3183,MATCH(SMALL($V$4:$V$3183,1859),$V$4:$V$3183,0)),""))</f>
        <v/>
      </c>
      <c r="O1862">
        <f>IF(INDEX(Suivi!$B:$B,1898)="","",INDEX(Suivi!$B:$B,1898))</f>
        <v/>
      </c>
      <c r="P1862">
        <f>IF($O1862="","",IF(INDEX(Suivi!$D:$D,1898)="",INDEX(Suivi!$C:$C,1898),INDEX(Suivi!$D:$D,1898)))</f>
        <v/>
      </c>
      <c r="Q1862">
        <f>IF($O1862="","",INDEX(Suivi!$E:$E,1898))</f>
        <v/>
      </c>
      <c r="R1862">
        <f>IF($O1862="","",INDEX(Suivi!$F:$F,1898))</f>
        <v/>
      </c>
      <c r="S1862">
        <f>IF($O1862="","",INDEX(Suivi!$G:$G,1898))</f>
        <v/>
      </c>
      <c r="T1862">
        <f>IF($O1862="","",IF(INDEX(Dossiers!$F$4:$F$63,36)="","",INDEX(Dossiers!$F$4:$F$63,36)))</f>
        <v/>
      </c>
      <c r="U1862">
        <f>IF($O1862="","",IF(INDEX(Dossiers!$G$4:$G$63,36)="","",INDEX(Dossiers!$G$4:$G$63,36)))</f>
        <v/>
      </c>
      <c r="V1862">
        <f>IF(OR($O1862="",NOT(ISNUMBER($Q1862))),"",$Q1862*1000000+1862)</f>
        <v/>
      </c>
      <c r="W1862" s="29">
        <f>IF($B1862="","",IFERROR(INDEX($U$4:$U$3183,MATCH(SMALL($V$4:$V$3183,1859),$V$4:$V$3183,0)),""))</f>
        <v/>
      </c>
    </row>
    <row r="1863">
      <c r="A1863">
        <f>IFERROR(INDEX($N$4:$N$3183,MATCH(SMALL($V$4:$V$3183,1860),$V$4:$V$3183,0)),"")</f>
        <v/>
      </c>
      <c r="B1863">
        <f>IFERROR(INDEX($O$4:$O$3183,MATCH(SMALL($V$4:$V$3183,1860),$V$4:$V$3183,0)),"")</f>
        <v/>
      </c>
      <c r="C1863">
        <f>IFERROR(INDEX($P$4:$P$3183,MATCH(SMALL($V$4:$V$3183,1860),$V$4:$V$3183,0)),"")</f>
        <v/>
      </c>
      <c r="D1863" s="29">
        <f>IFERROR(INDEX($Q$4:$Q$3183,MATCH(SMALL($V$4:$V$3183,1860),$V$4:$V$3183,0)),"")</f>
        <v/>
      </c>
      <c r="E1863" s="29">
        <f>IFERROR(INDEX($R$4:$R$3183,MATCH(SMALL($V$4:$V$3183,1860),$V$4:$V$3183,0)),"")</f>
        <v/>
      </c>
      <c r="F1863">
        <f>IFERROR(INDEX($S$4:$S$3183,MATCH(SMALL($V$4:$V$3183,1860),$V$4:$V$3183,0)),"")</f>
        <v/>
      </c>
      <c r="I1863" s="29">
        <f>IF($B1863="","",IFERROR(INDEX($U$4:$U$3183,MATCH(SMALL($V$4:$V$3183,1860),$V$4:$V$3183,0)),""))</f>
        <v/>
      </c>
      <c r="J1863">
        <f>IF($B1863="","",IF($D1863&gt;$F$2,"À venir",IF($E1863&lt;$D$2,"Passé","Dans la période")))</f>
        <v/>
      </c>
      <c r="K1863">
        <f>IF(OR($B1863="",NOT(ISNUMBER($D1863))),"",IF(AND($E1863&lt;$D$2,$G1863&lt;&gt;"X",$F1863&lt;&gt;"Réalisé",$F1863&lt;&gt;"Clôturé"),"RETARD",""))</f>
        <v/>
      </c>
      <c r="L1863">
        <f>IF(OR($B1863="",NOT(ISNUMBER($D1863))),"",IF(AND($D1863&gt;=$D$2,$D1863&lt;=$H$2,$G1863&lt;&gt;"X",$F1863&lt;&gt;"Réalisé",$F1863&lt;&gt;"Clôturé"),"≤ 7 j",""))</f>
        <v/>
      </c>
      <c r="M1863" s="29">
        <f>IF($B1863="","",IFERROR(INDEX($T$4:$T$3183,MATCH(SMALL($V$4:$V$3183,1860),$V$4:$V$3183,0)),""))</f>
        <v/>
      </c>
      <c r="O1863">
        <f>IF(INDEX(Suivi!$B:$B,1899)="","",INDEX(Suivi!$B:$B,1899))</f>
        <v/>
      </c>
      <c r="P1863">
        <f>IF($O1863="","",IF(INDEX(Suivi!$D:$D,1899)="",INDEX(Suivi!$C:$C,1899),INDEX(Suivi!$D:$D,1899)))</f>
        <v/>
      </c>
      <c r="Q1863">
        <f>IF($O1863="","",INDEX(Suivi!$E:$E,1899))</f>
        <v/>
      </c>
      <c r="R1863">
        <f>IF($O1863="","",INDEX(Suivi!$F:$F,1899))</f>
        <v/>
      </c>
      <c r="S1863">
        <f>IF($O1863="","",INDEX(Suivi!$G:$G,1899))</f>
        <v/>
      </c>
      <c r="T1863">
        <f>IF($O1863="","",IF(INDEX(Dossiers!$F$4:$F$63,36)="","",INDEX(Dossiers!$F$4:$F$63,36)))</f>
        <v/>
      </c>
      <c r="U1863">
        <f>IF($O1863="","",IF(INDEX(Dossiers!$G$4:$G$63,36)="","",INDEX(Dossiers!$G$4:$G$63,36)))</f>
        <v/>
      </c>
      <c r="V1863">
        <f>IF(OR($O1863="",NOT(ISNUMBER($Q1863))),"",$Q1863*1000000+1863)</f>
        <v/>
      </c>
      <c r="W1863" s="29">
        <f>IF($B1863="","",IFERROR(INDEX($U$4:$U$3183,MATCH(SMALL($V$4:$V$3183,1860),$V$4:$V$3183,0)),""))</f>
        <v/>
      </c>
    </row>
    <row r="1864">
      <c r="A1864">
        <f>IFERROR(INDEX($N$4:$N$3183,MATCH(SMALL($V$4:$V$3183,1861),$V$4:$V$3183,0)),"")</f>
        <v/>
      </c>
      <c r="B1864">
        <f>IFERROR(INDEX($O$4:$O$3183,MATCH(SMALL($V$4:$V$3183,1861),$V$4:$V$3183,0)),"")</f>
        <v/>
      </c>
      <c r="C1864">
        <f>IFERROR(INDEX($P$4:$P$3183,MATCH(SMALL($V$4:$V$3183,1861),$V$4:$V$3183,0)),"")</f>
        <v/>
      </c>
      <c r="D1864" s="29">
        <f>IFERROR(INDEX($Q$4:$Q$3183,MATCH(SMALL($V$4:$V$3183,1861),$V$4:$V$3183,0)),"")</f>
        <v/>
      </c>
      <c r="E1864" s="29">
        <f>IFERROR(INDEX($R$4:$R$3183,MATCH(SMALL($V$4:$V$3183,1861),$V$4:$V$3183,0)),"")</f>
        <v/>
      </c>
      <c r="F1864">
        <f>IFERROR(INDEX($S$4:$S$3183,MATCH(SMALL($V$4:$V$3183,1861),$V$4:$V$3183,0)),"")</f>
        <v/>
      </c>
      <c r="I1864" s="29">
        <f>IF($B1864="","",IFERROR(INDEX($U$4:$U$3183,MATCH(SMALL($V$4:$V$3183,1861),$V$4:$V$3183,0)),""))</f>
        <v/>
      </c>
      <c r="J1864">
        <f>IF($B1864="","",IF($D1864&gt;$F$2,"À venir",IF($E1864&lt;$D$2,"Passé","Dans la période")))</f>
        <v/>
      </c>
      <c r="K1864">
        <f>IF(OR($B1864="",NOT(ISNUMBER($D1864))),"",IF(AND($E1864&lt;$D$2,$G1864&lt;&gt;"X",$F1864&lt;&gt;"Réalisé",$F1864&lt;&gt;"Clôturé"),"RETARD",""))</f>
        <v/>
      </c>
      <c r="L1864">
        <f>IF(OR($B1864="",NOT(ISNUMBER($D1864))),"",IF(AND($D1864&gt;=$D$2,$D1864&lt;=$H$2,$G1864&lt;&gt;"X",$F1864&lt;&gt;"Réalisé",$F1864&lt;&gt;"Clôturé"),"≤ 7 j",""))</f>
        <v/>
      </c>
      <c r="M1864" s="29">
        <f>IF($B1864="","",IFERROR(INDEX($T$4:$T$3183,MATCH(SMALL($V$4:$V$3183,1861),$V$4:$V$3183,0)),""))</f>
        <v/>
      </c>
      <c r="O1864">
        <f>IF(INDEX(Suivi!$B:$B,1900)="","",INDEX(Suivi!$B:$B,1900))</f>
        <v/>
      </c>
      <c r="P1864">
        <f>IF($O1864="","",IF(INDEX(Suivi!$D:$D,1900)="",INDEX(Suivi!$C:$C,1900),INDEX(Suivi!$D:$D,1900)))</f>
        <v/>
      </c>
      <c r="Q1864">
        <f>IF($O1864="","",INDEX(Suivi!$E:$E,1900))</f>
        <v/>
      </c>
      <c r="R1864">
        <f>IF($O1864="","",INDEX(Suivi!$F:$F,1900))</f>
        <v/>
      </c>
      <c r="S1864">
        <f>IF($O1864="","",INDEX(Suivi!$G:$G,1900))</f>
        <v/>
      </c>
      <c r="T1864">
        <f>IF($O1864="","",IF(INDEX(Dossiers!$F$4:$F$63,36)="","",INDEX(Dossiers!$F$4:$F$63,36)))</f>
        <v/>
      </c>
      <c r="U1864">
        <f>IF($O1864="","",IF(INDEX(Dossiers!$G$4:$G$63,36)="","",INDEX(Dossiers!$G$4:$G$63,36)))</f>
        <v/>
      </c>
      <c r="V1864">
        <f>IF(OR($O1864="",NOT(ISNUMBER($Q1864))),"",$Q1864*1000000+1864)</f>
        <v/>
      </c>
      <c r="W1864" s="29">
        <f>IF($B1864="","",IFERROR(INDEX($U$4:$U$3183,MATCH(SMALL($V$4:$V$3183,1861),$V$4:$V$3183,0)),""))</f>
        <v/>
      </c>
    </row>
    <row r="1865">
      <c r="A1865">
        <f>IFERROR(INDEX($N$4:$N$3183,MATCH(SMALL($V$4:$V$3183,1862),$V$4:$V$3183,0)),"")</f>
        <v/>
      </c>
      <c r="B1865">
        <f>IFERROR(INDEX($O$4:$O$3183,MATCH(SMALL($V$4:$V$3183,1862),$V$4:$V$3183,0)),"")</f>
        <v/>
      </c>
      <c r="C1865">
        <f>IFERROR(INDEX($P$4:$P$3183,MATCH(SMALL($V$4:$V$3183,1862),$V$4:$V$3183,0)),"")</f>
        <v/>
      </c>
      <c r="D1865" s="29">
        <f>IFERROR(INDEX($Q$4:$Q$3183,MATCH(SMALL($V$4:$V$3183,1862),$V$4:$V$3183,0)),"")</f>
        <v/>
      </c>
      <c r="E1865" s="29">
        <f>IFERROR(INDEX($R$4:$R$3183,MATCH(SMALL($V$4:$V$3183,1862),$V$4:$V$3183,0)),"")</f>
        <v/>
      </c>
      <c r="F1865">
        <f>IFERROR(INDEX($S$4:$S$3183,MATCH(SMALL($V$4:$V$3183,1862),$V$4:$V$3183,0)),"")</f>
        <v/>
      </c>
      <c r="I1865" s="29">
        <f>IF($B1865="","",IFERROR(INDEX($U$4:$U$3183,MATCH(SMALL($V$4:$V$3183,1862),$V$4:$V$3183,0)),""))</f>
        <v/>
      </c>
      <c r="J1865">
        <f>IF($B1865="","",IF($D1865&gt;$F$2,"À venir",IF($E1865&lt;$D$2,"Passé","Dans la période")))</f>
        <v/>
      </c>
      <c r="K1865">
        <f>IF(OR($B1865="",NOT(ISNUMBER($D1865))),"",IF(AND($E1865&lt;$D$2,$G1865&lt;&gt;"X",$F1865&lt;&gt;"Réalisé",$F1865&lt;&gt;"Clôturé"),"RETARD",""))</f>
        <v/>
      </c>
      <c r="L1865">
        <f>IF(OR($B1865="",NOT(ISNUMBER($D1865))),"",IF(AND($D1865&gt;=$D$2,$D1865&lt;=$H$2,$G1865&lt;&gt;"X",$F1865&lt;&gt;"Réalisé",$F1865&lt;&gt;"Clôturé"),"≤ 7 j",""))</f>
        <v/>
      </c>
      <c r="M1865" s="29">
        <f>IF($B1865="","",IFERROR(INDEX($T$4:$T$3183,MATCH(SMALL($V$4:$V$3183,1862),$V$4:$V$3183,0)),""))</f>
        <v/>
      </c>
      <c r="O1865">
        <f>IF(INDEX(Suivi!$B:$B,1901)="","",INDEX(Suivi!$B:$B,1901))</f>
        <v/>
      </c>
      <c r="P1865">
        <f>IF($O1865="","",IF(INDEX(Suivi!$D:$D,1901)="",INDEX(Suivi!$C:$C,1901),INDEX(Suivi!$D:$D,1901)))</f>
        <v/>
      </c>
      <c r="Q1865">
        <f>IF($O1865="","",INDEX(Suivi!$E:$E,1901))</f>
        <v/>
      </c>
      <c r="R1865">
        <f>IF($O1865="","",INDEX(Suivi!$F:$F,1901))</f>
        <v/>
      </c>
      <c r="S1865">
        <f>IF($O1865="","",INDEX(Suivi!$G:$G,1901))</f>
        <v/>
      </c>
      <c r="T1865">
        <f>IF($O1865="","",IF(INDEX(Dossiers!$F$4:$F$63,36)="","",INDEX(Dossiers!$F$4:$F$63,36)))</f>
        <v/>
      </c>
      <c r="U1865">
        <f>IF($O1865="","",IF(INDEX(Dossiers!$G$4:$G$63,36)="","",INDEX(Dossiers!$G$4:$G$63,36)))</f>
        <v/>
      </c>
      <c r="V1865">
        <f>IF(OR($O1865="",NOT(ISNUMBER($Q1865))),"",$Q1865*1000000+1865)</f>
        <v/>
      </c>
      <c r="W1865" s="29">
        <f>IF($B1865="","",IFERROR(INDEX($U$4:$U$3183,MATCH(SMALL($V$4:$V$3183,1862),$V$4:$V$3183,0)),""))</f>
        <v/>
      </c>
    </row>
    <row r="1866">
      <c r="A1866">
        <f>IFERROR(INDEX($N$4:$N$3183,MATCH(SMALL($V$4:$V$3183,1863),$V$4:$V$3183,0)),"")</f>
        <v/>
      </c>
      <c r="B1866">
        <f>IFERROR(INDEX($O$4:$O$3183,MATCH(SMALL($V$4:$V$3183,1863),$V$4:$V$3183,0)),"")</f>
        <v/>
      </c>
      <c r="C1866">
        <f>IFERROR(INDEX($P$4:$P$3183,MATCH(SMALL($V$4:$V$3183,1863),$V$4:$V$3183,0)),"")</f>
        <v/>
      </c>
      <c r="D1866" s="29">
        <f>IFERROR(INDEX($Q$4:$Q$3183,MATCH(SMALL($V$4:$V$3183,1863),$V$4:$V$3183,0)),"")</f>
        <v/>
      </c>
      <c r="E1866" s="29">
        <f>IFERROR(INDEX($R$4:$R$3183,MATCH(SMALL($V$4:$V$3183,1863),$V$4:$V$3183,0)),"")</f>
        <v/>
      </c>
      <c r="F1866">
        <f>IFERROR(INDEX($S$4:$S$3183,MATCH(SMALL($V$4:$V$3183,1863),$V$4:$V$3183,0)),"")</f>
        <v/>
      </c>
      <c r="I1866" s="29">
        <f>IF($B1866="","",IFERROR(INDEX($U$4:$U$3183,MATCH(SMALL($V$4:$V$3183,1863),$V$4:$V$3183,0)),""))</f>
        <v/>
      </c>
      <c r="J1866">
        <f>IF($B1866="","",IF($D1866&gt;$F$2,"À venir",IF($E1866&lt;$D$2,"Passé","Dans la période")))</f>
        <v/>
      </c>
      <c r="K1866">
        <f>IF(OR($B1866="",NOT(ISNUMBER($D1866))),"",IF(AND($E1866&lt;$D$2,$G1866&lt;&gt;"X",$F1866&lt;&gt;"Réalisé",$F1866&lt;&gt;"Clôturé"),"RETARD",""))</f>
        <v/>
      </c>
      <c r="L1866">
        <f>IF(OR($B1866="",NOT(ISNUMBER($D1866))),"",IF(AND($D1866&gt;=$D$2,$D1866&lt;=$H$2,$G1866&lt;&gt;"X",$F1866&lt;&gt;"Réalisé",$F1866&lt;&gt;"Clôturé"),"≤ 7 j",""))</f>
        <v/>
      </c>
      <c r="M1866" s="29">
        <f>IF($B1866="","",IFERROR(INDEX($T$4:$T$3183,MATCH(SMALL($V$4:$V$3183,1863),$V$4:$V$3183,0)),""))</f>
        <v/>
      </c>
      <c r="O1866">
        <f>IF(INDEX(Suivi!$B:$B,1902)="","",INDEX(Suivi!$B:$B,1902))</f>
        <v/>
      </c>
      <c r="P1866">
        <f>IF($O1866="","",IF(INDEX(Suivi!$D:$D,1902)="",INDEX(Suivi!$C:$C,1902),INDEX(Suivi!$D:$D,1902)))</f>
        <v/>
      </c>
      <c r="Q1866">
        <f>IF($O1866="","",INDEX(Suivi!$E:$E,1902))</f>
        <v/>
      </c>
      <c r="R1866">
        <f>IF($O1866="","",INDEX(Suivi!$F:$F,1902))</f>
        <v/>
      </c>
      <c r="S1866">
        <f>IF($O1866="","",INDEX(Suivi!$G:$G,1902))</f>
        <v/>
      </c>
      <c r="T1866">
        <f>IF($O1866="","",IF(INDEX(Dossiers!$F$4:$F$63,36)="","",INDEX(Dossiers!$F$4:$F$63,36)))</f>
        <v/>
      </c>
      <c r="U1866">
        <f>IF($O1866="","",IF(INDEX(Dossiers!$G$4:$G$63,36)="","",INDEX(Dossiers!$G$4:$G$63,36)))</f>
        <v/>
      </c>
      <c r="V1866">
        <f>IF(OR($O1866="",NOT(ISNUMBER($Q1866))),"",$Q1866*1000000+1866)</f>
        <v/>
      </c>
      <c r="W1866" s="29">
        <f>IF($B1866="","",IFERROR(INDEX($U$4:$U$3183,MATCH(SMALL($V$4:$V$3183,1863),$V$4:$V$3183,0)),""))</f>
        <v/>
      </c>
    </row>
    <row r="1867">
      <c r="A1867">
        <f>IFERROR(INDEX($N$4:$N$3183,MATCH(SMALL($V$4:$V$3183,1864),$V$4:$V$3183,0)),"")</f>
        <v/>
      </c>
      <c r="B1867">
        <f>IFERROR(INDEX($O$4:$O$3183,MATCH(SMALL($V$4:$V$3183,1864),$V$4:$V$3183,0)),"")</f>
        <v/>
      </c>
      <c r="C1867">
        <f>IFERROR(INDEX($P$4:$P$3183,MATCH(SMALL($V$4:$V$3183,1864),$V$4:$V$3183,0)),"")</f>
        <v/>
      </c>
      <c r="D1867" s="29">
        <f>IFERROR(INDEX($Q$4:$Q$3183,MATCH(SMALL($V$4:$V$3183,1864),$V$4:$V$3183,0)),"")</f>
        <v/>
      </c>
      <c r="E1867" s="29">
        <f>IFERROR(INDEX($R$4:$R$3183,MATCH(SMALL($V$4:$V$3183,1864),$V$4:$V$3183,0)),"")</f>
        <v/>
      </c>
      <c r="F1867">
        <f>IFERROR(INDEX($S$4:$S$3183,MATCH(SMALL($V$4:$V$3183,1864),$V$4:$V$3183,0)),"")</f>
        <v/>
      </c>
      <c r="I1867" s="29">
        <f>IF($B1867="","",IFERROR(INDEX($U$4:$U$3183,MATCH(SMALL($V$4:$V$3183,1864),$V$4:$V$3183,0)),""))</f>
        <v/>
      </c>
      <c r="J1867">
        <f>IF($B1867="","",IF($D1867&gt;$F$2,"À venir",IF($E1867&lt;$D$2,"Passé","Dans la période")))</f>
        <v/>
      </c>
      <c r="K1867">
        <f>IF(OR($B1867="",NOT(ISNUMBER($D1867))),"",IF(AND($E1867&lt;$D$2,$G1867&lt;&gt;"X",$F1867&lt;&gt;"Réalisé",$F1867&lt;&gt;"Clôturé"),"RETARD",""))</f>
        <v/>
      </c>
      <c r="L1867">
        <f>IF(OR($B1867="",NOT(ISNUMBER($D1867))),"",IF(AND($D1867&gt;=$D$2,$D1867&lt;=$H$2,$G1867&lt;&gt;"X",$F1867&lt;&gt;"Réalisé",$F1867&lt;&gt;"Clôturé"),"≤ 7 j",""))</f>
        <v/>
      </c>
      <c r="M1867" s="29">
        <f>IF($B1867="","",IFERROR(INDEX($T$4:$T$3183,MATCH(SMALL($V$4:$V$3183,1864),$V$4:$V$3183,0)),""))</f>
        <v/>
      </c>
      <c r="O1867">
        <f>IF(INDEX(Suivi!$B:$B,1903)="","",INDEX(Suivi!$B:$B,1903))</f>
        <v/>
      </c>
      <c r="P1867">
        <f>IF($O1867="","",IF(INDEX(Suivi!$D:$D,1903)="",INDEX(Suivi!$C:$C,1903),INDEX(Suivi!$D:$D,1903)))</f>
        <v/>
      </c>
      <c r="Q1867">
        <f>IF($O1867="","",INDEX(Suivi!$E:$E,1903))</f>
        <v/>
      </c>
      <c r="R1867">
        <f>IF($O1867="","",INDEX(Suivi!$F:$F,1903))</f>
        <v/>
      </c>
      <c r="S1867">
        <f>IF($O1867="","",INDEX(Suivi!$G:$G,1903))</f>
        <v/>
      </c>
      <c r="T1867">
        <f>IF($O1867="","",IF(INDEX(Dossiers!$F$4:$F$63,36)="","",INDEX(Dossiers!$F$4:$F$63,36)))</f>
        <v/>
      </c>
      <c r="U1867">
        <f>IF($O1867="","",IF(INDEX(Dossiers!$G$4:$G$63,36)="","",INDEX(Dossiers!$G$4:$G$63,36)))</f>
        <v/>
      </c>
      <c r="V1867">
        <f>IF(OR($O1867="",NOT(ISNUMBER($Q1867))),"",$Q1867*1000000+1867)</f>
        <v/>
      </c>
      <c r="W1867" s="29">
        <f>IF($B1867="","",IFERROR(INDEX($U$4:$U$3183,MATCH(SMALL($V$4:$V$3183,1864),$V$4:$V$3183,0)),""))</f>
        <v/>
      </c>
    </row>
    <row r="1868">
      <c r="A1868">
        <f>IFERROR(INDEX($N$4:$N$3183,MATCH(SMALL($V$4:$V$3183,1865),$V$4:$V$3183,0)),"")</f>
        <v/>
      </c>
      <c r="B1868">
        <f>IFERROR(INDEX($O$4:$O$3183,MATCH(SMALL($V$4:$V$3183,1865),$V$4:$V$3183,0)),"")</f>
        <v/>
      </c>
      <c r="C1868">
        <f>IFERROR(INDEX($P$4:$P$3183,MATCH(SMALL($V$4:$V$3183,1865),$V$4:$V$3183,0)),"")</f>
        <v/>
      </c>
      <c r="D1868" s="29">
        <f>IFERROR(INDEX($Q$4:$Q$3183,MATCH(SMALL($V$4:$V$3183,1865),$V$4:$V$3183,0)),"")</f>
        <v/>
      </c>
      <c r="E1868" s="29">
        <f>IFERROR(INDEX($R$4:$R$3183,MATCH(SMALL($V$4:$V$3183,1865),$V$4:$V$3183,0)),"")</f>
        <v/>
      </c>
      <c r="F1868">
        <f>IFERROR(INDEX($S$4:$S$3183,MATCH(SMALL($V$4:$V$3183,1865),$V$4:$V$3183,0)),"")</f>
        <v/>
      </c>
      <c r="I1868" s="29">
        <f>IF($B1868="","",IFERROR(INDEX($U$4:$U$3183,MATCH(SMALL($V$4:$V$3183,1865),$V$4:$V$3183,0)),""))</f>
        <v/>
      </c>
      <c r="J1868">
        <f>IF($B1868="","",IF($D1868&gt;$F$2,"À venir",IF($E1868&lt;$D$2,"Passé","Dans la période")))</f>
        <v/>
      </c>
      <c r="K1868">
        <f>IF(OR($B1868="",NOT(ISNUMBER($D1868))),"",IF(AND($E1868&lt;$D$2,$G1868&lt;&gt;"X",$F1868&lt;&gt;"Réalisé",$F1868&lt;&gt;"Clôturé"),"RETARD",""))</f>
        <v/>
      </c>
      <c r="L1868">
        <f>IF(OR($B1868="",NOT(ISNUMBER($D1868))),"",IF(AND($D1868&gt;=$D$2,$D1868&lt;=$H$2,$G1868&lt;&gt;"X",$F1868&lt;&gt;"Réalisé",$F1868&lt;&gt;"Clôturé"),"≤ 7 j",""))</f>
        <v/>
      </c>
      <c r="M1868" s="29">
        <f>IF($B1868="","",IFERROR(INDEX($T$4:$T$3183,MATCH(SMALL($V$4:$V$3183,1865),$V$4:$V$3183,0)),""))</f>
        <v/>
      </c>
      <c r="O1868">
        <f>IF(INDEX(Suivi!$B:$B,1904)="","",INDEX(Suivi!$B:$B,1904))</f>
        <v/>
      </c>
      <c r="P1868">
        <f>IF($O1868="","",IF(INDEX(Suivi!$D:$D,1904)="",INDEX(Suivi!$C:$C,1904),INDEX(Suivi!$D:$D,1904)))</f>
        <v/>
      </c>
      <c r="Q1868">
        <f>IF($O1868="","",INDEX(Suivi!$E:$E,1904))</f>
        <v/>
      </c>
      <c r="R1868">
        <f>IF($O1868="","",INDEX(Suivi!$F:$F,1904))</f>
        <v/>
      </c>
      <c r="S1868">
        <f>IF($O1868="","",INDEX(Suivi!$G:$G,1904))</f>
        <v/>
      </c>
      <c r="T1868">
        <f>IF($O1868="","",IF(INDEX(Dossiers!$F$4:$F$63,36)="","",INDEX(Dossiers!$F$4:$F$63,36)))</f>
        <v/>
      </c>
      <c r="U1868">
        <f>IF($O1868="","",IF(INDEX(Dossiers!$G$4:$G$63,36)="","",INDEX(Dossiers!$G$4:$G$63,36)))</f>
        <v/>
      </c>
      <c r="V1868">
        <f>IF(OR($O1868="",NOT(ISNUMBER($Q1868))),"",$Q1868*1000000+1868)</f>
        <v/>
      </c>
      <c r="W1868" s="29">
        <f>IF($B1868="","",IFERROR(INDEX($U$4:$U$3183,MATCH(SMALL($V$4:$V$3183,1865),$V$4:$V$3183,0)),""))</f>
        <v/>
      </c>
    </row>
    <row r="1869">
      <c r="A1869">
        <f>IFERROR(INDEX($N$4:$N$3183,MATCH(SMALL($V$4:$V$3183,1866),$V$4:$V$3183,0)),"")</f>
        <v/>
      </c>
      <c r="B1869">
        <f>IFERROR(INDEX($O$4:$O$3183,MATCH(SMALL($V$4:$V$3183,1866),$V$4:$V$3183,0)),"")</f>
        <v/>
      </c>
      <c r="C1869">
        <f>IFERROR(INDEX($P$4:$P$3183,MATCH(SMALL($V$4:$V$3183,1866),$V$4:$V$3183,0)),"")</f>
        <v/>
      </c>
      <c r="D1869" s="29">
        <f>IFERROR(INDEX($Q$4:$Q$3183,MATCH(SMALL($V$4:$V$3183,1866),$V$4:$V$3183,0)),"")</f>
        <v/>
      </c>
      <c r="E1869" s="29">
        <f>IFERROR(INDEX($R$4:$R$3183,MATCH(SMALL($V$4:$V$3183,1866),$V$4:$V$3183,0)),"")</f>
        <v/>
      </c>
      <c r="F1869">
        <f>IFERROR(INDEX($S$4:$S$3183,MATCH(SMALL($V$4:$V$3183,1866),$V$4:$V$3183,0)),"")</f>
        <v/>
      </c>
      <c r="I1869" s="29">
        <f>IF($B1869="","",IFERROR(INDEX($U$4:$U$3183,MATCH(SMALL($V$4:$V$3183,1866),$V$4:$V$3183,0)),""))</f>
        <v/>
      </c>
      <c r="J1869">
        <f>IF($B1869="","",IF($D1869&gt;$F$2,"À venir",IF($E1869&lt;$D$2,"Passé","Dans la période")))</f>
        <v/>
      </c>
      <c r="K1869">
        <f>IF(OR($B1869="",NOT(ISNUMBER($D1869))),"",IF(AND($E1869&lt;$D$2,$G1869&lt;&gt;"X",$F1869&lt;&gt;"Réalisé",$F1869&lt;&gt;"Clôturé"),"RETARD",""))</f>
        <v/>
      </c>
      <c r="L1869">
        <f>IF(OR($B1869="",NOT(ISNUMBER($D1869))),"",IF(AND($D1869&gt;=$D$2,$D1869&lt;=$H$2,$G1869&lt;&gt;"X",$F1869&lt;&gt;"Réalisé",$F1869&lt;&gt;"Clôturé"),"≤ 7 j",""))</f>
        <v/>
      </c>
      <c r="M1869" s="29">
        <f>IF($B1869="","",IFERROR(INDEX($T$4:$T$3183,MATCH(SMALL($V$4:$V$3183,1866),$V$4:$V$3183,0)),""))</f>
        <v/>
      </c>
      <c r="O1869">
        <f>IF(INDEX(Suivi!$B:$B,1905)="","",INDEX(Suivi!$B:$B,1905))</f>
        <v/>
      </c>
      <c r="P1869">
        <f>IF($O1869="","",IF(INDEX(Suivi!$D:$D,1905)="",INDEX(Suivi!$C:$C,1905),INDEX(Suivi!$D:$D,1905)))</f>
        <v/>
      </c>
      <c r="Q1869">
        <f>IF($O1869="","",INDEX(Suivi!$E:$E,1905))</f>
        <v/>
      </c>
      <c r="R1869">
        <f>IF($O1869="","",INDEX(Suivi!$F:$F,1905))</f>
        <v/>
      </c>
      <c r="S1869">
        <f>IF($O1869="","",INDEX(Suivi!$G:$G,1905))</f>
        <v/>
      </c>
      <c r="T1869">
        <f>IF($O1869="","",IF(INDEX(Dossiers!$F$4:$F$63,36)="","",INDEX(Dossiers!$F$4:$F$63,36)))</f>
        <v/>
      </c>
      <c r="U1869">
        <f>IF($O1869="","",IF(INDEX(Dossiers!$G$4:$G$63,36)="","",INDEX(Dossiers!$G$4:$G$63,36)))</f>
        <v/>
      </c>
      <c r="V1869">
        <f>IF(OR($O1869="",NOT(ISNUMBER($Q1869))),"",$Q1869*1000000+1869)</f>
        <v/>
      </c>
      <c r="W1869" s="29">
        <f>IF($B1869="","",IFERROR(INDEX($U$4:$U$3183,MATCH(SMALL($V$4:$V$3183,1866),$V$4:$V$3183,0)),""))</f>
        <v/>
      </c>
    </row>
    <row r="1870">
      <c r="A1870">
        <f>IFERROR(INDEX($N$4:$N$3183,MATCH(SMALL($V$4:$V$3183,1867),$V$4:$V$3183,0)),"")</f>
        <v/>
      </c>
      <c r="B1870">
        <f>IFERROR(INDEX($O$4:$O$3183,MATCH(SMALL($V$4:$V$3183,1867),$V$4:$V$3183,0)),"")</f>
        <v/>
      </c>
      <c r="C1870">
        <f>IFERROR(INDEX($P$4:$P$3183,MATCH(SMALL($V$4:$V$3183,1867),$V$4:$V$3183,0)),"")</f>
        <v/>
      </c>
      <c r="D1870" s="29">
        <f>IFERROR(INDEX($Q$4:$Q$3183,MATCH(SMALL($V$4:$V$3183,1867),$V$4:$V$3183,0)),"")</f>
        <v/>
      </c>
      <c r="E1870" s="29">
        <f>IFERROR(INDEX($R$4:$R$3183,MATCH(SMALL($V$4:$V$3183,1867),$V$4:$V$3183,0)),"")</f>
        <v/>
      </c>
      <c r="F1870">
        <f>IFERROR(INDEX($S$4:$S$3183,MATCH(SMALL($V$4:$V$3183,1867),$V$4:$V$3183,0)),"")</f>
        <v/>
      </c>
      <c r="I1870" s="29">
        <f>IF($B1870="","",IFERROR(INDEX($U$4:$U$3183,MATCH(SMALL($V$4:$V$3183,1867),$V$4:$V$3183,0)),""))</f>
        <v/>
      </c>
      <c r="J1870">
        <f>IF($B1870="","",IF($D1870&gt;$F$2,"À venir",IF($E1870&lt;$D$2,"Passé","Dans la période")))</f>
        <v/>
      </c>
      <c r="K1870">
        <f>IF(OR($B1870="",NOT(ISNUMBER($D1870))),"",IF(AND($E1870&lt;$D$2,$G1870&lt;&gt;"X",$F1870&lt;&gt;"Réalisé",$F1870&lt;&gt;"Clôturé"),"RETARD",""))</f>
        <v/>
      </c>
      <c r="L1870">
        <f>IF(OR($B1870="",NOT(ISNUMBER($D1870))),"",IF(AND($D1870&gt;=$D$2,$D1870&lt;=$H$2,$G1870&lt;&gt;"X",$F1870&lt;&gt;"Réalisé",$F1870&lt;&gt;"Clôturé"),"≤ 7 j",""))</f>
        <v/>
      </c>
      <c r="M1870" s="29">
        <f>IF($B1870="","",IFERROR(INDEX($T$4:$T$3183,MATCH(SMALL($V$4:$V$3183,1867),$V$4:$V$3183,0)),""))</f>
        <v/>
      </c>
      <c r="O1870">
        <f>IF(INDEX(Suivi!$B:$B,1906)="","",INDEX(Suivi!$B:$B,1906))</f>
        <v/>
      </c>
      <c r="P1870">
        <f>IF($O1870="","",IF(INDEX(Suivi!$D:$D,1906)="",INDEX(Suivi!$C:$C,1906),INDEX(Suivi!$D:$D,1906)))</f>
        <v/>
      </c>
      <c r="Q1870">
        <f>IF($O1870="","",INDEX(Suivi!$E:$E,1906))</f>
        <v/>
      </c>
      <c r="R1870">
        <f>IF($O1870="","",INDEX(Suivi!$F:$F,1906))</f>
        <v/>
      </c>
      <c r="S1870">
        <f>IF($O1870="","",INDEX(Suivi!$G:$G,1906))</f>
        <v/>
      </c>
      <c r="T1870">
        <f>IF($O1870="","",IF(INDEX(Dossiers!$F$4:$F$63,36)="","",INDEX(Dossiers!$F$4:$F$63,36)))</f>
        <v/>
      </c>
      <c r="U1870">
        <f>IF($O1870="","",IF(INDEX(Dossiers!$G$4:$G$63,36)="","",INDEX(Dossiers!$G$4:$G$63,36)))</f>
        <v/>
      </c>
      <c r="V1870">
        <f>IF(OR($O1870="",NOT(ISNUMBER($Q1870))),"",$Q1870*1000000+1870)</f>
        <v/>
      </c>
      <c r="W1870" s="29">
        <f>IF($B1870="","",IFERROR(INDEX($U$4:$U$3183,MATCH(SMALL($V$4:$V$3183,1867),$V$4:$V$3183,0)),""))</f>
        <v/>
      </c>
    </row>
    <row r="1871">
      <c r="A1871">
        <f>IFERROR(INDEX($N$4:$N$3183,MATCH(SMALL($V$4:$V$3183,1868),$V$4:$V$3183,0)),"")</f>
        <v/>
      </c>
      <c r="B1871">
        <f>IFERROR(INDEX($O$4:$O$3183,MATCH(SMALL($V$4:$V$3183,1868),$V$4:$V$3183,0)),"")</f>
        <v/>
      </c>
      <c r="C1871">
        <f>IFERROR(INDEX($P$4:$P$3183,MATCH(SMALL($V$4:$V$3183,1868),$V$4:$V$3183,0)),"")</f>
        <v/>
      </c>
      <c r="D1871" s="29">
        <f>IFERROR(INDEX($Q$4:$Q$3183,MATCH(SMALL($V$4:$V$3183,1868),$V$4:$V$3183,0)),"")</f>
        <v/>
      </c>
      <c r="E1871" s="29">
        <f>IFERROR(INDEX($R$4:$R$3183,MATCH(SMALL($V$4:$V$3183,1868),$V$4:$V$3183,0)),"")</f>
        <v/>
      </c>
      <c r="F1871">
        <f>IFERROR(INDEX($S$4:$S$3183,MATCH(SMALL($V$4:$V$3183,1868),$V$4:$V$3183,0)),"")</f>
        <v/>
      </c>
      <c r="I1871" s="29">
        <f>IF($B1871="","",IFERROR(INDEX($U$4:$U$3183,MATCH(SMALL($V$4:$V$3183,1868),$V$4:$V$3183,0)),""))</f>
        <v/>
      </c>
      <c r="J1871">
        <f>IF($B1871="","",IF($D1871&gt;$F$2,"À venir",IF($E1871&lt;$D$2,"Passé","Dans la période")))</f>
        <v/>
      </c>
      <c r="K1871">
        <f>IF(OR($B1871="",NOT(ISNUMBER($D1871))),"",IF(AND($E1871&lt;$D$2,$G1871&lt;&gt;"X",$F1871&lt;&gt;"Réalisé",$F1871&lt;&gt;"Clôturé"),"RETARD",""))</f>
        <v/>
      </c>
      <c r="L1871">
        <f>IF(OR($B1871="",NOT(ISNUMBER($D1871))),"",IF(AND($D1871&gt;=$D$2,$D1871&lt;=$H$2,$G1871&lt;&gt;"X",$F1871&lt;&gt;"Réalisé",$F1871&lt;&gt;"Clôturé"),"≤ 7 j",""))</f>
        <v/>
      </c>
      <c r="M1871" s="29">
        <f>IF($B1871="","",IFERROR(INDEX($T$4:$T$3183,MATCH(SMALL($V$4:$V$3183,1868),$V$4:$V$3183,0)),""))</f>
        <v/>
      </c>
      <c r="O1871">
        <f>IF(INDEX(Suivi!$B:$B,1907)="","",INDEX(Suivi!$B:$B,1907))</f>
        <v/>
      </c>
      <c r="P1871">
        <f>IF($O1871="","",IF(INDEX(Suivi!$D:$D,1907)="",INDEX(Suivi!$C:$C,1907),INDEX(Suivi!$D:$D,1907)))</f>
        <v/>
      </c>
      <c r="Q1871">
        <f>IF($O1871="","",INDEX(Suivi!$E:$E,1907))</f>
        <v/>
      </c>
      <c r="R1871">
        <f>IF($O1871="","",INDEX(Suivi!$F:$F,1907))</f>
        <v/>
      </c>
      <c r="S1871">
        <f>IF($O1871="","",INDEX(Suivi!$G:$G,1907))</f>
        <v/>
      </c>
      <c r="T1871">
        <f>IF($O1871="","",IF(INDEX(Dossiers!$F$4:$F$63,36)="","",INDEX(Dossiers!$F$4:$F$63,36)))</f>
        <v/>
      </c>
      <c r="U1871">
        <f>IF($O1871="","",IF(INDEX(Dossiers!$G$4:$G$63,36)="","",INDEX(Dossiers!$G$4:$G$63,36)))</f>
        <v/>
      </c>
      <c r="V1871">
        <f>IF(OR($O1871="",NOT(ISNUMBER($Q1871))),"",$Q1871*1000000+1871)</f>
        <v/>
      </c>
      <c r="W1871" s="29">
        <f>IF($B1871="","",IFERROR(INDEX($U$4:$U$3183,MATCH(SMALL($V$4:$V$3183,1868),$V$4:$V$3183,0)),""))</f>
        <v/>
      </c>
    </row>
    <row r="1872">
      <c r="A1872">
        <f>IFERROR(INDEX($N$4:$N$3183,MATCH(SMALL($V$4:$V$3183,1869),$V$4:$V$3183,0)),"")</f>
        <v/>
      </c>
      <c r="B1872">
        <f>IFERROR(INDEX($O$4:$O$3183,MATCH(SMALL($V$4:$V$3183,1869),$V$4:$V$3183,0)),"")</f>
        <v/>
      </c>
      <c r="C1872">
        <f>IFERROR(INDEX($P$4:$P$3183,MATCH(SMALL($V$4:$V$3183,1869),$V$4:$V$3183,0)),"")</f>
        <v/>
      </c>
      <c r="D1872" s="29">
        <f>IFERROR(INDEX($Q$4:$Q$3183,MATCH(SMALL($V$4:$V$3183,1869),$V$4:$V$3183,0)),"")</f>
        <v/>
      </c>
      <c r="E1872" s="29">
        <f>IFERROR(INDEX($R$4:$R$3183,MATCH(SMALL($V$4:$V$3183,1869),$V$4:$V$3183,0)),"")</f>
        <v/>
      </c>
      <c r="F1872">
        <f>IFERROR(INDEX($S$4:$S$3183,MATCH(SMALL($V$4:$V$3183,1869),$V$4:$V$3183,0)),"")</f>
        <v/>
      </c>
      <c r="I1872" s="29">
        <f>IF($B1872="","",IFERROR(INDEX($U$4:$U$3183,MATCH(SMALL($V$4:$V$3183,1869),$V$4:$V$3183,0)),""))</f>
        <v/>
      </c>
      <c r="J1872">
        <f>IF($B1872="","",IF($D1872&gt;$F$2,"À venir",IF($E1872&lt;$D$2,"Passé","Dans la période")))</f>
        <v/>
      </c>
      <c r="K1872">
        <f>IF(OR($B1872="",NOT(ISNUMBER($D1872))),"",IF(AND($E1872&lt;$D$2,$G1872&lt;&gt;"X",$F1872&lt;&gt;"Réalisé",$F1872&lt;&gt;"Clôturé"),"RETARD",""))</f>
        <v/>
      </c>
      <c r="L1872">
        <f>IF(OR($B1872="",NOT(ISNUMBER($D1872))),"",IF(AND($D1872&gt;=$D$2,$D1872&lt;=$H$2,$G1872&lt;&gt;"X",$F1872&lt;&gt;"Réalisé",$F1872&lt;&gt;"Clôturé"),"≤ 7 j",""))</f>
        <v/>
      </c>
      <c r="M1872" s="29">
        <f>IF($B1872="","",IFERROR(INDEX($T$4:$T$3183,MATCH(SMALL($V$4:$V$3183,1869),$V$4:$V$3183,0)),""))</f>
        <v/>
      </c>
      <c r="O1872">
        <f>IF(INDEX(Suivi!$B:$B,1908)="","",INDEX(Suivi!$B:$B,1908))</f>
        <v/>
      </c>
      <c r="P1872">
        <f>IF($O1872="","",IF(INDEX(Suivi!$D:$D,1908)="",INDEX(Suivi!$C:$C,1908),INDEX(Suivi!$D:$D,1908)))</f>
        <v/>
      </c>
      <c r="Q1872">
        <f>IF($O1872="","",INDEX(Suivi!$E:$E,1908))</f>
        <v/>
      </c>
      <c r="R1872">
        <f>IF($O1872="","",INDEX(Suivi!$F:$F,1908))</f>
        <v/>
      </c>
      <c r="S1872">
        <f>IF($O1872="","",INDEX(Suivi!$G:$G,1908))</f>
        <v/>
      </c>
      <c r="T1872">
        <f>IF($O1872="","",IF(INDEX(Dossiers!$F$4:$F$63,36)="","",INDEX(Dossiers!$F$4:$F$63,36)))</f>
        <v/>
      </c>
      <c r="U1872">
        <f>IF($O1872="","",IF(INDEX(Dossiers!$G$4:$G$63,36)="","",INDEX(Dossiers!$G$4:$G$63,36)))</f>
        <v/>
      </c>
      <c r="V1872">
        <f>IF(OR($O1872="",NOT(ISNUMBER($Q1872))),"",$Q1872*1000000+1872)</f>
        <v/>
      </c>
      <c r="W1872" s="29">
        <f>IF($B1872="","",IFERROR(INDEX($U$4:$U$3183,MATCH(SMALL($V$4:$V$3183,1869),$V$4:$V$3183,0)),""))</f>
        <v/>
      </c>
    </row>
    <row r="1873">
      <c r="A1873">
        <f>IFERROR(INDEX($N$4:$N$3183,MATCH(SMALL($V$4:$V$3183,1870),$V$4:$V$3183,0)),"")</f>
        <v/>
      </c>
      <c r="B1873">
        <f>IFERROR(INDEX($O$4:$O$3183,MATCH(SMALL($V$4:$V$3183,1870),$V$4:$V$3183,0)),"")</f>
        <v/>
      </c>
      <c r="C1873">
        <f>IFERROR(INDEX($P$4:$P$3183,MATCH(SMALL($V$4:$V$3183,1870),$V$4:$V$3183,0)),"")</f>
        <v/>
      </c>
      <c r="D1873" s="29">
        <f>IFERROR(INDEX($Q$4:$Q$3183,MATCH(SMALL($V$4:$V$3183,1870),$V$4:$V$3183,0)),"")</f>
        <v/>
      </c>
      <c r="E1873" s="29">
        <f>IFERROR(INDEX($R$4:$R$3183,MATCH(SMALL($V$4:$V$3183,1870),$V$4:$V$3183,0)),"")</f>
        <v/>
      </c>
      <c r="F1873">
        <f>IFERROR(INDEX($S$4:$S$3183,MATCH(SMALL($V$4:$V$3183,1870),$V$4:$V$3183,0)),"")</f>
        <v/>
      </c>
      <c r="I1873" s="29">
        <f>IF($B1873="","",IFERROR(INDEX($U$4:$U$3183,MATCH(SMALL($V$4:$V$3183,1870),$V$4:$V$3183,0)),""))</f>
        <v/>
      </c>
      <c r="J1873">
        <f>IF($B1873="","",IF($D1873&gt;$F$2,"À venir",IF($E1873&lt;$D$2,"Passé","Dans la période")))</f>
        <v/>
      </c>
      <c r="K1873">
        <f>IF(OR($B1873="",NOT(ISNUMBER($D1873))),"",IF(AND($E1873&lt;$D$2,$G1873&lt;&gt;"X",$F1873&lt;&gt;"Réalisé",$F1873&lt;&gt;"Clôturé"),"RETARD",""))</f>
        <v/>
      </c>
      <c r="L1873">
        <f>IF(OR($B1873="",NOT(ISNUMBER($D1873))),"",IF(AND($D1873&gt;=$D$2,$D1873&lt;=$H$2,$G1873&lt;&gt;"X",$F1873&lt;&gt;"Réalisé",$F1873&lt;&gt;"Clôturé"),"≤ 7 j",""))</f>
        <v/>
      </c>
      <c r="M1873" s="29">
        <f>IF($B1873="","",IFERROR(INDEX($T$4:$T$3183,MATCH(SMALL($V$4:$V$3183,1870),$V$4:$V$3183,0)),""))</f>
        <v/>
      </c>
      <c r="O1873">
        <f>IF(INDEX(Suivi!$B:$B,1909)="","",INDEX(Suivi!$B:$B,1909))</f>
        <v/>
      </c>
      <c r="P1873">
        <f>IF($O1873="","",IF(INDEX(Suivi!$D:$D,1909)="",INDEX(Suivi!$C:$C,1909),INDEX(Suivi!$D:$D,1909)))</f>
        <v/>
      </c>
      <c r="Q1873">
        <f>IF($O1873="","",INDEX(Suivi!$E:$E,1909))</f>
        <v/>
      </c>
      <c r="R1873">
        <f>IF($O1873="","",INDEX(Suivi!$F:$F,1909))</f>
        <v/>
      </c>
      <c r="S1873">
        <f>IF($O1873="","",INDEX(Suivi!$G:$G,1909))</f>
        <v/>
      </c>
      <c r="T1873">
        <f>IF($O1873="","",IF(INDEX(Dossiers!$F$4:$F$63,36)="","",INDEX(Dossiers!$F$4:$F$63,36)))</f>
        <v/>
      </c>
      <c r="U1873">
        <f>IF($O1873="","",IF(INDEX(Dossiers!$G$4:$G$63,36)="","",INDEX(Dossiers!$G$4:$G$63,36)))</f>
        <v/>
      </c>
      <c r="V1873">
        <f>IF(OR($O1873="",NOT(ISNUMBER($Q1873))),"",$Q1873*1000000+1873)</f>
        <v/>
      </c>
      <c r="W1873" s="29">
        <f>IF($B1873="","",IFERROR(INDEX($U$4:$U$3183,MATCH(SMALL($V$4:$V$3183,1870),$V$4:$V$3183,0)),""))</f>
        <v/>
      </c>
    </row>
    <row r="1874">
      <c r="A1874">
        <f>IFERROR(INDEX($N$4:$N$3183,MATCH(SMALL($V$4:$V$3183,1871),$V$4:$V$3183,0)),"")</f>
        <v/>
      </c>
      <c r="B1874">
        <f>IFERROR(INDEX($O$4:$O$3183,MATCH(SMALL($V$4:$V$3183,1871),$V$4:$V$3183,0)),"")</f>
        <v/>
      </c>
      <c r="C1874">
        <f>IFERROR(INDEX($P$4:$P$3183,MATCH(SMALL($V$4:$V$3183,1871),$V$4:$V$3183,0)),"")</f>
        <v/>
      </c>
      <c r="D1874" s="29">
        <f>IFERROR(INDEX($Q$4:$Q$3183,MATCH(SMALL($V$4:$V$3183,1871),$V$4:$V$3183,0)),"")</f>
        <v/>
      </c>
      <c r="E1874" s="29">
        <f>IFERROR(INDEX($R$4:$R$3183,MATCH(SMALL($V$4:$V$3183,1871),$V$4:$V$3183,0)),"")</f>
        <v/>
      </c>
      <c r="F1874">
        <f>IFERROR(INDEX($S$4:$S$3183,MATCH(SMALL($V$4:$V$3183,1871),$V$4:$V$3183,0)),"")</f>
        <v/>
      </c>
      <c r="I1874" s="29">
        <f>IF($B1874="","",IFERROR(INDEX($U$4:$U$3183,MATCH(SMALL($V$4:$V$3183,1871),$V$4:$V$3183,0)),""))</f>
        <v/>
      </c>
      <c r="J1874">
        <f>IF($B1874="","",IF($D1874&gt;$F$2,"À venir",IF($E1874&lt;$D$2,"Passé","Dans la période")))</f>
        <v/>
      </c>
      <c r="K1874">
        <f>IF(OR($B1874="",NOT(ISNUMBER($D1874))),"",IF(AND($E1874&lt;$D$2,$G1874&lt;&gt;"X",$F1874&lt;&gt;"Réalisé",$F1874&lt;&gt;"Clôturé"),"RETARD",""))</f>
        <v/>
      </c>
      <c r="L1874">
        <f>IF(OR($B1874="",NOT(ISNUMBER($D1874))),"",IF(AND($D1874&gt;=$D$2,$D1874&lt;=$H$2,$G1874&lt;&gt;"X",$F1874&lt;&gt;"Réalisé",$F1874&lt;&gt;"Clôturé"),"≤ 7 j",""))</f>
        <v/>
      </c>
      <c r="M1874" s="29">
        <f>IF($B1874="","",IFERROR(INDEX($T$4:$T$3183,MATCH(SMALL($V$4:$V$3183,1871),$V$4:$V$3183,0)),""))</f>
        <v/>
      </c>
      <c r="O1874">
        <f>IF(INDEX(Suivi!$B:$B,1910)="","",INDEX(Suivi!$B:$B,1910))</f>
        <v/>
      </c>
      <c r="P1874">
        <f>IF($O1874="","",IF(INDEX(Suivi!$D:$D,1910)="",INDEX(Suivi!$C:$C,1910),INDEX(Suivi!$D:$D,1910)))</f>
        <v/>
      </c>
      <c r="Q1874">
        <f>IF($O1874="","",INDEX(Suivi!$E:$E,1910))</f>
        <v/>
      </c>
      <c r="R1874">
        <f>IF($O1874="","",INDEX(Suivi!$F:$F,1910))</f>
        <v/>
      </c>
      <c r="S1874">
        <f>IF($O1874="","",INDEX(Suivi!$G:$G,1910))</f>
        <v/>
      </c>
      <c r="T1874">
        <f>IF($O1874="","",IF(INDEX(Dossiers!$F$4:$F$63,36)="","",INDEX(Dossiers!$F$4:$F$63,36)))</f>
        <v/>
      </c>
      <c r="U1874">
        <f>IF($O1874="","",IF(INDEX(Dossiers!$G$4:$G$63,36)="","",INDEX(Dossiers!$G$4:$G$63,36)))</f>
        <v/>
      </c>
      <c r="V1874">
        <f>IF(OR($O1874="",NOT(ISNUMBER($Q1874))),"",$Q1874*1000000+1874)</f>
        <v/>
      </c>
      <c r="W1874" s="29">
        <f>IF($B1874="","",IFERROR(INDEX($U$4:$U$3183,MATCH(SMALL($V$4:$V$3183,1871),$V$4:$V$3183,0)),""))</f>
        <v/>
      </c>
    </row>
    <row r="1875">
      <c r="A1875">
        <f>IFERROR(INDEX($N$4:$N$3183,MATCH(SMALL($V$4:$V$3183,1872),$V$4:$V$3183,0)),"")</f>
        <v/>
      </c>
      <c r="B1875">
        <f>IFERROR(INDEX($O$4:$O$3183,MATCH(SMALL($V$4:$V$3183,1872),$V$4:$V$3183,0)),"")</f>
        <v/>
      </c>
      <c r="C1875">
        <f>IFERROR(INDEX($P$4:$P$3183,MATCH(SMALL($V$4:$V$3183,1872),$V$4:$V$3183,0)),"")</f>
        <v/>
      </c>
      <c r="D1875" s="29">
        <f>IFERROR(INDEX($Q$4:$Q$3183,MATCH(SMALL($V$4:$V$3183,1872),$V$4:$V$3183,0)),"")</f>
        <v/>
      </c>
      <c r="E1875" s="29">
        <f>IFERROR(INDEX($R$4:$R$3183,MATCH(SMALL($V$4:$V$3183,1872),$V$4:$V$3183,0)),"")</f>
        <v/>
      </c>
      <c r="F1875">
        <f>IFERROR(INDEX($S$4:$S$3183,MATCH(SMALL($V$4:$V$3183,1872),$V$4:$V$3183,0)),"")</f>
        <v/>
      </c>
      <c r="I1875" s="29">
        <f>IF($B1875="","",IFERROR(INDEX($U$4:$U$3183,MATCH(SMALL($V$4:$V$3183,1872),$V$4:$V$3183,0)),""))</f>
        <v/>
      </c>
      <c r="J1875">
        <f>IF($B1875="","",IF($D1875&gt;$F$2,"À venir",IF($E1875&lt;$D$2,"Passé","Dans la période")))</f>
        <v/>
      </c>
      <c r="K1875">
        <f>IF(OR($B1875="",NOT(ISNUMBER($D1875))),"",IF(AND($E1875&lt;$D$2,$G1875&lt;&gt;"X",$F1875&lt;&gt;"Réalisé",$F1875&lt;&gt;"Clôturé"),"RETARD",""))</f>
        <v/>
      </c>
      <c r="L1875">
        <f>IF(OR($B1875="",NOT(ISNUMBER($D1875))),"",IF(AND($D1875&gt;=$D$2,$D1875&lt;=$H$2,$G1875&lt;&gt;"X",$F1875&lt;&gt;"Réalisé",$F1875&lt;&gt;"Clôturé"),"≤ 7 j",""))</f>
        <v/>
      </c>
      <c r="M1875" s="29">
        <f>IF($B1875="","",IFERROR(INDEX($T$4:$T$3183,MATCH(SMALL($V$4:$V$3183,1872),$V$4:$V$3183,0)),""))</f>
        <v/>
      </c>
      <c r="O1875">
        <f>IF(INDEX(Suivi!$B:$B,1911)="","",INDEX(Suivi!$B:$B,1911))</f>
        <v/>
      </c>
      <c r="P1875">
        <f>IF($O1875="","",IF(INDEX(Suivi!$D:$D,1911)="",INDEX(Suivi!$C:$C,1911),INDEX(Suivi!$D:$D,1911)))</f>
        <v/>
      </c>
      <c r="Q1875">
        <f>IF($O1875="","",INDEX(Suivi!$E:$E,1911))</f>
        <v/>
      </c>
      <c r="R1875">
        <f>IF($O1875="","",INDEX(Suivi!$F:$F,1911))</f>
        <v/>
      </c>
      <c r="S1875">
        <f>IF($O1875="","",INDEX(Suivi!$G:$G,1911))</f>
        <v/>
      </c>
      <c r="T1875">
        <f>IF($O1875="","",IF(INDEX(Dossiers!$F$4:$F$63,36)="","",INDEX(Dossiers!$F$4:$F$63,36)))</f>
        <v/>
      </c>
      <c r="U1875">
        <f>IF($O1875="","",IF(INDEX(Dossiers!$G$4:$G$63,36)="","",INDEX(Dossiers!$G$4:$G$63,36)))</f>
        <v/>
      </c>
      <c r="V1875">
        <f>IF(OR($O1875="",NOT(ISNUMBER($Q1875))),"",$Q1875*1000000+1875)</f>
        <v/>
      </c>
      <c r="W1875" s="29">
        <f>IF($B1875="","",IFERROR(INDEX($U$4:$U$3183,MATCH(SMALL($V$4:$V$3183,1872),$V$4:$V$3183,0)),""))</f>
        <v/>
      </c>
    </row>
    <row r="1876">
      <c r="A1876">
        <f>IFERROR(INDEX($N$4:$N$3183,MATCH(SMALL($V$4:$V$3183,1873),$V$4:$V$3183,0)),"")</f>
        <v/>
      </c>
      <c r="B1876">
        <f>IFERROR(INDEX($O$4:$O$3183,MATCH(SMALL($V$4:$V$3183,1873),$V$4:$V$3183,0)),"")</f>
        <v/>
      </c>
      <c r="C1876">
        <f>IFERROR(INDEX($P$4:$P$3183,MATCH(SMALL($V$4:$V$3183,1873),$V$4:$V$3183,0)),"")</f>
        <v/>
      </c>
      <c r="D1876" s="29">
        <f>IFERROR(INDEX($Q$4:$Q$3183,MATCH(SMALL($V$4:$V$3183,1873),$V$4:$V$3183,0)),"")</f>
        <v/>
      </c>
      <c r="E1876" s="29">
        <f>IFERROR(INDEX($R$4:$R$3183,MATCH(SMALL($V$4:$V$3183,1873),$V$4:$V$3183,0)),"")</f>
        <v/>
      </c>
      <c r="F1876">
        <f>IFERROR(INDEX($S$4:$S$3183,MATCH(SMALL($V$4:$V$3183,1873),$V$4:$V$3183,0)),"")</f>
        <v/>
      </c>
      <c r="I1876" s="29">
        <f>IF($B1876="","",IFERROR(INDEX($U$4:$U$3183,MATCH(SMALL($V$4:$V$3183,1873),$V$4:$V$3183,0)),""))</f>
        <v/>
      </c>
      <c r="J1876">
        <f>IF($B1876="","",IF($D1876&gt;$F$2,"À venir",IF($E1876&lt;$D$2,"Passé","Dans la période")))</f>
        <v/>
      </c>
      <c r="K1876">
        <f>IF(OR($B1876="",NOT(ISNUMBER($D1876))),"",IF(AND($E1876&lt;$D$2,$G1876&lt;&gt;"X",$F1876&lt;&gt;"Réalisé",$F1876&lt;&gt;"Clôturé"),"RETARD",""))</f>
        <v/>
      </c>
      <c r="L1876">
        <f>IF(OR($B1876="",NOT(ISNUMBER($D1876))),"",IF(AND($D1876&gt;=$D$2,$D1876&lt;=$H$2,$G1876&lt;&gt;"X",$F1876&lt;&gt;"Réalisé",$F1876&lt;&gt;"Clôturé"),"≤ 7 j",""))</f>
        <v/>
      </c>
      <c r="M1876" s="29">
        <f>IF($B1876="","",IFERROR(INDEX($T$4:$T$3183,MATCH(SMALL($V$4:$V$3183,1873),$V$4:$V$3183,0)),""))</f>
        <v/>
      </c>
      <c r="O1876">
        <f>IF(INDEX(Suivi!$B:$B,1912)="","",INDEX(Suivi!$B:$B,1912))</f>
        <v/>
      </c>
      <c r="P1876">
        <f>IF($O1876="","",IF(INDEX(Suivi!$D:$D,1912)="",INDEX(Suivi!$C:$C,1912),INDEX(Suivi!$D:$D,1912)))</f>
        <v/>
      </c>
      <c r="Q1876">
        <f>IF($O1876="","",INDEX(Suivi!$E:$E,1912))</f>
        <v/>
      </c>
      <c r="R1876">
        <f>IF($O1876="","",INDEX(Suivi!$F:$F,1912))</f>
        <v/>
      </c>
      <c r="S1876">
        <f>IF($O1876="","",INDEX(Suivi!$G:$G,1912))</f>
        <v/>
      </c>
      <c r="T1876">
        <f>IF($O1876="","",IF(INDEX(Dossiers!$F$4:$F$63,36)="","",INDEX(Dossiers!$F$4:$F$63,36)))</f>
        <v/>
      </c>
      <c r="U1876">
        <f>IF($O1876="","",IF(INDEX(Dossiers!$G$4:$G$63,36)="","",INDEX(Dossiers!$G$4:$G$63,36)))</f>
        <v/>
      </c>
      <c r="V1876">
        <f>IF(OR($O1876="",NOT(ISNUMBER($Q1876))),"",$Q1876*1000000+1876)</f>
        <v/>
      </c>
      <c r="W1876" s="29">
        <f>IF($B1876="","",IFERROR(INDEX($U$4:$U$3183,MATCH(SMALL($V$4:$V$3183,1873),$V$4:$V$3183,0)),""))</f>
        <v/>
      </c>
    </row>
    <row r="1877">
      <c r="A1877">
        <f>IFERROR(INDEX($N$4:$N$3183,MATCH(SMALL($V$4:$V$3183,1874),$V$4:$V$3183,0)),"")</f>
        <v/>
      </c>
      <c r="B1877">
        <f>IFERROR(INDEX($O$4:$O$3183,MATCH(SMALL($V$4:$V$3183,1874),$V$4:$V$3183,0)),"")</f>
        <v/>
      </c>
      <c r="C1877">
        <f>IFERROR(INDEX($P$4:$P$3183,MATCH(SMALL($V$4:$V$3183,1874),$V$4:$V$3183,0)),"")</f>
        <v/>
      </c>
      <c r="D1877" s="29">
        <f>IFERROR(INDEX($Q$4:$Q$3183,MATCH(SMALL($V$4:$V$3183,1874),$V$4:$V$3183,0)),"")</f>
        <v/>
      </c>
      <c r="E1877" s="29">
        <f>IFERROR(INDEX($R$4:$R$3183,MATCH(SMALL($V$4:$V$3183,1874),$V$4:$V$3183,0)),"")</f>
        <v/>
      </c>
      <c r="F1877">
        <f>IFERROR(INDEX($S$4:$S$3183,MATCH(SMALL($V$4:$V$3183,1874),$V$4:$V$3183,0)),"")</f>
        <v/>
      </c>
      <c r="I1877" s="29">
        <f>IF($B1877="","",IFERROR(INDEX($U$4:$U$3183,MATCH(SMALL($V$4:$V$3183,1874),$V$4:$V$3183,0)),""))</f>
        <v/>
      </c>
      <c r="J1877">
        <f>IF($B1877="","",IF($D1877&gt;$F$2,"À venir",IF($E1877&lt;$D$2,"Passé","Dans la période")))</f>
        <v/>
      </c>
      <c r="K1877">
        <f>IF(OR($B1877="",NOT(ISNUMBER($D1877))),"",IF(AND($E1877&lt;$D$2,$G1877&lt;&gt;"X",$F1877&lt;&gt;"Réalisé",$F1877&lt;&gt;"Clôturé"),"RETARD",""))</f>
        <v/>
      </c>
      <c r="L1877">
        <f>IF(OR($B1877="",NOT(ISNUMBER($D1877))),"",IF(AND($D1877&gt;=$D$2,$D1877&lt;=$H$2,$G1877&lt;&gt;"X",$F1877&lt;&gt;"Réalisé",$F1877&lt;&gt;"Clôturé"),"≤ 7 j",""))</f>
        <v/>
      </c>
      <c r="M1877" s="29">
        <f>IF($B1877="","",IFERROR(INDEX($T$4:$T$3183,MATCH(SMALL($V$4:$V$3183,1874),$V$4:$V$3183,0)),""))</f>
        <v/>
      </c>
      <c r="O1877">
        <f>IF(INDEX(Suivi!$B:$B,1913)="","",INDEX(Suivi!$B:$B,1913))</f>
        <v/>
      </c>
      <c r="P1877">
        <f>IF($O1877="","",IF(INDEX(Suivi!$D:$D,1913)="",INDEX(Suivi!$C:$C,1913),INDEX(Suivi!$D:$D,1913)))</f>
        <v/>
      </c>
      <c r="Q1877">
        <f>IF($O1877="","",INDEX(Suivi!$E:$E,1913))</f>
        <v/>
      </c>
      <c r="R1877">
        <f>IF($O1877="","",INDEX(Suivi!$F:$F,1913))</f>
        <v/>
      </c>
      <c r="S1877">
        <f>IF($O1877="","",INDEX(Suivi!$G:$G,1913))</f>
        <v/>
      </c>
      <c r="T1877">
        <f>IF($O1877="","",IF(INDEX(Dossiers!$F$4:$F$63,36)="","",INDEX(Dossiers!$F$4:$F$63,36)))</f>
        <v/>
      </c>
      <c r="U1877">
        <f>IF($O1877="","",IF(INDEX(Dossiers!$G$4:$G$63,36)="","",INDEX(Dossiers!$G$4:$G$63,36)))</f>
        <v/>
      </c>
      <c r="V1877">
        <f>IF(OR($O1877="",NOT(ISNUMBER($Q1877))),"",$Q1877*1000000+1877)</f>
        <v/>
      </c>
      <c r="W1877" s="29">
        <f>IF($B1877="","",IFERROR(INDEX($U$4:$U$3183,MATCH(SMALL($V$4:$V$3183,1874),$V$4:$V$3183,0)),""))</f>
        <v/>
      </c>
    </row>
    <row r="1878">
      <c r="A1878">
        <f>IFERROR(INDEX($N$4:$N$3183,MATCH(SMALL($V$4:$V$3183,1875),$V$4:$V$3183,0)),"")</f>
        <v/>
      </c>
      <c r="B1878">
        <f>IFERROR(INDEX($O$4:$O$3183,MATCH(SMALL($V$4:$V$3183,1875),$V$4:$V$3183,0)),"")</f>
        <v/>
      </c>
      <c r="C1878">
        <f>IFERROR(INDEX($P$4:$P$3183,MATCH(SMALL($V$4:$V$3183,1875),$V$4:$V$3183,0)),"")</f>
        <v/>
      </c>
      <c r="D1878" s="29">
        <f>IFERROR(INDEX($Q$4:$Q$3183,MATCH(SMALL($V$4:$V$3183,1875),$V$4:$V$3183,0)),"")</f>
        <v/>
      </c>
      <c r="E1878" s="29">
        <f>IFERROR(INDEX($R$4:$R$3183,MATCH(SMALL($V$4:$V$3183,1875),$V$4:$V$3183,0)),"")</f>
        <v/>
      </c>
      <c r="F1878">
        <f>IFERROR(INDEX($S$4:$S$3183,MATCH(SMALL($V$4:$V$3183,1875),$V$4:$V$3183,0)),"")</f>
        <v/>
      </c>
      <c r="I1878" s="29">
        <f>IF($B1878="","",IFERROR(INDEX($U$4:$U$3183,MATCH(SMALL($V$4:$V$3183,1875),$V$4:$V$3183,0)),""))</f>
        <v/>
      </c>
      <c r="J1878">
        <f>IF($B1878="","",IF($D1878&gt;$F$2,"À venir",IF($E1878&lt;$D$2,"Passé","Dans la période")))</f>
        <v/>
      </c>
      <c r="K1878">
        <f>IF(OR($B1878="",NOT(ISNUMBER($D1878))),"",IF(AND($E1878&lt;$D$2,$G1878&lt;&gt;"X",$F1878&lt;&gt;"Réalisé",$F1878&lt;&gt;"Clôturé"),"RETARD",""))</f>
        <v/>
      </c>
      <c r="L1878">
        <f>IF(OR($B1878="",NOT(ISNUMBER($D1878))),"",IF(AND($D1878&gt;=$D$2,$D1878&lt;=$H$2,$G1878&lt;&gt;"X",$F1878&lt;&gt;"Réalisé",$F1878&lt;&gt;"Clôturé"),"≤ 7 j",""))</f>
        <v/>
      </c>
      <c r="M1878" s="29">
        <f>IF($B1878="","",IFERROR(INDEX($T$4:$T$3183,MATCH(SMALL($V$4:$V$3183,1875),$V$4:$V$3183,0)),""))</f>
        <v/>
      </c>
      <c r="O1878">
        <f>IF(INDEX(Suivi!$B:$B,1914)="","",INDEX(Suivi!$B:$B,1914))</f>
        <v/>
      </c>
      <c r="P1878">
        <f>IF($O1878="","",IF(INDEX(Suivi!$D:$D,1914)="",INDEX(Suivi!$C:$C,1914),INDEX(Suivi!$D:$D,1914)))</f>
        <v/>
      </c>
      <c r="Q1878">
        <f>IF($O1878="","",INDEX(Suivi!$E:$E,1914))</f>
        <v/>
      </c>
      <c r="R1878">
        <f>IF($O1878="","",INDEX(Suivi!$F:$F,1914))</f>
        <v/>
      </c>
      <c r="S1878">
        <f>IF($O1878="","",INDEX(Suivi!$G:$G,1914))</f>
        <v/>
      </c>
      <c r="T1878">
        <f>IF($O1878="","",IF(INDEX(Dossiers!$F$4:$F$63,36)="","",INDEX(Dossiers!$F$4:$F$63,36)))</f>
        <v/>
      </c>
      <c r="U1878">
        <f>IF($O1878="","",IF(INDEX(Dossiers!$G$4:$G$63,36)="","",INDEX(Dossiers!$G$4:$G$63,36)))</f>
        <v/>
      </c>
      <c r="V1878">
        <f>IF(OR($O1878="",NOT(ISNUMBER($Q1878))),"",$Q1878*1000000+1878)</f>
        <v/>
      </c>
      <c r="W1878" s="29">
        <f>IF($B1878="","",IFERROR(INDEX($U$4:$U$3183,MATCH(SMALL($V$4:$V$3183,1875),$V$4:$V$3183,0)),""))</f>
        <v/>
      </c>
    </row>
    <row r="1879">
      <c r="A1879">
        <f>IFERROR(INDEX($N$4:$N$3183,MATCH(SMALL($V$4:$V$3183,1876),$V$4:$V$3183,0)),"")</f>
        <v/>
      </c>
      <c r="B1879">
        <f>IFERROR(INDEX($O$4:$O$3183,MATCH(SMALL($V$4:$V$3183,1876),$V$4:$V$3183,0)),"")</f>
        <v/>
      </c>
      <c r="C1879">
        <f>IFERROR(INDEX($P$4:$P$3183,MATCH(SMALL($V$4:$V$3183,1876),$V$4:$V$3183,0)),"")</f>
        <v/>
      </c>
      <c r="D1879" s="29">
        <f>IFERROR(INDEX($Q$4:$Q$3183,MATCH(SMALL($V$4:$V$3183,1876),$V$4:$V$3183,0)),"")</f>
        <v/>
      </c>
      <c r="E1879" s="29">
        <f>IFERROR(INDEX($R$4:$R$3183,MATCH(SMALL($V$4:$V$3183,1876),$V$4:$V$3183,0)),"")</f>
        <v/>
      </c>
      <c r="F1879">
        <f>IFERROR(INDEX($S$4:$S$3183,MATCH(SMALL($V$4:$V$3183,1876),$V$4:$V$3183,0)),"")</f>
        <v/>
      </c>
      <c r="I1879" s="29">
        <f>IF($B1879="","",IFERROR(INDEX($U$4:$U$3183,MATCH(SMALL($V$4:$V$3183,1876),$V$4:$V$3183,0)),""))</f>
        <v/>
      </c>
      <c r="J1879">
        <f>IF($B1879="","",IF($D1879&gt;$F$2,"À venir",IF($E1879&lt;$D$2,"Passé","Dans la période")))</f>
        <v/>
      </c>
      <c r="K1879">
        <f>IF(OR($B1879="",NOT(ISNUMBER($D1879))),"",IF(AND($E1879&lt;$D$2,$G1879&lt;&gt;"X",$F1879&lt;&gt;"Réalisé",$F1879&lt;&gt;"Clôturé"),"RETARD",""))</f>
        <v/>
      </c>
      <c r="L1879">
        <f>IF(OR($B1879="",NOT(ISNUMBER($D1879))),"",IF(AND($D1879&gt;=$D$2,$D1879&lt;=$H$2,$G1879&lt;&gt;"X",$F1879&lt;&gt;"Réalisé",$F1879&lt;&gt;"Clôturé"),"≤ 7 j",""))</f>
        <v/>
      </c>
      <c r="M1879" s="29">
        <f>IF($B1879="","",IFERROR(INDEX($T$4:$T$3183,MATCH(SMALL($V$4:$V$3183,1876),$V$4:$V$3183,0)),""))</f>
        <v/>
      </c>
      <c r="O1879">
        <f>IF(INDEX(Suivi!$B:$B,1915)="","",INDEX(Suivi!$B:$B,1915))</f>
        <v/>
      </c>
      <c r="P1879">
        <f>IF($O1879="","",IF(INDEX(Suivi!$D:$D,1915)="",INDEX(Suivi!$C:$C,1915),INDEX(Suivi!$D:$D,1915)))</f>
        <v/>
      </c>
      <c r="Q1879">
        <f>IF($O1879="","",INDEX(Suivi!$E:$E,1915))</f>
        <v/>
      </c>
      <c r="R1879">
        <f>IF($O1879="","",INDEX(Suivi!$F:$F,1915))</f>
        <v/>
      </c>
      <c r="S1879">
        <f>IF($O1879="","",INDEX(Suivi!$G:$G,1915))</f>
        <v/>
      </c>
      <c r="T1879">
        <f>IF($O1879="","",IF(INDEX(Dossiers!$F$4:$F$63,36)="","",INDEX(Dossiers!$F$4:$F$63,36)))</f>
        <v/>
      </c>
      <c r="U1879">
        <f>IF($O1879="","",IF(INDEX(Dossiers!$G$4:$G$63,36)="","",INDEX(Dossiers!$G$4:$G$63,36)))</f>
        <v/>
      </c>
      <c r="V1879">
        <f>IF(OR($O1879="",NOT(ISNUMBER($Q1879))),"",$Q1879*1000000+1879)</f>
        <v/>
      </c>
      <c r="W1879" s="29">
        <f>IF($B1879="","",IFERROR(INDEX($U$4:$U$3183,MATCH(SMALL($V$4:$V$3183,1876),$V$4:$V$3183,0)),""))</f>
        <v/>
      </c>
    </row>
    <row r="1880">
      <c r="A1880">
        <f>IFERROR(INDEX($N$4:$N$3183,MATCH(SMALL($V$4:$V$3183,1877),$V$4:$V$3183,0)),"")</f>
        <v/>
      </c>
      <c r="B1880">
        <f>IFERROR(INDEX($O$4:$O$3183,MATCH(SMALL($V$4:$V$3183,1877),$V$4:$V$3183,0)),"")</f>
        <v/>
      </c>
      <c r="C1880">
        <f>IFERROR(INDEX($P$4:$P$3183,MATCH(SMALL($V$4:$V$3183,1877),$V$4:$V$3183,0)),"")</f>
        <v/>
      </c>
      <c r="D1880" s="29">
        <f>IFERROR(INDEX($Q$4:$Q$3183,MATCH(SMALL($V$4:$V$3183,1877),$V$4:$V$3183,0)),"")</f>
        <v/>
      </c>
      <c r="E1880" s="29">
        <f>IFERROR(INDEX($R$4:$R$3183,MATCH(SMALL($V$4:$V$3183,1877),$V$4:$V$3183,0)),"")</f>
        <v/>
      </c>
      <c r="F1880">
        <f>IFERROR(INDEX($S$4:$S$3183,MATCH(SMALL($V$4:$V$3183,1877),$V$4:$V$3183,0)),"")</f>
        <v/>
      </c>
      <c r="I1880" s="29">
        <f>IF($B1880="","",IFERROR(INDEX($U$4:$U$3183,MATCH(SMALL($V$4:$V$3183,1877),$V$4:$V$3183,0)),""))</f>
        <v/>
      </c>
      <c r="J1880">
        <f>IF($B1880="","",IF($D1880&gt;$F$2,"À venir",IF($E1880&lt;$D$2,"Passé","Dans la période")))</f>
        <v/>
      </c>
      <c r="K1880">
        <f>IF(OR($B1880="",NOT(ISNUMBER($D1880))),"",IF(AND($E1880&lt;$D$2,$G1880&lt;&gt;"X",$F1880&lt;&gt;"Réalisé",$F1880&lt;&gt;"Clôturé"),"RETARD",""))</f>
        <v/>
      </c>
      <c r="L1880">
        <f>IF(OR($B1880="",NOT(ISNUMBER($D1880))),"",IF(AND($D1880&gt;=$D$2,$D1880&lt;=$H$2,$G1880&lt;&gt;"X",$F1880&lt;&gt;"Réalisé",$F1880&lt;&gt;"Clôturé"),"≤ 7 j",""))</f>
        <v/>
      </c>
      <c r="M1880" s="29">
        <f>IF($B1880="","",IFERROR(INDEX($T$4:$T$3183,MATCH(SMALL($V$4:$V$3183,1877),$V$4:$V$3183,0)),""))</f>
        <v/>
      </c>
      <c r="O1880">
        <f>IF(INDEX(Suivi!$B:$B,1916)="","",INDEX(Suivi!$B:$B,1916))</f>
        <v/>
      </c>
      <c r="P1880">
        <f>IF($O1880="","",IF(INDEX(Suivi!$D:$D,1916)="",INDEX(Suivi!$C:$C,1916),INDEX(Suivi!$D:$D,1916)))</f>
        <v/>
      </c>
      <c r="Q1880">
        <f>IF($O1880="","",INDEX(Suivi!$E:$E,1916))</f>
        <v/>
      </c>
      <c r="R1880">
        <f>IF($O1880="","",INDEX(Suivi!$F:$F,1916))</f>
        <v/>
      </c>
      <c r="S1880">
        <f>IF($O1880="","",INDEX(Suivi!$G:$G,1916))</f>
        <v/>
      </c>
      <c r="T1880">
        <f>IF($O1880="","",IF(INDEX(Dossiers!$F$4:$F$63,36)="","",INDEX(Dossiers!$F$4:$F$63,36)))</f>
        <v/>
      </c>
      <c r="U1880">
        <f>IF($O1880="","",IF(INDEX(Dossiers!$G$4:$G$63,36)="","",INDEX(Dossiers!$G$4:$G$63,36)))</f>
        <v/>
      </c>
      <c r="V1880">
        <f>IF(OR($O1880="",NOT(ISNUMBER($Q1880))),"",$Q1880*1000000+1880)</f>
        <v/>
      </c>
      <c r="W1880" s="29">
        <f>IF($B1880="","",IFERROR(INDEX($U$4:$U$3183,MATCH(SMALL($V$4:$V$3183,1877),$V$4:$V$3183,0)),""))</f>
        <v/>
      </c>
    </row>
    <row r="1881">
      <c r="A1881">
        <f>IFERROR(INDEX($N$4:$N$3183,MATCH(SMALL($V$4:$V$3183,1878),$V$4:$V$3183,0)),"")</f>
        <v/>
      </c>
      <c r="B1881">
        <f>IFERROR(INDEX($O$4:$O$3183,MATCH(SMALL($V$4:$V$3183,1878),$V$4:$V$3183,0)),"")</f>
        <v/>
      </c>
      <c r="C1881">
        <f>IFERROR(INDEX($P$4:$P$3183,MATCH(SMALL($V$4:$V$3183,1878),$V$4:$V$3183,0)),"")</f>
        <v/>
      </c>
      <c r="D1881" s="29">
        <f>IFERROR(INDEX($Q$4:$Q$3183,MATCH(SMALL($V$4:$V$3183,1878),$V$4:$V$3183,0)),"")</f>
        <v/>
      </c>
      <c r="E1881" s="29">
        <f>IFERROR(INDEX($R$4:$R$3183,MATCH(SMALL($V$4:$V$3183,1878),$V$4:$V$3183,0)),"")</f>
        <v/>
      </c>
      <c r="F1881">
        <f>IFERROR(INDEX($S$4:$S$3183,MATCH(SMALL($V$4:$V$3183,1878),$V$4:$V$3183,0)),"")</f>
        <v/>
      </c>
      <c r="I1881" s="29">
        <f>IF($B1881="","",IFERROR(INDEX($U$4:$U$3183,MATCH(SMALL($V$4:$V$3183,1878),$V$4:$V$3183,0)),""))</f>
        <v/>
      </c>
      <c r="J1881">
        <f>IF($B1881="","",IF($D1881&gt;$F$2,"À venir",IF($E1881&lt;$D$2,"Passé","Dans la période")))</f>
        <v/>
      </c>
      <c r="K1881">
        <f>IF(OR($B1881="",NOT(ISNUMBER($D1881))),"",IF(AND($E1881&lt;$D$2,$G1881&lt;&gt;"X",$F1881&lt;&gt;"Réalisé",$F1881&lt;&gt;"Clôturé"),"RETARD",""))</f>
        <v/>
      </c>
      <c r="L1881">
        <f>IF(OR($B1881="",NOT(ISNUMBER($D1881))),"",IF(AND($D1881&gt;=$D$2,$D1881&lt;=$H$2,$G1881&lt;&gt;"X",$F1881&lt;&gt;"Réalisé",$F1881&lt;&gt;"Clôturé"),"≤ 7 j",""))</f>
        <v/>
      </c>
      <c r="M1881" s="29">
        <f>IF($B1881="","",IFERROR(INDEX($T$4:$T$3183,MATCH(SMALL($V$4:$V$3183,1878),$V$4:$V$3183,0)),""))</f>
        <v/>
      </c>
      <c r="O1881">
        <f>IF(INDEX(Suivi!$B:$B,1917)="","",INDEX(Suivi!$B:$B,1917))</f>
        <v/>
      </c>
      <c r="P1881">
        <f>IF($O1881="","",IF(INDEX(Suivi!$D:$D,1917)="",INDEX(Suivi!$C:$C,1917),INDEX(Suivi!$D:$D,1917)))</f>
        <v/>
      </c>
      <c r="Q1881">
        <f>IF($O1881="","",INDEX(Suivi!$E:$E,1917))</f>
        <v/>
      </c>
      <c r="R1881">
        <f>IF($O1881="","",INDEX(Suivi!$F:$F,1917))</f>
        <v/>
      </c>
      <c r="S1881">
        <f>IF($O1881="","",INDEX(Suivi!$G:$G,1917))</f>
        <v/>
      </c>
      <c r="T1881">
        <f>IF($O1881="","",IF(INDEX(Dossiers!$F$4:$F$63,36)="","",INDEX(Dossiers!$F$4:$F$63,36)))</f>
        <v/>
      </c>
      <c r="U1881">
        <f>IF($O1881="","",IF(INDEX(Dossiers!$G$4:$G$63,36)="","",INDEX(Dossiers!$G$4:$G$63,36)))</f>
        <v/>
      </c>
      <c r="V1881">
        <f>IF(OR($O1881="",NOT(ISNUMBER($Q1881))),"",$Q1881*1000000+1881)</f>
        <v/>
      </c>
      <c r="W1881" s="29">
        <f>IF($B1881="","",IFERROR(INDEX($U$4:$U$3183,MATCH(SMALL($V$4:$V$3183,1878),$V$4:$V$3183,0)),""))</f>
        <v/>
      </c>
    </row>
    <row r="1882">
      <c r="A1882">
        <f>IFERROR(INDEX($N$4:$N$3183,MATCH(SMALL($V$4:$V$3183,1879),$V$4:$V$3183,0)),"")</f>
        <v/>
      </c>
      <c r="B1882">
        <f>IFERROR(INDEX($O$4:$O$3183,MATCH(SMALL($V$4:$V$3183,1879),$V$4:$V$3183,0)),"")</f>
        <v/>
      </c>
      <c r="C1882">
        <f>IFERROR(INDEX($P$4:$P$3183,MATCH(SMALL($V$4:$V$3183,1879),$V$4:$V$3183,0)),"")</f>
        <v/>
      </c>
      <c r="D1882" s="29">
        <f>IFERROR(INDEX($Q$4:$Q$3183,MATCH(SMALL($V$4:$V$3183,1879),$V$4:$V$3183,0)),"")</f>
        <v/>
      </c>
      <c r="E1882" s="29">
        <f>IFERROR(INDEX($R$4:$R$3183,MATCH(SMALL($V$4:$V$3183,1879),$V$4:$V$3183,0)),"")</f>
        <v/>
      </c>
      <c r="F1882">
        <f>IFERROR(INDEX($S$4:$S$3183,MATCH(SMALL($V$4:$V$3183,1879),$V$4:$V$3183,0)),"")</f>
        <v/>
      </c>
      <c r="I1882" s="29">
        <f>IF($B1882="","",IFERROR(INDEX($U$4:$U$3183,MATCH(SMALL($V$4:$V$3183,1879),$V$4:$V$3183,0)),""))</f>
        <v/>
      </c>
      <c r="J1882">
        <f>IF($B1882="","",IF($D1882&gt;$F$2,"À venir",IF($E1882&lt;$D$2,"Passé","Dans la période")))</f>
        <v/>
      </c>
      <c r="K1882">
        <f>IF(OR($B1882="",NOT(ISNUMBER($D1882))),"",IF(AND($E1882&lt;$D$2,$G1882&lt;&gt;"X",$F1882&lt;&gt;"Réalisé",$F1882&lt;&gt;"Clôturé"),"RETARD",""))</f>
        <v/>
      </c>
      <c r="L1882">
        <f>IF(OR($B1882="",NOT(ISNUMBER($D1882))),"",IF(AND($D1882&gt;=$D$2,$D1882&lt;=$H$2,$G1882&lt;&gt;"X",$F1882&lt;&gt;"Réalisé",$F1882&lt;&gt;"Clôturé"),"≤ 7 j",""))</f>
        <v/>
      </c>
      <c r="M1882" s="29">
        <f>IF($B1882="","",IFERROR(INDEX($T$4:$T$3183,MATCH(SMALL($V$4:$V$3183,1879),$V$4:$V$3183,0)),""))</f>
        <v/>
      </c>
      <c r="O1882">
        <f>IF(INDEX(Suivi!$B:$B,1918)="","",INDEX(Suivi!$B:$B,1918))</f>
        <v/>
      </c>
      <c r="P1882">
        <f>IF($O1882="","",IF(INDEX(Suivi!$D:$D,1918)="",INDEX(Suivi!$C:$C,1918),INDEX(Suivi!$D:$D,1918)))</f>
        <v/>
      </c>
      <c r="Q1882">
        <f>IF($O1882="","",INDEX(Suivi!$E:$E,1918))</f>
        <v/>
      </c>
      <c r="R1882">
        <f>IF($O1882="","",INDEX(Suivi!$F:$F,1918))</f>
        <v/>
      </c>
      <c r="S1882">
        <f>IF($O1882="","",INDEX(Suivi!$G:$G,1918))</f>
        <v/>
      </c>
      <c r="T1882">
        <f>IF($O1882="","",IF(INDEX(Dossiers!$F$4:$F$63,36)="","",INDEX(Dossiers!$F$4:$F$63,36)))</f>
        <v/>
      </c>
      <c r="U1882">
        <f>IF($O1882="","",IF(INDEX(Dossiers!$G$4:$G$63,36)="","",INDEX(Dossiers!$G$4:$G$63,36)))</f>
        <v/>
      </c>
      <c r="V1882">
        <f>IF(OR($O1882="",NOT(ISNUMBER($Q1882))),"",$Q1882*1000000+1882)</f>
        <v/>
      </c>
      <c r="W1882" s="29">
        <f>IF($B1882="","",IFERROR(INDEX($U$4:$U$3183,MATCH(SMALL($V$4:$V$3183,1879),$V$4:$V$3183,0)),""))</f>
        <v/>
      </c>
    </row>
    <row r="1883">
      <c r="A1883">
        <f>IFERROR(INDEX($N$4:$N$3183,MATCH(SMALL($V$4:$V$3183,1880),$V$4:$V$3183,0)),"")</f>
        <v/>
      </c>
      <c r="B1883">
        <f>IFERROR(INDEX($O$4:$O$3183,MATCH(SMALL($V$4:$V$3183,1880),$V$4:$V$3183,0)),"")</f>
        <v/>
      </c>
      <c r="C1883">
        <f>IFERROR(INDEX($P$4:$P$3183,MATCH(SMALL($V$4:$V$3183,1880),$V$4:$V$3183,0)),"")</f>
        <v/>
      </c>
      <c r="D1883" s="29">
        <f>IFERROR(INDEX($Q$4:$Q$3183,MATCH(SMALL($V$4:$V$3183,1880),$V$4:$V$3183,0)),"")</f>
        <v/>
      </c>
      <c r="E1883" s="29">
        <f>IFERROR(INDEX($R$4:$R$3183,MATCH(SMALL($V$4:$V$3183,1880),$V$4:$V$3183,0)),"")</f>
        <v/>
      </c>
      <c r="F1883">
        <f>IFERROR(INDEX($S$4:$S$3183,MATCH(SMALL($V$4:$V$3183,1880),$V$4:$V$3183,0)),"")</f>
        <v/>
      </c>
      <c r="I1883" s="29">
        <f>IF($B1883="","",IFERROR(INDEX($U$4:$U$3183,MATCH(SMALL($V$4:$V$3183,1880),$V$4:$V$3183,0)),""))</f>
        <v/>
      </c>
      <c r="J1883">
        <f>IF($B1883="","",IF($D1883&gt;$F$2,"À venir",IF($E1883&lt;$D$2,"Passé","Dans la période")))</f>
        <v/>
      </c>
      <c r="K1883">
        <f>IF(OR($B1883="",NOT(ISNUMBER($D1883))),"",IF(AND($E1883&lt;$D$2,$G1883&lt;&gt;"X",$F1883&lt;&gt;"Réalisé",$F1883&lt;&gt;"Clôturé"),"RETARD",""))</f>
        <v/>
      </c>
      <c r="L1883">
        <f>IF(OR($B1883="",NOT(ISNUMBER($D1883))),"",IF(AND($D1883&gt;=$D$2,$D1883&lt;=$H$2,$G1883&lt;&gt;"X",$F1883&lt;&gt;"Réalisé",$F1883&lt;&gt;"Clôturé"),"≤ 7 j",""))</f>
        <v/>
      </c>
      <c r="M1883" s="29">
        <f>IF($B1883="","",IFERROR(INDEX($T$4:$T$3183,MATCH(SMALL($V$4:$V$3183,1880),$V$4:$V$3183,0)),""))</f>
        <v/>
      </c>
      <c r="O1883">
        <f>IF(INDEX(Suivi!$B:$B,1919)="","",INDEX(Suivi!$B:$B,1919))</f>
        <v/>
      </c>
      <c r="P1883">
        <f>IF($O1883="","",IF(INDEX(Suivi!$D:$D,1919)="",INDEX(Suivi!$C:$C,1919),INDEX(Suivi!$D:$D,1919)))</f>
        <v/>
      </c>
      <c r="Q1883">
        <f>IF($O1883="","",INDEX(Suivi!$E:$E,1919))</f>
        <v/>
      </c>
      <c r="R1883">
        <f>IF($O1883="","",INDEX(Suivi!$F:$F,1919))</f>
        <v/>
      </c>
      <c r="S1883">
        <f>IF($O1883="","",INDEX(Suivi!$G:$G,1919))</f>
        <v/>
      </c>
      <c r="T1883">
        <f>IF($O1883="","",IF(INDEX(Dossiers!$F$4:$F$63,36)="","",INDEX(Dossiers!$F$4:$F$63,36)))</f>
        <v/>
      </c>
      <c r="U1883">
        <f>IF($O1883="","",IF(INDEX(Dossiers!$G$4:$G$63,36)="","",INDEX(Dossiers!$G$4:$G$63,36)))</f>
        <v/>
      </c>
      <c r="V1883">
        <f>IF(OR($O1883="",NOT(ISNUMBER($Q1883))),"",$Q1883*1000000+1883)</f>
        <v/>
      </c>
      <c r="W1883" s="29">
        <f>IF($B1883="","",IFERROR(INDEX($U$4:$U$3183,MATCH(SMALL($V$4:$V$3183,1880),$V$4:$V$3183,0)),""))</f>
        <v/>
      </c>
    </row>
    <row r="1884">
      <c r="A1884">
        <f>IFERROR(INDEX($N$4:$N$3183,MATCH(SMALL($V$4:$V$3183,1881),$V$4:$V$3183,0)),"")</f>
        <v/>
      </c>
      <c r="B1884">
        <f>IFERROR(INDEX($O$4:$O$3183,MATCH(SMALL($V$4:$V$3183,1881),$V$4:$V$3183,0)),"")</f>
        <v/>
      </c>
      <c r="C1884">
        <f>IFERROR(INDEX($P$4:$P$3183,MATCH(SMALL($V$4:$V$3183,1881),$V$4:$V$3183,0)),"")</f>
        <v/>
      </c>
      <c r="D1884" s="29">
        <f>IFERROR(INDEX($Q$4:$Q$3183,MATCH(SMALL($V$4:$V$3183,1881),$V$4:$V$3183,0)),"")</f>
        <v/>
      </c>
      <c r="E1884" s="29">
        <f>IFERROR(INDEX($R$4:$R$3183,MATCH(SMALL($V$4:$V$3183,1881),$V$4:$V$3183,0)),"")</f>
        <v/>
      </c>
      <c r="F1884">
        <f>IFERROR(INDEX($S$4:$S$3183,MATCH(SMALL($V$4:$V$3183,1881),$V$4:$V$3183,0)),"")</f>
        <v/>
      </c>
      <c r="I1884" s="29">
        <f>IF($B1884="","",IFERROR(INDEX($U$4:$U$3183,MATCH(SMALL($V$4:$V$3183,1881),$V$4:$V$3183,0)),""))</f>
        <v/>
      </c>
      <c r="J1884">
        <f>IF($B1884="","",IF($D1884&gt;$F$2,"À venir",IF($E1884&lt;$D$2,"Passé","Dans la période")))</f>
        <v/>
      </c>
      <c r="K1884">
        <f>IF(OR($B1884="",NOT(ISNUMBER($D1884))),"",IF(AND($E1884&lt;$D$2,$G1884&lt;&gt;"X",$F1884&lt;&gt;"Réalisé",$F1884&lt;&gt;"Clôturé"),"RETARD",""))</f>
        <v/>
      </c>
      <c r="L1884">
        <f>IF(OR($B1884="",NOT(ISNUMBER($D1884))),"",IF(AND($D1884&gt;=$D$2,$D1884&lt;=$H$2,$G1884&lt;&gt;"X",$F1884&lt;&gt;"Réalisé",$F1884&lt;&gt;"Clôturé"),"≤ 7 j",""))</f>
        <v/>
      </c>
      <c r="M1884" s="29">
        <f>IF($B1884="","",IFERROR(INDEX($T$4:$T$3183,MATCH(SMALL($V$4:$V$3183,1881),$V$4:$V$3183,0)),""))</f>
        <v/>
      </c>
      <c r="O1884">
        <f>IF(INDEX(Suivi!$B:$B,1920)="","",INDEX(Suivi!$B:$B,1920))</f>
        <v/>
      </c>
      <c r="P1884">
        <f>IF($O1884="","",IF(INDEX(Suivi!$D:$D,1920)="",INDEX(Suivi!$C:$C,1920),INDEX(Suivi!$D:$D,1920)))</f>
        <v/>
      </c>
      <c r="Q1884">
        <f>IF($O1884="","",INDEX(Suivi!$E:$E,1920))</f>
        <v/>
      </c>
      <c r="R1884">
        <f>IF($O1884="","",INDEX(Suivi!$F:$F,1920))</f>
        <v/>
      </c>
      <c r="S1884">
        <f>IF($O1884="","",INDEX(Suivi!$G:$G,1920))</f>
        <v/>
      </c>
      <c r="T1884">
        <f>IF($O1884="","",IF(INDEX(Dossiers!$F$4:$F$63,36)="","",INDEX(Dossiers!$F$4:$F$63,36)))</f>
        <v/>
      </c>
      <c r="U1884">
        <f>IF($O1884="","",IF(INDEX(Dossiers!$G$4:$G$63,36)="","",INDEX(Dossiers!$G$4:$G$63,36)))</f>
        <v/>
      </c>
      <c r="V1884">
        <f>IF(OR($O1884="",NOT(ISNUMBER($Q1884))),"",$Q1884*1000000+1884)</f>
        <v/>
      </c>
      <c r="W1884" s="29">
        <f>IF($B1884="","",IFERROR(INDEX($U$4:$U$3183,MATCH(SMALL($V$4:$V$3183,1881),$V$4:$V$3183,0)),""))</f>
        <v/>
      </c>
    </row>
    <row r="1885">
      <c r="A1885">
        <f>IFERROR(INDEX($N$4:$N$3183,MATCH(SMALL($V$4:$V$3183,1882),$V$4:$V$3183,0)),"")</f>
        <v/>
      </c>
      <c r="B1885">
        <f>IFERROR(INDEX($O$4:$O$3183,MATCH(SMALL($V$4:$V$3183,1882),$V$4:$V$3183,0)),"")</f>
        <v/>
      </c>
      <c r="C1885">
        <f>IFERROR(INDEX($P$4:$P$3183,MATCH(SMALL($V$4:$V$3183,1882),$V$4:$V$3183,0)),"")</f>
        <v/>
      </c>
      <c r="D1885" s="29">
        <f>IFERROR(INDEX($Q$4:$Q$3183,MATCH(SMALL($V$4:$V$3183,1882),$V$4:$V$3183,0)),"")</f>
        <v/>
      </c>
      <c r="E1885" s="29">
        <f>IFERROR(INDEX($R$4:$R$3183,MATCH(SMALL($V$4:$V$3183,1882),$V$4:$V$3183,0)),"")</f>
        <v/>
      </c>
      <c r="F1885">
        <f>IFERROR(INDEX($S$4:$S$3183,MATCH(SMALL($V$4:$V$3183,1882),$V$4:$V$3183,0)),"")</f>
        <v/>
      </c>
      <c r="I1885" s="29">
        <f>IF($B1885="","",IFERROR(INDEX($U$4:$U$3183,MATCH(SMALL($V$4:$V$3183,1882),$V$4:$V$3183,0)),""))</f>
        <v/>
      </c>
      <c r="J1885">
        <f>IF($B1885="","",IF($D1885&gt;$F$2,"À venir",IF($E1885&lt;$D$2,"Passé","Dans la période")))</f>
        <v/>
      </c>
      <c r="K1885">
        <f>IF(OR($B1885="",NOT(ISNUMBER($D1885))),"",IF(AND($E1885&lt;$D$2,$G1885&lt;&gt;"X",$F1885&lt;&gt;"Réalisé",$F1885&lt;&gt;"Clôturé"),"RETARD",""))</f>
        <v/>
      </c>
      <c r="L1885">
        <f>IF(OR($B1885="",NOT(ISNUMBER($D1885))),"",IF(AND($D1885&gt;=$D$2,$D1885&lt;=$H$2,$G1885&lt;&gt;"X",$F1885&lt;&gt;"Réalisé",$F1885&lt;&gt;"Clôturé"),"≤ 7 j",""))</f>
        <v/>
      </c>
      <c r="M1885" s="29">
        <f>IF($B1885="","",IFERROR(INDEX($T$4:$T$3183,MATCH(SMALL($V$4:$V$3183,1882),$V$4:$V$3183,0)),""))</f>
        <v/>
      </c>
      <c r="O1885">
        <f>IF(INDEX(Suivi!$B:$B,1921)="","",INDEX(Suivi!$B:$B,1921))</f>
        <v/>
      </c>
      <c r="P1885">
        <f>IF($O1885="","",IF(INDEX(Suivi!$D:$D,1921)="",INDEX(Suivi!$C:$C,1921),INDEX(Suivi!$D:$D,1921)))</f>
        <v/>
      </c>
      <c r="Q1885">
        <f>IF($O1885="","",INDEX(Suivi!$E:$E,1921))</f>
        <v/>
      </c>
      <c r="R1885">
        <f>IF($O1885="","",INDEX(Suivi!$F:$F,1921))</f>
        <v/>
      </c>
      <c r="S1885">
        <f>IF($O1885="","",INDEX(Suivi!$G:$G,1921))</f>
        <v/>
      </c>
      <c r="T1885">
        <f>IF($O1885="","",IF(INDEX(Dossiers!$F$4:$F$63,36)="","",INDEX(Dossiers!$F$4:$F$63,36)))</f>
        <v/>
      </c>
      <c r="U1885">
        <f>IF($O1885="","",IF(INDEX(Dossiers!$G$4:$G$63,36)="","",INDEX(Dossiers!$G$4:$G$63,36)))</f>
        <v/>
      </c>
      <c r="V1885">
        <f>IF(OR($O1885="",NOT(ISNUMBER($Q1885))),"",$Q1885*1000000+1885)</f>
        <v/>
      </c>
      <c r="W1885" s="29">
        <f>IF($B1885="","",IFERROR(INDEX($U$4:$U$3183,MATCH(SMALL($V$4:$V$3183,1882),$V$4:$V$3183,0)),""))</f>
        <v/>
      </c>
    </row>
    <row r="1886">
      <c r="A1886">
        <f>IFERROR(INDEX($N$4:$N$3183,MATCH(SMALL($V$4:$V$3183,1883),$V$4:$V$3183,0)),"")</f>
        <v/>
      </c>
      <c r="B1886">
        <f>IFERROR(INDEX($O$4:$O$3183,MATCH(SMALL($V$4:$V$3183,1883),$V$4:$V$3183,0)),"")</f>
        <v/>
      </c>
      <c r="C1886">
        <f>IFERROR(INDEX($P$4:$P$3183,MATCH(SMALL($V$4:$V$3183,1883),$V$4:$V$3183,0)),"")</f>
        <v/>
      </c>
      <c r="D1886" s="29">
        <f>IFERROR(INDEX($Q$4:$Q$3183,MATCH(SMALL($V$4:$V$3183,1883),$V$4:$V$3183,0)),"")</f>
        <v/>
      </c>
      <c r="E1886" s="29">
        <f>IFERROR(INDEX($R$4:$R$3183,MATCH(SMALL($V$4:$V$3183,1883),$V$4:$V$3183,0)),"")</f>
        <v/>
      </c>
      <c r="F1886">
        <f>IFERROR(INDEX($S$4:$S$3183,MATCH(SMALL($V$4:$V$3183,1883),$V$4:$V$3183,0)),"")</f>
        <v/>
      </c>
      <c r="I1886" s="29">
        <f>IF($B1886="","",IFERROR(INDEX($U$4:$U$3183,MATCH(SMALL($V$4:$V$3183,1883),$V$4:$V$3183,0)),""))</f>
        <v/>
      </c>
      <c r="J1886">
        <f>IF($B1886="","",IF($D1886&gt;$F$2,"À venir",IF($E1886&lt;$D$2,"Passé","Dans la période")))</f>
        <v/>
      </c>
      <c r="K1886">
        <f>IF(OR($B1886="",NOT(ISNUMBER($D1886))),"",IF(AND($E1886&lt;$D$2,$G1886&lt;&gt;"X",$F1886&lt;&gt;"Réalisé",$F1886&lt;&gt;"Clôturé"),"RETARD",""))</f>
        <v/>
      </c>
      <c r="L1886">
        <f>IF(OR($B1886="",NOT(ISNUMBER($D1886))),"",IF(AND($D1886&gt;=$D$2,$D1886&lt;=$H$2,$G1886&lt;&gt;"X",$F1886&lt;&gt;"Réalisé",$F1886&lt;&gt;"Clôturé"),"≤ 7 j",""))</f>
        <v/>
      </c>
      <c r="M1886" s="29">
        <f>IF($B1886="","",IFERROR(INDEX($T$4:$T$3183,MATCH(SMALL($V$4:$V$3183,1883),$V$4:$V$3183,0)),""))</f>
        <v/>
      </c>
      <c r="O1886">
        <f>IF(INDEX(Suivi!$B:$B,1922)="","",INDEX(Suivi!$B:$B,1922))</f>
        <v/>
      </c>
      <c r="P1886">
        <f>IF($O1886="","",IF(INDEX(Suivi!$D:$D,1922)="",INDEX(Suivi!$C:$C,1922),INDEX(Suivi!$D:$D,1922)))</f>
        <v/>
      </c>
      <c r="Q1886">
        <f>IF($O1886="","",INDEX(Suivi!$E:$E,1922))</f>
        <v/>
      </c>
      <c r="R1886">
        <f>IF($O1886="","",INDEX(Suivi!$F:$F,1922))</f>
        <v/>
      </c>
      <c r="S1886">
        <f>IF($O1886="","",INDEX(Suivi!$G:$G,1922))</f>
        <v/>
      </c>
      <c r="T1886">
        <f>IF($O1886="","",IF(INDEX(Dossiers!$F$4:$F$63,36)="","",INDEX(Dossiers!$F$4:$F$63,36)))</f>
        <v/>
      </c>
      <c r="U1886">
        <f>IF($O1886="","",IF(INDEX(Dossiers!$G$4:$G$63,36)="","",INDEX(Dossiers!$G$4:$G$63,36)))</f>
        <v/>
      </c>
      <c r="V1886">
        <f>IF(OR($O1886="",NOT(ISNUMBER($Q1886))),"",$Q1886*1000000+1886)</f>
        <v/>
      </c>
      <c r="W1886" s="29">
        <f>IF($B1886="","",IFERROR(INDEX($U$4:$U$3183,MATCH(SMALL($V$4:$V$3183,1883),$V$4:$V$3183,0)),""))</f>
        <v/>
      </c>
    </row>
    <row r="1887">
      <c r="A1887">
        <f>IFERROR(INDEX($N$4:$N$3183,MATCH(SMALL($V$4:$V$3183,1884),$V$4:$V$3183,0)),"")</f>
        <v/>
      </c>
      <c r="B1887">
        <f>IFERROR(INDEX($O$4:$O$3183,MATCH(SMALL($V$4:$V$3183,1884),$V$4:$V$3183,0)),"")</f>
        <v/>
      </c>
      <c r="C1887">
        <f>IFERROR(INDEX($P$4:$P$3183,MATCH(SMALL($V$4:$V$3183,1884),$V$4:$V$3183,0)),"")</f>
        <v/>
      </c>
      <c r="D1887" s="29">
        <f>IFERROR(INDEX($Q$4:$Q$3183,MATCH(SMALL($V$4:$V$3183,1884),$V$4:$V$3183,0)),"")</f>
        <v/>
      </c>
      <c r="E1887" s="29">
        <f>IFERROR(INDEX($R$4:$R$3183,MATCH(SMALL($V$4:$V$3183,1884),$V$4:$V$3183,0)),"")</f>
        <v/>
      </c>
      <c r="F1887">
        <f>IFERROR(INDEX($S$4:$S$3183,MATCH(SMALL($V$4:$V$3183,1884),$V$4:$V$3183,0)),"")</f>
        <v/>
      </c>
      <c r="I1887" s="29">
        <f>IF($B1887="","",IFERROR(INDEX($U$4:$U$3183,MATCH(SMALL($V$4:$V$3183,1884),$V$4:$V$3183,0)),""))</f>
        <v/>
      </c>
      <c r="J1887">
        <f>IF($B1887="","",IF($D1887&gt;$F$2,"À venir",IF($E1887&lt;$D$2,"Passé","Dans la période")))</f>
        <v/>
      </c>
      <c r="K1887">
        <f>IF(OR($B1887="",NOT(ISNUMBER($D1887))),"",IF(AND($E1887&lt;$D$2,$G1887&lt;&gt;"X",$F1887&lt;&gt;"Réalisé",$F1887&lt;&gt;"Clôturé"),"RETARD",""))</f>
        <v/>
      </c>
      <c r="L1887">
        <f>IF(OR($B1887="",NOT(ISNUMBER($D1887))),"",IF(AND($D1887&gt;=$D$2,$D1887&lt;=$H$2,$G1887&lt;&gt;"X",$F1887&lt;&gt;"Réalisé",$F1887&lt;&gt;"Clôturé"),"≤ 7 j",""))</f>
        <v/>
      </c>
      <c r="M1887" s="29">
        <f>IF($B1887="","",IFERROR(INDEX($T$4:$T$3183,MATCH(SMALL($V$4:$V$3183,1884),$V$4:$V$3183,0)),""))</f>
        <v/>
      </c>
      <c r="O1887">
        <f>IF(INDEX(Suivi!$B:$B,1923)="","",INDEX(Suivi!$B:$B,1923))</f>
        <v/>
      </c>
      <c r="P1887">
        <f>IF($O1887="","",IF(INDEX(Suivi!$D:$D,1923)="",INDEX(Suivi!$C:$C,1923),INDEX(Suivi!$D:$D,1923)))</f>
        <v/>
      </c>
      <c r="Q1887">
        <f>IF($O1887="","",INDEX(Suivi!$E:$E,1923))</f>
        <v/>
      </c>
      <c r="R1887">
        <f>IF($O1887="","",INDEX(Suivi!$F:$F,1923))</f>
        <v/>
      </c>
      <c r="S1887">
        <f>IF($O1887="","",INDEX(Suivi!$G:$G,1923))</f>
        <v/>
      </c>
      <c r="T1887">
        <f>IF($O1887="","",IF(INDEX(Dossiers!$F$4:$F$63,36)="","",INDEX(Dossiers!$F$4:$F$63,36)))</f>
        <v/>
      </c>
      <c r="U1887">
        <f>IF($O1887="","",IF(INDEX(Dossiers!$G$4:$G$63,36)="","",INDEX(Dossiers!$G$4:$G$63,36)))</f>
        <v/>
      </c>
      <c r="V1887">
        <f>IF(OR($O1887="",NOT(ISNUMBER($Q1887))),"",$Q1887*1000000+1887)</f>
        <v/>
      </c>
      <c r="W1887" s="29">
        <f>IF($B1887="","",IFERROR(INDEX($U$4:$U$3183,MATCH(SMALL($V$4:$V$3183,1884),$V$4:$V$3183,0)),""))</f>
        <v/>
      </c>
    </row>
    <row r="1888">
      <c r="A1888">
        <f>IFERROR(INDEX($N$4:$N$3183,MATCH(SMALL($V$4:$V$3183,1885),$V$4:$V$3183,0)),"")</f>
        <v/>
      </c>
      <c r="B1888">
        <f>IFERROR(INDEX($O$4:$O$3183,MATCH(SMALL($V$4:$V$3183,1885),$V$4:$V$3183,0)),"")</f>
        <v/>
      </c>
      <c r="C1888">
        <f>IFERROR(INDEX($P$4:$P$3183,MATCH(SMALL($V$4:$V$3183,1885),$V$4:$V$3183,0)),"")</f>
        <v/>
      </c>
      <c r="D1888" s="29">
        <f>IFERROR(INDEX($Q$4:$Q$3183,MATCH(SMALL($V$4:$V$3183,1885),$V$4:$V$3183,0)),"")</f>
        <v/>
      </c>
      <c r="E1888" s="29">
        <f>IFERROR(INDEX($R$4:$R$3183,MATCH(SMALL($V$4:$V$3183,1885),$V$4:$V$3183,0)),"")</f>
        <v/>
      </c>
      <c r="F1888">
        <f>IFERROR(INDEX($S$4:$S$3183,MATCH(SMALL($V$4:$V$3183,1885),$V$4:$V$3183,0)),"")</f>
        <v/>
      </c>
      <c r="I1888" s="29">
        <f>IF($B1888="","",IFERROR(INDEX($U$4:$U$3183,MATCH(SMALL($V$4:$V$3183,1885),$V$4:$V$3183,0)),""))</f>
        <v/>
      </c>
      <c r="J1888">
        <f>IF($B1888="","",IF($D1888&gt;$F$2,"À venir",IF($E1888&lt;$D$2,"Passé","Dans la période")))</f>
        <v/>
      </c>
      <c r="K1888">
        <f>IF(OR($B1888="",NOT(ISNUMBER($D1888))),"",IF(AND($E1888&lt;$D$2,$G1888&lt;&gt;"X",$F1888&lt;&gt;"Réalisé",$F1888&lt;&gt;"Clôturé"),"RETARD",""))</f>
        <v/>
      </c>
      <c r="L1888">
        <f>IF(OR($B1888="",NOT(ISNUMBER($D1888))),"",IF(AND($D1888&gt;=$D$2,$D1888&lt;=$H$2,$G1888&lt;&gt;"X",$F1888&lt;&gt;"Réalisé",$F1888&lt;&gt;"Clôturé"),"≤ 7 j",""))</f>
        <v/>
      </c>
      <c r="M1888" s="29">
        <f>IF($B1888="","",IFERROR(INDEX($T$4:$T$3183,MATCH(SMALL($V$4:$V$3183,1885),$V$4:$V$3183,0)),""))</f>
        <v/>
      </c>
      <c r="O1888">
        <f>IF(INDEX(Suivi!$B:$B,1924)="","",INDEX(Suivi!$B:$B,1924))</f>
        <v/>
      </c>
      <c r="P1888">
        <f>IF($O1888="","",IF(INDEX(Suivi!$D:$D,1924)="",INDEX(Suivi!$C:$C,1924),INDEX(Suivi!$D:$D,1924)))</f>
        <v/>
      </c>
      <c r="Q1888">
        <f>IF($O1888="","",INDEX(Suivi!$E:$E,1924))</f>
        <v/>
      </c>
      <c r="R1888">
        <f>IF($O1888="","",INDEX(Suivi!$F:$F,1924))</f>
        <v/>
      </c>
      <c r="S1888">
        <f>IF($O1888="","",INDEX(Suivi!$G:$G,1924))</f>
        <v/>
      </c>
      <c r="T1888">
        <f>IF($O1888="","",IF(INDEX(Dossiers!$F$4:$F$63,36)="","",INDEX(Dossiers!$F$4:$F$63,36)))</f>
        <v/>
      </c>
      <c r="U1888">
        <f>IF($O1888="","",IF(INDEX(Dossiers!$G$4:$G$63,36)="","",INDEX(Dossiers!$G$4:$G$63,36)))</f>
        <v/>
      </c>
      <c r="V1888">
        <f>IF(OR($O1888="",NOT(ISNUMBER($Q1888))),"",$Q1888*1000000+1888)</f>
        <v/>
      </c>
      <c r="W1888" s="29">
        <f>IF($B1888="","",IFERROR(INDEX($U$4:$U$3183,MATCH(SMALL($V$4:$V$3183,1885),$V$4:$V$3183,0)),""))</f>
        <v/>
      </c>
    </row>
    <row r="1889">
      <c r="A1889">
        <f>IFERROR(INDEX($N$4:$N$3183,MATCH(SMALL($V$4:$V$3183,1886),$V$4:$V$3183,0)),"")</f>
        <v/>
      </c>
      <c r="B1889">
        <f>IFERROR(INDEX($O$4:$O$3183,MATCH(SMALL($V$4:$V$3183,1886),$V$4:$V$3183,0)),"")</f>
        <v/>
      </c>
      <c r="C1889">
        <f>IFERROR(INDEX($P$4:$P$3183,MATCH(SMALL($V$4:$V$3183,1886),$V$4:$V$3183,0)),"")</f>
        <v/>
      </c>
      <c r="D1889" s="29">
        <f>IFERROR(INDEX($Q$4:$Q$3183,MATCH(SMALL($V$4:$V$3183,1886),$V$4:$V$3183,0)),"")</f>
        <v/>
      </c>
      <c r="E1889" s="29">
        <f>IFERROR(INDEX($R$4:$R$3183,MATCH(SMALL($V$4:$V$3183,1886),$V$4:$V$3183,0)),"")</f>
        <v/>
      </c>
      <c r="F1889">
        <f>IFERROR(INDEX($S$4:$S$3183,MATCH(SMALL($V$4:$V$3183,1886),$V$4:$V$3183,0)),"")</f>
        <v/>
      </c>
      <c r="I1889" s="29">
        <f>IF($B1889="","",IFERROR(INDEX($U$4:$U$3183,MATCH(SMALL($V$4:$V$3183,1886),$V$4:$V$3183,0)),""))</f>
        <v/>
      </c>
      <c r="J1889">
        <f>IF($B1889="","",IF($D1889&gt;$F$2,"À venir",IF($E1889&lt;$D$2,"Passé","Dans la période")))</f>
        <v/>
      </c>
      <c r="K1889">
        <f>IF(OR($B1889="",NOT(ISNUMBER($D1889))),"",IF(AND($E1889&lt;$D$2,$G1889&lt;&gt;"X",$F1889&lt;&gt;"Réalisé",$F1889&lt;&gt;"Clôturé"),"RETARD",""))</f>
        <v/>
      </c>
      <c r="L1889">
        <f>IF(OR($B1889="",NOT(ISNUMBER($D1889))),"",IF(AND($D1889&gt;=$D$2,$D1889&lt;=$H$2,$G1889&lt;&gt;"X",$F1889&lt;&gt;"Réalisé",$F1889&lt;&gt;"Clôturé"),"≤ 7 j",""))</f>
        <v/>
      </c>
      <c r="M1889" s="29">
        <f>IF($B1889="","",IFERROR(INDEX($T$4:$T$3183,MATCH(SMALL($V$4:$V$3183,1886),$V$4:$V$3183,0)),""))</f>
        <v/>
      </c>
      <c r="O1889">
        <f>IF(INDEX(Suivi!$B:$B,1925)="","",INDEX(Suivi!$B:$B,1925))</f>
        <v/>
      </c>
      <c r="P1889">
        <f>IF($O1889="","",IF(INDEX(Suivi!$D:$D,1925)="",INDEX(Suivi!$C:$C,1925),INDEX(Suivi!$D:$D,1925)))</f>
        <v/>
      </c>
      <c r="Q1889">
        <f>IF($O1889="","",INDEX(Suivi!$E:$E,1925))</f>
        <v/>
      </c>
      <c r="R1889">
        <f>IF($O1889="","",INDEX(Suivi!$F:$F,1925))</f>
        <v/>
      </c>
      <c r="S1889">
        <f>IF($O1889="","",INDEX(Suivi!$G:$G,1925))</f>
        <v/>
      </c>
      <c r="T1889">
        <f>IF($O1889="","",IF(INDEX(Dossiers!$F$4:$F$63,36)="","",INDEX(Dossiers!$F$4:$F$63,36)))</f>
        <v/>
      </c>
      <c r="U1889">
        <f>IF($O1889="","",IF(INDEX(Dossiers!$G$4:$G$63,36)="","",INDEX(Dossiers!$G$4:$G$63,36)))</f>
        <v/>
      </c>
      <c r="V1889">
        <f>IF(OR($O1889="",NOT(ISNUMBER($Q1889))),"",$Q1889*1000000+1889)</f>
        <v/>
      </c>
      <c r="W1889" s="29">
        <f>IF($B1889="","",IFERROR(INDEX($U$4:$U$3183,MATCH(SMALL($V$4:$V$3183,1886),$V$4:$V$3183,0)),""))</f>
        <v/>
      </c>
    </row>
    <row r="1890">
      <c r="A1890">
        <f>IFERROR(INDEX($N$4:$N$3183,MATCH(SMALL($V$4:$V$3183,1887),$V$4:$V$3183,0)),"")</f>
        <v/>
      </c>
      <c r="B1890">
        <f>IFERROR(INDEX($O$4:$O$3183,MATCH(SMALL($V$4:$V$3183,1887),$V$4:$V$3183,0)),"")</f>
        <v/>
      </c>
      <c r="C1890">
        <f>IFERROR(INDEX($P$4:$P$3183,MATCH(SMALL($V$4:$V$3183,1887),$V$4:$V$3183,0)),"")</f>
        <v/>
      </c>
      <c r="D1890" s="29">
        <f>IFERROR(INDEX($Q$4:$Q$3183,MATCH(SMALL($V$4:$V$3183,1887),$V$4:$V$3183,0)),"")</f>
        <v/>
      </c>
      <c r="E1890" s="29">
        <f>IFERROR(INDEX($R$4:$R$3183,MATCH(SMALL($V$4:$V$3183,1887),$V$4:$V$3183,0)),"")</f>
        <v/>
      </c>
      <c r="F1890">
        <f>IFERROR(INDEX($S$4:$S$3183,MATCH(SMALL($V$4:$V$3183,1887),$V$4:$V$3183,0)),"")</f>
        <v/>
      </c>
      <c r="I1890" s="29">
        <f>IF($B1890="","",IFERROR(INDEX($U$4:$U$3183,MATCH(SMALL($V$4:$V$3183,1887),$V$4:$V$3183,0)),""))</f>
        <v/>
      </c>
      <c r="J1890">
        <f>IF($B1890="","",IF($D1890&gt;$F$2,"À venir",IF($E1890&lt;$D$2,"Passé","Dans la période")))</f>
        <v/>
      </c>
      <c r="K1890">
        <f>IF(OR($B1890="",NOT(ISNUMBER($D1890))),"",IF(AND($E1890&lt;$D$2,$G1890&lt;&gt;"X",$F1890&lt;&gt;"Réalisé",$F1890&lt;&gt;"Clôturé"),"RETARD",""))</f>
        <v/>
      </c>
      <c r="L1890">
        <f>IF(OR($B1890="",NOT(ISNUMBER($D1890))),"",IF(AND($D1890&gt;=$D$2,$D1890&lt;=$H$2,$G1890&lt;&gt;"X",$F1890&lt;&gt;"Réalisé",$F1890&lt;&gt;"Clôturé"),"≤ 7 j",""))</f>
        <v/>
      </c>
      <c r="M1890" s="29">
        <f>IF($B1890="","",IFERROR(INDEX($T$4:$T$3183,MATCH(SMALL($V$4:$V$3183,1887),$V$4:$V$3183,0)),""))</f>
        <v/>
      </c>
      <c r="O1890">
        <f>IF(INDEX(Suivi!$B:$B,1926)="","",INDEX(Suivi!$B:$B,1926))</f>
        <v/>
      </c>
      <c r="P1890">
        <f>IF($O1890="","",IF(INDEX(Suivi!$D:$D,1926)="",INDEX(Suivi!$C:$C,1926),INDEX(Suivi!$D:$D,1926)))</f>
        <v/>
      </c>
      <c r="Q1890">
        <f>IF($O1890="","",INDEX(Suivi!$E:$E,1926))</f>
        <v/>
      </c>
      <c r="R1890">
        <f>IF($O1890="","",INDEX(Suivi!$F:$F,1926))</f>
        <v/>
      </c>
      <c r="S1890">
        <f>IF($O1890="","",INDEX(Suivi!$G:$G,1926))</f>
        <v/>
      </c>
      <c r="T1890">
        <f>IF($O1890="","",IF(INDEX(Dossiers!$F$4:$F$63,36)="","",INDEX(Dossiers!$F$4:$F$63,36)))</f>
        <v/>
      </c>
      <c r="U1890">
        <f>IF($O1890="","",IF(INDEX(Dossiers!$G$4:$G$63,36)="","",INDEX(Dossiers!$G$4:$G$63,36)))</f>
        <v/>
      </c>
      <c r="V1890">
        <f>IF(OR($O1890="",NOT(ISNUMBER($Q1890))),"",$Q1890*1000000+1890)</f>
        <v/>
      </c>
      <c r="W1890" s="29">
        <f>IF($B1890="","",IFERROR(INDEX($U$4:$U$3183,MATCH(SMALL($V$4:$V$3183,1887),$V$4:$V$3183,0)),""))</f>
        <v/>
      </c>
    </row>
    <row r="1891">
      <c r="A1891">
        <f>IFERROR(INDEX($N$4:$N$3183,MATCH(SMALL($V$4:$V$3183,1888),$V$4:$V$3183,0)),"")</f>
        <v/>
      </c>
      <c r="B1891">
        <f>IFERROR(INDEX($O$4:$O$3183,MATCH(SMALL($V$4:$V$3183,1888),$V$4:$V$3183,0)),"")</f>
        <v/>
      </c>
      <c r="C1891">
        <f>IFERROR(INDEX($P$4:$P$3183,MATCH(SMALL($V$4:$V$3183,1888),$V$4:$V$3183,0)),"")</f>
        <v/>
      </c>
      <c r="D1891" s="29">
        <f>IFERROR(INDEX($Q$4:$Q$3183,MATCH(SMALL($V$4:$V$3183,1888),$V$4:$V$3183,0)),"")</f>
        <v/>
      </c>
      <c r="E1891" s="29">
        <f>IFERROR(INDEX($R$4:$R$3183,MATCH(SMALL($V$4:$V$3183,1888),$V$4:$V$3183,0)),"")</f>
        <v/>
      </c>
      <c r="F1891">
        <f>IFERROR(INDEX($S$4:$S$3183,MATCH(SMALL($V$4:$V$3183,1888),$V$4:$V$3183,0)),"")</f>
        <v/>
      </c>
      <c r="I1891" s="29">
        <f>IF($B1891="","",IFERROR(INDEX($U$4:$U$3183,MATCH(SMALL($V$4:$V$3183,1888),$V$4:$V$3183,0)),""))</f>
        <v/>
      </c>
      <c r="J1891">
        <f>IF($B1891="","",IF($D1891&gt;$F$2,"À venir",IF($E1891&lt;$D$2,"Passé","Dans la période")))</f>
        <v/>
      </c>
      <c r="K1891">
        <f>IF(OR($B1891="",NOT(ISNUMBER($D1891))),"",IF(AND($E1891&lt;$D$2,$G1891&lt;&gt;"X",$F1891&lt;&gt;"Réalisé",$F1891&lt;&gt;"Clôturé"),"RETARD",""))</f>
        <v/>
      </c>
      <c r="L1891">
        <f>IF(OR($B1891="",NOT(ISNUMBER($D1891))),"",IF(AND($D1891&gt;=$D$2,$D1891&lt;=$H$2,$G1891&lt;&gt;"X",$F1891&lt;&gt;"Réalisé",$F1891&lt;&gt;"Clôturé"),"≤ 7 j",""))</f>
        <v/>
      </c>
      <c r="M1891" s="29">
        <f>IF($B1891="","",IFERROR(INDEX($T$4:$T$3183,MATCH(SMALL($V$4:$V$3183,1888),$V$4:$V$3183,0)),""))</f>
        <v/>
      </c>
      <c r="O1891">
        <f>IF(INDEX(Suivi!$B:$B,1927)="","",INDEX(Suivi!$B:$B,1927))</f>
        <v/>
      </c>
      <c r="P1891">
        <f>IF($O1891="","",IF(INDEX(Suivi!$D:$D,1927)="",INDEX(Suivi!$C:$C,1927),INDEX(Suivi!$D:$D,1927)))</f>
        <v/>
      </c>
      <c r="Q1891">
        <f>IF($O1891="","",INDEX(Suivi!$E:$E,1927))</f>
        <v/>
      </c>
      <c r="R1891">
        <f>IF($O1891="","",INDEX(Suivi!$F:$F,1927))</f>
        <v/>
      </c>
      <c r="S1891">
        <f>IF($O1891="","",INDEX(Suivi!$G:$G,1927))</f>
        <v/>
      </c>
      <c r="T1891">
        <f>IF($O1891="","",IF(INDEX(Dossiers!$F$4:$F$63,36)="","",INDEX(Dossiers!$F$4:$F$63,36)))</f>
        <v/>
      </c>
      <c r="U1891">
        <f>IF($O1891="","",IF(INDEX(Dossiers!$G$4:$G$63,36)="","",INDEX(Dossiers!$G$4:$G$63,36)))</f>
        <v/>
      </c>
      <c r="V1891">
        <f>IF(OR($O1891="",NOT(ISNUMBER($Q1891))),"",$Q1891*1000000+1891)</f>
        <v/>
      </c>
      <c r="W1891" s="29">
        <f>IF($B1891="","",IFERROR(INDEX($U$4:$U$3183,MATCH(SMALL($V$4:$V$3183,1888),$V$4:$V$3183,0)),""))</f>
        <v/>
      </c>
    </row>
    <row r="1892">
      <c r="A1892">
        <f>IFERROR(INDEX($N$4:$N$3183,MATCH(SMALL($V$4:$V$3183,1889),$V$4:$V$3183,0)),"")</f>
        <v/>
      </c>
      <c r="B1892">
        <f>IFERROR(INDEX($O$4:$O$3183,MATCH(SMALL($V$4:$V$3183,1889),$V$4:$V$3183,0)),"")</f>
        <v/>
      </c>
      <c r="C1892">
        <f>IFERROR(INDEX($P$4:$P$3183,MATCH(SMALL($V$4:$V$3183,1889),$V$4:$V$3183,0)),"")</f>
        <v/>
      </c>
      <c r="D1892" s="29">
        <f>IFERROR(INDEX($Q$4:$Q$3183,MATCH(SMALL($V$4:$V$3183,1889),$V$4:$V$3183,0)),"")</f>
        <v/>
      </c>
      <c r="E1892" s="29">
        <f>IFERROR(INDEX($R$4:$R$3183,MATCH(SMALL($V$4:$V$3183,1889),$V$4:$V$3183,0)),"")</f>
        <v/>
      </c>
      <c r="F1892">
        <f>IFERROR(INDEX($S$4:$S$3183,MATCH(SMALL($V$4:$V$3183,1889),$V$4:$V$3183,0)),"")</f>
        <v/>
      </c>
      <c r="I1892" s="29">
        <f>IF($B1892="","",IFERROR(INDEX($U$4:$U$3183,MATCH(SMALL($V$4:$V$3183,1889),$V$4:$V$3183,0)),""))</f>
        <v/>
      </c>
      <c r="J1892">
        <f>IF($B1892="","",IF($D1892&gt;$F$2,"À venir",IF($E1892&lt;$D$2,"Passé","Dans la période")))</f>
        <v/>
      </c>
      <c r="K1892">
        <f>IF(OR($B1892="",NOT(ISNUMBER($D1892))),"",IF(AND($E1892&lt;$D$2,$G1892&lt;&gt;"X",$F1892&lt;&gt;"Réalisé",$F1892&lt;&gt;"Clôturé"),"RETARD",""))</f>
        <v/>
      </c>
      <c r="L1892">
        <f>IF(OR($B1892="",NOT(ISNUMBER($D1892))),"",IF(AND($D1892&gt;=$D$2,$D1892&lt;=$H$2,$G1892&lt;&gt;"X",$F1892&lt;&gt;"Réalisé",$F1892&lt;&gt;"Clôturé"),"≤ 7 j",""))</f>
        <v/>
      </c>
      <c r="M1892" s="29">
        <f>IF($B1892="","",IFERROR(INDEX($T$4:$T$3183,MATCH(SMALL($V$4:$V$3183,1889),$V$4:$V$3183,0)),""))</f>
        <v/>
      </c>
      <c r="O1892">
        <f>IF(INDEX(Suivi!$B:$B,1928)="","",INDEX(Suivi!$B:$B,1928))</f>
        <v/>
      </c>
      <c r="P1892">
        <f>IF($O1892="","",IF(INDEX(Suivi!$D:$D,1928)="",INDEX(Suivi!$C:$C,1928),INDEX(Suivi!$D:$D,1928)))</f>
        <v/>
      </c>
      <c r="Q1892">
        <f>IF($O1892="","",INDEX(Suivi!$E:$E,1928))</f>
        <v/>
      </c>
      <c r="R1892">
        <f>IF($O1892="","",INDEX(Suivi!$F:$F,1928))</f>
        <v/>
      </c>
      <c r="S1892">
        <f>IF($O1892="","",INDEX(Suivi!$G:$G,1928))</f>
        <v/>
      </c>
      <c r="T1892">
        <f>IF($O1892="","",IF(INDEX(Dossiers!$F$4:$F$63,36)="","",INDEX(Dossiers!$F$4:$F$63,36)))</f>
        <v/>
      </c>
      <c r="U1892">
        <f>IF($O1892="","",IF(INDEX(Dossiers!$G$4:$G$63,36)="","",INDEX(Dossiers!$G$4:$G$63,36)))</f>
        <v/>
      </c>
      <c r="V1892">
        <f>IF(OR($O1892="",NOT(ISNUMBER($Q1892))),"",$Q1892*1000000+1892)</f>
        <v/>
      </c>
      <c r="W1892" s="29">
        <f>IF($B1892="","",IFERROR(INDEX($U$4:$U$3183,MATCH(SMALL($V$4:$V$3183,1889),$V$4:$V$3183,0)),""))</f>
        <v/>
      </c>
    </row>
    <row r="1893">
      <c r="A1893">
        <f>IFERROR(INDEX($N$4:$N$3183,MATCH(SMALL($V$4:$V$3183,1890),$V$4:$V$3183,0)),"")</f>
        <v/>
      </c>
      <c r="B1893">
        <f>IFERROR(INDEX($O$4:$O$3183,MATCH(SMALL($V$4:$V$3183,1890),$V$4:$V$3183,0)),"")</f>
        <v/>
      </c>
      <c r="C1893">
        <f>IFERROR(INDEX($P$4:$P$3183,MATCH(SMALL($V$4:$V$3183,1890),$V$4:$V$3183,0)),"")</f>
        <v/>
      </c>
      <c r="D1893" s="29">
        <f>IFERROR(INDEX($Q$4:$Q$3183,MATCH(SMALL($V$4:$V$3183,1890),$V$4:$V$3183,0)),"")</f>
        <v/>
      </c>
      <c r="E1893" s="29">
        <f>IFERROR(INDEX($R$4:$R$3183,MATCH(SMALL($V$4:$V$3183,1890),$V$4:$V$3183,0)),"")</f>
        <v/>
      </c>
      <c r="F1893">
        <f>IFERROR(INDEX($S$4:$S$3183,MATCH(SMALL($V$4:$V$3183,1890),$V$4:$V$3183,0)),"")</f>
        <v/>
      </c>
      <c r="I1893" s="29">
        <f>IF($B1893="","",IFERROR(INDEX($U$4:$U$3183,MATCH(SMALL($V$4:$V$3183,1890),$V$4:$V$3183,0)),""))</f>
        <v/>
      </c>
      <c r="J1893">
        <f>IF($B1893="","",IF($D1893&gt;$F$2,"À venir",IF($E1893&lt;$D$2,"Passé","Dans la période")))</f>
        <v/>
      </c>
      <c r="K1893">
        <f>IF(OR($B1893="",NOT(ISNUMBER($D1893))),"",IF(AND($E1893&lt;$D$2,$G1893&lt;&gt;"X",$F1893&lt;&gt;"Réalisé",$F1893&lt;&gt;"Clôturé"),"RETARD",""))</f>
        <v/>
      </c>
      <c r="L1893">
        <f>IF(OR($B1893="",NOT(ISNUMBER($D1893))),"",IF(AND($D1893&gt;=$D$2,$D1893&lt;=$H$2,$G1893&lt;&gt;"X",$F1893&lt;&gt;"Réalisé",$F1893&lt;&gt;"Clôturé"),"≤ 7 j",""))</f>
        <v/>
      </c>
      <c r="M1893" s="29">
        <f>IF($B1893="","",IFERROR(INDEX($T$4:$T$3183,MATCH(SMALL($V$4:$V$3183,1890),$V$4:$V$3183,0)),""))</f>
        <v/>
      </c>
      <c r="O1893">
        <f>IF(INDEX(Suivi!$B:$B,1929)="","",INDEX(Suivi!$B:$B,1929))</f>
        <v/>
      </c>
      <c r="P1893">
        <f>IF($O1893="","",IF(INDEX(Suivi!$D:$D,1929)="",INDEX(Suivi!$C:$C,1929),INDEX(Suivi!$D:$D,1929)))</f>
        <v/>
      </c>
      <c r="Q1893">
        <f>IF($O1893="","",INDEX(Suivi!$E:$E,1929))</f>
        <v/>
      </c>
      <c r="R1893">
        <f>IF($O1893="","",INDEX(Suivi!$F:$F,1929))</f>
        <v/>
      </c>
      <c r="S1893">
        <f>IF($O1893="","",INDEX(Suivi!$G:$G,1929))</f>
        <v/>
      </c>
      <c r="T1893">
        <f>IF($O1893="","",IF(INDEX(Dossiers!$F$4:$F$63,36)="","",INDEX(Dossiers!$F$4:$F$63,36)))</f>
        <v/>
      </c>
      <c r="U1893">
        <f>IF($O1893="","",IF(INDEX(Dossiers!$G$4:$G$63,36)="","",INDEX(Dossiers!$G$4:$G$63,36)))</f>
        <v/>
      </c>
      <c r="V1893">
        <f>IF(OR($O1893="",NOT(ISNUMBER($Q1893))),"",$Q1893*1000000+1893)</f>
        <v/>
      </c>
      <c r="W1893" s="29">
        <f>IF($B1893="","",IFERROR(INDEX($U$4:$U$3183,MATCH(SMALL($V$4:$V$3183,1890),$V$4:$V$3183,0)),""))</f>
        <v/>
      </c>
    </row>
    <row r="1894">
      <c r="A1894">
        <f>IFERROR(INDEX($N$4:$N$3183,MATCH(SMALL($V$4:$V$3183,1891),$V$4:$V$3183,0)),"")</f>
        <v/>
      </c>
      <c r="B1894">
        <f>IFERROR(INDEX($O$4:$O$3183,MATCH(SMALL($V$4:$V$3183,1891),$V$4:$V$3183,0)),"")</f>
        <v/>
      </c>
      <c r="C1894">
        <f>IFERROR(INDEX($P$4:$P$3183,MATCH(SMALL($V$4:$V$3183,1891),$V$4:$V$3183,0)),"")</f>
        <v/>
      </c>
      <c r="D1894" s="29">
        <f>IFERROR(INDEX($Q$4:$Q$3183,MATCH(SMALL($V$4:$V$3183,1891),$V$4:$V$3183,0)),"")</f>
        <v/>
      </c>
      <c r="E1894" s="29">
        <f>IFERROR(INDEX($R$4:$R$3183,MATCH(SMALL($V$4:$V$3183,1891),$V$4:$V$3183,0)),"")</f>
        <v/>
      </c>
      <c r="F1894">
        <f>IFERROR(INDEX($S$4:$S$3183,MATCH(SMALL($V$4:$V$3183,1891),$V$4:$V$3183,0)),"")</f>
        <v/>
      </c>
      <c r="I1894" s="29">
        <f>IF($B1894="","",IFERROR(INDEX($U$4:$U$3183,MATCH(SMALL($V$4:$V$3183,1891),$V$4:$V$3183,0)),""))</f>
        <v/>
      </c>
      <c r="J1894">
        <f>IF($B1894="","",IF($D1894&gt;$F$2,"À venir",IF($E1894&lt;$D$2,"Passé","Dans la période")))</f>
        <v/>
      </c>
      <c r="K1894">
        <f>IF(OR($B1894="",NOT(ISNUMBER($D1894))),"",IF(AND($E1894&lt;$D$2,$G1894&lt;&gt;"X",$F1894&lt;&gt;"Réalisé",$F1894&lt;&gt;"Clôturé"),"RETARD",""))</f>
        <v/>
      </c>
      <c r="L1894">
        <f>IF(OR($B1894="",NOT(ISNUMBER($D1894))),"",IF(AND($D1894&gt;=$D$2,$D1894&lt;=$H$2,$G1894&lt;&gt;"X",$F1894&lt;&gt;"Réalisé",$F1894&lt;&gt;"Clôturé"),"≤ 7 j",""))</f>
        <v/>
      </c>
      <c r="M1894" s="29">
        <f>IF($B1894="","",IFERROR(INDEX($T$4:$T$3183,MATCH(SMALL($V$4:$V$3183,1891),$V$4:$V$3183,0)),""))</f>
        <v/>
      </c>
      <c r="O1894">
        <f>IF(INDEX(Suivi!$B:$B,1930)="","",INDEX(Suivi!$B:$B,1930))</f>
        <v/>
      </c>
      <c r="P1894">
        <f>IF($O1894="","",IF(INDEX(Suivi!$D:$D,1930)="",INDEX(Suivi!$C:$C,1930),INDEX(Suivi!$D:$D,1930)))</f>
        <v/>
      </c>
      <c r="Q1894">
        <f>IF($O1894="","",INDEX(Suivi!$E:$E,1930))</f>
        <v/>
      </c>
      <c r="R1894">
        <f>IF($O1894="","",INDEX(Suivi!$F:$F,1930))</f>
        <v/>
      </c>
      <c r="S1894">
        <f>IF($O1894="","",INDEX(Suivi!$G:$G,1930))</f>
        <v/>
      </c>
      <c r="T1894">
        <f>IF($O1894="","",IF(INDEX(Dossiers!$F$4:$F$63,36)="","",INDEX(Dossiers!$F$4:$F$63,36)))</f>
        <v/>
      </c>
      <c r="U1894">
        <f>IF($O1894="","",IF(INDEX(Dossiers!$G$4:$G$63,36)="","",INDEX(Dossiers!$G$4:$G$63,36)))</f>
        <v/>
      </c>
      <c r="V1894">
        <f>IF(OR($O1894="",NOT(ISNUMBER($Q1894))),"",$Q1894*1000000+1894)</f>
        <v/>
      </c>
      <c r="W1894" s="29">
        <f>IF($B1894="","",IFERROR(INDEX($U$4:$U$3183,MATCH(SMALL($V$4:$V$3183,1891),$V$4:$V$3183,0)),""))</f>
        <v/>
      </c>
    </row>
    <row r="1895">
      <c r="A1895">
        <f>IFERROR(INDEX($N$4:$N$3183,MATCH(SMALL($V$4:$V$3183,1892),$V$4:$V$3183,0)),"")</f>
        <v/>
      </c>
      <c r="B1895">
        <f>IFERROR(INDEX($O$4:$O$3183,MATCH(SMALL($V$4:$V$3183,1892),$V$4:$V$3183,0)),"")</f>
        <v/>
      </c>
      <c r="C1895">
        <f>IFERROR(INDEX($P$4:$P$3183,MATCH(SMALL($V$4:$V$3183,1892),$V$4:$V$3183,0)),"")</f>
        <v/>
      </c>
      <c r="D1895" s="29">
        <f>IFERROR(INDEX($Q$4:$Q$3183,MATCH(SMALL($V$4:$V$3183,1892),$V$4:$V$3183,0)),"")</f>
        <v/>
      </c>
      <c r="E1895" s="29">
        <f>IFERROR(INDEX($R$4:$R$3183,MATCH(SMALL($V$4:$V$3183,1892),$V$4:$V$3183,0)),"")</f>
        <v/>
      </c>
      <c r="F1895">
        <f>IFERROR(INDEX($S$4:$S$3183,MATCH(SMALL($V$4:$V$3183,1892),$V$4:$V$3183,0)),"")</f>
        <v/>
      </c>
      <c r="I1895" s="29">
        <f>IF($B1895="","",IFERROR(INDEX($U$4:$U$3183,MATCH(SMALL($V$4:$V$3183,1892),$V$4:$V$3183,0)),""))</f>
        <v/>
      </c>
      <c r="J1895">
        <f>IF($B1895="","",IF($D1895&gt;$F$2,"À venir",IF($E1895&lt;$D$2,"Passé","Dans la période")))</f>
        <v/>
      </c>
      <c r="K1895">
        <f>IF(OR($B1895="",NOT(ISNUMBER($D1895))),"",IF(AND($E1895&lt;$D$2,$G1895&lt;&gt;"X",$F1895&lt;&gt;"Réalisé",$F1895&lt;&gt;"Clôturé"),"RETARD",""))</f>
        <v/>
      </c>
      <c r="L1895">
        <f>IF(OR($B1895="",NOT(ISNUMBER($D1895))),"",IF(AND($D1895&gt;=$D$2,$D1895&lt;=$H$2,$G1895&lt;&gt;"X",$F1895&lt;&gt;"Réalisé",$F1895&lt;&gt;"Clôturé"),"≤ 7 j",""))</f>
        <v/>
      </c>
      <c r="M1895" s="29">
        <f>IF($B1895="","",IFERROR(INDEX($T$4:$T$3183,MATCH(SMALL($V$4:$V$3183,1892),$V$4:$V$3183,0)),""))</f>
        <v/>
      </c>
      <c r="O1895">
        <f>IF(INDEX(Suivi!$B:$B,1931)="","",INDEX(Suivi!$B:$B,1931))</f>
        <v/>
      </c>
      <c r="P1895">
        <f>IF($O1895="","",IF(INDEX(Suivi!$D:$D,1931)="",INDEX(Suivi!$C:$C,1931),INDEX(Suivi!$D:$D,1931)))</f>
        <v/>
      </c>
      <c r="Q1895">
        <f>IF($O1895="","",INDEX(Suivi!$E:$E,1931))</f>
        <v/>
      </c>
      <c r="R1895">
        <f>IF($O1895="","",INDEX(Suivi!$F:$F,1931))</f>
        <v/>
      </c>
      <c r="S1895">
        <f>IF($O1895="","",INDEX(Suivi!$G:$G,1931))</f>
        <v/>
      </c>
      <c r="T1895">
        <f>IF($O1895="","",IF(INDEX(Dossiers!$F$4:$F$63,36)="","",INDEX(Dossiers!$F$4:$F$63,36)))</f>
        <v/>
      </c>
      <c r="U1895">
        <f>IF($O1895="","",IF(INDEX(Dossiers!$G$4:$G$63,36)="","",INDEX(Dossiers!$G$4:$G$63,36)))</f>
        <v/>
      </c>
      <c r="V1895">
        <f>IF(OR($O1895="",NOT(ISNUMBER($Q1895))),"",$Q1895*1000000+1895)</f>
        <v/>
      </c>
      <c r="W1895" s="29">
        <f>IF($B1895="","",IFERROR(INDEX($U$4:$U$3183,MATCH(SMALL($V$4:$V$3183,1892),$V$4:$V$3183,0)),""))</f>
        <v/>
      </c>
    </row>
    <row r="1896">
      <c r="A1896">
        <f>IFERROR(INDEX($N$4:$N$3183,MATCH(SMALL($V$4:$V$3183,1893),$V$4:$V$3183,0)),"")</f>
        <v/>
      </c>
      <c r="B1896">
        <f>IFERROR(INDEX($O$4:$O$3183,MATCH(SMALL($V$4:$V$3183,1893),$V$4:$V$3183,0)),"")</f>
        <v/>
      </c>
      <c r="C1896">
        <f>IFERROR(INDEX($P$4:$P$3183,MATCH(SMALL($V$4:$V$3183,1893),$V$4:$V$3183,0)),"")</f>
        <v/>
      </c>
      <c r="D1896" s="29">
        <f>IFERROR(INDEX($Q$4:$Q$3183,MATCH(SMALL($V$4:$V$3183,1893),$V$4:$V$3183,0)),"")</f>
        <v/>
      </c>
      <c r="E1896" s="29">
        <f>IFERROR(INDEX($R$4:$R$3183,MATCH(SMALL($V$4:$V$3183,1893),$V$4:$V$3183,0)),"")</f>
        <v/>
      </c>
      <c r="F1896">
        <f>IFERROR(INDEX($S$4:$S$3183,MATCH(SMALL($V$4:$V$3183,1893),$V$4:$V$3183,0)),"")</f>
        <v/>
      </c>
      <c r="I1896" s="29">
        <f>IF($B1896="","",IFERROR(INDEX($U$4:$U$3183,MATCH(SMALL($V$4:$V$3183,1893),$V$4:$V$3183,0)),""))</f>
        <v/>
      </c>
      <c r="J1896">
        <f>IF($B1896="","",IF($D1896&gt;$F$2,"À venir",IF($E1896&lt;$D$2,"Passé","Dans la période")))</f>
        <v/>
      </c>
      <c r="K1896">
        <f>IF(OR($B1896="",NOT(ISNUMBER($D1896))),"",IF(AND($E1896&lt;$D$2,$G1896&lt;&gt;"X",$F1896&lt;&gt;"Réalisé",$F1896&lt;&gt;"Clôturé"),"RETARD",""))</f>
        <v/>
      </c>
      <c r="L1896">
        <f>IF(OR($B1896="",NOT(ISNUMBER($D1896))),"",IF(AND($D1896&gt;=$D$2,$D1896&lt;=$H$2,$G1896&lt;&gt;"X",$F1896&lt;&gt;"Réalisé",$F1896&lt;&gt;"Clôturé"),"≤ 7 j",""))</f>
        <v/>
      </c>
      <c r="M1896" s="29">
        <f>IF($B1896="","",IFERROR(INDEX($T$4:$T$3183,MATCH(SMALL($V$4:$V$3183,1893),$V$4:$V$3183,0)),""))</f>
        <v/>
      </c>
      <c r="O1896">
        <f>IF(INDEX(Suivi!$B:$B,1932)="","",INDEX(Suivi!$B:$B,1932))</f>
        <v/>
      </c>
      <c r="P1896">
        <f>IF($O1896="","",IF(INDEX(Suivi!$D:$D,1932)="",INDEX(Suivi!$C:$C,1932),INDEX(Suivi!$D:$D,1932)))</f>
        <v/>
      </c>
      <c r="Q1896">
        <f>IF($O1896="","",INDEX(Suivi!$E:$E,1932))</f>
        <v/>
      </c>
      <c r="R1896">
        <f>IF($O1896="","",INDEX(Suivi!$F:$F,1932))</f>
        <v/>
      </c>
      <c r="S1896">
        <f>IF($O1896="","",INDEX(Suivi!$G:$G,1932))</f>
        <v/>
      </c>
      <c r="T1896">
        <f>IF($O1896="","",IF(INDEX(Dossiers!$F$4:$F$63,36)="","",INDEX(Dossiers!$F$4:$F$63,36)))</f>
        <v/>
      </c>
      <c r="U1896">
        <f>IF($O1896="","",IF(INDEX(Dossiers!$G$4:$G$63,36)="","",INDEX(Dossiers!$G$4:$G$63,36)))</f>
        <v/>
      </c>
      <c r="V1896">
        <f>IF(OR($O1896="",NOT(ISNUMBER($Q1896))),"",$Q1896*1000000+1896)</f>
        <v/>
      </c>
      <c r="W1896" s="29">
        <f>IF($B1896="","",IFERROR(INDEX($U$4:$U$3183,MATCH(SMALL($V$4:$V$3183,1893),$V$4:$V$3183,0)),""))</f>
        <v/>
      </c>
    </row>
    <row r="1897">
      <c r="A1897">
        <f>IFERROR(INDEX($N$4:$N$3183,MATCH(SMALL($V$4:$V$3183,1894),$V$4:$V$3183,0)),"")</f>
        <v/>
      </c>
      <c r="B1897">
        <f>IFERROR(INDEX($O$4:$O$3183,MATCH(SMALL($V$4:$V$3183,1894),$V$4:$V$3183,0)),"")</f>
        <v/>
      </c>
      <c r="C1897">
        <f>IFERROR(INDEX($P$4:$P$3183,MATCH(SMALL($V$4:$V$3183,1894),$V$4:$V$3183,0)),"")</f>
        <v/>
      </c>
      <c r="D1897" s="29">
        <f>IFERROR(INDEX($Q$4:$Q$3183,MATCH(SMALL($V$4:$V$3183,1894),$V$4:$V$3183,0)),"")</f>
        <v/>
      </c>
      <c r="E1897" s="29">
        <f>IFERROR(INDEX($R$4:$R$3183,MATCH(SMALL($V$4:$V$3183,1894),$V$4:$V$3183,0)),"")</f>
        <v/>
      </c>
      <c r="F1897">
        <f>IFERROR(INDEX($S$4:$S$3183,MATCH(SMALL($V$4:$V$3183,1894),$V$4:$V$3183,0)),"")</f>
        <v/>
      </c>
      <c r="I1897" s="29">
        <f>IF($B1897="","",IFERROR(INDEX($U$4:$U$3183,MATCH(SMALL($V$4:$V$3183,1894),$V$4:$V$3183,0)),""))</f>
        <v/>
      </c>
      <c r="J1897">
        <f>IF($B1897="","",IF($D1897&gt;$F$2,"À venir",IF($E1897&lt;$D$2,"Passé","Dans la période")))</f>
        <v/>
      </c>
      <c r="K1897">
        <f>IF(OR($B1897="",NOT(ISNUMBER($D1897))),"",IF(AND($E1897&lt;$D$2,$G1897&lt;&gt;"X",$F1897&lt;&gt;"Réalisé",$F1897&lt;&gt;"Clôturé"),"RETARD",""))</f>
        <v/>
      </c>
      <c r="L1897">
        <f>IF(OR($B1897="",NOT(ISNUMBER($D1897))),"",IF(AND($D1897&gt;=$D$2,$D1897&lt;=$H$2,$G1897&lt;&gt;"X",$F1897&lt;&gt;"Réalisé",$F1897&lt;&gt;"Clôturé"),"≤ 7 j",""))</f>
        <v/>
      </c>
      <c r="M1897" s="29">
        <f>IF($B1897="","",IFERROR(INDEX($T$4:$T$3183,MATCH(SMALL($V$4:$V$3183,1894),$V$4:$V$3183,0)),""))</f>
        <v/>
      </c>
      <c r="O1897">
        <f>IF(INDEX(Suivi!$B:$B,1933)="","",INDEX(Suivi!$B:$B,1933))</f>
        <v/>
      </c>
      <c r="P1897">
        <f>IF($O1897="","",IF(INDEX(Suivi!$D:$D,1933)="",INDEX(Suivi!$C:$C,1933),INDEX(Suivi!$D:$D,1933)))</f>
        <v/>
      </c>
      <c r="Q1897">
        <f>IF($O1897="","",INDEX(Suivi!$E:$E,1933))</f>
        <v/>
      </c>
      <c r="R1897">
        <f>IF($O1897="","",INDEX(Suivi!$F:$F,1933))</f>
        <v/>
      </c>
      <c r="S1897">
        <f>IF($O1897="","",INDEX(Suivi!$G:$G,1933))</f>
        <v/>
      </c>
      <c r="T1897">
        <f>IF($O1897="","",IF(INDEX(Dossiers!$F$4:$F$63,36)="","",INDEX(Dossiers!$F$4:$F$63,36)))</f>
        <v/>
      </c>
      <c r="U1897">
        <f>IF($O1897="","",IF(INDEX(Dossiers!$G$4:$G$63,36)="","",INDEX(Dossiers!$G$4:$G$63,36)))</f>
        <v/>
      </c>
      <c r="V1897">
        <f>IF(OR($O1897="",NOT(ISNUMBER($Q1897))),"",$Q1897*1000000+1897)</f>
        <v/>
      </c>
      <c r="W1897" s="29">
        <f>IF($B1897="","",IFERROR(INDEX($U$4:$U$3183,MATCH(SMALL($V$4:$V$3183,1894),$V$4:$V$3183,0)),""))</f>
        <v/>
      </c>
    </row>
    <row r="1898">
      <c r="A1898">
        <f>IFERROR(INDEX($N$4:$N$3183,MATCH(SMALL($V$4:$V$3183,1895),$V$4:$V$3183,0)),"")</f>
        <v/>
      </c>
      <c r="B1898">
        <f>IFERROR(INDEX($O$4:$O$3183,MATCH(SMALL($V$4:$V$3183,1895),$V$4:$V$3183,0)),"")</f>
        <v/>
      </c>
      <c r="C1898">
        <f>IFERROR(INDEX($P$4:$P$3183,MATCH(SMALL($V$4:$V$3183,1895),$V$4:$V$3183,0)),"")</f>
        <v/>
      </c>
      <c r="D1898" s="29">
        <f>IFERROR(INDEX($Q$4:$Q$3183,MATCH(SMALL($V$4:$V$3183,1895),$V$4:$V$3183,0)),"")</f>
        <v/>
      </c>
      <c r="E1898" s="29">
        <f>IFERROR(INDEX($R$4:$R$3183,MATCH(SMALL($V$4:$V$3183,1895),$V$4:$V$3183,0)),"")</f>
        <v/>
      </c>
      <c r="F1898">
        <f>IFERROR(INDEX($S$4:$S$3183,MATCH(SMALL($V$4:$V$3183,1895),$V$4:$V$3183,0)),"")</f>
        <v/>
      </c>
      <c r="I1898" s="29">
        <f>IF($B1898="","",IFERROR(INDEX($U$4:$U$3183,MATCH(SMALL($V$4:$V$3183,1895),$V$4:$V$3183,0)),""))</f>
        <v/>
      </c>
      <c r="J1898">
        <f>IF($B1898="","",IF($D1898&gt;$F$2,"À venir",IF($E1898&lt;$D$2,"Passé","Dans la période")))</f>
        <v/>
      </c>
      <c r="K1898">
        <f>IF(OR($B1898="",NOT(ISNUMBER($D1898))),"",IF(AND($E1898&lt;$D$2,$G1898&lt;&gt;"X",$F1898&lt;&gt;"Réalisé",$F1898&lt;&gt;"Clôturé"),"RETARD",""))</f>
        <v/>
      </c>
      <c r="L1898">
        <f>IF(OR($B1898="",NOT(ISNUMBER($D1898))),"",IF(AND($D1898&gt;=$D$2,$D1898&lt;=$H$2,$G1898&lt;&gt;"X",$F1898&lt;&gt;"Réalisé",$F1898&lt;&gt;"Clôturé"),"≤ 7 j",""))</f>
        <v/>
      </c>
      <c r="M1898" s="29">
        <f>IF($B1898="","",IFERROR(INDEX($T$4:$T$3183,MATCH(SMALL($V$4:$V$3183,1895),$V$4:$V$3183,0)),""))</f>
        <v/>
      </c>
      <c r="O1898">
        <f>IF(INDEX(Suivi!$B:$B,1934)="","",INDEX(Suivi!$B:$B,1934))</f>
        <v/>
      </c>
      <c r="P1898">
        <f>IF($O1898="","",IF(INDEX(Suivi!$D:$D,1934)="",INDEX(Suivi!$C:$C,1934),INDEX(Suivi!$D:$D,1934)))</f>
        <v/>
      </c>
      <c r="Q1898">
        <f>IF($O1898="","",INDEX(Suivi!$E:$E,1934))</f>
        <v/>
      </c>
      <c r="R1898">
        <f>IF($O1898="","",INDEX(Suivi!$F:$F,1934))</f>
        <v/>
      </c>
      <c r="S1898">
        <f>IF($O1898="","",INDEX(Suivi!$G:$G,1934))</f>
        <v/>
      </c>
      <c r="T1898">
        <f>IF($O1898="","",IF(INDEX(Dossiers!$F$4:$F$63,36)="","",INDEX(Dossiers!$F$4:$F$63,36)))</f>
        <v/>
      </c>
      <c r="U1898">
        <f>IF($O1898="","",IF(INDEX(Dossiers!$G$4:$G$63,36)="","",INDEX(Dossiers!$G$4:$G$63,36)))</f>
        <v/>
      </c>
      <c r="V1898">
        <f>IF(OR($O1898="",NOT(ISNUMBER($Q1898))),"",$Q1898*1000000+1898)</f>
        <v/>
      </c>
      <c r="W1898" s="29">
        <f>IF($B1898="","",IFERROR(INDEX($U$4:$U$3183,MATCH(SMALL($V$4:$V$3183,1895),$V$4:$V$3183,0)),""))</f>
        <v/>
      </c>
    </row>
    <row r="1899">
      <c r="A1899">
        <f>IFERROR(INDEX($N$4:$N$3183,MATCH(SMALL($V$4:$V$3183,1896),$V$4:$V$3183,0)),"")</f>
        <v/>
      </c>
      <c r="B1899">
        <f>IFERROR(INDEX($O$4:$O$3183,MATCH(SMALL($V$4:$V$3183,1896),$V$4:$V$3183,0)),"")</f>
        <v/>
      </c>
      <c r="C1899">
        <f>IFERROR(INDEX($P$4:$P$3183,MATCH(SMALL($V$4:$V$3183,1896),$V$4:$V$3183,0)),"")</f>
        <v/>
      </c>
      <c r="D1899" s="29">
        <f>IFERROR(INDEX($Q$4:$Q$3183,MATCH(SMALL($V$4:$V$3183,1896),$V$4:$V$3183,0)),"")</f>
        <v/>
      </c>
      <c r="E1899" s="29">
        <f>IFERROR(INDEX($R$4:$R$3183,MATCH(SMALL($V$4:$V$3183,1896),$V$4:$V$3183,0)),"")</f>
        <v/>
      </c>
      <c r="F1899">
        <f>IFERROR(INDEX($S$4:$S$3183,MATCH(SMALL($V$4:$V$3183,1896),$V$4:$V$3183,0)),"")</f>
        <v/>
      </c>
      <c r="I1899" s="29">
        <f>IF($B1899="","",IFERROR(INDEX($U$4:$U$3183,MATCH(SMALL($V$4:$V$3183,1896),$V$4:$V$3183,0)),""))</f>
        <v/>
      </c>
      <c r="J1899">
        <f>IF($B1899="","",IF($D1899&gt;$F$2,"À venir",IF($E1899&lt;$D$2,"Passé","Dans la période")))</f>
        <v/>
      </c>
      <c r="K1899">
        <f>IF(OR($B1899="",NOT(ISNUMBER($D1899))),"",IF(AND($E1899&lt;$D$2,$G1899&lt;&gt;"X",$F1899&lt;&gt;"Réalisé",$F1899&lt;&gt;"Clôturé"),"RETARD",""))</f>
        <v/>
      </c>
      <c r="L1899">
        <f>IF(OR($B1899="",NOT(ISNUMBER($D1899))),"",IF(AND($D1899&gt;=$D$2,$D1899&lt;=$H$2,$G1899&lt;&gt;"X",$F1899&lt;&gt;"Réalisé",$F1899&lt;&gt;"Clôturé"),"≤ 7 j",""))</f>
        <v/>
      </c>
      <c r="M1899" s="29">
        <f>IF($B1899="","",IFERROR(INDEX($T$4:$T$3183,MATCH(SMALL($V$4:$V$3183,1896),$V$4:$V$3183,0)),""))</f>
        <v/>
      </c>
      <c r="O1899">
        <f>IF(INDEX(Suivi!$B:$B,1935)="","",INDEX(Suivi!$B:$B,1935))</f>
        <v/>
      </c>
      <c r="P1899">
        <f>IF($O1899="","",IF(INDEX(Suivi!$D:$D,1935)="",INDEX(Suivi!$C:$C,1935),INDEX(Suivi!$D:$D,1935)))</f>
        <v/>
      </c>
      <c r="Q1899">
        <f>IF($O1899="","",INDEX(Suivi!$E:$E,1935))</f>
        <v/>
      </c>
      <c r="R1899">
        <f>IF($O1899="","",INDEX(Suivi!$F:$F,1935))</f>
        <v/>
      </c>
      <c r="S1899">
        <f>IF($O1899="","",INDEX(Suivi!$G:$G,1935))</f>
        <v/>
      </c>
      <c r="T1899">
        <f>IF($O1899="","",IF(INDEX(Dossiers!$F$4:$F$63,36)="","",INDEX(Dossiers!$F$4:$F$63,36)))</f>
        <v/>
      </c>
      <c r="U1899">
        <f>IF($O1899="","",IF(INDEX(Dossiers!$G$4:$G$63,36)="","",INDEX(Dossiers!$G$4:$G$63,36)))</f>
        <v/>
      </c>
      <c r="V1899">
        <f>IF(OR($O1899="",NOT(ISNUMBER($Q1899))),"",$Q1899*1000000+1899)</f>
        <v/>
      </c>
      <c r="W1899" s="29">
        <f>IF($B1899="","",IFERROR(INDEX($U$4:$U$3183,MATCH(SMALL($V$4:$V$3183,1896),$V$4:$V$3183,0)),""))</f>
        <v/>
      </c>
    </row>
    <row r="1900">
      <c r="A1900">
        <f>IFERROR(INDEX($N$4:$N$3183,MATCH(SMALL($V$4:$V$3183,1897),$V$4:$V$3183,0)),"")</f>
        <v/>
      </c>
      <c r="B1900">
        <f>IFERROR(INDEX($O$4:$O$3183,MATCH(SMALL($V$4:$V$3183,1897),$V$4:$V$3183,0)),"")</f>
        <v/>
      </c>
      <c r="C1900">
        <f>IFERROR(INDEX($P$4:$P$3183,MATCH(SMALL($V$4:$V$3183,1897),$V$4:$V$3183,0)),"")</f>
        <v/>
      </c>
      <c r="D1900" s="29">
        <f>IFERROR(INDEX($Q$4:$Q$3183,MATCH(SMALL($V$4:$V$3183,1897),$V$4:$V$3183,0)),"")</f>
        <v/>
      </c>
      <c r="E1900" s="29">
        <f>IFERROR(INDEX($R$4:$R$3183,MATCH(SMALL($V$4:$V$3183,1897),$V$4:$V$3183,0)),"")</f>
        <v/>
      </c>
      <c r="F1900">
        <f>IFERROR(INDEX($S$4:$S$3183,MATCH(SMALL($V$4:$V$3183,1897),$V$4:$V$3183,0)),"")</f>
        <v/>
      </c>
      <c r="I1900" s="29">
        <f>IF($B1900="","",IFERROR(INDEX($U$4:$U$3183,MATCH(SMALL($V$4:$V$3183,1897),$V$4:$V$3183,0)),""))</f>
        <v/>
      </c>
      <c r="J1900">
        <f>IF($B1900="","",IF($D1900&gt;$F$2,"À venir",IF($E1900&lt;$D$2,"Passé","Dans la période")))</f>
        <v/>
      </c>
      <c r="K1900">
        <f>IF(OR($B1900="",NOT(ISNUMBER($D1900))),"",IF(AND($E1900&lt;$D$2,$G1900&lt;&gt;"X",$F1900&lt;&gt;"Réalisé",$F1900&lt;&gt;"Clôturé"),"RETARD",""))</f>
        <v/>
      </c>
      <c r="L1900">
        <f>IF(OR($B1900="",NOT(ISNUMBER($D1900))),"",IF(AND($D1900&gt;=$D$2,$D1900&lt;=$H$2,$G1900&lt;&gt;"X",$F1900&lt;&gt;"Réalisé",$F1900&lt;&gt;"Clôturé"),"≤ 7 j",""))</f>
        <v/>
      </c>
      <c r="M1900" s="29">
        <f>IF($B1900="","",IFERROR(INDEX($T$4:$T$3183,MATCH(SMALL($V$4:$V$3183,1897),$V$4:$V$3183,0)),""))</f>
        <v/>
      </c>
      <c r="O1900">
        <f>IF(INDEX(Suivi!$B:$B,1936)="","",INDEX(Suivi!$B:$B,1936))</f>
        <v/>
      </c>
      <c r="P1900">
        <f>IF($O1900="","",IF(INDEX(Suivi!$D:$D,1936)="",INDEX(Suivi!$C:$C,1936),INDEX(Suivi!$D:$D,1936)))</f>
        <v/>
      </c>
      <c r="Q1900">
        <f>IF($O1900="","",INDEX(Suivi!$E:$E,1936))</f>
        <v/>
      </c>
      <c r="R1900">
        <f>IF($O1900="","",INDEX(Suivi!$F:$F,1936))</f>
        <v/>
      </c>
      <c r="S1900">
        <f>IF($O1900="","",INDEX(Suivi!$G:$G,1936))</f>
        <v/>
      </c>
      <c r="T1900">
        <f>IF($O1900="","",IF(INDEX(Dossiers!$F$4:$F$63,36)="","",INDEX(Dossiers!$F$4:$F$63,36)))</f>
        <v/>
      </c>
      <c r="U1900">
        <f>IF($O1900="","",IF(INDEX(Dossiers!$G$4:$G$63,36)="","",INDEX(Dossiers!$G$4:$G$63,36)))</f>
        <v/>
      </c>
      <c r="V1900">
        <f>IF(OR($O1900="",NOT(ISNUMBER($Q1900))),"",$Q1900*1000000+1900)</f>
        <v/>
      </c>
      <c r="W1900" s="29">
        <f>IF($B1900="","",IFERROR(INDEX($U$4:$U$3183,MATCH(SMALL($V$4:$V$3183,1897),$V$4:$V$3183,0)),""))</f>
        <v/>
      </c>
    </row>
    <row r="1901">
      <c r="A1901">
        <f>IFERROR(INDEX($N$4:$N$3183,MATCH(SMALL($V$4:$V$3183,1898),$V$4:$V$3183,0)),"")</f>
        <v/>
      </c>
      <c r="B1901">
        <f>IFERROR(INDEX($O$4:$O$3183,MATCH(SMALL($V$4:$V$3183,1898),$V$4:$V$3183,0)),"")</f>
        <v/>
      </c>
      <c r="C1901">
        <f>IFERROR(INDEX($P$4:$P$3183,MATCH(SMALL($V$4:$V$3183,1898),$V$4:$V$3183,0)),"")</f>
        <v/>
      </c>
      <c r="D1901" s="29">
        <f>IFERROR(INDEX($Q$4:$Q$3183,MATCH(SMALL($V$4:$V$3183,1898),$V$4:$V$3183,0)),"")</f>
        <v/>
      </c>
      <c r="E1901" s="29">
        <f>IFERROR(INDEX($R$4:$R$3183,MATCH(SMALL($V$4:$V$3183,1898),$V$4:$V$3183,0)),"")</f>
        <v/>
      </c>
      <c r="F1901">
        <f>IFERROR(INDEX($S$4:$S$3183,MATCH(SMALL($V$4:$V$3183,1898),$V$4:$V$3183,0)),"")</f>
        <v/>
      </c>
      <c r="I1901" s="29">
        <f>IF($B1901="","",IFERROR(INDEX($U$4:$U$3183,MATCH(SMALL($V$4:$V$3183,1898),$V$4:$V$3183,0)),""))</f>
        <v/>
      </c>
      <c r="J1901">
        <f>IF($B1901="","",IF($D1901&gt;$F$2,"À venir",IF($E1901&lt;$D$2,"Passé","Dans la période")))</f>
        <v/>
      </c>
      <c r="K1901">
        <f>IF(OR($B1901="",NOT(ISNUMBER($D1901))),"",IF(AND($E1901&lt;$D$2,$G1901&lt;&gt;"X",$F1901&lt;&gt;"Réalisé",$F1901&lt;&gt;"Clôturé"),"RETARD",""))</f>
        <v/>
      </c>
      <c r="L1901">
        <f>IF(OR($B1901="",NOT(ISNUMBER($D1901))),"",IF(AND($D1901&gt;=$D$2,$D1901&lt;=$H$2,$G1901&lt;&gt;"X",$F1901&lt;&gt;"Réalisé",$F1901&lt;&gt;"Clôturé"),"≤ 7 j",""))</f>
        <v/>
      </c>
      <c r="M1901" s="29">
        <f>IF($B1901="","",IFERROR(INDEX($T$4:$T$3183,MATCH(SMALL($V$4:$V$3183,1898),$V$4:$V$3183,0)),""))</f>
        <v/>
      </c>
      <c r="O1901">
        <f>IF(INDEX(Suivi!$B:$B,1937)="","",INDEX(Suivi!$B:$B,1937))</f>
        <v/>
      </c>
      <c r="P1901">
        <f>IF($O1901="","",IF(INDEX(Suivi!$D:$D,1937)="",INDEX(Suivi!$C:$C,1937),INDEX(Suivi!$D:$D,1937)))</f>
        <v/>
      </c>
      <c r="Q1901">
        <f>IF($O1901="","",INDEX(Suivi!$E:$E,1937))</f>
        <v/>
      </c>
      <c r="R1901">
        <f>IF($O1901="","",INDEX(Suivi!$F:$F,1937))</f>
        <v/>
      </c>
      <c r="S1901">
        <f>IF($O1901="","",INDEX(Suivi!$G:$G,1937))</f>
        <v/>
      </c>
      <c r="T1901">
        <f>IF($O1901="","",IF(INDEX(Dossiers!$F$4:$F$63,36)="","",INDEX(Dossiers!$F$4:$F$63,36)))</f>
        <v/>
      </c>
      <c r="U1901">
        <f>IF($O1901="","",IF(INDEX(Dossiers!$G$4:$G$63,36)="","",INDEX(Dossiers!$G$4:$G$63,36)))</f>
        <v/>
      </c>
      <c r="V1901">
        <f>IF(OR($O1901="",NOT(ISNUMBER($Q1901))),"",$Q1901*1000000+1901)</f>
        <v/>
      </c>
      <c r="W1901" s="29">
        <f>IF($B1901="","",IFERROR(INDEX($U$4:$U$3183,MATCH(SMALL($V$4:$V$3183,1898),$V$4:$V$3183,0)),""))</f>
        <v/>
      </c>
    </row>
    <row r="1902">
      <c r="A1902">
        <f>IFERROR(INDEX($N$4:$N$3183,MATCH(SMALL($V$4:$V$3183,1899),$V$4:$V$3183,0)),"")</f>
        <v/>
      </c>
      <c r="B1902">
        <f>IFERROR(INDEX($O$4:$O$3183,MATCH(SMALL($V$4:$V$3183,1899),$V$4:$V$3183,0)),"")</f>
        <v/>
      </c>
      <c r="C1902">
        <f>IFERROR(INDEX($P$4:$P$3183,MATCH(SMALL($V$4:$V$3183,1899),$V$4:$V$3183,0)),"")</f>
        <v/>
      </c>
      <c r="D1902" s="29">
        <f>IFERROR(INDEX($Q$4:$Q$3183,MATCH(SMALL($V$4:$V$3183,1899),$V$4:$V$3183,0)),"")</f>
        <v/>
      </c>
      <c r="E1902" s="29">
        <f>IFERROR(INDEX($R$4:$R$3183,MATCH(SMALL($V$4:$V$3183,1899),$V$4:$V$3183,0)),"")</f>
        <v/>
      </c>
      <c r="F1902">
        <f>IFERROR(INDEX($S$4:$S$3183,MATCH(SMALL($V$4:$V$3183,1899),$V$4:$V$3183,0)),"")</f>
        <v/>
      </c>
      <c r="I1902" s="29">
        <f>IF($B1902="","",IFERROR(INDEX($U$4:$U$3183,MATCH(SMALL($V$4:$V$3183,1899),$V$4:$V$3183,0)),""))</f>
        <v/>
      </c>
      <c r="J1902">
        <f>IF($B1902="","",IF($D1902&gt;$F$2,"À venir",IF($E1902&lt;$D$2,"Passé","Dans la période")))</f>
        <v/>
      </c>
      <c r="K1902">
        <f>IF(OR($B1902="",NOT(ISNUMBER($D1902))),"",IF(AND($E1902&lt;$D$2,$G1902&lt;&gt;"X",$F1902&lt;&gt;"Réalisé",$F1902&lt;&gt;"Clôturé"),"RETARD",""))</f>
        <v/>
      </c>
      <c r="L1902">
        <f>IF(OR($B1902="",NOT(ISNUMBER($D1902))),"",IF(AND($D1902&gt;=$D$2,$D1902&lt;=$H$2,$G1902&lt;&gt;"X",$F1902&lt;&gt;"Réalisé",$F1902&lt;&gt;"Clôturé"),"≤ 7 j",""))</f>
        <v/>
      </c>
      <c r="M1902" s="29">
        <f>IF($B1902="","",IFERROR(INDEX($T$4:$T$3183,MATCH(SMALL($V$4:$V$3183,1899),$V$4:$V$3183,0)),""))</f>
        <v/>
      </c>
      <c r="O1902">
        <f>IF(INDEX(Suivi!$B:$B,1938)="","",INDEX(Suivi!$B:$B,1938))</f>
        <v/>
      </c>
      <c r="P1902">
        <f>IF($O1902="","",IF(INDEX(Suivi!$D:$D,1938)="",INDEX(Suivi!$C:$C,1938),INDEX(Suivi!$D:$D,1938)))</f>
        <v/>
      </c>
      <c r="Q1902">
        <f>IF($O1902="","",INDEX(Suivi!$E:$E,1938))</f>
        <v/>
      </c>
      <c r="R1902">
        <f>IF($O1902="","",INDEX(Suivi!$F:$F,1938))</f>
        <v/>
      </c>
      <c r="S1902">
        <f>IF($O1902="","",INDEX(Suivi!$G:$G,1938))</f>
        <v/>
      </c>
      <c r="T1902">
        <f>IF($O1902="","",IF(INDEX(Dossiers!$F$4:$F$63,36)="","",INDEX(Dossiers!$F$4:$F$63,36)))</f>
        <v/>
      </c>
      <c r="U1902">
        <f>IF($O1902="","",IF(INDEX(Dossiers!$G$4:$G$63,36)="","",INDEX(Dossiers!$G$4:$G$63,36)))</f>
        <v/>
      </c>
      <c r="V1902">
        <f>IF(OR($O1902="",NOT(ISNUMBER($Q1902))),"",$Q1902*1000000+1902)</f>
        <v/>
      </c>
      <c r="W1902" s="29">
        <f>IF($B1902="","",IFERROR(INDEX($U$4:$U$3183,MATCH(SMALL($V$4:$V$3183,1899),$V$4:$V$3183,0)),""))</f>
        <v/>
      </c>
    </row>
    <row r="1903">
      <c r="A1903">
        <f>IFERROR(INDEX($N$4:$N$3183,MATCH(SMALL($V$4:$V$3183,1900),$V$4:$V$3183,0)),"")</f>
        <v/>
      </c>
      <c r="B1903">
        <f>IFERROR(INDEX($O$4:$O$3183,MATCH(SMALL($V$4:$V$3183,1900),$V$4:$V$3183,0)),"")</f>
        <v/>
      </c>
      <c r="C1903">
        <f>IFERROR(INDEX($P$4:$P$3183,MATCH(SMALL($V$4:$V$3183,1900),$V$4:$V$3183,0)),"")</f>
        <v/>
      </c>
      <c r="D1903" s="29">
        <f>IFERROR(INDEX($Q$4:$Q$3183,MATCH(SMALL($V$4:$V$3183,1900),$V$4:$V$3183,0)),"")</f>
        <v/>
      </c>
      <c r="E1903" s="29">
        <f>IFERROR(INDEX($R$4:$R$3183,MATCH(SMALL($V$4:$V$3183,1900),$V$4:$V$3183,0)),"")</f>
        <v/>
      </c>
      <c r="F1903">
        <f>IFERROR(INDEX($S$4:$S$3183,MATCH(SMALL($V$4:$V$3183,1900),$V$4:$V$3183,0)),"")</f>
        <v/>
      </c>
      <c r="I1903" s="29">
        <f>IF($B1903="","",IFERROR(INDEX($U$4:$U$3183,MATCH(SMALL($V$4:$V$3183,1900),$V$4:$V$3183,0)),""))</f>
        <v/>
      </c>
      <c r="J1903">
        <f>IF($B1903="","",IF($D1903&gt;$F$2,"À venir",IF($E1903&lt;$D$2,"Passé","Dans la période")))</f>
        <v/>
      </c>
      <c r="K1903">
        <f>IF(OR($B1903="",NOT(ISNUMBER($D1903))),"",IF(AND($E1903&lt;$D$2,$G1903&lt;&gt;"X",$F1903&lt;&gt;"Réalisé",$F1903&lt;&gt;"Clôturé"),"RETARD",""))</f>
        <v/>
      </c>
      <c r="L1903">
        <f>IF(OR($B1903="",NOT(ISNUMBER($D1903))),"",IF(AND($D1903&gt;=$D$2,$D1903&lt;=$H$2,$G1903&lt;&gt;"X",$F1903&lt;&gt;"Réalisé",$F1903&lt;&gt;"Clôturé"),"≤ 7 j",""))</f>
        <v/>
      </c>
      <c r="M1903" s="29">
        <f>IF($B1903="","",IFERROR(INDEX($T$4:$T$3183,MATCH(SMALL($V$4:$V$3183,1900),$V$4:$V$3183,0)),""))</f>
        <v/>
      </c>
      <c r="O1903">
        <f>IF(INDEX(Suivi!$B:$B,1939)="","",INDEX(Suivi!$B:$B,1939))</f>
        <v/>
      </c>
      <c r="P1903">
        <f>IF($O1903="","",IF(INDEX(Suivi!$D:$D,1939)="",INDEX(Suivi!$C:$C,1939),INDEX(Suivi!$D:$D,1939)))</f>
        <v/>
      </c>
      <c r="Q1903">
        <f>IF($O1903="","",INDEX(Suivi!$E:$E,1939))</f>
        <v/>
      </c>
      <c r="R1903">
        <f>IF($O1903="","",INDEX(Suivi!$F:$F,1939))</f>
        <v/>
      </c>
      <c r="S1903">
        <f>IF($O1903="","",INDEX(Suivi!$G:$G,1939))</f>
        <v/>
      </c>
      <c r="T1903">
        <f>IF($O1903="","",IF(INDEX(Dossiers!$F$4:$F$63,36)="","",INDEX(Dossiers!$F$4:$F$63,36)))</f>
        <v/>
      </c>
      <c r="U1903">
        <f>IF($O1903="","",IF(INDEX(Dossiers!$G$4:$G$63,36)="","",INDEX(Dossiers!$G$4:$G$63,36)))</f>
        <v/>
      </c>
      <c r="V1903">
        <f>IF(OR($O1903="",NOT(ISNUMBER($Q1903))),"",$Q1903*1000000+1903)</f>
        <v/>
      </c>
      <c r="W1903" s="29">
        <f>IF($B1903="","",IFERROR(INDEX($U$4:$U$3183,MATCH(SMALL($V$4:$V$3183,1900),$V$4:$V$3183,0)),""))</f>
        <v/>
      </c>
    </row>
    <row r="1904">
      <c r="A1904">
        <f>IFERROR(INDEX($N$4:$N$3183,MATCH(SMALL($V$4:$V$3183,1901),$V$4:$V$3183,0)),"")</f>
        <v/>
      </c>
      <c r="B1904">
        <f>IFERROR(INDEX($O$4:$O$3183,MATCH(SMALL($V$4:$V$3183,1901),$V$4:$V$3183,0)),"")</f>
        <v/>
      </c>
      <c r="C1904">
        <f>IFERROR(INDEX($P$4:$P$3183,MATCH(SMALL($V$4:$V$3183,1901),$V$4:$V$3183,0)),"")</f>
        <v/>
      </c>
      <c r="D1904" s="29">
        <f>IFERROR(INDEX($Q$4:$Q$3183,MATCH(SMALL($V$4:$V$3183,1901),$V$4:$V$3183,0)),"")</f>
        <v/>
      </c>
      <c r="E1904" s="29">
        <f>IFERROR(INDEX($R$4:$R$3183,MATCH(SMALL($V$4:$V$3183,1901),$V$4:$V$3183,0)),"")</f>
        <v/>
      </c>
      <c r="F1904">
        <f>IFERROR(INDEX($S$4:$S$3183,MATCH(SMALL($V$4:$V$3183,1901),$V$4:$V$3183,0)),"")</f>
        <v/>
      </c>
      <c r="I1904" s="29">
        <f>IF($B1904="","",IFERROR(INDEX($U$4:$U$3183,MATCH(SMALL($V$4:$V$3183,1901),$V$4:$V$3183,0)),""))</f>
        <v/>
      </c>
      <c r="J1904">
        <f>IF($B1904="","",IF($D1904&gt;$F$2,"À venir",IF($E1904&lt;$D$2,"Passé","Dans la période")))</f>
        <v/>
      </c>
      <c r="K1904">
        <f>IF(OR($B1904="",NOT(ISNUMBER($D1904))),"",IF(AND($E1904&lt;$D$2,$G1904&lt;&gt;"X",$F1904&lt;&gt;"Réalisé",$F1904&lt;&gt;"Clôturé"),"RETARD",""))</f>
        <v/>
      </c>
      <c r="L1904">
        <f>IF(OR($B1904="",NOT(ISNUMBER($D1904))),"",IF(AND($D1904&gt;=$D$2,$D1904&lt;=$H$2,$G1904&lt;&gt;"X",$F1904&lt;&gt;"Réalisé",$F1904&lt;&gt;"Clôturé"),"≤ 7 j",""))</f>
        <v/>
      </c>
      <c r="M1904" s="29">
        <f>IF($B1904="","",IFERROR(INDEX($T$4:$T$3183,MATCH(SMALL($V$4:$V$3183,1901),$V$4:$V$3183,0)),""))</f>
        <v/>
      </c>
      <c r="O1904">
        <f>IF(INDEX(Suivi!$B:$B,1940)="","",INDEX(Suivi!$B:$B,1940))</f>
        <v/>
      </c>
      <c r="P1904">
        <f>IF($O1904="","",IF(INDEX(Suivi!$D:$D,1940)="",INDEX(Suivi!$C:$C,1940),INDEX(Suivi!$D:$D,1940)))</f>
        <v/>
      </c>
      <c r="Q1904">
        <f>IF($O1904="","",INDEX(Suivi!$E:$E,1940))</f>
        <v/>
      </c>
      <c r="R1904">
        <f>IF($O1904="","",INDEX(Suivi!$F:$F,1940))</f>
        <v/>
      </c>
      <c r="S1904">
        <f>IF($O1904="","",INDEX(Suivi!$G:$G,1940))</f>
        <v/>
      </c>
      <c r="T1904">
        <f>IF($O1904="","",IF(INDEX(Dossiers!$F$4:$F$63,36)="","",INDEX(Dossiers!$F$4:$F$63,36)))</f>
        <v/>
      </c>
      <c r="U1904">
        <f>IF($O1904="","",IF(INDEX(Dossiers!$G$4:$G$63,36)="","",INDEX(Dossiers!$G$4:$G$63,36)))</f>
        <v/>
      </c>
      <c r="V1904">
        <f>IF(OR($O1904="",NOT(ISNUMBER($Q1904))),"",$Q1904*1000000+1904)</f>
        <v/>
      </c>
      <c r="W1904" s="29">
        <f>IF($B1904="","",IFERROR(INDEX($U$4:$U$3183,MATCH(SMALL($V$4:$V$3183,1901),$V$4:$V$3183,0)),""))</f>
        <v/>
      </c>
    </row>
    <row r="1905">
      <c r="A1905">
        <f>IFERROR(INDEX($N$4:$N$3183,MATCH(SMALL($V$4:$V$3183,1902),$V$4:$V$3183,0)),"")</f>
        <v/>
      </c>
      <c r="B1905">
        <f>IFERROR(INDEX($O$4:$O$3183,MATCH(SMALL($V$4:$V$3183,1902),$V$4:$V$3183,0)),"")</f>
        <v/>
      </c>
      <c r="C1905">
        <f>IFERROR(INDEX($P$4:$P$3183,MATCH(SMALL($V$4:$V$3183,1902),$V$4:$V$3183,0)),"")</f>
        <v/>
      </c>
      <c r="D1905" s="29">
        <f>IFERROR(INDEX($Q$4:$Q$3183,MATCH(SMALL($V$4:$V$3183,1902),$V$4:$V$3183,0)),"")</f>
        <v/>
      </c>
      <c r="E1905" s="29">
        <f>IFERROR(INDEX($R$4:$R$3183,MATCH(SMALL($V$4:$V$3183,1902),$V$4:$V$3183,0)),"")</f>
        <v/>
      </c>
      <c r="F1905">
        <f>IFERROR(INDEX($S$4:$S$3183,MATCH(SMALL($V$4:$V$3183,1902),$V$4:$V$3183,0)),"")</f>
        <v/>
      </c>
      <c r="I1905" s="29">
        <f>IF($B1905="","",IFERROR(INDEX($U$4:$U$3183,MATCH(SMALL($V$4:$V$3183,1902),$V$4:$V$3183,0)),""))</f>
        <v/>
      </c>
      <c r="J1905">
        <f>IF($B1905="","",IF($D1905&gt;$F$2,"À venir",IF($E1905&lt;$D$2,"Passé","Dans la période")))</f>
        <v/>
      </c>
      <c r="K1905">
        <f>IF(OR($B1905="",NOT(ISNUMBER($D1905))),"",IF(AND($E1905&lt;$D$2,$G1905&lt;&gt;"X",$F1905&lt;&gt;"Réalisé",$F1905&lt;&gt;"Clôturé"),"RETARD",""))</f>
        <v/>
      </c>
      <c r="L1905">
        <f>IF(OR($B1905="",NOT(ISNUMBER($D1905))),"",IF(AND($D1905&gt;=$D$2,$D1905&lt;=$H$2,$G1905&lt;&gt;"X",$F1905&lt;&gt;"Réalisé",$F1905&lt;&gt;"Clôturé"),"≤ 7 j",""))</f>
        <v/>
      </c>
      <c r="M1905" s="29">
        <f>IF($B1905="","",IFERROR(INDEX($T$4:$T$3183,MATCH(SMALL($V$4:$V$3183,1902),$V$4:$V$3183,0)),""))</f>
        <v/>
      </c>
      <c r="O1905">
        <f>IF(INDEX(Suivi!$B:$B,1941)="","",INDEX(Suivi!$B:$B,1941))</f>
        <v/>
      </c>
      <c r="P1905">
        <f>IF($O1905="","",IF(INDEX(Suivi!$D:$D,1941)="",INDEX(Suivi!$C:$C,1941),INDEX(Suivi!$D:$D,1941)))</f>
        <v/>
      </c>
      <c r="Q1905">
        <f>IF($O1905="","",INDEX(Suivi!$E:$E,1941))</f>
        <v/>
      </c>
      <c r="R1905">
        <f>IF($O1905="","",INDEX(Suivi!$F:$F,1941))</f>
        <v/>
      </c>
      <c r="S1905">
        <f>IF($O1905="","",INDEX(Suivi!$G:$G,1941))</f>
        <v/>
      </c>
      <c r="T1905">
        <f>IF($O1905="","",IF(INDEX(Dossiers!$F$4:$F$63,36)="","",INDEX(Dossiers!$F$4:$F$63,36)))</f>
        <v/>
      </c>
      <c r="U1905">
        <f>IF($O1905="","",IF(INDEX(Dossiers!$G$4:$G$63,36)="","",INDEX(Dossiers!$G$4:$G$63,36)))</f>
        <v/>
      </c>
      <c r="V1905">
        <f>IF(OR($O1905="",NOT(ISNUMBER($Q1905))),"",$Q1905*1000000+1905)</f>
        <v/>
      </c>
      <c r="W1905" s="29">
        <f>IF($B1905="","",IFERROR(INDEX($U$4:$U$3183,MATCH(SMALL($V$4:$V$3183,1902),$V$4:$V$3183,0)),""))</f>
        <v/>
      </c>
    </row>
    <row r="1906">
      <c r="A1906">
        <f>IFERROR(INDEX($N$4:$N$3183,MATCH(SMALL($V$4:$V$3183,1903),$V$4:$V$3183,0)),"")</f>
        <v/>
      </c>
      <c r="B1906">
        <f>IFERROR(INDEX($O$4:$O$3183,MATCH(SMALL($V$4:$V$3183,1903),$V$4:$V$3183,0)),"")</f>
        <v/>
      </c>
      <c r="C1906">
        <f>IFERROR(INDEX($P$4:$P$3183,MATCH(SMALL($V$4:$V$3183,1903),$V$4:$V$3183,0)),"")</f>
        <v/>
      </c>
      <c r="D1906" s="29">
        <f>IFERROR(INDEX($Q$4:$Q$3183,MATCH(SMALL($V$4:$V$3183,1903),$V$4:$V$3183,0)),"")</f>
        <v/>
      </c>
      <c r="E1906" s="29">
        <f>IFERROR(INDEX($R$4:$R$3183,MATCH(SMALL($V$4:$V$3183,1903),$V$4:$V$3183,0)),"")</f>
        <v/>
      </c>
      <c r="F1906">
        <f>IFERROR(INDEX($S$4:$S$3183,MATCH(SMALL($V$4:$V$3183,1903),$V$4:$V$3183,0)),"")</f>
        <v/>
      </c>
      <c r="I1906" s="29">
        <f>IF($B1906="","",IFERROR(INDEX($U$4:$U$3183,MATCH(SMALL($V$4:$V$3183,1903),$V$4:$V$3183,0)),""))</f>
        <v/>
      </c>
      <c r="J1906">
        <f>IF($B1906="","",IF($D1906&gt;$F$2,"À venir",IF($E1906&lt;$D$2,"Passé","Dans la période")))</f>
        <v/>
      </c>
      <c r="K1906">
        <f>IF(OR($B1906="",NOT(ISNUMBER($D1906))),"",IF(AND($E1906&lt;$D$2,$G1906&lt;&gt;"X",$F1906&lt;&gt;"Réalisé",$F1906&lt;&gt;"Clôturé"),"RETARD",""))</f>
        <v/>
      </c>
      <c r="L1906">
        <f>IF(OR($B1906="",NOT(ISNUMBER($D1906))),"",IF(AND($D1906&gt;=$D$2,$D1906&lt;=$H$2,$G1906&lt;&gt;"X",$F1906&lt;&gt;"Réalisé",$F1906&lt;&gt;"Clôturé"),"≤ 7 j",""))</f>
        <v/>
      </c>
      <c r="M1906" s="29">
        <f>IF($B1906="","",IFERROR(INDEX($T$4:$T$3183,MATCH(SMALL($V$4:$V$3183,1903),$V$4:$V$3183,0)),""))</f>
        <v/>
      </c>
      <c r="O1906">
        <f>IF(INDEX(Suivi!$B:$B,1942)="","",INDEX(Suivi!$B:$B,1942))</f>
        <v/>
      </c>
      <c r="P1906">
        <f>IF($O1906="","",IF(INDEX(Suivi!$D:$D,1942)="",INDEX(Suivi!$C:$C,1942),INDEX(Suivi!$D:$D,1942)))</f>
        <v/>
      </c>
      <c r="Q1906">
        <f>IF($O1906="","",INDEX(Suivi!$E:$E,1942))</f>
        <v/>
      </c>
      <c r="R1906">
        <f>IF($O1906="","",INDEX(Suivi!$F:$F,1942))</f>
        <v/>
      </c>
      <c r="S1906">
        <f>IF($O1906="","",INDEX(Suivi!$G:$G,1942))</f>
        <v/>
      </c>
      <c r="T1906">
        <f>IF($O1906="","",IF(INDEX(Dossiers!$F$4:$F$63,36)="","",INDEX(Dossiers!$F$4:$F$63,36)))</f>
        <v/>
      </c>
      <c r="U1906">
        <f>IF($O1906="","",IF(INDEX(Dossiers!$G$4:$G$63,36)="","",INDEX(Dossiers!$G$4:$G$63,36)))</f>
        <v/>
      </c>
      <c r="V1906">
        <f>IF(OR($O1906="",NOT(ISNUMBER($Q1906))),"",$Q1906*1000000+1906)</f>
        <v/>
      </c>
      <c r="W1906" s="29">
        <f>IF($B1906="","",IFERROR(INDEX($U$4:$U$3183,MATCH(SMALL($V$4:$V$3183,1903),$V$4:$V$3183,0)),""))</f>
        <v/>
      </c>
    </row>
    <row r="1907">
      <c r="A1907">
        <f>IFERROR(INDEX($N$4:$N$3183,MATCH(SMALL($V$4:$V$3183,1904),$V$4:$V$3183,0)),"")</f>
        <v/>
      </c>
      <c r="B1907">
        <f>IFERROR(INDEX($O$4:$O$3183,MATCH(SMALL($V$4:$V$3183,1904),$V$4:$V$3183,0)),"")</f>
        <v/>
      </c>
      <c r="C1907">
        <f>IFERROR(INDEX($P$4:$P$3183,MATCH(SMALL($V$4:$V$3183,1904),$V$4:$V$3183,0)),"")</f>
        <v/>
      </c>
      <c r="D1907" s="29">
        <f>IFERROR(INDEX($Q$4:$Q$3183,MATCH(SMALL($V$4:$V$3183,1904),$V$4:$V$3183,0)),"")</f>
        <v/>
      </c>
      <c r="E1907" s="29">
        <f>IFERROR(INDEX($R$4:$R$3183,MATCH(SMALL($V$4:$V$3183,1904),$V$4:$V$3183,0)),"")</f>
        <v/>
      </c>
      <c r="F1907">
        <f>IFERROR(INDEX($S$4:$S$3183,MATCH(SMALL($V$4:$V$3183,1904),$V$4:$V$3183,0)),"")</f>
        <v/>
      </c>
      <c r="I1907" s="29">
        <f>IF($B1907="","",IFERROR(INDEX($U$4:$U$3183,MATCH(SMALL($V$4:$V$3183,1904),$V$4:$V$3183,0)),""))</f>
        <v/>
      </c>
      <c r="J1907">
        <f>IF($B1907="","",IF($D1907&gt;$F$2,"À venir",IF($E1907&lt;$D$2,"Passé","Dans la période")))</f>
        <v/>
      </c>
      <c r="K1907">
        <f>IF(OR($B1907="",NOT(ISNUMBER($D1907))),"",IF(AND($E1907&lt;$D$2,$G1907&lt;&gt;"X",$F1907&lt;&gt;"Réalisé",$F1907&lt;&gt;"Clôturé"),"RETARD",""))</f>
        <v/>
      </c>
      <c r="L1907">
        <f>IF(OR($B1907="",NOT(ISNUMBER($D1907))),"",IF(AND($D1907&gt;=$D$2,$D1907&lt;=$H$2,$G1907&lt;&gt;"X",$F1907&lt;&gt;"Réalisé",$F1907&lt;&gt;"Clôturé"),"≤ 7 j",""))</f>
        <v/>
      </c>
      <c r="M1907" s="29">
        <f>IF($B1907="","",IFERROR(INDEX($T$4:$T$3183,MATCH(SMALL($V$4:$V$3183,1904),$V$4:$V$3183,0)),""))</f>
        <v/>
      </c>
      <c r="O1907">
        <f>IF(INDEX(Suivi!$B:$B,1943)="","",INDEX(Suivi!$B:$B,1943))</f>
        <v/>
      </c>
      <c r="P1907">
        <f>IF($O1907="","",IF(INDEX(Suivi!$D:$D,1943)="",INDEX(Suivi!$C:$C,1943),INDEX(Suivi!$D:$D,1943)))</f>
        <v/>
      </c>
      <c r="Q1907">
        <f>IF($O1907="","",INDEX(Suivi!$E:$E,1943))</f>
        <v/>
      </c>
      <c r="R1907">
        <f>IF($O1907="","",INDEX(Suivi!$F:$F,1943))</f>
        <v/>
      </c>
      <c r="S1907">
        <f>IF($O1907="","",INDEX(Suivi!$G:$G,1943))</f>
        <v/>
      </c>
      <c r="T1907">
        <f>IF($O1907="","",IF(INDEX(Dossiers!$F$4:$F$63,36)="","",INDEX(Dossiers!$F$4:$F$63,36)))</f>
        <v/>
      </c>
      <c r="U1907">
        <f>IF($O1907="","",IF(INDEX(Dossiers!$G$4:$G$63,36)="","",INDEX(Dossiers!$G$4:$G$63,36)))</f>
        <v/>
      </c>
      <c r="V1907">
        <f>IF(OR($O1907="",NOT(ISNUMBER($Q1907))),"",$Q1907*1000000+1907)</f>
        <v/>
      </c>
      <c r="W1907" s="29">
        <f>IF($B1907="","",IFERROR(INDEX($U$4:$U$3183,MATCH(SMALL($V$4:$V$3183,1904),$V$4:$V$3183,0)),""))</f>
        <v/>
      </c>
    </row>
    <row r="1908">
      <c r="A1908">
        <f>IFERROR(INDEX($N$4:$N$3183,MATCH(SMALL($V$4:$V$3183,1905),$V$4:$V$3183,0)),"")</f>
        <v/>
      </c>
      <c r="B1908">
        <f>IFERROR(INDEX($O$4:$O$3183,MATCH(SMALL($V$4:$V$3183,1905),$V$4:$V$3183,0)),"")</f>
        <v/>
      </c>
      <c r="C1908">
        <f>IFERROR(INDEX($P$4:$P$3183,MATCH(SMALL($V$4:$V$3183,1905),$V$4:$V$3183,0)),"")</f>
        <v/>
      </c>
      <c r="D1908" s="29">
        <f>IFERROR(INDEX($Q$4:$Q$3183,MATCH(SMALL($V$4:$V$3183,1905),$V$4:$V$3183,0)),"")</f>
        <v/>
      </c>
      <c r="E1908" s="29">
        <f>IFERROR(INDEX($R$4:$R$3183,MATCH(SMALL($V$4:$V$3183,1905),$V$4:$V$3183,0)),"")</f>
        <v/>
      </c>
      <c r="F1908">
        <f>IFERROR(INDEX($S$4:$S$3183,MATCH(SMALL($V$4:$V$3183,1905),$V$4:$V$3183,0)),"")</f>
        <v/>
      </c>
      <c r="I1908" s="29">
        <f>IF($B1908="","",IFERROR(INDEX($U$4:$U$3183,MATCH(SMALL($V$4:$V$3183,1905),$V$4:$V$3183,0)),""))</f>
        <v/>
      </c>
      <c r="J1908">
        <f>IF($B1908="","",IF($D1908&gt;$F$2,"À venir",IF($E1908&lt;$D$2,"Passé","Dans la période")))</f>
        <v/>
      </c>
      <c r="K1908">
        <f>IF(OR($B1908="",NOT(ISNUMBER($D1908))),"",IF(AND($E1908&lt;$D$2,$G1908&lt;&gt;"X",$F1908&lt;&gt;"Réalisé",$F1908&lt;&gt;"Clôturé"),"RETARD",""))</f>
        <v/>
      </c>
      <c r="L1908">
        <f>IF(OR($B1908="",NOT(ISNUMBER($D1908))),"",IF(AND($D1908&gt;=$D$2,$D1908&lt;=$H$2,$G1908&lt;&gt;"X",$F1908&lt;&gt;"Réalisé",$F1908&lt;&gt;"Clôturé"),"≤ 7 j",""))</f>
        <v/>
      </c>
      <c r="M1908" s="29">
        <f>IF($B1908="","",IFERROR(INDEX($T$4:$T$3183,MATCH(SMALL($V$4:$V$3183,1905),$V$4:$V$3183,0)),""))</f>
        <v/>
      </c>
      <c r="O1908">
        <f>IF(INDEX(Suivi!$B:$B,1944)="","",INDEX(Suivi!$B:$B,1944))</f>
        <v/>
      </c>
      <c r="P1908">
        <f>IF($O1908="","",IF(INDEX(Suivi!$D:$D,1944)="",INDEX(Suivi!$C:$C,1944),INDEX(Suivi!$D:$D,1944)))</f>
        <v/>
      </c>
      <c r="Q1908">
        <f>IF($O1908="","",INDEX(Suivi!$E:$E,1944))</f>
        <v/>
      </c>
      <c r="R1908">
        <f>IF($O1908="","",INDEX(Suivi!$F:$F,1944))</f>
        <v/>
      </c>
      <c r="S1908">
        <f>IF($O1908="","",INDEX(Suivi!$G:$G,1944))</f>
        <v/>
      </c>
      <c r="T1908">
        <f>IF($O1908="","",IF(INDEX(Dossiers!$F$4:$F$63,36)="","",INDEX(Dossiers!$F$4:$F$63,36)))</f>
        <v/>
      </c>
      <c r="U1908">
        <f>IF($O1908="","",IF(INDEX(Dossiers!$G$4:$G$63,36)="","",INDEX(Dossiers!$G$4:$G$63,36)))</f>
        <v/>
      </c>
      <c r="V1908">
        <f>IF(OR($O1908="",NOT(ISNUMBER($Q1908))),"",$Q1908*1000000+1908)</f>
        <v/>
      </c>
      <c r="W1908" s="29">
        <f>IF($B1908="","",IFERROR(INDEX($U$4:$U$3183,MATCH(SMALL($V$4:$V$3183,1905),$V$4:$V$3183,0)),""))</f>
        <v/>
      </c>
    </row>
    <row r="1909">
      <c r="A1909">
        <f>IFERROR(INDEX($N$4:$N$3183,MATCH(SMALL($V$4:$V$3183,1906),$V$4:$V$3183,0)),"")</f>
        <v/>
      </c>
      <c r="B1909">
        <f>IFERROR(INDEX($O$4:$O$3183,MATCH(SMALL($V$4:$V$3183,1906),$V$4:$V$3183,0)),"")</f>
        <v/>
      </c>
      <c r="C1909">
        <f>IFERROR(INDEX($P$4:$P$3183,MATCH(SMALL($V$4:$V$3183,1906),$V$4:$V$3183,0)),"")</f>
        <v/>
      </c>
      <c r="D1909" s="29">
        <f>IFERROR(INDEX($Q$4:$Q$3183,MATCH(SMALL($V$4:$V$3183,1906),$V$4:$V$3183,0)),"")</f>
        <v/>
      </c>
      <c r="E1909" s="29">
        <f>IFERROR(INDEX($R$4:$R$3183,MATCH(SMALL($V$4:$V$3183,1906),$V$4:$V$3183,0)),"")</f>
        <v/>
      </c>
      <c r="F1909">
        <f>IFERROR(INDEX($S$4:$S$3183,MATCH(SMALL($V$4:$V$3183,1906),$V$4:$V$3183,0)),"")</f>
        <v/>
      </c>
      <c r="I1909" s="29">
        <f>IF($B1909="","",IFERROR(INDEX($U$4:$U$3183,MATCH(SMALL($V$4:$V$3183,1906),$V$4:$V$3183,0)),""))</f>
        <v/>
      </c>
      <c r="J1909">
        <f>IF($B1909="","",IF($D1909&gt;$F$2,"À venir",IF($E1909&lt;$D$2,"Passé","Dans la période")))</f>
        <v/>
      </c>
      <c r="K1909">
        <f>IF(OR($B1909="",NOT(ISNUMBER($D1909))),"",IF(AND($E1909&lt;$D$2,$G1909&lt;&gt;"X",$F1909&lt;&gt;"Réalisé",$F1909&lt;&gt;"Clôturé"),"RETARD",""))</f>
        <v/>
      </c>
      <c r="L1909">
        <f>IF(OR($B1909="",NOT(ISNUMBER($D1909))),"",IF(AND($D1909&gt;=$D$2,$D1909&lt;=$H$2,$G1909&lt;&gt;"X",$F1909&lt;&gt;"Réalisé",$F1909&lt;&gt;"Clôturé"),"≤ 7 j",""))</f>
        <v/>
      </c>
      <c r="M1909" s="29">
        <f>IF($B1909="","",IFERROR(INDEX($T$4:$T$3183,MATCH(SMALL($V$4:$V$3183,1906),$V$4:$V$3183,0)),""))</f>
        <v/>
      </c>
      <c r="O1909">
        <f>IF(INDEX(Suivi!$B:$B,1945)="","",INDEX(Suivi!$B:$B,1945))</f>
        <v/>
      </c>
      <c r="P1909">
        <f>IF($O1909="","",IF(INDEX(Suivi!$D:$D,1945)="",INDEX(Suivi!$C:$C,1945),INDEX(Suivi!$D:$D,1945)))</f>
        <v/>
      </c>
      <c r="Q1909">
        <f>IF($O1909="","",INDEX(Suivi!$E:$E,1945))</f>
        <v/>
      </c>
      <c r="R1909">
        <f>IF($O1909="","",INDEX(Suivi!$F:$F,1945))</f>
        <v/>
      </c>
      <c r="S1909">
        <f>IF($O1909="","",INDEX(Suivi!$G:$G,1945))</f>
        <v/>
      </c>
      <c r="T1909">
        <f>IF($O1909="","",IF(INDEX(Dossiers!$F$4:$F$63,36)="","",INDEX(Dossiers!$F$4:$F$63,36)))</f>
        <v/>
      </c>
      <c r="U1909">
        <f>IF($O1909="","",IF(INDEX(Dossiers!$G$4:$G$63,36)="","",INDEX(Dossiers!$G$4:$G$63,36)))</f>
        <v/>
      </c>
      <c r="V1909">
        <f>IF(OR($O1909="",NOT(ISNUMBER($Q1909))),"",$Q1909*1000000+1909)</f>
        <v/>
      </c>
      <c r="W1909" s="29">
        <f>IF($B1909="","",IFERROR(INDEX($U$4:$U$3183,MATCH(SMALL($V$4:$V$3183,1906),$V$4:$V$3183,0)),""))</f>
        <v/>
      </c>
    </row>
    <row r="1910">
      <c r="A1910">
        <f>IFERROR(INDEX($N$4:$N$3183,MATCH(SMALL($V$4:$V$3183,1907),$V$4:$V$3183,0)),"")</f>
        <v/>
      </c>
      <c r="B1910">
        <f>IFERROR(INDEX($O$4:$O$3183,MATCH(SMALL($V$4:$V$3183,1907),$V$4:$V$3183,0)),"")</f>
        <v/>
      </c>
      <c r="C1910">
        <f>IFERROR(INDEX($P$4:$P$3183,MATCH(SMALL($V$4:$V$3183,1907),$V$4:$V$3183,0)),"")</f>
        <v/>
      </c>
      <c r="D1910" s="29">
        <f>IFERROR(INDEX($Q$4:$Q$3183,MATCH(SMALL($V$4:$V$3183,1907),$V$4:$V$3183,0)),"")</f>
        <v/>
      </c>
      <c r="E1910" s="29">
        <f>IFERROR(INDEX($R$4:$R$3183,MATCH(SMALL($V$4:$V$3183,1907),$V$4:$V$3183,0)),"")</f>
        <v/>
      </c>
      <c r="F1910">
        <f>IFERROR(INDEX($S$4:$S$3183,MATCH(SMALL($V$4:$V$3183,1907),$V$4:$V$3183,0)),"")</f>
        <v/>
      </c>
      <c r="I1910" s="29">
        <f>IF($B1910="","",IFERROR(INDEX($U$4:$U$3183,MATCH(SMALL($V$4:$V$3183,1907),$V$4:$V$3183,0)),""))</f>
        <v/>
      </c>
      <c r="J1910">
        <f>IF($B1910="","",IF($D1910&gt;$F$2,"À venir",IF($E1910&lt;$D$2,"Passé","Dans la période")))</f>
        <v/>
      </c>
      <c r="K1910">
        <f>IF(OR($B1910="",NOT(ISNUMBER($D1910))),"",IF(AND($E1910&lt;$D$2,$G1910&lt;&gt;"X",$F1910&lt;&gt;"Réalisé",$F1910&lt;&gt;"Clôturé"),"RETARD",""))</f>
        <v/>
      </c>
      <c r="L1910">
        <f>IF(OR($B1910="",NOT(ISNUMBER($D1910))),"",IF(AND($D1910&gt;=$D$2,$D1910&lt;=$H$2,$G1910&lt;&gt;"X",$F1910&lt;&gt;"Réalisé",$F1910&lt;&gt;"Clôturé"),"≤ 7 j",""))</f>
        <v/>
      </c>
      <c r="M1910" s="29">
        <f>IF($B1910="","",IFERROR(INDEX($T$4:$T$3183,MATCH(SMALL($V$4:$V$3183,1907),$V$4:$V$3183,0)),""))</f>
        <v/>
      </c>
      <c r="O1910">
        <f>IF(INDEX(Suivi!$B:$B,1946)="","",INDEX(Suivi!$B:$B,1946))</f>
        <v/>
      </c>
      <c r="P1910">
        <f>IF($O1910="","",IF(INDEX(Suivi!$D:$D,1946)="",INDEX(Suivi!$C:$C,1946),INDEX(Suivi!$D:$D,1946)))</f>
        <v/>
      </c>
      <c r="Q1910">
        <f>IF($O1910="","",INDEX(Suivi!$E:$E,1946))</f>
        <v/>
      </c>
      <c r="R1910">
        <f>IF($O1910="","",INDEX(Suivi!$F:$F,1946))</f>
        <v/>
      </c>
      <c r="S1910">
        <f>IF($O1910="","",INDEX(Suivi!$G:$G,1946))</f>
        <v/>
      </c>
      <c r="T1910">
        <f>IF($O1910="","",IF(INDEX(Dossiers!$F$4:$F$63,36)="","",INDEX(Dossiers!$F$4:$F$63,36)))</f>
        <v/>
      </c>
      <c r="U1910">
        <f>IF($O1910="","",IF(INDEX(Dossiers!$G$4:$G$63,36)="","",INDEX(Dossiers!$G$4:$G$63,36)))</f>
        <v/>
      </c>
      <c r="V1910">
        <f>IF(OR($O1910="",NOT(ISNUMBER($Q1910))),"",$Q1910*1000000+1910)</f>
        <v/>
      </c>
      <c r="W1910" s="29">
        <f>IF($B1910="","",IFERROR(INDEX($U$4:$U$3183,MATCH(SMALL($V$4:$V$3183,1907),$V$4:$V$3183,0)),""))</f>
        <v/>
      </c>
    </row>
    <row r="1911">
      <c r="A1911">
        <f>IFERROR(INDEX($N$4:$N$3183,MATCH(SMALL($V$4:$V$3183,1908),$V$4:$V$3183,0)),"")</f>
        <v/>
      </c>
      <c r="B1911">
        <f>IFERROR(INDEX($O$4:$O$3183,MATCH(SMALL($V$4:$V$3183,1908),$V$4:$V$3183,0)),"")</f>
        <v/>
      </c>
      <c r="C1911">
        <f>IFERROR(INDEX($P$4:$P$3183,MATCH(SMALL($V$4:$V$3183,1908),$V$4:$V$3183,0)),"")</f>
        <v/>
      </c>
      <c r="D1911" s="29">
        <f>IFERROR(INDEX($Q$4:$Q$3183,MATCH(SMALL($V$4:$V$3183,1908),$V$4:$V$3183,0)),"")</f>
        <v/>
      </c>
      <c r="E1911" s="29">
        <f>IFERROR(INDEX($R$4:$R$3183,MATCH(SMALL($V$4:$V$3183,1908),$V$4:$V$3183,0)),"")</f>
        <v/>
      </c>
      <c r="F1911">
        <f>IFERROR(INDEX($S$4:$S$3183,MATCH(SMALL($V$4:$V$3183,1908),$V$4:$V$3183,0)),"")</f>
        <v/>
      </c>
      <c r="I1911" s="29">
        <f>IF($B1911="","",IFERROR(INDEX($U$4:$U$3183,MATCH(SMALL($V$4:$V$3183,1908),$V$4:$V$3183,0)),""))</f>
        <v/>
      </c>
      <c r="J1911">
        <f>IF($B1911="","",IF($D1911&gt;$F$2,"À venir",IF($E1911&lt;$D$2,"Passé","Dans la période")))</f>
        <v/>
      </c>
      <c r="K1911">
        <f>IF(OR($B1911="",NOT(ISNUMBER($D1911))),"",IF(AND($E1911&lt;$D$2,$G1911&lt;&gt;"X",$F1911&lt;&gt;"Réalisé",$F1911&lt;&gt;"Clôturé"),"RETARD",""))</f>
        <v/>
      </c>
      <c r="L1911">
        <f>IF(OR($B1911="",NOT(ISNUMBER($D1911))),"",IF(AND($D1911&gt;=$D$2,$D1911&lt;=$H$2,$G1911&lt;&gt;"X",$F1911&lt;&gt;"Réalisé",$F1911&lt;&gt;"Clôturé"),"≤ 7 j",""))</f>
        <v/>
      </c>
      <c r="M1911" s="29">
        <f>IF($B1911="","",IFERROR(INDEX($T$4:$T$3183,MATCH(SMALL($V$4:$V$3183,1908),$V$4:$V$3183,0)),""))</f>
        <v/>
      </c>
      <c r="O1911">
        <f>IF(INDEX(Suivi!$B:$B,1947)="","",INDEX(Suivi!$B:$B,1947))</f>
        <v/>
      </c>
      <c r="P1911">
        <f>IF($O1911="","",IF(INDEX(Suivi!$D:$D,1947)="",INDEX(Suivi!$C:$C,1947),INDEX(Suivi!$D:$D,1947)))</f>
        <v/>
      </c>
      <c r="Q1911">
        <f>IF($O1911="","",INDEX(Suivi!$E:$E,1947))</f>
        <v/>
      </c>
      <c r="R1911">
        <f>IF($O1911="","",INDEX(Suivi!$F:$F,1947))</f>
        <v/>
      </c>
      <c r="S1911">
        <f>IF($O1911="","",INDEX(Suivi!$G:$G,1947))</f>
        <v/>
      </c>
      <c r="T1911">
        <f>IF($O1911="","",IF(INDEX(Dossiers!$F$4:$F$63,36)="","",INDEX(Dossiers!$F$4:$F$63,36)))</f>
        <v/>
      </c>
      <c r="U1911">
        <f>IF($O1911="","",IF(INDEX(Dossiers!$G$4:$G$63,36)="","",INDEX(Dossiers!$G$4:$G$63,36)))</f>
        <v/>
      </c>
      <c r="V1911">
        <f>IF(OR($O1911="",NOT(ISNUMBER($Q1911))),"",$Q1911*1000000+1911)</f>
        <v/>
      </c>
      <c r="W1911" s="29">
        <f>IF($B1911="","",IFERROR(INDEX($U$4:$U$3183,MATCH(SMALL($V$4:$V$3183,1908),$V$4:$V$3183,0)),""))</f>
        <v/>
      </c>
    </row>
    <row r="1912">
      <c r="A1912">
        <f>IFERROR(INDEX($N$4:$N$3183,MATCH(SMALL($V$4:$V$3183,1909),$V$4:$V$3183,0)),"")</f>
        <v/>
      </c>
      <c r="B1912">
        <f>IFERROR(INDEX($O$4:$O$3183,MATCH(SMALL($V$4:$V$3183,1909),$V$4:$V$3183,0)),"")</f>
        <v/>
      </c>
      <c r="C1912">
        <f>IFERROR(INDEX($P$4:$P$3183,MATCH(SMALL($V$4:$V$3183,1909),$V$4:$V$3183,0)),"")</f>
        <v/>
      </c>
      <c r="D1912" s="29">
        <f>IFERROR(INDEX($Q$4:$Q$3183,MATCH(SMALL($V$4:$V$3183,1909),$V$4:$V$3183,0)),"")</f>
        <v/>
      </c>
      <c r="E1912" s="29">
        <f>IFERROR(INDEX($R$4:$R$3183,MATCH(SMALL($V$4:$V$3183,1909),$V$4:$V$3183,0)),"")</f>
        <v/>
      </c>
      <c r="F1912">
        <f>IFERROR(INDEX($S$4:$S$3183,MATCH(SMALL($V$4:$V$3183,1909),$V$4:$V$3183,0)),"")</f>
        <v/>
      </c>
      <c r="I1912" s="29">
        <f>IF($B1912="","",IFERROR(INDEX($U$4:$U$3183,MATCH(SMALL($V$4:$V$3183,1909),$V$4:$V$3183,0)),""))</f>
        <v/>
      </c>
      <c r="J1912">
        <f>IF($B1912="","",IF($D1912&gt;$F$2,"À venir",IF($E1912&lt;$D$2,"Passé","Dans la période")))</f>
        <v/>
      </c>
      <c r="K1912">
        <f>IF(OR($B1912="",NOT(ISNUMBER($D1912))),"",IF(AND($E1912&lt;$D$2,$G1912&lt;&gt;"X",$F1912&lt;&gt;"Réalisé",$F1912&lt;&gt;"Clôturé"),"RETARD",""))</f>
        <v/>
      </c>
      <c r="L1912">
        <f>IF(OR($B1912="",NOT(ISNUMBER($D1912))),"",IF(AND($D1912&gt;=$D$2,$D1912&lt;=$H$2,$G1912&lt;&gt;"X",$F1912&lt;&gt;"Réalisé",$F1912&lt;&gt;"Clôturé"),"≤ 7 j",""))</f>
        <v/>
      </c>
      <c r="M1912" s="29">
        <f>IF($B1912="","",IFERROR(INDEX($T$4:$T$3183,MATCH(SMALL($V$4:$V$3183,1909),$V$4:$V$3183,0)),""))</f>
        <v/>
      </c>
      <c r="O1912">
        <f>IF(INDEX(Suivi!$B:$B,1949)="","",INDEX(Suivi!$B:$B,1949))</f>
        <v/>
      </c>
      <c r="P1912">
        <f>IF($O1912="","",IF(INDEX(Suivi!$D:$D,1949)="",INDEX(Suivi!$C:$C,1949),INDEX(Suivi!$D:$D,1949)))</f>
        <v/>
      </c>
      <c r="Q1912">
        <f>IF($O1912="","",INDEX(Suivi!$E:$E,1949))</f>
        <v/>
      </c>
      <c r="R1912">
        <f>IF($O1912="","",INDEX(Suivi!$F:$F,1949))</f>
        <v/>
      </c>
      <c r="S1912">
        <f>IF($O1912="","",INDEX(Suivi!$G:$G,1949))</f>
        <v/>
      </c>
      <c r="T1912">
        <f>IF($O1912="","",IF(INDEX(Dossiers!$F$4:$F$63,37)="","",INDEX(Dossiers!$F$4:$F$63,37)))</f>
        <v/>
      </c>
      <c r="U1912">
        <f>IF($O1912="","",IF(INDEX(Dossiers!$G$4:$G$63,37)="","",INDEX(Dossiers!$G$4:$G$63,37)))</f>
        <v/>
      </c>
      <c r="V1912">
        <f>IF(OR($O1912="",NOT(ISNUMBER($Q1912))),"",$Q1912*1000000+1912)</f>
        <v/>
      </c>
      <c r="W1912" s="29">
        <f>IF($B1912="","",IFERROR(INDEX($U$4:$U$3183,MATCH(SMALL($V$4:$V$3183,1909),$V$4:$V$3183,0)),""))</f>
        <v/>
      </c>
    </row>
    <row r="1913">
      <c r="A1913">
        <f>IFERROR(INDEX($N$4:$N$3183,MATCH(SMALL($V$4:$V$3183,1910),$V$4:$V$3183,0)),"")</f>
        <v/>
      </c>
      <c r="B1913">
        <f>IFERROR(INDEX($O$4:$O$3183,MATCH(SMALL($V$4:$V$3183,1910),$V$4:$V$3183,0)),"")</f>
        <v/>
      </c>
      <c r="C1913">
        <f>IFERROR(INDEX($P$4:$P$3183,MATCH(SMALL($V$4:$V$3183,1910),$V$4:$V$3183,0)),"")</f>
        <v/>
      </c>
      <c r="D1913" s="29">
        <f>IFERROR(INDEX($Q$4:$Q$3183,MATCH(SMALL($V$4:$V$3183,1910),$V$4:$V$3183,0)),"")</f>
        <v/>
      </c>
      <c r="E1913" s="29">
        <f>IFERROR(INDEX($R$4:$R$3183,MATCH(SMALL($V$4:$V$3183,1910),$V$4:$V$3183,0)),"")</f>
        <v/>
      </c>
      <c r="F1913">
        <f>IFERROR(INDEX($S$4:$S$3183,MATCH(SMALL($V$4:$V$3183,1910),$V$4:$V$3183,0)),"")</f>
        <v/>
      </c>
      <c r="I1913" s="29">
        <f>IF($B1913="","",IFERROR(INDEX($U$4:$U$3183,MATCH(SMALL($V$4:$V$3183,1910),$V$4:$V$3183,0)),""))</f>
        <v/>
      </c>
      <c r="J1913">
        <f>IF($B1913="","",IF($D1913&gt;$F$2,"À venir",IF($E1913&lt;$D$2,"Passé","Dans la période")))</f>
        <v/>
      </c>
      <c r="K1913">
        <f>IF(OR($B1913="",NOT(ISNUMBER($D1913))),"",IF(AND($E1913&lt;$D$2,$G1913&lt;&gt;"X",$F1913&lt;&gt;"Réalisé",$F1913&lt;&gt;"Clôturé"),"RETARD",""))</f>
        <v/>
      </c>
      <c r="L1913">
        <f>IF(OR($B1913="",NOT(ISNUMBER($D1913))),"",IF(AND($D1913&gt;=$D$2,$D1913&lt;=$H$2,$G1913&lt;&gt;"X",$F1913&lt;&gt;"Réalisé",$F1913&lt;&gt;"Clôturé"),"≤ 7 j",""))</f>
        <v/>
      </c>
      <c r="M1913" s="29">
        <f>IF($B1913="","",IFERROR(INDEX($T$4:$T$3183,MATCH(SMALL($V$4:$V$3183,1910),$V$4:$V$3183,0)),""))</f>
        <v/>
      </c>
      <c r="O1913">
        <f>IF(INDEX(Suivi!$B:$B,1950)="","",INDEX(Suivi!$B:$B,1950))</f>
        <v/>
      </c>
      <c r="P1913">
        <f>IF($O1913="","",IF(INDEX(Suivi!$D:$D,1950)="",INDEX(Suivi!$C:$C,1950),INDEX(Suivi!$D:$D,1950)))</f>
        <v/>
      </c>
      <c r="Q1913">
        <f>IF($O1913="","",INDEX(Suivi!$E:$E,1950))</f>
        <v/>
      </c>
      <c r="R1913">
        <f>IF($O1913="","",INDEX(Suivi!$F:$F,1950))</f>
        <v/>
      </c>
      <c r="S1913">
        <f>IF($O1913="","",INDEX(Suivi!$G:$G,1950))</f>
        <v/>
      </c>
      <c r="T1913">
        <f>IF($O1913="","",IF(INDEX(Dossiers!$F$4:$F$63,37)="","",INDEX(Dossiers!$F$4:$F$63,37)))</f>
        <v/>
      </c>
      <c r="U1913">
        <f>IF($O1913="","",IF(INDEX(Dossiers!$G$4:$G$63,37)="","",INDEX(Dossiers!$G$4:$G$63,37)))</f>
        <v/>
      </c>
      <c r="V1913">
        <f>IF(OR($O1913="",NOT(ISNUMBER($Q1913))),"",$Q1913*1000000+1913)</f>
        <v/>
      </c>
      <c r="W1913" s="29">
        <f>IF($B1913="","",IFERROR(INDEX($U$4:$U$3183,MATCH(SMALL($V$4:$V$3183,1910),$V$4:$V$3183,0)),""))</f>
        <v/>
      </c>
    </row>
    <row r="1914">
      <c r="A1914">
        <f>IFERROR(INDEX($N$4:$N$3183,MATCH(SMALL($V$4:$V$3183,1911),$V$4:$V$3183,0)),"")</f>
        <v/>
      </c>
      <c r="B1914">
        <f>IFERROR(INDEX($O$4:$O$3183,MATCH(SMALL($V$4:$V$3183,1911),$V$4:$V$3183,0)),"")</f>
        <v/>
      </c>
      <c r="C1914">
        <f>IFERROR(INDEX($P$4:$P$3183,MATCH(SMALL($V$4:$V$3183,1911),$V$4:$V$3183,0)),"")</f>
        <v/>
      </c>
      <c r="D1914" s="29">
        <f>IFERROR(INDEX($Q$4:$Q$3183,MATCH(SMALL($V$4:$V$3183,1911),$V$4:$V$3183,0)),"")</f>
        <v/>
      </c>
      <c r="E1914" s="29">
        <f>IFERROR(INDEX($R$4:$R$3183,MATCH(SMALL($V$4:$V$3183,1911),$V$4:$V$3183,0)),"")</f>
        <v/>
      </c>
      <c r="F1914">
        <f>IFERROR(INDEX($S$4:$S$3183,MATCH(SMALL($V$4:$V$3183,1911),$V$4:$V$3183,0)),"")</f>
        <v/>
      </c>
      <c r="I1914" s="29">
        <f>IF($B1914="","",IFERROR(INDEX($U$4:$U$3183,MATCH(SMALL($V$4:$V$3183,1911),$V$4:$V$3183,0)),""))</f>
        <v/>
      </c>
      <c r="J1914">
        <f>IF($B1914="","",IF($D1914&gt;$F$2,"À venir",IF($E1914&lt;$D$2,"Passé","Dans la période")))</f>
        <v/>
      </c>
      <c r="K1914">
        <f>IF(OR($B1914="",NOT(ISNUMBER($D1914))),"",IF(AND($E1914&lt;$D$2,$G1914&lt;&gt;"X",$F1914&lt;&gt;"Réalisé",$F1914&lt;&gt;"Clôturé"),"RETARD",""))</f>
        <v/>
      </c>
      <c r="L1914">
        <f>IF(OR($B1914="",NOT(ISNUMBER($D1914))),"",IF(AND($D1914&gt;=$D$2,$D1914&lt;=$H$2,$G1914&lt;&gt;"X",$F1914&lt;&gt;"Réalisé",$F1914&lt;&gt;"Clôturé"),"≤ 7 j",""))</f>
        <v/>
      </c>
      <c r="M1914" s="29">
        <f>IF($B1914="","",IFERROR(INDEX($T$4:$T$3183,MATCH(SMALL($V$4:$V$3183,1911),$V$4:$V$3183,0)),""))</f>
        <v/>
      </c>
      <c r="O1914">
        <f>IF(INDEX(Suivi!$B:$B,1951)="","",INDEX(Suivi!$B:$B,1951))</f>
        <v/>
      </c>
      <c r="P1914">
        <f>IF($O1914="","",IF(INDEX(Suivi!$D:$D,1951)="",INDEX(Suivi!$C:$C,1951),INDEX(Suivi!$D:$D,1951)))</f>
        <v/>
      </c>
      <c r="Q1914">
        <f>IF($O1914="","",INDEX(Suivi!$E:$E,1951))</f>
        <v/>
      </c>
      <c r="R1914">
        <f>IF($O1914="","",INDEX(Suivi!$F:$F,1951))</f>
        <v/>
      </c>
      <c r="S1914">
        <f>IF($O1914="","",INDEX(Suivi!$G:$G,1951))</f>
        <v/>
      </c>
      <c r="T1914">
        <f>IF($O1914="","",IF(INDEX(Dossiers!$F$4:$F$63,37)="","",INDEX(Dossiers!$F$4:$F$63,37)))</f>
        <v/>
      </c>
      <c r="U1914">
        <f>IF($O1914="","",IF(INDEX(Dossiers!$G$4:$G$63,37)="","",INDEX(Dossiers!$G$4:$G$63,37)))</f>
        <v/>
      </c>
      <c r="V1914">
        <f>IF(OR($O1914="",NOT(ISNUMBER($Q1914))),"",$Q1914*1000000+1914)</f>
        <v/>
      </c>
      <c r="W1914" s="29">
        <f>IF($B1914="","",IFERROR(INDEX($U$4:$U$3183,MATCH(SMALL($V$4:$V$3183,1911),$V$4:$V$3183,0)),""))</f>
        <v/>
      </c>
    </row>
    <row r="1915">
      <c r="A1915">
        <f>IFERROR(INDEX($N$4:$N$3183,MATCH(SMALL($V$4:$V$3183,1912),$V$4:$V$3183,0)),"")</f>
        <v/>
      </c>
      <c r="B1915">
        <f>IFERROR(INDEX($O$4:$O$3183,MATCH(SMALL($V$4:$V$3183,1912),$V$4:$V$3183,0)),"")</f>
        <v/>
      </c>
      <c r="C1915">
        <f>IFERROR(INDEX($P$4:$P$3183,MATCH(SMALL($V$4:$V$3183,1912),$V$4:$V$3183,0)),"")</f>
        <v/>
      </c>
      <c r="D1915" s="29">
        <f>IFERROR(INDEX($Q$4:$Q$3183,MATCH(SMALL($V$4:$V$3183,1912),$V$4:$V$3183,0)),"")</f>
        <v/>
      </c>
      <c r="E1915" s="29">
        <f>IFERROR(INDEX($R$4:$R$3183,MATCH(SMALL($V$4:$V$3183,1912),$V$4:$V$3183,0)),"")</f>
        <v/>
      </c>
      <c r="F1915">
        <f>IFERROR(INDEX($S$4:$S$3183,MATCH(SMALL($V$4:$V$3183,1912),$V$4:$V$3183,0)),"")</f>
        <v/>
      </c>
      <c r="I1915" s="29">
        <f>IF($B1915="","",IFERROR(INDEX($U$4:$U$3183,MATCH(SMALL($V$4:$V$3183,1912),$V$4:$V$3183,0)),""))</f>
        <v/>
      </c>
      <c r="J1915">
        <f>IF($B1915="","",IF($D1915&gt;$F$2,"À venir",IF($E1915&lt;$D$2,"Passé","Dans la période")))</f>
        <v/>
      </c>
      <c r="K1915">
        <f>IF(OR($B1915="",NOT(ISNUMBER($D1915))),"",IF(AND($E1915&lt;$D$2,$G1915&lt;&gt;"X",$F1915&lt;&gt;"Réalisé",$F1915&lt;&gt;"Clôturé"),"RETARD",""))</f>
        <v/>
      </c>
      <c r="L1915">
        <f>IF(OR($B1915="",NOT(ISNUMBER($D1915))),"",IF(AND($D1915&gt;=$D$2,$D1915&lt;=$H$2,$G1915&lt;&gt;"X",$F1915&lt;&gt;"Réalisé",$F1915&lt;&gt;"Clôturé"),"≤ 7 j",""))</f>
        <v/>
      </c>
      <c r="M1915" s="29">
        <f>IF($B1915="","",IFERROR(INDEX($T$4:$T$3183,MATCH(SMALL($V$4:$V$3183,1912),$V$4:$V$3183,0)),""))</f>
        <v/>
      </c>
      <c r="O1915">
        <f>IF(INDEX(Suivi!$B:$B,1952)="","",INDEX(Suivi!$B:$B,1952))</f>
        <v/>
      </c>
      <c r="P1915">
        <f>IF($O1915="","",IF(INDEX(Suivi!$D:$D,1952)="",INDEX(Suivi!$C:$C,1952),INDEX(Suivi!$D:$D,1952)))</f>
        <v/>
      </c>
      <c r="Q1915">
        <f>IF($O1915="","",INDEX(Suivi!$E:$E,1952))</f>
        <v/>
      </c>
      <c r="R1915">
        <f>IF($O1915="","",INDEX(Suivi!$F:$F,1952))</f>
        <v/>
      </c>
      <c r="S1915">
        <f>IF($O1915="","",INDEX(Suivi!$G:$G,1952))</f>
        <v/>
      </c>
      <c r="T1915">
        <f>IF($O1915="","",IF(INDEX(Dossiers!$F$4:$F$63,37)="","",INDEX(Dossiers!$F$4:$F$63,37)))</f>
        <v/>
      </c>
      <c r="U1915">
        <f>IF($O1915="","",IF(INDEX(Dossiers!$G$4:$G$63,37)="","",INDEX(Dossiers!$G$4:$G$63,37)))</f>
        <v/>
      </c>
      <c r="V1915">
        <f>IF(OR($O1915="",NOT(ISNUMBER($Q1915))),"",$Q1915*1000000+1915)</f>
        <v/>
      </c>
      <c r="W1915" s="29">
        <f>IF($B1915="","",IFERROR(INDEX($U$4:$U$3183,MATCH(SMALL($V$4:$V$3183,1912),$V$4:$V$3183,0)),""))</f>
        <v/>
      </c>
    </row>
    <row r="1916">
      <c r="A1916">
        <f>IFERROR(INDEX($N$4:$N$3183,MATCH(SMALL($V$4:$V$3183,1913),$V$4:$V$3183,0)),"")</f>
        <v/>
      </c>
      <c r="B1916">
        <f>IFERROR(INDEX($O$4:$O$3183,MATCH(SMALL($V$4:$V$3183,1913),$V$4:$V$3183,0)),"")</f>
        <v/>
      </c>
      <c r="C1916">
        <f>IFERROR(INDEX($P$4:$P$3183,MATCH(SMALL($V$4:$V$3183,1913),$V$4:$V$3183,0)),"")</f>
        <v/>
      </c>
      <c r="D1916" s="29">
        <f>IFERROR(INDEX($Q$4:$Q$3183,MATCH(SMALL($V$4:$V$3183,1913),$V$4:$V$3183,0)),"")</f>
        <v/>
      </c>
      <c r="E1916" s="29">
        <f>IFERROR(INDEX($R$4:$R$3183,MATCH(SMALL($V$4:$V$3183,1913),$V$4:$V$3183,0)),"")</f>
        <v/>
      </c>
      <c r="F1916">
        <f>IFERROR(INDEX($S$4:$S$3183,MATCH(SMALL($V$4:$V$3183,1913),$V$4:$V$3183,0)),"")</f>
        <v/>
      </c>
      <c r="I1916" s="29">
        <f>IF($B1916="","",IFERROR(INDEX($U$4:$U$3183,MATCH(SMALL($V$4:$V$3183,1913),$V$4:$V$3183,0)),""))</f>
        <v/>
      </c>
      <c r="J1916">
        <f>IF($B1916="","",IF($D1916&gt;$F$2,"À venir",IF($E1916&lt;$D$2,"Passé","Dans la période")))</f>
        <v/>
      </c>
      <c r="K1916">
        <f>IF(OR($B1916="",NOT(ISNUMBER($D1916))),"",IF(AND($E1916&lt;$D$2,$G1916&lt;&gt;"X",$F1916&lt;&gt;"Réalisé",$F1916&lt;&gt;"Clôturé"),"RETARD",""))</f>
        <v/>
      </c>
      <c r="L1916">
        <f>IF(OR($B1916="",NOT(ISNUMBER($D1916))),"",IF(AND($D1916&gt;=$D$2,$D1916&lt;=$H$2,$G1916&lt;&gt;"X",$F1916&lt;&gt;"Réalisé",$F1916&lt;&gt;"Clôturé"),"≤ 7 j",""))</f>
        <v/>
      </c>
      <c r="M1916" s="29">
        <f>IF($B1916="","",IFERROR(INDEX($T$4:$T$3183,MATCH(SMALL($V$4:$V$3183,1913),$V$4:$V$3183,0)),""))</f>
        <v/>
      </c>
      <c r="O1916">
        <f>IF(INDEX(Suivi!$B:$B,1953)="","",INDEX(Suivi!$B:$B,1953))</f>
        <v/>
      </c>
      <c r="P1916">
        <f>IF($O1916="","",IF(INDEX(Suivi!$D:$D,1953)="",INDEX(Suivi!$C:$C,1953),INDEX(Suivi!$D:$D,1953)))</f>
        <v/>
      </c>
      <c r="Q1916">
        <f>IF($O1916="","",INDEX(Suivi!$E:$E,1953))</f>
        <v/>
      </c>
      <c r="R1916">
        <f>IF($O1916="","",INDEX(Suivi!$F:$F,1953))</f>
        <v/>
      </c>
      <c r="S1916">
        <f>IF($O1916="","",INDEX(Suivi!$G:$G,1953))</f>
        <v/>
      </c>
      <c r="T1916">
        <f>IF($O1916="","",IF(INDEX(Dossiers!$F$4:$F$63,37)="","",INDEX(Dossiers!$F$4:$F$63,37)))</f>
        <v/>
      </c>
      <c r="U1916">
        <f>IF($O1916="","",IF(INDEX(Dossiers!$G$4:$G$63,37)="","",INDEX(Dossiers!$G$4:$G$63,37)))</f>
        <v/>
      </c>
      <c r="V1916">
        <f>IF(OR($O1916="",NOT(ISNUMBER($Q1916))),"",$Q1916*1000000+1916)</f>
        <v/>
      </c>
      <c r="W1916" s="29">
        <f>IF($B1916="","",IFERROR(INDEX($U$4:$U$3183,MATCH(SMALL($V$4:$V$3183,1913),$V$4:$V$3183,0)),""))</f>
        <v/>
      </c>
    </row>
    <row r="1917">
      <c r="A1917">
        <f>IFERROR(INDEX($N$4:$N$3183,MATCH(SMALL($V$4:$V$3183,1914),$V$4:$V$3183,0)),"")</f>
        <v/>
      </c>
      <c r="B1917">
        <f>IFERROR(INDEX($O$4:$O$3183,MATCH(SMALL($V$4:$V$3183,1914),$V$4:$V$3183,0)),"")</f>
        <v/>
      </c>
      <c r="C1917">
        <f>IFERROR(INDEX($P$4:$P$3183,MATCH(SMALL($V$4:$V$3183,1914),$V$4:$V$3183,0)),"")</f>
        <v/>
      </c>
      <c r="D1917" s="29">
        <f>IFERROR(INDEX($Q$4:$Q$3183,MATCH(SMALL($V$4:$V$3183,1914),$V$4:$V$3183,0)),"")</f>
        <v/>
      </c>
      <c r="E1917" s="29">
        <f>IFERROR(INDEX($R$4:$R$3183,MATCH(SMALL($V$4:$V$3183,1914),$V$4:$V$3183,0)),"")</f>
        <v/>
      </c>
      <c r="F1917">
        <f>IFERROR(INDEX($S$4:$S$3183,MATCH(SMALL($V$4:$V$3183,1914),$V$4:$V$3183,0)),"")</f>
        <v/>
      </c>
      <c r="I1917" s="29">
        <f>IF($B1917="","",IFERROR(INDEX($U$4:$U$3183,MATCH(SMALL($V$4:$V$3183,1914),$V$4:$V$3183,0)),""))</f>
        <v/>
      </c>
      <c r="J1917">
        <f>IF($B1917="","",IF($D1917&gt;$F$2,"À venir",IF($E1917&lt;$D$2,"Passé","Dans la période")))</f>
        <v/>
      </c>
      <c r="K1917">
        <f>IF(OR($B1917="",NOT(ISNUMBER($D1917))),"",IF(AND($E1917&lt;$D$2,$G1917&lt;&gt;"X",$F1917&lt;&gt;"Réalisé",$F1917&lt;&gt;"Clôturé"),"RETARD",""))</f>
        <v/>
      </c>
      <c r="L1917">
        <f>IF(OR($B1917="",NOT(ISNUMBER($D1917))),"",IF(AND($D1917&gt;=$D$2,$D1917&lt;=$H$2,$G1917&lt;&gt;"X",$F1917&lt;&gt;"Réalisé",$F1917&lt;&gt;"Clôturé"),"≤ 7 j",""))</f>
        <v/>
      </c>
      <c r="M1917" s="29">
        <f>IF($B1917="","",IFERROR(INDEX($T$4:$T$3183,MATCH(SMALL($V$4:$V$3183,1914),$V$4:$V$3183,0)),""))</f>
        <v/>
      </c>
      <c r="O1917">
        <f>IF(INDEX(Suivi!$B:$B,1954)="","",INDEX(Suivi!$B:$B,1954))</f>
        <v/>
      </c>
      <c r="P1917">
        <f>IF($O1917="","",IF(INDEX(Suivi!$D:$D,1954)="",INDEX(Suivi!$C:$C,1954),INDEX(Suivi!$D:$D,1954)))</f>
        <v/>
      </c>
      <c r="Q1917">
        <f>IF($O1917="","",INDEX(Suivi!$E:$E,1954))</f>
        <v/>
      </c>
      <c r="R1917">
        <f>IF($O1917="","",INDEX(Suivi!$F:$F,1954))</f>
        <v/>
      </c>
      <c r="S1917">
        <f>IF($O1917="","",INDEX(Suivi!$G:$G,1954))</f>
        <v/>
      </c>
      <c r="T1917">
        <f>IF($O1917="","",IF(INDEX(Dossiers!$F$4:$F$63,37)="","",INDEX(Dossiers!$F$4:$F$63,37)))</f>
        <v/>
      </c>
      <c r="U1917">
        <f>IF($O1917="","",IF(INDEX(Dossiers!$G$4:$G$63,37)="","",INDEX(Dossiers!$G$4:$G$63,37)))</f>
        <v/>
      </c>
      <c r="V1917">
        <f>IF(OR($O1917="",NOT(ISNUMBER($Q1917))),"",$Q1917*1000000+1917)</f>
        <v/>
      </c>
      <c r="W1917" s="29">
        <f>IF($B1917="","",IFERROR(INDEX($U$4:$U$3183,MATCH(SMALL($V$4:$V$3183,1914),$V$4:$V$3183,0)),""))</f>
        <v/>
      </c>
    </row>
    <row r="1918">
      <c r="A1918">
        <f>IFERROR(INDEX($N$4:$N$3183,MATCH(SMALL($V$4:$V$3183,1915),$V$4:$V$3183,0)),"")</f>
        <v/>
      </c>
      <c r="B1918">
        <f>IFERROR(INDEX($O$4:$O$3183,MATCH(SMALL($V$4:$V$3183,1915),$V$4:$V$3183,0)),"")</f>
        <v/>
      </c>
      <c r="C1918">
        <f>IFERROR(INDEX($P$4:$P$3183,MATCH(SMALL($V$4:$V$3183,1915),$V$4:$V$3183,0)),"")</f>
        <v/>
      </c>
      <c r="D1918" s="29">
        <f>IFERROR(INDEX($Q$4:$Q$3183,MATCH(SMALL($V$4:$V$3183,1915),$V$4:$V$3183,0)),"")</f>
        <v/>
      </c>
      <c r="E1918" s="29">
        <f>IFERROR(INDEX($R$4:$R$3183,MATCH(SMALL($V$4:$V$3183,1915),$V$4:$V$3183,0)),"")</f>
        <v/>
      </c>
      <c r="F1918">
        <f>IFERROR(INDEX($S$4:$S$3183,MATCH(SMALL($V$4:$V$3183,1915),$V$4:$V$3183,0)),"")</f>
        <v/>
      </c>
      <c r="I1918" s="29">
        <f>IF($B1918="","",IFERROR(INDEX($U$4:$U$3183,MATCH(SMALL($V$4:$V$3183,1915),$V$4:$V$3183,0)),""))</f>
        <v/>
      </c>
      <c r="J1918">
        <f>IF($B1918="","",IF($D1918&gt;$F$2,"À venir",IF($E1918&lt;$D$2,"Passé","Dans la période")))</f>
        <v/>
      </c>
      <c r="K1918">
        <f>IF(OR($B1918="",NOT(ISNUMBER($D1918))),"",IF(AND($E1918&lt;$D$2,$G1918&lt;&gt;"X",$F1918&lt;&gt;"Réalisé",$F1918&lt;&gt;"Clôturé"),"RETARD",""))</f>
        <v/>
      </c>
      <c r="L1918">
        <f>IF(OR($B1918="",NOT(ISNUMBER($D1918))),"",IF(AND($D1918&gt;=$D$2,$D1918&lt;=$H$2,$G1918&lt;&gt;"X",$F1918&lt;&gt;"Réalisé",$F1918&lt;&gt;"Clôturé"),"≤ 7 j",""))</f>
        <v/>
      </c>
      <c r="M1918" s="29">
        <f>IF($B1918="","",IFERROR(INDEX($T$4:$T$3183,MATCH(SMALL($V$4:$V$3183,1915),$V$4:$V$3183,0)),""))</f>
        <v/>
      </c>
      <c r="O1918">
        <f>IF(INDEX(Suivi!$B:$B,1955)="","",INDEX(Suivi!$B:$B,1955))</f>
        <v/>
      </c>
      <c r="P1918">
        <f>IF($O1918="","",IF(INDEX(Suivi!$D:$D,1955)="",INDEX(Suivi!$C:$C,1955),INDEX(Suivi!$D:$D,1955)))</f>
        <v/>
      </c>
      <c r="Q1918">
        <f>IF($O1918="","",INDEX(Suivi!$E:$E,1955))</f>
        <v/>
      </c>
      <c r="R1918">
        <f>IF($O1918="","",INDEX(Suivi!$F:$F,1955))</f>
        <v/>
      </c>
      <c r="S1918">
        <f>IF($O1918="","",INDEX(Suivi!$G:$G,1955))</f>
        <v/>
      </c>
      <c r="T1918">
        <f>IF($O1918="","",IF(INDEX(Dossiers!$F$4:$F$63,37)="","",INDEX(Dossiers!$F$4:$F$63,37)))</f>
        <v/>
      </c>
      <c r="U1918">
        <f>IF($O1918="","",IF(INDEX(Dossiers!$G$4:$G$63,37)="","",INDEX(Dossiers!$G$4:$G$63,37)))</f>
        <v/>
      </c>
      <c r="V1918">
        <f>IF(OR($O1918="",NOT(ISNUMBER($Q1918))),"",$Q1918*1000000+1918)</f>
        <v/>
      </c>
      <c r="W1918" s="29">
        <f>IF($B1918="","",IFERROR(INDEX($U$4:$U$3183,MATCH(SMALL($V$4:$V$3183,1915),$V$4:$V$3183,0)),""))</f>
        <v/>
      </c>
    </row>
    <row r="1919">
      <c r="A1919">
        <f>IFERROR(INDEX($N$4:$N$3183,MATCH(SMALL($V$4:$V$3183,1916),$V$4:$V$3183,0)),"")</f>
        <v/>
      </c>
      <c r="B1919">
        <f>IFERROR(INDEX($O$4:$O$3183,MATCH(SMALL($V$4:$V$3183,1916),$V$4:$V$3183,0)),"")</f>
        <v/>
      </c>
      <c r="C1919">
        <f>IFERROR(INDEX($P$4:$P$3183,MATCH(SMALL($V$4:$V$3183,1916),$V$4:$V$3183,0)),"")</f>
        <v/>
      </c>
      <c r="D1919" s="29">
        <f>IFERROR(INDEX($Q$4:$Q$3183,MATCH(SMALL($V$4:$V$3183,1916),$V$4:$V$3183,0)),"")</f>
        <v/>
      </c>
      <c r="E1919" s="29">
        <f>IFERROR(INDEX($R$4:$R$3183,MATCH(SMALL($V$4:$V$3183,1916),$V$4:$V$3183,0)),"")</f>
        <v/>
      </c>
      <c r="F1919">
        <f>IFERROR(INDEX($S$4:$S$3183,MATCH(SMALL($V$4:$V$3183,1916),$V$4:$V$3183,0)),"")</f>
        <v/>
      </c>
      <c r="I1919" s="29">
        <f>IF($B1919="","",IFERROR(INDEX($U$4:$U$3183,MATCH(SMALL($V$4:$V$3183,1916),$V$4:$V$3183,0)),""))</f>
        <v/>
      </c>
      <c r="J1919">
        <f>IF($B1919="","",IF($D1919&gt;$F$2,"À venir",IF($E1919&lt;$D$2,"Passé","Dans la période")))</f>
        <v/>
      </c>
      <c r="K1919">
        <f>IF(OR($B1919="",NOT(ISNUMBER($D1919))),"",IF(AND($E1919&lt;$D$2,$G1919&lt;&gt;"X",$F1919&lt;&gt;"Réalisé",$F1919&lt;&gt;"Clôturé"),"RETARD",""))</f>
        <v/>
      </c>
      <c r="L1919">
        <f>IF(OR($B1919="",NOT(ISNUMBER($D1919))),"",IF(AND($D1919&gt;=$D$2,$D1919&lt;=$H$2,$G1919&lt;&gt;"X",$F1919&lt;&gt;"Réalisé",$F1919&lt;&gt;"Clôturé"),"≤ 7 j",""))</f>
        <v/>
      </c>
      <c r="M1919" s="29">
        <f>IF($B1919="","",IFERROR(INDEX($T$4:$T$3183,MATCH(SMALL($V$4:$V$3183,1916),$V$4:$V$3183,0)),""))</f>
        <v/>
      </c>
      <c r="O1919">
        <f>IF(INDEX(Suivi!$B:$B,1956)="","",INDEX(Suivi!$B:$B,1956))</f>
        <v/>
      </c>
      <c r="P1919">
        <f>IF($O1919="","",IF(INDEX(Suivi!$D:$D,1956)="",INDEX(Suivi!$C:$C,1956),INDEX(Suivi!$D:$D,1956)))</f>
        <v/>
      </c>
      <c r="Q1919">
        <f>IF($O1919="","",INDEX(Suivi!$E:$E,1956))</f>
        <v/>
      </c>
      <c r="R1919">
        <f>IF($O1919="","",INDEX(Suivi!$F:$F,1956))</f>
        <v/>
      </c>
      <c r="S1919">
        <f>IF($O1919="","",INDEX(Suivi!$G:$G,1956))</f>
        <v/>
      </c>
      <c r="T1919">
        <f>IF($O1919="","",IF(INDEX(Dossiers!$F$4:$F$63,37)="","",INDEX(Dossiers!$F$4:$F$63,37)))</f>
        <v/>
      </c>
      <c r="U1919">
        <f>IF($O1919="","",IF(INDEX(Dossiers!$G$4:$G$63,37)="","",INDEX(Dossiers!$G$4:$G$63,37)))</f>
        <v/>
      </c>
      <c r="V1919">
        <f>IF(OR($O1919="",NOT(ISNUMBER($Q1919))),"",$Q1919*1000000+1919)</f>
        <v/>
      </c>
      <c r="W1919" s="29">
        <f>IF($B1919="","",IFERROR(INDEX($U$4:$U$3183,MATCH(SMALL($V$4:$V$3183,1916),$V$4:$V$3183,0)),""))</f>
        <v/>
      </c>
    </row>
    <row r="1920">
      <c r="A1920">
        <f>IFERROR(INDEX($N$4:$N$3183,MATCH(SMALL($V$4:$V$3183,1917),$V$4:$V$3183,0)),"")</f>
        <v/>
      </c>
      <c r="B1920">
        <f>IFERROR(INDEX($O$4:$O$3183,MATCH(SMALL($V$4:$V$3183,1917),$V$4:$V$3183,0)),"")</f>
        <v/>
      </c>
      <c r="C1920">
        <f>IFERROR(INDEX($P$4:$P$3183,MATCH(SMALL($V$4:$V$3183,1917),$V$4:$V$3183,0)),"")</f>
        <v/>
      </c>
      <c r="D1920" s="29">
        <f>IFERROR(INDEX($Q$4:$Q$3183,MATCH(SMALL($V$4:$V$3183,1917),$V$4:$V$3183,0)),"")</f>
        <v/>
      </c>
      <c r="E1920" s="29">
        <f>IFERROR(INDEX($R$4:$R$3183,MATCH(SMALL($V$4:$V$3183,1917),$V$4:$V$3183,0)),"")</f>
        <v/>
      </c>
      <c r="F1920">
        <f>IFERROR(INDEX($S$4:$S$3183,MATCH(SMALL($V$4:$V$3183,1917),$V$4:$V$3183,0)),"")</f>
        <v/>
      </c>
      <c r="I1920" s="29">
        <f>IF($B1920="","",IFERROR(INDEX($U$4:$U$3183,MATCH(SMALL($V$4:$V$3183,1917),$V$4:$V$3183,0)),""))</f>
        <v/>
      </c>
      <c r="J1920">
        <f>IF($B1920="","",IF($D1920&gt;$F$2,"À venir",IF($E1920&lt;$D$2,"Passé","Dans la période")))</f>
        <v/>
      </c>
      <c r="K1920">
        <f>IF(OR($B1920="",NOT(ISNUMBER($D1920))),"",IF(AND($E1920&lt;$D$2,$G1920&lt;&gt;"X",$F1920&lt;&gt;"Réalisé",$F1920&lt;&gt;"Clôturé"),"RETARD",""))</f>
        <v/>
      </c>
      <c r="L1920">
        <f>IF(OR($B1920="",NOT(ISNUMBER($D1920))),"",IF(AND($D1920&gt;=$D$2,$D1920&lt;=$H$2,$G1920&lt;&gt;"X",$F1920&lt;&gt;"Réalisé",$F1920&lt;&gt;"Clôturé"),"≤ 7 j",""))</f>
        <v/>
      </c>
      <c r="M1920" s="29">
        <f>IF($B1920="","",IFERROR(INDEX($T$4:$T$3183,MATCH(SMALL($V$4:$V$3183,1917),$V$4:$V$3183,0)),""))</f>
        <v/>
      </c>
      <c r="O1920">
        <f>IF(INDEX(Suivi!$B:$B,1957)="","",INDEX(Suivi!$B:$B,1957))</f>
        <v/>
      </c>
      <c r="P1920">
        <f>IF($O1920="","",IF(INDEX(Suivi!$D:$D,1957)="",INDEX(Suivi!$C:$C,1957),INDEX(Suivi!$D:$D,1957)))</f>
        <v/>
      </c>
      <c r="Q1920">
        <f>IF($O1920="","",INDEX(Suivi!$E:$E,1957))</f>
        <v/>
      </c>
      <c r="R1920">
        <f>IF($O1920="","",INDEX(Suivi!$F:$F,1957))</f>
        <v/>
      </c>
      <c r="S1920">
        <f>IF($O1920="","",INDEX(Suivi!$G:$G,1957))</f>
        <v/>
      </c>
      <c r="T1920">
        <f>IF($O1920="","",IF(INDEX(Dossiers!$F$4:$F$63,37)="","",INDEX(Dossiers!$F$4:$F$63,37)))</f>
        <v/>
      </c>
      <c r="U1920">
        <f>IF($O1920="","",IF(INDEX(Dossiers!$G$4:$G$63,37)="","",INDEX(Dossiers!$G$4:$G$63,37)))</f>
        <v/>
      </c>
      <c r="V1920">
        <f>IF(OR($O1920="",NOT(ISNUMBER($Q1920))),"",$Q1920*1000000+1920)</f>
        <v/>
      </c>
      <c r="W1920" s="29">
        <f>IF($B1920="","",IFERROR(INDEX($U$4:$U$3183,MATCH(SMALL($V$4:$V$3183,1917),$V$4:$V$3183,0)),""))</f>
        <v/>
      </c>
    </row>
    <row r="1921">
      <c r="A1921">
        <f>IFERROR(INDEX($N$4:$N$3183,MATCH(SMALL($V$4:$V$3183,1918),$V$4:$V$3183,0)),"")</f>
        <v/>
      </c>
      <c r="B1921">
        <f>IFERROR(INDEX($O$4:$O$3183,MATCH(SMALL($V$4:$V$3183,1918),$V$4:$V$3183,0)),"")</f>
        <v/>
      </c>
      <c r="C1921">
        <f>IFERROR(INDEX($P$4:$P$3183,MATCH(SMALL($V$4:$V$3183,1918),$V$4:$V$3183,0)),"")</f>
        <v/>
      </c>
      <c r="D1921" s="29">
        <f>IFERROR(INDEX($Q$4:$Q$3183,MATCH(SMALL($V$4:$V$3183,1918),$V$4:$V$3183,0)),"")</f>
        <v/>
      </c>
      <c r="E1921" s="29">
        <f>IFERROR(INDEX($R$4:$R$3183,MATCH(SMALL($V$4:$V$3183,1918),$V$4:$V$3183,0)),"")</f>
        <v/>
      </c>
      <c r="F1921">
        <f>IFERROR(INDEX($S$4:$S$3183,MATCH(SMALL($V$4:$V$3183,1918),$V$4:$V$3183,0)),"")</f>
        <v/>
      </c>
      <c r="I1921" s="29">
        <f>IF($B1921="","",IFERROR(INDEX($U$4:$U$3183,MATCH(SMALL($V$4:$V$3183,1918),$V$4:$V$3183,0)),""))</f>
        <v/>
      </c>
      <c r="J1921">
        <f>IF($B1921="","",IF($D1921&gt;$F$2,"À venir",IF($E1921&lt;$D$2,"Passé","Dans la période")))</f>
        <v/>
      </c>
      <c r="K1921">
        <f>IF(OR($B1921="",NOT(ISNUMBER($D1921))),"",IF(AND($E1921&lt;$D$2,$G1921&lt;&gt;"X",$F1921&lt;&gt;"Réalisé",$F1921&lt;&gt;"Clôturé"),"RETARD",""))</f>
        <v/>
      </c>
      <c r="L1921">
        <f>IF(OR($B1921="",NOT(ISNUMBER($D1921))),"",IF(AND($D1921&gt;=$D$2,$D1921&lt;=$H$2,$G1921&lt;&gt;"X",$F1921&lt;&gt;"Réalisé",$F1921&lt;&gt;"Clôturé"),"≤ 7 j",""))</f>
        <v/>
      </c>
      <c r="M1921" s="29">
        <f>IF($B1921="","",IFERROR(INDEX($T$4:$T$3183,MATCH(SMALL($V$4:$V$3183,1918),$V$4:$V$3183,0)),""))</f>
        <v/>
      </c>
      <c r="O1921">
        <f>IF(INDEX(Suivi!$B:$B,1958)="","",INDEX(Suivi!$B:$B,1958))</f>
        <v/>
      </c>
      <c r="P1921">
        <f>IF($O1921="","",IF(INDEX(Suivi!$D:$D,1958)="",INDEX(Suivi!$C:$C,1958),INDEX(Suivi!$D:$D,1958)))</f>
        <v/>
      </c>
      <c r="Q1921">
        <f>IF($O1921="","",INDEX(Suivi!$E:$E,1958))</f>
        <v/>
      </c>
      <c r="R1921">
        <f>IF($O1921="","",INDEX(Suivi!$F:$F,1958))</f>
        <v/>
      </c>
      <c r="S1921">
        <f>IF($O1921="","",INDEX(Suivi!$G:$G,1958))</f>
        <v/>
      </c>
      <c r="T1921">
        <f>IF($O1921="","",IF(INDEX(Dossiers!$F$4:$F$63,37)="","",INDEX(Dossiers!$F$4:$F$63,37)))</f>
        <v/>
      </c>
      <c r="U1921">
        <f>IF($O1921="","",IF(INDEX(Dossiers!$G$4:$G$63,37)="","",INDEX(Dossiers!$G$4:$G$63,37)))</f>
        <v/>
      </c>
      <c r="V1921">
        <f>IF(OR($O1921="",NOT(ISNUMBER($Q1921))),"",$Q1921*1000000+1921)</f>
        <v/>
      </c>
      <c r="W1921" s="29">
        <f>IF($B1921="","",IFERROR(INDEX($U$4:$U$3183,MATCH(SMALL($V$4:$V$3183,1918),$V$4:$V$3183,0)),""))</f>
        <v/>
      </c>
    </row>
    <row r="1922">
      <c r="A1922">
        <f>IFERROR(INDEX($N$4:$N$3183,MATCH(SMALL($V$4:$V$3183,1919),$V$4:$V$3183,0)),"")</f>
        <v/>
      </c>
      <c r="B1922">
        <f>IFERROR(INDEX($O$4:$O$3183,MATCH(SMALL($V$4:$V$3183,1919),$V$4:$V$3183,0)),"")</f>
        <v/>
      </c>
      <c r="C1922">
        <f>IFERROR(INDEX($P$4:$P$3183,MATCH(SMALL($V$4:$V$3183,1919),$V$4:$V$3183,0)),"")</f>
        <v/>
      </c>
      <c r="D1922" s="29">
        <f>IFERROR(INDEX($Q$4:$Q$3183,MATCH(SMALL($V$4:$V$3183,1919),$V$4:$V$3183,0)),"")</f>
        <v/>
      </c>
      <c r="E1922" s="29">
        <f>IFERROR(INDEX($R$4:$R$3183,MATCH(SMALL($V$4:$V$3183,1919),$V$4:$V$3183,0)),"")</f>
        <v/>
      </c>
      <c r="F1922">
        <f>IFERROR(INDEX($S$4:$S$3183,MATCH(SMALL($V$4:$V$3183,1919),$V$4:$V$3183,0)),"")</f>
        <v/>
      </c>
      <c r="I1922" s="29">
        <f>IF($B1922="","",IFERROR(INDEX($U$4:$U$3183,MATCH(SMALL($V$4:$V$3183,1919),$V$4:$V$3183,0)),""))</f>
        <v/>
      </c>
      <c r="J1922">
        <f>IF($B1922="","",IF($D1922&gt;$F$2,"À venir",IF($E1922&lt;$D$2,"Passé","Dans la période")))</f>
        <v/>
      </c>
      <c r="K1922">
        <f>IF(OR($B1922="",NOT(ISNUMBER($D1922))),"",IF(AND($E1922&lt;$D$2,$G1922&lt;&gt;"X",$F1922&lt;&gt;"Réalisé",$F1922&lt;&gt;"Clôturé"),"RETARD",""))</f>
        <v/>
      </c>
      <c r="L1922">
        <f>IF(OR($B1922="",NOT(ISNUMBER($D1922))),"",IF(AND($D1922&gt;=$D$2,$D1922&lt;=$H$2,$G1922&lt;&gt;"X",$F1922&lt;&gt;"Réalisé",$F1922&lt;&gt;"Clôturé"),"≤ 7 j",""))</f>
        <v/>
      </c>
      <c r="M1922" s="29">
        <f>IF($B1922="","",IFERROR(INDEX($T$4:$T$3183,MATCH(SMALL($V$4:$V$3183,1919),$V$4:$V$3183,0)),""))</f>
        <v/>
      </c>
      <c r="O1922">
        <f>IF(INDEX(Suivi!$B:$B,1959)="","",INDEX(Suivi!$B:$B,1959))</f>
        <v/>
      </c>
      <c r="P1922">
        <f>IF($O1922="","",IF(INDEX(Suivi!$D:$D,1959)="",INDEX(Suivi!$C:$C,1959),INDEX(Suivi!$D:$D,1959)))</f>
        <v/>
      </c>
      <c r="Q1922">
        <f>IF($O1922="","",INDEX(Suivi!$E:$E,1959))</f>
        <v/>
      </c>
      <c r="R1922">
        <f>IF($O1922="","",INDEX(Suivi!$F:$F,1959))</f>
        <v/>
      </c>
      <c r="S1922">
        <f>IF($O1922="","",INDEX(Suivi!$G:$G,1959))</f>
        <v/>
      </c>
      <c r="T1922">
        <f>IF($O1922="","",IF(INDEX(Dossiers!$F$4:$F$63,37)="","",INDEX(Dossiers!$F$4:$F$63,37)))</f>
        <v/>
      </c>
      <c r="U1922">
        <f>IF($O1922="","",IF(INDEX(Dossiers!$G$4:$G$63,37)="","",INDEX(Dossiers!$G$4:$G$63,37)))</f>
        <v/>
      </c>
      <c r="V1922">
        <f>IF(OR($O1922="",NOT(ISNUMBER($Q1922))),"",$Q1922*1000000+1922)</f>
        <v/>
      </c>
      <c r="W1922" s="29">
        <f>IF($B1922="","",IFERROR(INDEX($U$4:$U$3183,MATCH(SMALL($V$4:$V$3183,1919),$V$4:$V$3183,0)),""))</f>
        <v/>
      </c>
    </row>
    <row r="1923">
      <c r="A1923">
        <f>IFERROR(INDEX($N$4:$N$3183,MATCH(SMALL($V$4:$V$3183,1920),$V$4:$V$3183,0)),"")</f>
        <v/>
      </c>
      <c r="B1923">
        <f>IFERROR(INDEX($O$4:$O$3183,MATCH(SMALL($V$4:$V$3183,1920),$V$4:$V$3183,0)),"")</f>
        <v/>
      </c>
      <c r="C1923">
        <f>IFERROR(INDEX($P$4:$P$3183,MATCH(SMALL($V$4:$V$3183,1920),$V$4:$V$3183,0)),"")</f>
        <v/>
      </c>
      <c r="D1923" s="29">
        <f>IFERROR(INDEX($Q$4:$Q$3183,MATCH(SMALL($V$4:$V$3183,1920),$V$4:$V$3183,0)),"")</f>
        <v/>
      </c>
      <c r="E1923" s="29">
        <f>IFERROR(INDEX($R$4:$R$3183,MATCH(SMALL($V$4:$V$3183,1920),$V$4:$V$3183,0)),"")</f>
        <v/>
      </c>
      <c r="F1923">
        <f>IFERROR(INDEX($S$4:$S$3183,MATCH(SMALL($V$4:$V$3183,1920),$V$4:$V$3183,0)),"")</f>
        <v/>
      </c>
      <c r="I1923" s="29">
        <f>IF($B1923="","",IFERROR(INDEX($U$4:$U$3183,MATCH(SMALL($V$4:$V$3183,1920),$V$4:$V$3183,0)),""))</f>
        <v/>
      </c>
      <c r="J1923">
        <f>IF($B1923="","",IF($D1923&gt;$F$2,"À venir",IF($E1923&lt;$D$2,"Passé","Dans la période")))</f>
        <v/>
      </c>
      <c r="K1923">
        <f>IF(OR($B1923="",NOT(ISNUMBER($D1923))),"",IF(AND($E1923&lt;$D$2,$G1923&lt;&gt;"X",$F1923&lt;&gt;"Réalisé",$F1923&lt;&gt;"Clôturé"),"RETARD",""))</f>
        <v/>
      </c>
      <c r="L1923">
        <f>IF(OR($B1923="",NOT(ISNUMBER($D1923))),"",IF(AND($D1923&gt;=$D$2,$D1923&lt;=$H$2,$G1923&lt;&gt;"X",$F1923&lt;&gt;"Réalisé",$F1923&lt;&gt;"Clôturé"),"≤ 7 j",""))</f>
        <v/>
      </c>
      <c r="M1923" s="29">
        <f>IF($B1923="","",IFERROR(INDEX($T$4:$T$3183,MATCH(SMALL($V$4:$V$3183,1920),$V$4:$V$3183,0)),""))</f>
        <v/>
      </c>
      <c r="O1923">
        <f>IF(INDEX(Suivi!$B:$B,1960)="","",INDEX(Suivi!$B:$B,1960))</f>
        <v/>
      </c>
      <c r="P1923">
        <f>IF($O1923="","",IF(INDEX(Suivi!$D:$D,1960)="",INDEX(Suivi!$C:$C,1960),INDEX(Suivi!$D:$D,1960)))</f>
        <v/>
      </c>
      <c r="Q1923">
        <f>IF($O1923="","",INDEX(Suivi!$E:$E,1960))</f>
        <v/>
      </c>
      <c r="R1923">
        <f>IF($O1923="","",INDEX(Suivi!$F:$F,1960))</f>
        <v/>
      </c>
      <c r="S1923">
        <f>IF($O1923="","",INDEX(Suivi!$G:$G,1960))</f>
        <v/>
      </c>
      <c r="T1923">
        <f>IF($O1923="","",IF(INDEX(Dossiers!$F$4:$F$63,37)="","",INDEX(Dossiers!$F$4:$F$63,37)))</f>
        <v/>
      </c>
      <c r="U1923">
        <f>IF($O1923="","",IF(INDEX(Dossiers!$G$4:$G$63,37)="","",INDEX(Dossiers!$G$4:$G$63,37)))</f>
        <v/>
      </c>
      <c r="V1923">
        <f>IF(OR($O1923="",NOT(ISNUMBER($Q1923))),"",$Q1923*1000000+1923)</f>
        <v/>
      </c>
      <c r="W1923" s="29">
        <f>IF($B1923="","",IFERROR(INDEX($U$4:$U$3183,MATCH(SMALL($V$4:$V$3183,1920),$V$4:$V$3183,0)),""))</f>
        <v/>
      </c>
    </row>
    <row r="1924">
      <c r="A1924">
        <f>IFERROR(INDEX($N$4:$N$3183,MATCH(SMALL($V$4:$V$3183,1921),$V$4:$V$3183,0)),"")</f>
        <v/>
      </c>
      <c r="B1924">
        <f>IFERROR(INDEX($O$4:$O$3183,MATCH(SMALL($V$4:$V$3183,1921),$V$4:$V$3183,0)),"")</f>
        <v/>
      </c>
      <c r="C1924">
        <f>IFERROR(INDEX($P$4:$P$3183,MATCH(SMALL($V$4:$V$3183,1921),$V$4:$V$3183,0)),"")</f>
        <v/>
      </c>
      <c r="D1924" s="29">
        <f>IFERROR(INDEX($Q$4:$Q$3183,MATCH(SMALL($V$4:$V$3183,1921),$V$4:$V$3183,0)),"")</f>
        <v/>
      </c>
      <c r="E1924" s="29">
        <f>IFERROR(INDEX($R$4:$R$3183,MATCH(SMALL($V$4:$V$3183,1921),$V$4:$V$3183,0)),"")</f>
        <v/>
      </c>
      <c r="F1924">
        <f>IFERROR(INDEX($S$4:$S$3183,MATCH(SMALL($V$4:$V$3183,1921),$V$4:$V$3183,0)),"")</f>
        <v/>
      </c>
      <c r="I1924" s="29">
        <f>IF($B1924="","",IFERROR(INDEX($U$4:$U$3183,MATCH(SMALL($V$4:$V$3183,1921),$V$4:$V$3183,0)),""))</f>
        <v/>
      </c>
      <c r="J1924">
        <f>IF($B1924="","",IF($D1924&gt;$F$2,"À venir",IF($E1924&lt;$D$2,"Passé","Dans la période")))</f>
        <v/>
      </c>
      <c r="K1924">
        <f>IF(OR($B1924="",NOT(ISNUMBER($D1924))),"",IF(AND($E1924&lt;$D$2,$G1924&lt;&gt;"X",$F1924&lt;&gt;"Réalisé",$F1924&lt;&gt;"Clôturé"),"RETARD",""))</f>
        <v/>
      </c>
      <c r="L1924">
        <f>IF(OR($B1924="",NOT(ISNUMBER($D1924))),"",IF(AND($D1924&gt;=$D$2,$D1924&lt;=$H$2,$G1924&lt;&gt;"X",$F1924&lt;&gt;"Réalisé",$F1924&lt;&gt;"Clôturé"),"≤ 7 j",""))</f>
        <v/>
      </c>
      <c r="M1924" s="29">
        <f>IF($B1924="","",IFERROR(INDEX($T$4:$T$3183,MATCH(SMALL($V$4:$V$3183,1921),$V$4:$V$3183,0)),""))</f>
        <v/>
      </c>
      <c r="O1924">
        <f>IF(INDEX(Suivi!$B:$B,1961)="","",INDEX(Suivi!$B:$B,1961))</f>
        <v/>
      </c>
      <c r="P1924">
        <f>IF($O1924="","",IF(INDEX(Suivi!$D:$D,1961)="",INDEX(Suivi!$C:$C,1961),INDEX(Suivi!$D:$D,1961)))</f>
        <v/>
      </c>
      <c r="Q1924">
        <f>IF($O1924="","",INDEX(Suivi!$E:$E,1961))</f>
        <v/>
      </c>
      <c r="R1924">
        <f>IF($O1924="","",INDEX(Suivi!$F:$F,1961))</f>
        <v/>
      </c>
      <c r="S1924">
        <f>IF($O1924="","",INDEX(Suivi!$G:$G,1961))</f>
        <v/>
      </c>
      <c r="T1924">
        <f>IF($O1924="","",IF(INDEX(Dossiers!$F$4:$F$63,37)="","",INDEX(Dossiers!$F$4:$F$63,37)))</f>
        <v/>
      </c>
      <c r="U1924">
        <f>IF($O1924="","",IF(INDEX(Dossiers!$G$4:$G$63,37)="","",INDEX(Dossiers!$G$4:$G$63,37)))</f>
        <v/>
      </c>
      <c r="V1924">
        <f>IF(OR($O1924="",NOT(ISNUMBER($Q1924))),"",$Q1924*1000000+1924)</f>
        <v/>
      </c>
      <c r="W1924" s="29">
        <f>IF($B1924="","",IFERROR(INDEX($U$4:$U$3183,MATCH(SMALL($V$4:$V$3183,1921),$V$4:$V$3183,0)),""))</f>
        <v/>
      </c>
    </row>
    <row r="1925">
      <c r="A1925">
        <f>IFERROR(INDEX($N$4:$N$3183,MATCH(SMALL($V$4:$V$3183,1922),$V$4:$V$3183,0)),"")</f>
        <v/>
      </c>
      <c r="B1925">
        <f>IFERROR(INDEX($O$4:$O$3183,MATCH(SMALL($V$4:$V$3183,1922),$V$4:$V$3183,0)),"")</f>
        <v/>
      </c>
      <c r="C1925">
        <f>IFERROR(INDEX($P$4:$P$3183,MATCH(SMALL($V$4:$V$3183,1922),$V$4:$V$3183,0)),"")</f>
        <v/>
      </c>
      <c r="D1925" s="29">
        <f>IFERROR(INDEX($Q$4:$Q$3183,MATCH(SMALL($V$4:$V$3183,1922),$V$4:$V$3183,0)),"")</f>
        <v/>
      </c>
      <c r="E1925" s="29">
        <f>IFERROR(INDEX($R$4:$R$3183,MATCH(SMALL($V$4:$V$3183,1922),$V$4:$V$3183,0)),"")</f>
        <v/>
      </c>
      <c r="F1925">
        <f>IFERROR(INDEX($S$4:$S$3183,MATCH(SMALL($V$4:$V$3183,1922),$V$4:$V$3183,0)),"")</f>
        <v/>
      </c>
      <c r="I1925" s="29">
        <f>IF($B1925="","",IFERROR(INDEX($U$4:$U$3183,MATCH(SMALL($V$4:$V$3183,1922),$V$4:$V$3183,0)),""))</f>
        <v/>
      </c>
      <c r="J1925">
        <f>IF($B1925="","",IF($D1925&gt;$F$2,"À venir",IF($E1925&lt;$D$2,"Passé","Dans la période")))</f>
        <v/>
      </c>
      <c r="K1925">
        <f>IF(OR($B1925="",NOT(ISNUMBER($D1925))),"",IF(AND($E1925&lt;$D$2,$G1925&lt;&gt;"X",$F1925&lt;&gt;"Réalisé",$F1925&lt;&gt;"Clôturé"),"RETARD",""))</f>
        <v/>
      </c>
      <c r="L1925">
        <f>IF(OR($B1925="",NOT(ISNUMBER($D1925))),"",IF(AND($D1925&gt;=$D$2,$D1925&lt;=$H$2,$G1925&lt;&gt;"X",$F1925&lt;&gt;"Réalisé",$F1925&lt;&gt;"Clôturé"),"≤ 7 j",""))</f>
        <v/>
      </c>
      <c r="M1925" s="29">
        <f>IF($B1925="","",IFERROR(INDEX($T$4:$T$3183,MATCH(SMALL($V$4:$V$3183,1922),$V$4:$V$3183,0)),""))</f>
        <v/>
      </c>
      <c r="O1925">
        <f>IF(INDEX(Suivi!$B:$B,1962)="","",INDEX(Suivi!$B:$B,1962))</f>
        <v/>
      </c>
      <c r="P1925">
        <f>IF($O1925="","",IF(INDEX(Suivi!$D:$D,1962)="",INDEX(Suivi!$C:$C,1962),INDEX(Suivi!$D:$D,1962)))</f>
        <v/>
      </c>
      <c r="Q1925">
        <f>IF($O1925="","",INDEX(Suivi!$E:$E,1962))</f>
        <v/>
      </c>
      <c r="R1925">
        <f>IF($O1925="","",INDEX(Suivi!$F:$F,1962))</f>
        <v/>
      </c>
      <c r="S1925">
        <f>IF($O1925="","",INDEX(Suivi!$G:$G,1962))</f>
        <v/>
      </c>
      <c r="T1925">
        <f>IF($O1925="","",IF(INDEX(Dossiers!$F$4:$F$63,37)="","",INDEX(Dossiers!$F$4:$F$63,37)))</f>
        <v/>
      </c>
      <c r="U1925">
        <f>IF($O1925="","",IF(INDEX(Dossiers!$G$4:$G$63,37)="","",INDEX(Dossiers!$G$4:$G$63,37)))</f>
        <v/>
      </c>
      <c r="V1925">
        <f>IF(OR($O1925="",NOT(ISNUMBER($Q1925))),"",$Q1925*1000000+1925)</f>
        <v/>
      </c>
      <c r="W1925" s="29">
        <f>IF($B1925="","",IFERROR(INDEX($U$4:$U$3183,MATCH(SMALL($V$4:$V$3183,1922),$V$4:$V$3183,0)),""))</f>
        <v/>
      </c>
    </row>
    <row r="1926">
      <c r="A1926">
        <f>IFERROR(INDEX($N$4:$N$3183,MATCH(SMALL($V$4:$V$3183,1923),$V$4:$V$3183,0)),"")</f>
        <v/>
      </c>
      <c r="B1926">
        <f>IFERROR(INDEX($O$4:$O$3183,MATCH(SMALL($V$4:$V$3183,1923),$V$4:$V$3183,0)),"")</f>
        <v/>
      </c>
      <c r="C1926">
        <f>IFERROR(INDEX($P$4:$P$3183,MATCH(SMALL($V$4:$V$3183,1923),$V$4:$V$3183,0)),"")</f>
        <v/>
      </c>
      <c r="D1926" s="29">
        <f>IFERROR(INDEX($Q$4:$Q$3183,MATCH(SMALL($V$4:$V$3183,1923),$V$4:$V$3183,0)),"")</f>
        <v/>
      </c>
      <c r="E1926" s="29">
        <f>IFERROR(INDEX($R$4:$R$3183,MATCH(SMALL($V$4:$V$3183,1923),$V$4:$V$3183,0)),"")</f>
        <v/>
      </c>
      <c r="F1926">
        <f>IFERROR(INDEX($S$4:$S$3183,MATCH(SMALL($V$4:$V$3183,1923),$V$4:$V$3183,0)),"")</f>
        <v/>
      </c>
      <c r="I1926" s="29">
        <f>IF($B1926="","",IFERROR(INDEX($U$4:$U$3183,MATCH(SMALL($V$4:$V$3183,1923),$V$4:$V$3183,0)),""))</f>
        <v/>
      </c>
      <c r="J1926">
        <f>IF($B1926="","",IF($D1926&gt;$F$2,"À venir",IF($E1926&lt;$D$2,"Passé","Dans la période")))</f>
        <v/>
      </c>
      <c r="K1926">
        <f>IF(OR($B1926="",NOT(ISNUMBER($D1926))),"",IF(AND($E1926&lt;$D$2,$G1926&lt;&gt;"X",$F1926&lt;&gt;"Réalisé",$F1926&lt;&gt;"Clôturé"),"RETARD",""))</f>
        <v/>
      </c>
      <c r="L1926">
        <f>IF(OR($B1926="",NOT(ISNUMBER($D1926))),"",IF(AND($D1926&gt;=$D$2,$D1926&lt;=$H$2,$G1926&lt;&gt;"X",$F1926&lt;&gt;"Réalisé",$F1926&lt;&gt;"Clôturé"),"≤ 7 j",""))</f>
        <v/>
      </c>
      <c r="M1926" s="29">
        <f>IF($B1926="","",IFERROR(INDEX($T$4:$T$3183,MATCH(SMALL($V$4:$V$3183,1923),$V$4:$V$3183,0)),""))</f>
        <v/>
      </c>
      <c r="O1926">
        <f>IF(INDEX(Suivi!$B:$B,1963)="","",INDEX(Suivi!$B:$B,1963))</f>
        <v/>
      </c>
      <c r="P1926">
        <f>IF($O1926="","",IF(INDEX(Suivi!$D:$D,1963)="",INDEX(Suivi!$C:$C,1963),INDEX(Suivi!$D:$D,1963)))</f>
        <v/>
      </c>
      <c r="Q1926">
        <f>IF($O1926="","",INDEX(Suivi!$E:$E,1963))</f>
        <v/>
      </c>
      <c r="R1926">
        <f>IF($O1926="","",INDEX(Suivi!$F:$F,1963))</f>
        <v/>
      </c>
      <c r="S1926">
        <f>IF($O1926="","",INDEX(Suivi!$G:$G,1963))</f>
        <v/>
      </c>
      <c r="T1926">
        <f>IF($O1926="","",IF(INDEX(Dossiers!$F$4:$F$63,37)="","",INDEX(Dossiers!$F$4:$F$63,37)))</f>
        <v/>
      </c>
      <c r="U1926">
        <f>IF($O1926="","",IF(INDEX(Dossiers!$G$4:$G$63,37)="","",INDEX(Dossiers!$G$4:$G$63,37)))</f>
        <v/>
      </c>
      <c r="V1926">
        <f>IF(OR($O1926="",NOT(ISNUMBER($Q1926))),"",$Q1926*1000000+1926)</f>
        <v/>
      </c>
      <c r="W1926" s="29">
        <f>IF($B1926="","",IFERROR(INDEX($U$4:$U$3183,MATCH(SMALL($V$4:$V$3183,1923),$V$4:$V$3183,0)),""))</f>
        <v/>
      </c>
    </row>
    <row r="1927">
      <c r="A1927">
        <f>IFERROR(INDEX($N$4:$N$3183,MATCH(SMALL($V$4:$V$3183,1924),$V$4:$V$3183,0)),"")</f>
        <v/>
      </c>
      <c r="B1927">
        <f>IFERROR(INDEX($O$4:$O$3183,MATCH(SMALL($V$4:$V$3183,1924),$V$4:$V$3183,0)),"")</f>
        <v/>
      </c>
      <c r="C1927">
        <f>IFERROR(INDEX($P$4:$P$3183,MATCH(SMALL($V$4:$V$3183,1924),$V$4:$V$3183,0)),"")</f>
        <v/>
      </c>
      <c r="D1927" s="29">
        <f>IFERROR(INDEX($Q$4:$Q$3183,MATCH(SMALL($V$4:$V$3183,1924),$V$4:$V$3183,0)),"")</f>
        <v/>
      </c>
      <c r="E1927" s="29">
        <f>IFERROR(INDEX($R$4:$R$3183,MATCH(SMALL($V$4:$V$3183,1924),$V$4:$V$3183,0)),"")</f>
        <v/>
      </c>
      <c r="F1927">
        <f>IFERROR(INDEX($S$4:$S$3183,MATCH(SMALL($V$4:$V$3183,1924),$V$4:$V$3183,0)),"")</f>
        <v/>
      </c>
      <c r="I1927" s="29">
        <f>IF($B1927="","",IFERROR(INDEX($U$4:$U$3183,MATCH(SMALL($V$4:$V$3183,1924),$V$4:$V$3183,0)),""))</f>
        <v/>
      </c>
      <c r="J1927">
        <f>IF($B1927="","",IF($D1927&gt;$F$2,"À venir",IF($E1927&lt;$D$2,"Passé","Dans la période")))</f>
        <v/>
      </c>
      <c r="K1927">
        <f>IF(OR($B1927="",NOT(ISNUMBER($D1927))),"",IF(AND($E1927&lt;$D$2,$G1927&lt;&gt;"X",$F1927&lt;&gt;"Réalisé",$F1927&lt;&gt;"Clôturé"),"RETARD",""))</f>
        <v/>
      </c>
      <c r="L1927">
        <f>IF(OR($B1927="",NOT(ISNUMBER($D1927))),"",IF(AND($D1927&gt;=$D$2,$D1927&lt;=$H$2,$G1927&lt;&gt;"X",$F1927&lt;&gt;"Réalisé",$F1927&lt;&gt;"Clôturé"),"≤ 7 j",""))</f>
        <v/>
      </c>
      <c r="M1927" s="29">
        <f>IF($B1927="","",IFERROR(INDEX($T$4:$T$3183,MATCH(SMALL($V$4:$V$3183,1924),$V$4:$V$3183,0)),""))</f>
        <v/>
      </c>
      <c r="O1927">
        <f>IF(INDEX(Suivi!$B:$B,1964)="","",INDEX(Suivi!$B:$B,1964))</f>
        <v/>
      </c>
      <c r="P1927">
        <f>IF($O1927="","",IF(INDEX(Suivi!$D:$D,1964)="",INDEX(Suivi!$C:$C,1964),INDEX(Suivi!$D:$D,1964)))</f>
        <v/>
      </c>
      <c r="Q1927">
        <f>IF($O1927="","",INDEX(Suivi!$E:$E,1964))</f>
        <v/>
      </c>
      <c r="R1927">
        <f>IF($O1927="","",INDEX(Suivi!$F:$F,1964))</f>
        <v/>
      </c>
      <c r="S1927">
        <f>IF($O1927="","",INDEX(Suivi!$G:$G,1964))</f>
        <v/>
      </c>
      <c r="T1927">
        <f>IF($O1927="","",IF(INDEX(Dossiers!$F$4:$F$63,37)="","",INDEX(Dossiers!$F$4:$F$63,37)))</f>
        <v/>
      </c>
      <c r="U1927">
        <f>IF($O1927="","",IF(INDEX(Dossiers!$G$4:$G$63,37)="","",INDEX(Dossiers!$G$4:$G$63,37)))</f>
        <v/>
      </c>
      <c r="V1927">
        <f>IF(OR($O1927="",NOT(ISNUMBER($Q1927))),"",$Q1927*1000000+1927)</f>
        <v/>
      </c>
      <c r="W1927" s="29">
        <f>IF($B1927="","",IFERROR(INDEX($U$4:$U$3183,MATCH(SMALL($V$4:$V$3183,1924),$V$4:$V$3183,0)),""))</f>
        <v/>
      </c>
    </row>
    <row r="1928">
      <c r="A1928">
        <f>IFERROR(INDEX($N$4:$N$3183,MATCH(SMALL($V$4:$V$3183,1925),$V$4:$V$3183,0)),"")</f>
        <v/>
      </c>
      <c r="B1928">
        <f>IFERROR(INDEX($O$4:$O$3183,MATCH(SMALL($V$4:$V$3183,1925),$V$4:$V$3183,0)),"")</f>
        <v/>
      </c>
      <c r="C1928">
        <f>IFERROR(INDEX($P$4:$P$3183,MATCH(SMALL($V$4:$V$3183,1925),$V$4:$V$3183,0)),"")</f>
        <v/>
      </c>
      <c r="D1928" s="29">
        <f>IFERROR(INDEX($Q$4:$Q$3183,MATCH(SMALL($V$4:$V$3183,1925),$V$4:$V$3183,0)),"")</f>
        <v/>
      </c>
      <c r="E1928" s="29">
        <f>IFERROR(INDEX($R$4:$R$3183,MATCH(SMALL($V$4:$V$3183,1925),$V$4:$V$3183,0)),"")</f>
        <v/>
      </c>
      <c r="F1928">
        <f>IFERROR(INDEX($S$4:$S$3183,MATCH(SMALL($V$4:$V$3183,1925),$V$4:$V$3183,0)),"")</f>
        <v/>
      </c>
      <c r="I1928" s="29">
        <f>IF($B1928="","",IFERROR(INDEX($U$4:$U$3183,MATCH(SMALL($V$4:$V$3183,1925),$V$4:$V$3183,0)),""))</f>
        <v/>
      </c>
      <c r="J1928">
        <f>IF($B1928="","",IF($D1928&gt;$F$2,"À venir",IF($E1928&lt;$D$2,"Passé","Dans la période")))</f>
        <v/>
      </c>
      <c r="K1928">
        <f>IF(OR($B1928="",NOT(ISNUMBER($D1928))),"",IF(AND($E1928&lt;$D$2,$G1928&lt;&gt;"X",$F1928&lt;&gt;"Réalisé",$F1928&lt;&gt;"Clôturé"),"RETARD",""))</f>
        <v/>
      </c>
      <c r="L1928">
        <f>IF(OR($B1928="",NOT(ISNUMBER($D1928))),"",IF(AND($D1928&gt;=$D$2,$D1928&lt;=$H$2,$G1928&lt;&gt;"X",$F1928&lt;&gt;"Réalisé",$F1928&lt;&gt;"Clôturé"),"≤ 7 j",""))</f>
        <v/>
      </c>
      <c r="M1928" s="29">
        <f>IF($B1928="","",IFERROR(INDEX($T$4:$T$3183,MATCH(SMALL($V$4:$V$3183,1925),$V$4:$V$3183,0)),""))</f>
        <v/>
      </c>
      <c r="O1928">
        <f>IF(INDEX(Suivi!$B:$B,1965)="","",INDEX(Suivi!$B:$B,1965))</f>
        <v/>
      </c>
      <c r="P1928">
        <f>IF($O1928="","",IF(INDEX(Suivi!$D:$D,1965)="",INDEX(Suivi!$C:$C,1965),INDEX(Suivi!$D:$D,1965)))</f>
        <v/>
      </c>
      <c r="Q1928">
        <f>IF($O1928="","",INDEX(Suivi!$E:$E,1965))</f>
        <v/>
      </c>
      <c r="R1928">
        <f>IF($O1928="","",INDEX(Suivi!$F:$F,1965))</f>
        <v/>
      </c>
      <c r="S1928">
        <f>IF($O1928="","",INDEX(Suivi!$G:$G,1965))</f>
        <v/>
      </c>
      <c r="T1928">
        <f>IF($O1928="","",IF(INDEX(Dossiers!$F$4:$F$63,37)="","",INDEX(Dossiers!$F$4:$F$63,37)))</f>
        <v/>
      </c>
      <c r="U1928">
        <f>IF($O1928="","",IF(INDEX(Dossiers!$G$4:$G$63,37)="","",INDEX(Dossiers!$G$4:$G$63,37)))</f>
        <v/>
      </c>
      <c r="V1928">
        <f>IF(OR($O1928="",NOT(ISNUMBER($Q1928))),"",$Q1928*1000000+1928)</f>
        <v/>
      </c>
      <c r="W1928" s="29">
        <f>IF($B1928="","",IFERROR(INDEX($U$4:$U$3183,MATCH(SMALL($V$4:$V$3183,1925),$V$4:$V$3183,0)),""))</f>
        <v/>
      </c>
    </row>
    <row r="1929">
      <c r="A1929">
        <f>IFERROR(INDEX($N$4:$N$3183,MATCH(SMALL($V$4:$V$3183,1926),$V$4:$V$3183,0)),"")</f>
        <v/>
      </c>
      <c r="B1929">
        <f>IFERROR(INDEX($O$4:$O$3183,MATCH(SMALL($V$4:$V$3183,1926),$V$4:$V$3183,0)),"")</f>
        <v/>
      </c>
      <c r="C1929">
        <f>IFERROR(INDEX($P$4:$P$3183,MATCH(SMALL($V$4:$V$3183,1926),$V$4:$V$3183,0)),"")</f>
        <v/>
      </c>
      <c r="D1929" s="29">
        <f>IFERROR(INDEX($Q$4:$Q$3183,MATCH(SMALL($V$4:$V$3183,1926),$V$4:$V$3183,0)),"")</f>
        <v/>
      </c>
      <c r="E1929" s="29">
        <f>IFERROR(INDEX($R$4:$R$3183,MATCH(SMALL($V$4:$V$3183,1926),$V$4:$V$3183,0)),"")</f>
        <v/>
      </c>
      <c r="F1929">
        <f>IFERROR(INDEX($S$4:$S$3183,MATCH(SMALL($V$4:$V$3183,1926),$V$4:$V$3183,0)),"")</f>
        <v/>
      </c>
      <c r="I1929" s="29">
        <f>IF($B1929="","",IFERROR(INDEX($U$4:$U$3183,MATCH(SMALL($V$4:$V$3183,1926),$V$4:$V$3183,0)),""))</f>
        <v/>
      </c>
      <c r="J1929">
        <f>IF($B1929="","",IF($D1929&gt;$F$2,"À venir",IF($E1929&lt;$D$2,"Passé","Dans la période")))</f>
        <v/>
      </c>
      <c r="K1929">
        <f>IF(OR($B1929="",NOT(ISNUMBER($D1929))),"",IF(AND($E1929&lt;$D$2,$G1929&lt;&gt;"X",$F1929&lt;&gt;"Réalisé",$F1929&lt;&gt;"Clôturé"),"RETARD",""))</f>
        <v/>
      </c>
      <c r="L1929">
        <f>IF(OR($B1929="",NOT(ISNUMBER($D1929))),"",IF(AND($D1929&gt;=$D$2,$D1929&lt;=$H$2,$G1929&lt;&gt;"X",$F1929&lt;&gt;"Réalisé",$F1929&lt;&gt;"Clôturé"),"≤ 7 j",""))</f>
        <v/>
      </c>
      <c r="M1929" s="29">
        <f>IF($B1929="","",IFERROR(INDEX($T$4:$T$3183,MATCH(SMALL($V$4:$V$3183,1926),$V$4:$V$3183,0)),""))</f>
        <v/>
      </c>
      <c r="O1929">
        <f>IF(INDEX(Suivi!$B:$B,1966)="","",INDEX(Suivi!$B:$B,1966))</f>
        <v/>
      </c>
      <c r="P1929">
        <f>IF($O1929="","",IF(INDEX(Suivi!$D:$D,1966)="",INDEX(Suivi!$C:$C,1966),INDEX(Suivi!$D:$D,1966)))</f>
        <v/>
      </c>
      <c r="Q1929">
        <f>IF($O1929="","",INDEX(Suivi!$E:$E,1966))</f>
        <v/>
      </c>
      <c r="R1929">
        <f>IF($O1929="","",INDEX(Suivi!$F:$F,1966))</f>
        <v/>
      </c>
      <c r="S1929">
        <f>IF($O1929="","",INDEX(Suivi!$G:$G,1966))</f>
        <v/>
      </c>
      <c r="T1929">
        <f>IF($O1929="","",IF(INDEX(Dossiers!$F$4:$F$63,37)="","",INDEX(Dossiers!$F$4:$F$63,37)))</f>
        <v/>
      </c>
      <c r="U1929">
        <f>IF($O1929="","",IF(INDEX(Dossiers!$G$4:$G$63,37)="","",INDEX(Dossiers!$G$4:$G$63,37)))</f>
        <v/>
      </c>
      <c r="V1929">
        <f>IF(OR($O1929="",NOT(ISNUMBER($Q1929))),"",$Q1929*1000000+1929)</f>
        <v/>
      </c>
      <c r="W1929" s="29">
        <f>IF($B1929="","",IFERROR(INDEX($U$4:$U$3183,MATCH(SMALL($V$4:$V$3183,1926),$V$4:$V$3183,0)),""))</f>
        <v/>
      </c>
    </row>
    <row r="1930">
      <c r="A1930">
        <f>IFERROR(INDEX($N$4:$N$3183,MATCH(SMALL($V$4:$V$3183,1927),$V$4:$V$3183,0)),"")</f>
        <v/>
      </c>
      <c r="B1930">
        <f>IFERROR(INDEX($O$4:$O$3183,MATCH(SMALL($V$4:$V$3183,1927),$V$4:$V$3183,0)),"")</f>
        <v/>
      </c>
      <c r="C1930">
        <f>IFERROR(INDEX($P$4:$P$3183,MATCH(SMALL($V$4:$V$3183,1927),$V$4:$V$3183,0)),"")</f>
        <v/>
      </c>
      <c r="D1930" s="29">
        <f>IFERROR(INDEX($Q$4:$Q$3183,MATCH(SMALL($V$4:$V$3183,1927),$V$4:$V$3183,0)),"")</f>
        <v/>
      </c>
      <c r="E1930" s="29">
        <f>IFERROR(INDEX($R$4:$R$3183,MATCH(SMALL($V$4:$V$3183,1927),$V$4:$V$3183,0)),"")</f>
        <v/>
      </c>
      <c r="F1930">
        <f>IFERROR(INDEX($S$4:$S$3183,MATCH(SMALL($V$4:$V$3183,1927),$V$4:$V$3183,0)),"")</f>
        <v/>
      </c>
      <c r="I1930" s="29">
        <f>IF($B1930="","",IFERROR(INDEX($U$4:$U$3183,MATCH(SMALL($V$4:$V$3183,1927),$V$4:$V$3183,0)),""))</f>
        <v/>
      </c>
      <c r="J1930">
        <f>IF($B1930="","",IF($D1930&gt;$F$2,"À venir",IF($E1930&lt;$D$2,"Passé","Dans la période")))</f>
        <v/>
      </c>
      <c r="K1930">
        <f>IF(OR($B1930="",NOT(ISNUMBER($D1930))),"",IF(AND($E1930&lt;$D$2,$G1930&lt;&gt;"X",$F1930&lt;&gt;"Réalisé",$F1930&lt;&gt;"Clôturé"),"RETARD",""))</f>
        <v/>
      </c>
      <c r="L1930">
        <f>IF(OR($B1930="",NOT(ISNUMBER($D1930))),"",IF(AND($D1930&gt;=$D$2,$D1930&lt;=$H$2,$G1930&lt;&gt;"X",$F1930&lt;&gt;"Réalisé",$F1930&lt;&gt;"Clôturé"),"≤ 7 j",""))</f>
        <v/>
      </c>
      <c r="M1930" s="29">
        <f>IF($B1930="","",IFERROR(INDEX($T$4:$T$3183,MATCH(SMALL($V$4:$V$3183,1927),$V$4:$V$3183,0)),""))</f>
        <v/>
      </c>
      <c r="O1930">
        <f>IF(INDEX(Suivi!$B:$B,1967)="","",INDEX(Suivi!$B:$B,1967))</f>
        <v/>
      </c>
      <c r="P1930">
        <f>IF($O1930="","",IF(INDEX(Suivi!$D:$D,1967)="",INDEX(Suivi!$C:$C,1967),INDEX(Suivi!$D:$D,1967)))</f>
        <v/>
      </c>
      <c r="Q1930">
        <f>IF($O1930="","",INDEX(Suivi!$E:$E,1967))</f>
        <v/>
      </c>
      <c r="R1930">
        <f>IF($O1930="","",INDEX(Suivi!$F:$F,1967))</f>
        <v/>
      </c>
      <c r="S1930">
        <f>IF($O1930="","",INDEX(Suivi!$G:$G,1967))</f>
        <v/>
      </c>
      <c r="T1930">
        <f>IF($O1930="","",IF(INDEX(Dossiers!$F$4:$F$63,37)="","",INDEX(Dossiers!$F$4:$F$63,37)))</f>
        <v/>
      </c>
      <c r="U1930">
        <f>IF($O1930="","",IF(INDEX(Dossiers!$G$4:$G$63,37)="","",INDEX(Dossiers!$G$4:$G$63,37)))</f>
        <v/>
      </c>
      <c r="V1930">
        <f>IF(OR($O1930="",NOT(ISNUMBER($Q1930))),"",$Q1930*1000000+1930)</f>
        <v/>
      </c>
      <c r="W1930" s="29">
        <f>IF($B1930="","",IFERROR(INDEX($U$4:$U$3183,MATCH(SMALL($V$4:$V$3183,1927),$V$4:$V$3183,0)),""))</f>
        <v/>
      </c>
    </row>
    <row r="1931">
      <c r="A1931">
        <f>IFERROR(INDEX($N$4:$N$3183,MATCH(SMALL($V$4:$V$3183,1928),$V$4:$V$3183,0)),"")</f>
        <v/>
      </c>
      <c r="B1931">
        <f>IFERROR(INDEX($O$4:$O$3183,MATCH(SMALL($V$4:$V$3183,1928),$V$4:$V$3183,0)),"")</f>
        <v/>
      </c>
      <c r="C1931">
        <f>IFERROR(INDEX($P$4:$P$3183,MATCH(SMALL($V$4:$V$3183,1928),$V$4:$V$3183,0)),"")</f>
        <v/>
      </c>
      <c r="D1931" s="29">
        <f>IFERROR(INDEX($Q$4:$Q$3183,MATCH(SMALL($V$4:$V$3183,1928),$V$4:$V$3183,0)),"")</f>
        <v/>
      </c>
      <c r="E1931" s="29">
        <f>IFERROR(INDEX($R$4:$R$3183,MATCH(SMALL($V$4:$V$3183,1928),$V$4:$V$3183,0)),"")</f>
        <v/>
      </c>
      <c r="F1931">
        <f>IFERROR(INDEX($S$4:$S$3183,MATCH(SMALL($V$4:$V$3183,1928),$V$4:$V$3183,0)),"")</f>
        <v/>
      </c>
      <c r="I1931" s="29">
        <f>IF($B1931="","",IFERROR(INDEX($U$4:$U$3183,MATCH(SMALL($V$4:$V$3183,1928),$V$4:$V$3183,0)),""))</f>
        <v/>
      </c>
      <c r="J1931">
        <f>IF($B1931="","",IF($D1931&gt;$F$2,"À venir",IF($E1931&lt;$D$2,"Passé","Dans la période")))</f>
        <v/>
      </c>
      <c r="K1931">
        <f>IF(OR($B1931="",NOT(ISNUMBER($D1931))),"",IF(AND($E1931&lt;$D$2,$G1931&lt;&gt;"X",$F1931&lt;&gt;"Réalisé",$F1931&lt;&gt;"Clôturé"),"RETARD",""))</f>
        <v/>
      </c>
      <c r="L1931">
        <f>IF(OR($B1931="",NOT(ISNUMBER($D1931))),"",IF(AND($D1931&gt;=$D$2,$D1931&lt;=$H$2,$G1931&lt;&gt;"X",$F1931&lt;&gt;"Réalisé",$F1931&lt;&gt;"Clôturé"),"≤ 7 j",""))</f>
        <v/>
      </c>
      <c r="M1931" s="29">
        <f>IF($B1931="","",IFERROR(INDEX($T$4:$T$3183,MATCH(SMALL($V$4:$V$3183,1928),$V$4:$V$3183,0)),""))</f>
        <v/>
      </c>
      <c r="O1931">
        <f>IF(INDEX(Suivi!$B:$B,1968)="","",INDEX(Suivi!$B:$B,1968))</f>
        <v/>
      </c>
      <c r="P1931">
        <f>IF($O1931="","",IF(INDEX(Suivi!$D:$D,1968)="",INDEX(Suivi!$C:$C,1968),INDEX(Suivi!$D:$D,1968)))</f>
        <v/>
      </c>
      <c r="Q1931">
        <f>IF($O1931="","",INDEX(Suivi!$E:$E,1968))</f>
        <v/>
      </c>
      <c r="R1931">
        <f>IF($O1931="","",INDEX(Suivi!$F:$F,1968))</f>
        <v/>
      </c>
      <c r="S1931">
        <f>IF($O1931="","",INDEX(Suivi!$G:$G,1968))</f>
        <v/>
      </c>
      <c r="T1931">
        <f>IF($O1931="","",IF(INDEX(Dossiers!$F$4:$F$63,37)="","",INDEX(Dossiers!$F$4:$F$63,37)))</f>
        <v/>
      </c>
      <c r="U1931">
        <f>IF($O1931="","",IF(INDEX(Dossiers!$G$4:$G$63,37)="","",INDEX(Dossiers!$G$4:$G$63,37)))</f>
        <v/>
      </c>
      <c r="V1931">
        <f>IF(OR($O1931="",NOT(ISNUMBER($Q1931))),"",$Q1931*1000000+1931)</f>
        <v/>
      </c>
      <c r="W1931" s="29">
        <f>IF($B1931="","",IFERROR(INDEX($U$4:$U$3183,MATCH(SMALL($V$4:$V$3183,1928),$V$4:$V$3183,0)),""))</f>
        <v/>
      </c>
    </row>
    <row r="1932">
      <c r="A1932">
        <f>IFERROR(INDEX($N$4:$N$3183,MATCH(SMALL($V$4:$V$3183,1929),$V$4:$V$3183,0)),"")</f>
        <v/>
      </c>
      <c r="B1932">
        <f>IFERROR(INDEX($O$4:$O$3183,MATCH(SMALL($V$4:$V$3183,1929),$V$4:$V$3183,0)),"")</f>
        <v/>
      </c>
      <c r="C1932">
        <f>IFERROR(INDEX($P$4:$P$3183,MATCH(SMALL($V$4:$V$3183,1929),$V$4:$V$3183,0)),"")</f>
        <v/>
      </c>
      <c r="D1932" s="29">
        <f>IFERROR(INDEX($Q$4:$Q$3183,MATCH(SMALL($V$4:$V$3183,1929),$V$4:$V$3183,0)),"")</f>
        <v/>
      </c>
      <c r="E1932" s="29">
        <f>IFERROR(INDEX($R$4:$R$3183,MATCH(SMALL($V$4:$V$3183,1929),$V$4:$V$3183,0)),"")</f>
        <v/>
      </c>
      <c r="F1932">
        <f>IFERROR(INDEX($S$4:$S$3183,MATCH(SMALL($V$4:$V$3183,1929),$V$4:$V$3183,0)),"")</f>
        <v/>
      </c>
      <c r="I1932" s="29">
        <f>IF($B1932="","",IFERROR(INDEX($U$4:$U$3183,MATCH(SMALL($V$4:$V$3183,1929),$V$4:$V$3183,0)),""))</f>
        <v/>
      </c>
      <c r="J1932">
        <f>IF($B1932="","",IF($D1932&gt;$F$2,"À venir",IF($E1932&lt;$D$2,"Passé","Dans la période")))</f>
        <v/>
      </c>
      <c r="K1932">
        <f>IF(OR($B1932="",NOT(ISNUMBER($D1932))),"",IF(AND($E1932&lt;$D$2,$G1932&lt;&gt;"X",$F1932&lt;&gt;"Réalisé",$F1932&lt;&gt;"Clôturé"),"RETARD",""))</f>
        <v/>
      </c>
      <c r="L1932">
        <f>IF(OR($B1932="",NOT(ISNUMBER($D1932))),"",IF(AND($D1932&gt;=$D$2,$D1932&lt;=$H$2,$G1932&lt;&gt;"X",$F1932&lt;&gt;"Réalisé",$F1932&lt;&gt;"Clôturé"),"≤ 7 j",""))</f>
        <v/>
      </c>
      <c r="M1932" s="29">
        <f>IF($B1932="","",IFERROR(INDEX($T$4:$T$3183,MATCH(SMALL($V$4:$V$3183,1929),$V$4:$V$3183,0)),""))</f>
        <v/>
      </c>
      <c r="O1932">
        <f>IF(INDEX(Suivi!$B:$B,1969)="","",INDEX(Suivi!$B:$B,1969))</f>
        <v/>
      </c>
      <c r="P1932">
        <f>IF($O1932="","",IF(INDEX(Suivi!$D:$D,1969)="",INDEX(Suivi!$C:$C,1969),INDEX(Suivi!$D:$D,1969)))</f>
        <v/>
      </c>
      <c r="Q1932">
        <f>IF($O1932="","",INDEX(Suivi!$E:$E,1969))</f>
        <v/>
      </c>
      <c r="R1932">
        <f>IF($O1932="","",INDEX(Suivi!$F:$F,1969))</f>
        <v/>
      </c>
      <c r="S1932">
        <f>IF($O1932="","",INDEX(Suivi!$G:$G,1969))</f>
        <v/>
      </c>
      <c r="T1932">
        <f>IF($O1932="","",IF(INDEX(Dossiers!$F$4:$F$63,37)="","",INDEX(Dossiers!$F$4:$F$63,37)))</f>
        <v/>
      </c>
      <c r="U1932">
        <f>IF($O1932="","",IF(INDEX(Dossiers!$G$4:$G$63,37)="","",INDEX(Dossiers!$G$4:$G$63,37)))</f>
        <v/>
      </c>
      <c r="V1932">
        <f>IF(OR($O1932="",NOT(ISNUMBER($Q1932))),"",$Q1932*1000000+1932)</f>
        <v/>
      </c>
      <c r="W1932" s="29">
        <f>IF($B1932="","",IFERROR(INDEX($U$4:$U$3183,MATCH(SMALL($V$4:$V$3183,1929),$V$4:$V$3183,0)),""))</f>
        <v/>
      </c>
    </row>
    <row r="1933">
      <c r="A1933">
        <f>IFERROR(INDEX($N$4:$N$3183,MATCH(SMALL($V$4:$V$3183,1930),$V$4:$V$3183,0)),"")</f>
        <v/>
      </c>
      <c r="B1933">
        <f>IFERROR(INDEX($O$4:$O$3183,MATCH(SMALL($V$4:$V$3183,1930),$V$4:$V$3183,0)),"")</f>
        <v/>
      </c>
      <c r="C1933">
        <f>IFERROR(INDEX($P$4:$P$3183,MATCH(SMALL($V$4:$V$3183,1930),$V$4:$V$3183,0)),"")</f>
        <v/>
      </c>
      <c r="D1933" s="29">
        <f>IFERROR(INDEX($Q$4:$Q$3183,MATCH(SMALL($V$4:$V$3183,1930),$V$4:$V$3183,0)),"")</f>
        <v/>
      </c>
      <c r="E1933" s="29">
        <f>IFERROR(INDEX($R$4:$R$3183,MATCH(SMALL($V$4:$V$3183,1930),$V$4:$V$3183,0)),"")</f>
        <v/>
      </c>
      <c r="F1933">
        <f>IFERROR(INDEX($S$4:$S$3183,MATCH(SMALL($V$4:$V$3183,1930),$V$4:$V$3183,0)),"")</f>
        <v/>
      </c>
      <c r="I1933" s="29">
        <f>IF($B1933="","",IFERROR(INDEX($U$4:$U$3183,MATCH(SMALL($V$4:$V$3183,1930),$V$4:$V$3183,0)),""))</f>
        <v/>
      </c>
      <c r="J1933">
        <f>IF($B1933="","",IF($D1933&gt;$F$2,"À venir",IF($E1933&lt;$D$2,"Passé","Dans la période")))</f>
        <v/>
      </c>
      <c r="K1933">
        <f>IF(OR($B1933="",NOT(ISNUMBER($D1933))),"",IF(AND($E1933&lt;$D$2,$G1933&lt;&gt;"X",$F1933&lt;&gt;"Réalisé",$F1933&lt;&gt;"Clôturé"),"RETARD",""))</f>
        <v/>
      </c>
      <c r="L1933">
        <f>IF(OR($B1933="",NOT(ISNUMBER($D1933))),"",IF(AND($D1933&gt;=$D$2,$D1933&lt;=$H$2,$G1933&lt;&gt;"X",$F1933&lt;&gt;"Réalisé",$F1933&lt;&gt;"Clôturé"),"≤ 7 j",""))</f>
        <v/>
      </c>
      <c r="M1933" s="29">
        <f>IF($B1933="","",IFERROR(INDEX($T$4:$T$3183,MATCH(SMALL($V$4:$V$3183,1930),$V$4:$V$3183,0)),""))</f>
        <v/>
      </c>
      <c r="O1933">
        <f>IF(INDEX(Suivi!$B:$B,1970)="","",INDEX(Suivi!$B:$B,1970))</f>
        <v/>
      </c>
      <c r="P1933">
        <f>IF($O1933="","",IF(INDEX(Suivi!$D:$D,1970)="",INDEX(Suivi!$C:$C,1970),INDEX(Suivi!$D:$D,1970)))</f>
        <v/>
      </c>
      <c r="Q1933">
        <f>IF($O1933="","",INDEX(Suivi!$E:$E,1970))</f>
        <v/>
      </c>
      <c r="R1933">
        <f>IF($O1933="","",INDEX(Suivi!$F:$F,1970))</f>
        <v/>
      </c>
      <c r="S1933">
        <f>IF($O1933="","",INDEX(Suivi!$G:$G,1970))</f>
        <v/>
      </c>
      <c r="T1933">
        <f>IF($O1933="","",IF(INDEX(Dossiers!$F$4:$F$63,37)="","",INDEX(Dossiers!$F$4:$F$63,37)))</f>
        <v/>
      </c>
      <c r="U1933">
        <f>IF($O1933="","",IF(INDEX(Dossiers!$G$4:$G$63,37)="","",INDEX(Dossiers!$G$4:$G$63,37)))</f>
        <v/>
      </c>
      <c r="V1933">
        <f>IF(OR($O1933="",NOT(ISNUMBER($Q1933))),"",$Q1933*1000000+1933)</f>
        <v/>
      </c>
      <c r="W1933" s="29">
        <f>IF($B1933="","",IFERROR(INDEX($U$4:$U$3183,MATCH(SMALL($V$4:$V$3183,1930),$V$4:$V$3183,0)),""))</f>
        <v/>
      </c>
    </row>
    <row r="1934">
      <c r="A1934">
        <f>IFERROR(INDEX($N$4:$N$3183,MATCH(SMALL($V$4:$V$3183,1931),$V$4:$V$3183,0)),"")</f>
        <v/>
      </c>
      <c r="B1934">
        <f>IFERROR(INDEX($O$4:$O$3183,MATCH(SMALL($V$4:$V$3183,1931),$V$4:$V$3183,0)),"")</f>
        <v/>
      </c>
      <c r="C1934">
        <f>IFERROR(INDEX($P$4:$P$3183,MATCH(SMALL($V$4:$V$3183,1931),$V$4:$V$3183,0)),"")</f>
        <v/>
      </c>
      <c r="D1934" s="29">
        <f>IFERROR(INDEX($Q$4:$Q$3183,MATCH(SMALL($V$4:$V$3183,1931),$V$4:$V$3183,0)),"")</f>
        <v/>
      </c>
      <c r="E1934" s="29">
        <f>IFERROR(INDEX($R$4:$R$3183,MATCH(SMALL($V$4:$V$3183,1931),$V$4:$V$3183,0)),"")</f>
        <v/>
      </c>
      <c r="F1934">
        <f>IFERROR(INDEX($S$4:$S$3183,MATCH(SMALL($V$4:$V$3183,1931),$V$4:$V$3183,0)),"")</f>
        <v/>
      </c>
      <c r="I1934" s="29">
        <f>IF($B1934="","",IFERROR(INDEX($U$4:$U$3183,MATCH(SMALL($V$4:$V$3183,1931),$V$4:$V$3183,0)),""))</f>
        <v/>
      </c>
      <c r="J1934">
        <f>IF($B1934="","",IF($D1934&gt;$F$2,"À venir",IF($E1934&lt;$D$2,"Passé","Dans la période")))</f>
        <v/>
      </c>
      <c r="K1934">
        <f>IF(OR($B1934="",NOT(ISNUMBER($D1934))),"",IF(AND($E1934&lt;$D$2,$G1934&lt;&gt;"X",$F1934&lt;&gt;"Réalisé",$F1934&lt;&gt;"Clôturé"),"RETARD",""))</f>
        <v/>
      </c>
      <c r="L1934">
        <f>IF(OR($B1934="",NOT(ISNUMBER($D1934))),"",IF(AND($D1934&gt;=$D$2,$D1934&lt;=$H$2,$G1934&lt;&gt;"X",$F1934&lt;&gt;"Réalisé",$F1934&lt;&gt;"Clôturé"),"≤ 7 j",""))</f>
        <v/>
      </c>
      <c r="M1934" s="29">
        <f>IF($B1934="","",IFERROR(INDEX($T$4:$T$3183,MATCH(SMALL($V$4:$V$3183,1931),$V$4:$V$3183,0)),""))</f>
        <v/>
      </c>
      <c r="O1934">
        <f>IF(INDEX(Suivi!$B:$B,1971)="","",INDEX(Suivi!$B:$B,1971))</f>
        <v/>
      </c>
      <c r="P1934">
        <f>IF($O1934="","",IF(INDEX(Suivi!$D:$D,1971)="",INDEX(Suivi!$C:$C,1971),INDEX(Suivi!$D:$D,1971)))</f>
        <v/>
      </c>
      <c r="Q1934">
        <f>IF($O1934="","",INDEX(Suivi!$E:$E,1971))</f>
        <v/>
      </c>
      <c r="R1934">
        <f>IF($O1934="","",INDEX(Suivi!$F:$F,1971))</f>
        <v/>
      </c>
      <c r="S1934">
        <f>IF($O1934="","",INDEX(Suivi!$G:$G,1971))</f>
        <v/>
      </c>
      <c r="T1934">
        <f>IF($O1934="","",IF(INDEX(Dossiers!$F$4:$F$63,37)="","",INDEX(Dossiers!$F$4:$F$63,37)))</f>
        <v/>
      </c>
      <c r="U1934">
        <f>IF($O1934="","",IF(INDEX(Dossiers!$G$4:$G$63,37)="","",INDEX(Dossiers!$G$4:$G$63,37)))</f>
        <v/>
      </c>
      <c r="V1934">
        <f>IF(OR($O1934="",NOT(ISNUMBER($Q1934))),"",$Q1934*1000000+1934)</f>
        <v/>
      </c>
      <c r="W1934" s="29">
        <f>IF($B1934="","",IFERROR(INDEX($U$4:$U$3183,MATCH(SMALL($V$4:$V$3183,1931),$V$4:$V$3183,0)),""))</f>
        <v/>
      </c>
    </row>
    <row r="1935">
      <c r="A1935">
        <f>IFERROR(INDEX($N$4:$N$3183,MATCH(SMALL($V$4:$V$3183,1932),$V$4:$V$3183,0)),"")</f>
        <v/>
      </c>
      <c r="B1935">
        <f>IFERROR(INDEX($O$4:$O$3183,MATCH(SMALL($V$4:$V$3183,1932),$V$4:$V$3183,0)),"")</f>
        <v/>
      </c>
      <c r="C1935">
        <f>IFERROR(INDEX($P$4:$P$3183,MATCH(SMALL($V$4:$V$3183,1932),$V$4:$V$3183,0)),"")</f>
        <v/>
      </c>
      <c r="D1935" s="29">
        <f>IFERROR(INDEX($Q$4:$Q$3183,MATCH(SMALL($V$4:$V$3183,1932),$V$4:$V$3183,0)),"")</f>
        <v/>
      </c>
      <c r="E1935" s="29">
        <f>IFERROR(INDEX($R$4:$R$3183,MATCH(SMALL($V$4:$V$3183,1932),$V$4:$V$3183,0)),"")</f>
        <v/>
      </c>
      <c r="F1935">
        <f>IFERROR(INDEX($S$4:$S$3183,MATCH(SMALL($V$4:$V$3183,1932),$V$4:$V$3183,0)),"")</f>
        <v/>
      </c>
      <c r="I1935" s="29">
        <f>IF($B1935="","",IFERROR(INDEX($U$4:$U$3183,MATCH(SMALL($V$4:$V$3183,1932),$V$4:$V$3183,0)),""))</f>
        <v/>
      </c>
      <c r="J1935">
        <f>IF($B1935="","",IF($D1935&gt;$F$2,"À venir",IF($E1935&lt;$D$2,"Passé","Dans la période")))</f>
        <v/>
      </c>
      <c r="K1935">
        <f>IF(OR($B1935="",NOT(ISNUMBER($D1935))),"",IF(AND($E1935&lt;$D$2,$G1935&lt;&gt;"X",$F1935&lt;&gt;"Réalisé",$F1935&lt;&gt;"Clôturé"),"RETARD",""))</f>
        <v/>
      </c>
      <c r="L1935">
        <f>IF(OR($B1935="",NOT(ISNUMBER($D1935))),"",IF(AND($D1935&gt;=$D$2,$D1935&lt;=$H$2,$G1935&lt;&gt;"X",$F1935&lt;&gt;"Réalisé",$F1935&lt;&gt;"Clôturé"),"≤ 7 j",""))</f>
        <v/>
      </c>
      <c r="M1935" s="29">
        <f>IF($B1935="","",IFERROR(INDEX($T$4:$T$3183,MATCH(SMALL($V$4:$V$3183,1932),$V$4:$V$3183,0)),""))</f>
        <v/>
      </c>
      <c r="O1935">
        <f>IF(INDEX(Suivi!$B:$B,1972)="","",INDEX(Suivi!$B:$B,1972))</f>
        <v/>
      </c>
      <c r="P1935">
        <f>IF($O1935="","",IF(INDEX(Suivi!$D:$D,1972)="",INDEX(Suivi!$C:$C,1972),INDEX(Suivi!$D:$D,1972)))</f>
        <v/>
      </c>
      <c r="Q1935">
        <f>IF($O1935="","",INDEX(Suivi!$E:$E,1972))</f>
        <v/>
      </c>
      <c r="R1935">
        <f>IF($O1935="","",INDEX(Suivi!$F:$F,1972))</f>
        <v/>
      </c>
      <c r="S1935">
        <f>IF($O1935="","",INDEX(Suivi!$G:$G,1972))</f>
        <v/>
      </c>
      <c r="T1935">
        <f>IF($O1935="","",IF(INDEX(Dossiers!$F$4:$F$63,37)="","",INDEX(Dossiers!$F$4:$F$63,37)))</f>
        <v/>
      </c>
      <c r="U1935">
        <f>IF($O1935="","",IF(INDEX(Dossiers!$G$4:$G$63,37)="","",INDEX(Dossiers!$G$4:$G$63,37)))</f>
        <v/>
      </c>
      <c r="V1935">
        <f>IF(OR($O1935="",NOT(ISNUMBER($Q1935))),"",$Q1935*1000000+1935)</f>
        <v/>
      </c>
      <c r="W1935" s="29">
        <f>IF($B1935="","",IFERROR(INDEX($U$4:$U$3183,MATCH(SMALL($V$4:$V$3183,1932),$V$4:$V$3183,0)),""))</f>
        <v/>
      </c>
    </row>
    <row r="1936">
      <c r="A1936">
        <f>IFERROR(INDEX($N$4:$N$3183,MATCH(SMALL($V$4:$V$3183,1933),$V$4:$V$3183,0)),"")</f>
        <v/>
      </c>
      <c r="B1936">
        <f>IFERROR(INDEX($O$4:$O$3183,MATCH(SMALL($V$4:$V$3183,1933),$V$4:$V$3183,0)),"")</f>
        <v/>
      </c>
      <c r="C1936">
        <f>IFERROR(INDEX($P$4:$P$3183,MATCH(SMALL($V$4:$V$3183,1933),$V$4:$V$3183,0)),"")</f>
        <v/>
      </c>
      <c r="D1936" s="29">
        <f>IFERROR(INDEX($Q$4:$Q$3183,MATCH(SMALL($V$4:$V$3183,1933),$V$4:$V$3183,0)),"")</f>
        <v/>
      </c>
      <c r="E1936" s="29">
        <f>IFERROR(INDEX($R$4:$R$3183,MATCH(SMALL($V$4:$V$3183,1933),$V$4:$V$3183,0)),"")</f>
        <v/>
      </c>
      <c r="F1936">
        <f>IFERROR(INDEX($S$4:$S$3183,MATCH(SMALL($V$4:$V$3183,1933),$V$4:$V$3183,0)),"")</f>
        <v/>
      </c>
      <c r="I1936" s="29">
        <f>IF($B1936="","",IFERROR(INDEX($U$4:$U$3183,MATCH(SMALL($V$4:$V$3183,1933),$V$4:$V$3183,0)),""))</f>
        <v/>
      </c>
      <c r="J1936">
        <f>IF($B1936="","",IF($D1936&gt;$F$2,"À venir",IF($E1936&lt;$D$2,"Passé","Dans la période")))</f>
        <v/>
      </c>
      <c r="K1936">
        <f>IF(OR($B1936="",NOT(ISNUMBER($D1936))),"",IF(AND($E1936&lt;$D$2,$G1936&lt;&gt;"X",$F1936&lt;&gt;"Réalisé",$F1936&lt;&gt;"Clôturé"),"RETARD",""))</f>
        <v/>
      </c>
      <c r="L1936">
        <f>IF(OR($B1936="",NOT(ISNUMBER($D1936))),"",IF(AND($D1936&gt;=$D$2,$D1936&lt;=$H$2,$G1936&lt;&gt;"X",$F1936&lt;&gt;"Réalisé",$F1936&lt;&gt;"Clôturé"),"≤ 7 j",""))</f>
        <v/>
      </c>
      <c r="M1936" s="29">
        <f>IF($B1936="","",IFERROR(INDEX($T$4:$T$3183,MATCH(SMALL($V$4:$V$3183,1933),$V$4:$V$3183,0)),""))</f>
        <v/>
      </c>
      <c r="O1936">
        <f>IF(INDEX(Suivi!$B:$B,1973)="","",INDEX(Suivi!$B:$B,1973))</f>
        <v/>
      </c>
      <c r="P1936">
        <f>IF($O1936="","",IF(INDEX(Suivi!$D:$D,1973)="",INDEX(Suivi!$C:$C,1973),INDEX(Suivi!$D:$D,1973)))</f>
        <v/>
      </c>
      <c r="Q1936">
        <f>IF($O1936="","",INDEX(Suivi!$E:$E,1973))</f>
        <v/>
      </c>
      <c r="R1936">
        <f>IF($O1936="","",INDEX(Suivi!$F:$F,1973))</f>
        <v/>
      </c>
      <c r="S1936">
        <f>IF($O1936="","",INDEX(Suivi!$G:$G,1973))</f>
        <v/>
      </c>
      <c r="T1936">
        <f>IF($O1936="","",IF(INDEX(Dossiers!$F$4:$F$63,37)="","",INDEX(Dossiers!$F$4:$F$63,37)))</f>
        <v/>
      </c>
      <c r="U1936">
        <f>IF($O1936="","",IF(INDEX(Dossiers!$G$4:$G$63,37)="","",INDEX(Dossiers!$G$4:$G$63,37)))</f>
        <v/>
      </c>
      <c r="V1936">
        <f>IF(OR($O1936="",NOT(ISNUMBER($Q1936))),"",$Q1936*1000000+1936)</f>
        <v/>
      </c>
      <c r="W1936" s="29">
        <f>IF($B1936="","",IFERROR(INDEX($U$4:$U$3183,MATCH(SMALL($V$4:$V$3183,1933),$V$4:$V$3183,0)),""))</f>
        <v/>
      </c>
    </row>
    <row r="1937">
      <c r="A1937">
        <f>IFERROR(INDEX($N$4:$N$3183,MATCH(SMALL($V$4:$V$3183,1934),$V$4:$V$3183,0)),"")</f>
        <v/>
      </c>
      <c r="B1937">
        <f>IFERROR(INDEX($O$4:$O$3183,MATCH(SMALL($V$4:$V$3183,1934),$V$4:$V$3183,0)),"")</f>
        <v/>
      </c>
      <c r="C1937">
        <f>IFERROR(INDEX($P$4:$P$3183,MATCH(SMALL($V$4:$V$3183,1934),$V$4:$V$3183,0)),"")</f>
        <v/>
      </c>
      <c r="D1937" s="29">
        <f>IFERROR(INDEX($Q$4:$Q$3183,MATCH(SMALL($V$4:$V$3183,1934),$V$4:$V$3183,0)),"")</f>
        <v/>
      </c>
      <c r="E1937" s="29">
        <f>IFERROR(INDEX($R$4:$R$3183,MATCH(SMALL($V$4:$V$3183,1934),$V$4:$V$3183,0)),"")</f>
        <v/>
      </c>
      <c r="F1937">
        <f>IFERROR(INDEX($S$4:$S$3183,MATCH(SMALL($V$4:$V$3183,1934),$V$4:$V$3183,0)),"")</f>
        <v/>
      </c>
      <c r="I1937" s="29">
        <f>IF($B1937="","",IFERROR(INDEX($U$4:$U$3183,MATCH(SMALL($V$4:$V$3183,1934),$V$4:$V$3183,0)),""))</f>
        <v/>
      </c>
      <c r="J1937">
        <f>IF($B1937="","",IF($D1937&gt;$F$2,"À venir",IF($E1937&lt;$D$2,"Passé","Dans la période")))</f>
        <v/>
      </c>
      <c r="K1937">
        <f>IF(OR($B1937="",NOT(ISNUMBER($D1937))),"",IF(AND($E1937&lt;$D$2,$G1937&lt;&gt;"X",$F1937&lt;&gt;"Réalisé",$F1937&lt;&gt;"Clôturé"),"RETARD",""))</f>
        <v/>
      </c>
      <c r="L1937">
        <f>IF(OR($B1937="",NOT(ISNUMBER($D1937))),"",IF(AND($D1937&gt;=$D$2,$D1937&lt;=$H$2,$G1937&lt;&gt;"X",$F1937&lt;&gt;"Réalisé",$F1937&lt;&gt;"Clôturé"),"≤ 7 j",""))</f>
        <v/>
      </c>
      <c r="M1937" s="29">
        <f>IF($B1937="","",IFERROR(INDEX($T$4:$T$3183,MATCH(SMALL($V$4:$V$3183,1934),$V$4:$V$3183,0)),""))</f>
        <v/>
      </c>
      <c r="O1937">
        <f>IF(INDEX(Suivi!$B:$B,1974)="","",INDEX(Suivi!$B:$B,1974))</f>
        <v/>
      </c>
      <c r="P1937">
        <f>IF($O1937="","",IF(INDEX(Suivi!$D:$D,1974)="",INDEX(Suivi!$C:$C,1974),INDEX(Suivi!$D:$D,1974)))</f>
        <v/>
      </c>
      <c r="Q1937">
        <f>IF($O1937="","",INDEX(Suivi!$E:$E,1974))</f>
        <v/>
      </c>
      <c r="R1937">
        <f>IF($O1937="","",INDEX(Suivi!$F:$F,1974))</f>
        <v/>
      </c>
      <c r="S1937">
        <f>IF($O1937="","",INDEX(Suivi!$G:$G,1974))</f>
        <v/>
      </c>
      <c r="T1937">
        <f>IF($O1937="","",IF(INDEX(Dossiers!$F$4:$F$63,37)="","",INDEX(Dossiers!$F$4:$F$63,37)))</f>
        <v/>
      </c>
      <c r="U1937">
        <f>IF($O1937="","",IF(INDEX(Dossiers!$G$4:$G$63,37)="","",INDEX(Dossiers!$G$4:$G$63,37)))</f>
        <v/>
      </c>
      <c r="V1937">
        <f>IF(OR($O1937="",NOT(ISNUMBER($Q1937))),"",$Q1937*1000000+1937)</f>
        <v/>
      </c>
      <c r="W1937" s="29">
        <f>IF($B1937="","",IFERROR(INDEX($U$4:$U$3183,MATCH(SMALL($V$4:$V$3183,1934),$V$4:$V$3183,0)),""))</f>
        <v/>
      </c>
    </row>
    <row r="1938">
      <c r="A1938">
        <f>IFERROR(INDEX($N$4:$N$3183,MATCH(SMALL($V$4:$V$3183,1935),$V$4:$V$3183,0)),"")</f>
        <v/>
      </c>
      <c r="B1938">
        <f>IFERROR(INDEX($O$4:$O$3183,MATCH(SMALL($V$4:$V$3183,1935),$V$4:$V$3183,0)),"")</f>
        <v/>
      </c>
      <c r="C1938">
        <f>IFERROR(INDEX($P$4:$P$3183,MATCH(SMALL($V$4:$V$3183,1935),$V$4:$V$3183,0)),"")</f>
        <v/>
      </c>
      <c r="D1938" s="29">
        <f>IFERROR(INDEX($Q$4:$Q$3183,MATCH(SMALL($V$4:$V$3183,1935),$V$4:$V$3183,0)),"")</f>
        <v/>
      </c>
      <c r="E1938" s="29">
        <f>IFERROR(INDEX($R$4:$R$3183,MATCH(SMALL($V$4:$V$3183,1935),$V$4:$V$3183,0)),"")</f>
        <v/>
      </c>
      <c r="F1938">
        <f>IFERROR(INDEX($S$4:$S$3183,MATCH(SMALL($V$4:$V$3183,1935),$V$4:$V$3183,0)),"")</f>
        <v/>
      </c>
      <c r="I1938" s="29">
        <f>IF($B1938="","",IFERROR(INDEX($U$4:$U$3183,MATCH(SMALL($V$4:$V$3183,1935),$V$4:$V$3183,0)),""))</f>
        <v/>
      </c>
      <c r="J1938">
        <f>IF($B1938="","",IF($D1938&gt;$F$2,"À venir",IF($E1938&lt;$D$2,"Passé","Dans la période")))</f>
        <v/>
      </c>
      <c r="K1938">
        <f>IF(OR($B1938="",NOT(ISNUMBER($D1938))),"",IF(AND($E1938&lt;$D$2,$G1938&lt;&gt;"X",$F1938&lt;&gt;"Réalisé",$F1938&lt;&gt;"Clôturé"),"RETARD",""))</f>
        <v/>
      </c>
      <c r="L1938">
        <f>IF(OR($B1938="",NOT(ISNUMBER($D1938))),"",IF(AND($D1938&gt;=$D$2,$D1938&lt;=$H$2,$G1938&lt;&gt;"X",$F1938&lt;&gt;"Réalisé",$F1938&lt;&gt;"Clôturé"),"≤ 7 j",""))</f>
        <v/>
      </c>
      <c r="M1938" s="29">
        <f>IF($B1938="","",IFERROR(INDEX($T$4:$T$3183,MATCH(SMALL($V$4:$V$3183,1935),$V$4:$V$3183,0)),""))</f>
        <v/>
      </c>
      <c r="O1938">
        <f>IF(INDEX(Suivi!$B:$B,1975)="","",INDEX(Suivi!$B:$B,1975))</f>
        <v/>
      </c>
      <c r="P1938">
        <f>IF($O1938="","",IF(INDEX(Suivi!$D:$D,1975)="",INDEX(Suivi!$C:$C,1975),INDEX(Suivi!$D:$D,1975)))</f>
        <v/>
      </c>
      <c r="Q1938">
        <f>IF($O1938="","",INDEX(Suivi!$E:$E,1975))</f>
        <v/>
      </c>
      <c r="R1938">
        <f>IF($O1938="","",INDEX(Suivi!$F:$F,1975))</f>
        <v/>
      </c>
      <c r="S1938">
        <f>IF($O1938="","",INDEX(Suivi!$G:$G,1975))</f>
        <v/>
      </c>
      <c r="T1938">
        <f>IF($O1938="","",IF(INDEX(Dossiers!$F$4:$F$63,37)="","",INDEX(Dossiers!$F$4:$F$63,37)))</f>
        <v/>
      </c>
      <c r="U1938">
        <f>IF($O1938="","",IF(INDEX(Dossiers!$G$4:$G$63,37)="","",INDEX(Dossiers!$G$4:$G$63,37)))</f>
        <v/>
      </c>
      <c r="V1938">
        <f>IF(OR($O1938="",NOT(ISNUMBER($Q1938))),"",$Q1938*1000000+1938)</f>
        <v/>
      </c>
      <c r="W1938" s="29">
        <f>IF($B1938="","",IFERROR(INDEX($U$4:$U$3183,MATCH(SMALL($V$4:$V$3183,1935),$V$4:$V$3183,0)),""))</f>
        <v/>
      </c>
    </row>
    <row r="1939">
      <c r="A1939">
        <f>IFERROR(INDEX($N$4:$N$3183,MATCH(SMALL($V$4:$V$3183,1936),$V$4:$V$3183,0)),"")</f>
        <v/>
      </c>
      <c r="B1939">
        <f>IFERROR(INDEX($O$4:$O$3183,MATCH(SMALL($V$4:$V$3183,1936),$V$4:$V$3183,0)),"")</f>
        <v/>
      </c>
      <c r="C1939">
        <f>IFERROR(INDEX($P$4:$P$3183,MATCH(SMALL($V$4:$V$3183,1936),$V$4:$V$3183,0)),"")</f>
        <v/>
      </c>
      <c r="D1939" s="29">
        <f>IFERROR(INDEX($Q$4:$Q$3183,MATCH(SMALL($V$4:$V$3183,1936),$V$4:$V$3183,0)),"")</f>
        <v/>
      </c>
      <c r="E1939" s="29">
        <f>IFERROR(INDEX($R$4:$R$3183,MATCH(SMALL($V$4:$V$3183,1936),$V$4:$V$3183,0)),"")</f>
        <v/>
      </c>
      <c r="F1939">
        <f>IFERROR(INDEX($S$4:$S$3183,MATCH(SMALL($V$4:$V$3183,1936),$V$4:$V$3183,0)),"")</f>
        <v/>
      </c>
      <c r="I1939" s="29">
        <f>IF($B1939="","",IFERROR(INDEX($U$4:$U$3183,MATCH(SMALL($V$4:$V$3183,1936),$V$4:$V$3183,0)),""))</f>
        <v/>
      </c>
      <c r="J1939">
        <f>IF($B1939="","",IF($D1939&gt;$F$2,"À venir",IF($E1939&lt;$D$2,"Passé","Dans la période")))</f>
        <v/>
      </c>
      <c r="K1939">
        <f>IF(OR($B1939="",NOT(ISNUMBER($D1939))),"",IF(AND($E1939&lt;$D$2,$G1939&lt;&gt;"X",$F1939&lt;&gt;"Réalisé",$F1939&lt;&gt;"Clôturé"),"RETARD",""))</f>
        <v/>
      </c>
      <c r="L1939">
        <f>IF(OR($B1939="",NOT(ISNUMBER($D1939))),"",IF(AND($D1939&gt;=$D$2,$D1939&lt;=$H$2,$G1939&lt;&gt;"X",$F1939&lt;&gt;"Réalisé",$F1939&lt;&gt;"Clôturé"),"≤ 7 j",""))</f>
        <v/>
      </c>
      <c r="M1939" s="29">
        <f>IF($B1939="","",IFERROR(INDEX($T$4:$T$3183,MATCH(SMALL($V$4:$V$3183,1936),$V$4:$V$3183,0)),""))</f>
        <v/>
      </c>
      <c r="O1939">
        <f>IF(INDEX(Suivi!$B:$B,1976)="","",INDEX(Suivi!$B:$B,1976))</f>
        <v/>
      </c>
      <c r="P1939">
        <f>IF($O1939="","",IF(INDEX(Suivi!$D:$D,1976)="",INDEX(Suivi!$C:$C,1976),INDEX(Suivi!$D:$D,1976)))</f>
        <v/>
      </c>
      <c r="Q1939">
        <f>IF($O1939="","",INDEX(Suivi!$E:$E,1976))</f>
        <v/>
      </c>
      <c r="R1939">
        <f>IF($O1939="","",INDEX(Suivi!$F:$F,1976))</f>
        <v/>
      </c>
      <c r="S1939">
        <f>IF($O1939="","",INDEX(Suivi!$G:$G,1976))</f>
        <v/>
      </c>
      <c r="T1939">
        <f>IF($O1939="","",IF(INDEX(Dossiers!$F$4:$F$63,37)="","",INDEX(Dossiers!$F$4:$F$63,37)))</f>
        <v/>
      </c>
      <c r="U1939">
        <f>IF($O1939="","",IF(INDEX(Dossiers!$G$4:$G$63,37)="","",INDEX(Dossiers!$G$4:$G$63,37)))</f>
        <v/>
      </c>
      <c r="V1939">
        <f>IF(OR($O1939="",NOT(ISNUMBER($Q1939))),"",$Q1939*1000000+1939)</f>
        <v/>
      </c>
      <c r="W1939" s="29">
        <f>IF($B1939="","",IFERROR(INDEX($U$4:$U$3183,MATCH(SMALL($V$4:$V$3183,1936),$V$4:$V$3183,0)),""))</f>
        <v/>
      </c>
    </row>
    <row r="1940">
      <c r="A1940">
        <f>IFERROR(INDEX($N$4:$N$3183,MATCH(SMALL($V$4:$V$3183,1937),$V$4:$V$3183,0)),"")</f>
        <v/>
      </c>
      <c r="B1940">
        <f>IFERROR(INDEX($O$4:$O$3183,MATCH(SMALL($V$4:$V$3183,1937),$V$4:$V$3183,0)),"")</f>
        <v/>
      </c>
      <c r="C1940">
        <f>IFERROR(INDEX($P$4:$P$3183,MATCH(SMALL($V$4:$V$3183,1937),$V$4:$V$3183,0)),"")</f>
        <v/>
      </c>
      <c r="D1940" s="29">
        <f>IFERROR(INDEX($Q$4:$Q$3183,MATCH(SMALL($V$4:$V$3183,1937),$V$4:$V$3183,0)),"")</f>
        <v/>
      </c>
      <c r="E1940" s="29">
        <f>IFERROR(INDEX($R$4:$R$3183,MATCH(SMALL($V$4:$V$3183,1937),$V$4:$V$3183,0)),"")</f>
        <v/>
      </c>
      <c r="F1940">
        <f>IFERROR(INDEX($S$4:$S$3183,MATCH(SMALL($V$4:$V$3183,1937),$V$4:$V$3183,0)),"")</f>
        <v/>
      </c>
      <c r="I1940" s="29">
        <f>IF($B1940="","",IFERROR(INDEX($U$4:$U$3183,MATCH(SMALL($V$4:$V$3183,1937),$V$4:$V$3183,0)),""))</f>
        <v/>
      </c>
      <c r="J1940">
        <f>IF($B1940="","",IF($D1940&gt;$F$2,"À venir",IF($E1940&lt;$D$2,"Passé","Dans la période")))</f>
        <v/>
      </c>
      <c r="K1940">
        <f>IF(OR($B1940="",NOT(ISNUMBER($D1940))),"",IF(AND($E1940&lt;$D$2,$G1940&lt;&gt;"X",$F1940&lt;&gt;"Réalisé",$F1940&lt;&gt;"Clôturé"),"RETARD",""))</f>
        <v/>
      </c>
      <c r="L1940">
        <f>IF(OR($B1940="",NOT(ISNUMBER($D1940))),"",IF(AND($D1940&gt;=$D$2,$D1940&lt;=$H$2,$G1940&lt;&gt;"X",$F1940&lt;&gt;"Réalisé",$F1940&lt;&gt;"Clôturé"),"≤ 7 j",""))</f>
        <v/>
      </c>
      <c r="M1940" s="29">
        <f>IF($B1940="","",IFERROR(INDEX($T$4:$T$3183,MATCH(SMALL($V$4:$V$3183,1937),$V$4:$V$3183,0)),""))</f>
        <v/>
      </c>
      <c r="O1940">
        <f>IF(INDEX(Suivi!$B:$B,1977)="","",INDEX(Suivi!$B:$B,1977))</f>
        <v/>
      </c>
      <c r="P1940">
        <f>IF($O1940="","",IF(INDEX(Suivi!$D:$D,1977)="",INDEX(Suivi!$C:$C,1977),INDEX(Suivi!$D:$D,1977)))</f>
        <v/>
      </c>
      <c r="Q1940">
        <f>IF($O1940="","",INDEX(Suivi!$E:$E,1977))</f>
        <v/>
      </c>
      <c r="R1940">
        <f>IF($O1940="","",INDEX(Suivi!$F:$F,1977))</f>
        <v/>
      </c>
      <c r="S1940">
        <f>IF($O1940="","",INDEX(Suivi!$G:$G,1977))</f>
        <v/>
      </c>
      <c r="T1940">
        <f>IF($O1940="","",IF(INDEX(Dossiers!$F$4:$F$63,37)="","",INDEX(Dossiers!$F$4:$F$63,37)))</f>
        <v/>
      </c>
      <c r="U1940">
        <f>IF($O1940="","",IF(INDEX(Dossiers!$G$4:$G$63,37)="","",INDEX(Dossiers!$G$4:$G$63,37)))</f>
        <v/>
      </c>
      <c r="V1940">
        <f>IF(OR($O1940="",NOT(ISNUMBER($Q1940))),"",$Q1940*1000000+1940)</f>
        <v/>
      </c>
      <c r="W1940" s="29">
        <f>IF($B1940="","",IFERROR(INDEX($U$4:$U$3183,MATCH(SMALL($V$4:$V$3183,1937),$V$4:$V$3183,0)),""))</f>
        <v/>
      </c>
    </row>
    <row r="1941">
      <c r="A1941">
        <f>IFERROR(INDEX($N$4:$N$3183,MATCH(SMALL($V$4:$V$3183,1938),$V$4:$V$3183,0)),"")</f>
        <v/>
      </c>
      <c r="B1941">
        <f>IFERROR(INDEX($O$4:$O$3183,MATCH(SMALL($V$4:$V$3183,1938),$V$4:$V$3183,0)),"")</f>
        <v/>
      </c>
      <c r="C1941">
        <f>IFERROR(INDEX($P$4:$P$3183,MATCH(SMALL($V$4:$V$3183,1938),$V$4:$V$3183,0)),"")</f>
        <v/>
      </c>
      <c r="D1941" s="29">
        <f>IFERROR(INDEX($Q$4:$Q$3183,MATCH(SMALL($V$4:$V$3183,1938),$V$4:$V$3183,0)),"")</f>
        <v/>
      </c>
      <c r="E1941" s="29">
        <f>IFERROR(INDEX($R$4:$R$3183,MATCH(SMALL($V$4:$V$3183,1938),$V$4:$V$3183,0)),"")</f>
        <v/>
      </c>
      <c r="F1941">
        <f>IFERROR(INDEX($S$4:$S$3183,MATCH(SMALL($V$4:$V$3183,1938),$V$4:$V$3183,0)),"")</f>
        <v/>
      </c>
      <c r="I1941" s="29">
        <f>IF($B1941="","",IFERROR(INDEX($U$4:$U$3183,MATCH(SMALL($V$4:$V$3183,1938),$V$4:$V$3183,0)),""))</f>
        <v/>
      </c>
      <c r="J1941">
        <f>IF($B1941="","",IF($D1941&gt;$F$2,"À venir",IF($E1941&lt;$D$2,"Passé","Dans la période")))</f>
        <v/>
      </c>
      <c r="K1941">
        <f>IF(OR($B1941="",NOT(ISNUMBER($D1941))),"",IF(AND($E1941&lt;$D$2,$G1941&lt;&gt;"X",$F1941&lt;&gt;"Réalisé",$F1941&lt;&gt;"Clôturé"),"RETARD",""))</f>
        <v/>
      </c>
      <c r="L1941">
        <f>IF(OR($B1941="",NOT(ISNUMBER($D1941))),"",IF(AND($D1941&gt;=$D$2,$D1941&lt;=$H$2,$G1941&lt;&gt;"X",$F1941&lt;&gt;"Réalisé",$F1941&lt;&gt;"Clôturé"),"≤ 7 j",""))</f>
        <v/>
      </c>
      <c r="M1941" s="29">
        <f>IF($B1941="","",IFERROR(INDEX($T$4:$T$3183,MATCH(SMALL($V$4:$V$3183,1938),$V$4:$V$3183,0)),""))</f>
        <v/>
      </c>
      <c r="O1941">
        <f>IF(INDEX(Suivi!$B:$B,1978)="","",INDEX(Suivi!$B:$B,1978))</f>
        <v/>
      </c>
      <c r="P1941">
        <f>IF($O1941="","",IF(INDEX(Suivi!$D:$D,1978)="",INDEX(Suivi!$C:$C,1978),INDEX(Suivi!$D:$D,1978)))</f>
        <v/>
      </c>
      <c r="Q1941">
        <f>IF($O1941="","",INDEX(Suivi!$E:$E,1978))</f>
        <v/>
      </c>
      <c r="R1941">
        <f>IF($O1941="","",INDEX(Suivi!$F:$F,1978))</f>
        <v/>
      </c>
      <c r="S1941">
        <f>IF($O1941="","",INDEX(Suivi!$G:$G,1978))</f>
        <v/>
      </c>
      <c r="T1941">
        <f>IF($O1941="","",IF(INDEX(Dossiers!$F$4:$F$63,37)="","",INDEX(Dossiers!$F$4:$F$63,37)))</f>
        <v/>
      </c>
      <c r="U1941">
        <f>IF($O1941="","",IF(INDEX(Dossiers!$G$4:$G$63,37)="","",INDEX(Dossiers!$G$4:$G$63,37)))</f>
        <v/>
      </c>
      <c r="V1941">
        <f>IF(OR($O1941="",NOT(ISNUMBER($Q1941))),"",$Q1941*1000000+1941)</f>
        <v/>
      </c>
      <c r="W1941" s="29">
        <f>IF($B1941="","",IFERROR(INDEX($U$4:$U$3183,MATCH(SMALL($V$4:$V$3183,1938),$V$4:$V$3183,0)),""))</f>
        <v/>
      </c>
    </row>
    <row r="1942">
      <c r="A1942">
        <f>IFERROR(INDEX($N$4:$N$3183,MATCH(SMALL($V$4:$V$3183,1939),$V$4:$V$3183,0)),"")</f>
        <v/>
      </c>
      <c r="B1942">
        <f>IFERROR(INDEX($O$4:$O$3183,MATCH(SMALL($V$4:$V$3183,1939),$V$4:$V$3183,0)),"")</f>
        <v/>
      </c>
      <c r="C1942">
        <f>IFERROR(INDEX($P$4:$P$3183,MATCH(SMALL($V$4:$V$3183,1939),$V$4:$V$3183,0)),"")</f>
        <v/>
      </c>
      <c r="D1942" s="29">
        <f>IFERROR(INDEX($Q$4:$Q$3183,MATCH(SMALL($V$4:$V$3183,1939),$V$4:$V$3183,0)),"")</f>
        <v/>
      </c>
      <c r="E1942" s="29">
        <f>IFERROR(INDEX($R$4:$R$3183,MATCH(SMALL($V$4:$V$3183,1939),$V$4:$V$3183,0)),"")</f>
        <v/>
      </c>
      <c r="F1942">
        <f>IFERROR(INDEX($S$4:$S$3183,MATCH(SMALL($V$4:$V$3183,1939),$V$4:$V$3183,0)),"")</f>
        <v/>
      </c>
      <c r="I1942" s="29">
        <f>IF($B1942="","",IFERROR(INDEX($U$4:$U$3183,MATCH(SMALL($V$4:$V$3183,1939),$V$4:$V$3183,0)),""))</f>
        <v/>
      </c>
      <c r="J1942">
        <f>IF($B1942="","",IF($D1942&gt;$F$2,"À venir",IF($E1942&lt;$D$2,"Passé","Dans la période")))</f>
        <v/>
      </c>
      <c r="K1942">
        <f>IF(OR($B1942="",NOT(ISNUMBER($D1942))),"",IF(AND($E1942&lt;$D$2,$G1942&lt;&gt;"X",$F1942&lt;&gt;"Réalisé",$F1942&lt;&gt;"Clôturé"),"RETARD",""))</f>
        <v/>
      </c>
      <c r="L1942">
        <f>IF(OR($B1942="",NOT(ISNUMBER($D1942))),"",IF(AND($D1942&gt;=$D$2,$D1942&lt;=$H$2,$G1942&lt;&gt;"X",$F1942&lt;&gt;"Réalisé",$F1942&lt;&gt;"Clôturé"),"≤ 7 j",""))</f>
        <v/>
      </c>
      <c r="M1942" s="29">
        <f>IF($B1942="","",IFERROR(INDEX($T$4:$T$3183,MATCH(SMALL($V$4:$V$3183,1939),$V$4:$V$3183,0)),""))</f>
        <v/>
      </c>
      <c r="O1942">
        <f>IF(INDEX(Suivi!$B:$B,1979)="","",INDEX(Suivi!$B:$B,1979))</f>
        <v/>
      </c>
      <c r="P1942">
        <f>IF($O1942="","",IF(INDEX(Suivi!$D:$D,1979)="",INDEX(Suivi!$C:$C,1979),INDEX(Suivi!$D:$D,1979)))</f>
        <v/>
      </c>
      <c r="Q1942">
        <f>IF($O1942="","",INDEX(Suivi!$E:$E,1979))</f>
        <v/>
      </c>
      <c r="R1942">
        <f>IF($O1942="","",INDEX(Suivi!$F:$F,1979))</f>
        <v/>
      </c>
      <c r="S1942">
        <f>IF($O1942="","",INDEX(Suivi!$G:$G,1979))</f>
        <v/>
      </c>
      <c r="T1942">
        <f>IF($O1942="","",IF(INDEX(Dossiers!$F$4:$F$63,37)="","",INDEX(Dossiers!$F$4:$F$63,37)))</f>
        <v/>
      </c>
      <c r="U1942">
        <f>IF($O1942="","",IF(INDEX(Dossiers!$G$4:$G$63,37)="","",INDEX(Dossiers!$G$4:$G$63,37)))</f>
        <v/>
      </c>
      <c r="V1942">
        <f>IF(OR($O1942="",NOT(ISNUMBER($Q1942))),"",$Q1942*1000000+1942)</f>
        <v/>
      </c>
      <c r="W1942" s="29">
        <f>IF($B1942="","",IFERROR(INDEX($U$4:$U$3183,MATCH(SMALL($V$4:$V$3183,1939),$V$4:$V$3183,0)),""))</f>
        <v/>
      </c>
    </row>
    <row r="1943">
      <c r="A1943">
        <f>IFERROR(INDEX($N$4:$N$3183,MATCH(SMALL($V$4:$V$3183,1940),$V$4:$V$3183,0)),"")</f>
        <v/>
      </c>
      <c r="B1943">
        <f>IFERROR(INDEX($O$4:$O$3183,MATCH(SMALL($V$4:$V$3183,1940),$V$4:$V$3183,0)),"")</f>
        <v/>
      </c>
      <c r="C1943">
        <f>IFERROR(INDEX($P$4:$P$3183,MATCH(SMALL($V$4:$V$3183,1940),$V$4:$V$3183,0)),"")</f>
        <v/>
      </c>
      <c r="D1943" s="29">
        <f>IFERROR(INDEX($Q$4:$Q$3183,MATCH(SMALL($V$4:$V$3183,1940),$V$4:$V$3183,0)),"")</f>
        <v/>
      </c>
      <c r="E1943" s="29">
        <f>IFERROR(INDEX($R$4:$R$3183,MATCH(SMALL($V$4:$V$3183,1940),$V$4:$V$3183,0)),"")</f>
        <v/>
      </c>
      <c r="F1943">
        <f>IFERROR(INDEX($S$4:$S$3183,MATCH(SMALL($V$4:$V$3183,1940),$V$4:$V$3183,0)),"")</f>
        <v/>
      </c>
      <c r="I1943" s="29">
        <f>IF($B1943="","",IFERROR(INDEX($U$4:$U$3183,MATCH(SMALL($V$4:$V$3183,1940),$V$4:$V$3183,0)),""))</f>
        <v/>
      </c>
      <c r="J1943">
        <f>IF($B1943="","",IF($D1943&gt;$F$2,"À venir",IF($E1943&lt;$D$2,"Passé","Dans la période")))</f>
        <v/>
      </c>
      <c r="K1943">
        <f>IF(OR($B1943="",NOT(ISNUMBER($D1943))),"",IF(AND($E1943&lt;$D$2,$G1943&lt;&gt;"X",$F1943&lt;&gt;"Réalisé",$F1943&lt;&gt;"Clôturé"),"RETARD",""))</f>
        <v/>
      </c>
      <c r="L1943">
        <f>IF(OR($B1943="",NOT(ISNUMBER($D1943))),"",IF(AND($D1943&gt;=$D$2,$D1943&lt;=$H$2,$G1943&lt;&gt;"X",$F1943&lt;&gt;"Réalisé",$F1943&lt;&gt;"Clôturé"),"≤ 7 j",""))</f>
        <v/>
      </c>
      <c r="M1943" s="29">
        <f>IF($B1943="","",IFERROR(INDEX($T$4:$T$3183,MATCH(SMALL($V$4:$V$3183,1940),$V$4:$V$3183,0)),""))</f>
        <v/>
      </c>
      <c r="O1943">
        <f>IF(INDEX(Suivi!$B:$B,1980)="","",INDEX(Suivi!$B:$B,1980))</f>
        <v/>
      </c>
      <c r="P1943">
        <f>IF($O1943="","",IF(INDEX(Suivi!$D:$D,1980)="",INDEX(Suivi!$C:$C,1980),INDEX(Suivi!$D:$D,1980)))</f>
        <v/>
      </c>
      <c r="Q1943">
        <f>IF($O1943="","",INDEX(Suivi!$E:$E,1980))</f>
        <v/>
      </c>
      <c r="R1943">
        <f>IF($O1943="","",INDEX(Suivi!$F:$F,1980))</f>
        <v/>
      </c>
      <c r="S1943">
        <f>IF($O1943="","",INDEX(Suivi!$G:$G,1980))</f>
        <v/>
      </c>
      <c r="T1943">
        <f>IF($O1943="","",IF(INDEX(Dossiers!$F$4:$F$63,37)="","",INDEX(Dossiers!$F$4:$F$63,37)))</f>
        <v/>
      </c>
      <c r="U1943">
        <f>IF($O1943="","",IF(INDEX(Dossiers!$G$4:$G$63,37)="","",INDEX(Dossiers!$G$4:$G$63,37)))</f>
        <v/>
      </c>
      <c r="V1943">
        <f>IF(OR($O1943="",NOT(ISNUMBER($Q1943))),"",$Q1943*1000000+1943)</f>
        <v/>
      </c>
      <c r="W1943" s="29">
        <f>IF($B1943="","",IFERROR(INDEX($U$4:$U$3183,MATCH(SMALL($V$4:$V$3183,1940),$V$4:$V$3183,0)),""))</f>
        <v/>
      </c>
    </row>
    <row r="1944">
      <c r="A1944">
        <f>IFERROR(INDEX($N$4:$N$3183,MATCH(SMALL($V$4:$V$3183,1941),$V$4:$V$3183,0)),"")</f>
        <v/>
      </c>
      <c r="B1944">
        <f>IFERROR(INDEX($O$4:$O$3183,MATCH(SMALL($V$4:$V$3183,1941),$V$4:$V$3183,0)),"")</f>
        <v/>
      </c>
      <c r="C1944">
        <f>IFERROR(INDEX($P$4:$P$3183,MATCH(SMALL($V$4:$V$3183,1941),$V$4:$V$3183,0)),"")</f>
        <v/>
      </c>
      <c r="D1944" s="29">
        <f>IFERROR(INDEX($Q$4:$Q$3183,MATCH(SMALL($V$4:$V$3183,1941),$V$4:$V$3183,0)),"")</f>
        <v/>
      </c>
      <c r="E1944" s="29">
        <f>IFERROR(INDEX($R$4:$R$3183,MATCH(SMALL($V$4:$V$3183,1941),$V$4:$V$3183,0)),"")</f>
        <v/>
      </c>
      <c r="F1944">
        <f>IFERROR(INDEX($S$4:$S$3183,MATCH(SMALL($V$4:$V$3183,1941),$V$4:$V$3183,0)),"")</f>
        <v/>
      </c>
      <c r="I1944" s="29">
        <f>IF($B1944="","",IFERROR(INDEX($U$4:$U$3183,MATCH(SMALL($V$4:$V$3183,1941),$V$4:$V$3183,0)),""))</f>
        <v/>
      </c>
      <c r="J1944">
        <f>IF($B1944="","",IF($D1944&gt;$F$2,"À venir",IF($E1944&lt;$D$2,"Passé","Dans la période")))</f>
        <v/>
      </c>
      <c r="K1944">
        <f>IF(OR($B1944="",NOT(ISNUMBER($D1944))),"",IF(AND($E1944&lt;$D$2,$G1944&lt;&gt;"X",$F1944&lt;&gt;"Réalisé",$F1944&lt;&gt;"Clôturé"),"RETARD",""))</f>
        <v/>
      </c>
      <c r="L1944">
        <f>IF(OR($B1944="",NOT(ISNUMBER($D1944))),"",IF(AND($D1944&gt;=$D$2,$D1944&lt;=$H$2,$G1944&lt;&gt;"X",$F1944&lt;&gt;"Réalisé",$F1944&lt;&gt;"Clôturé"),"≤ 7 j",""))</f>
        <v/>
      </c>
      <c r="M1944" s="29">
        <f>IF($B1944="","",IFERROR(INDEX($T$4:$T$3183,MATCH(SMALL($V$4:$V$3183,1941),$V$4:$V$3183,0)),""))</f>
        <v/>
      </c>
      <c r="O1944">
        <f>IF(INDEX(Suivi!$B:$B,1981)="","",INDEX(Suivi!$B:$B,1981))</f>
        <v/>
      </c>
      <c r="P1944">
        <f>IF($O1944="","",IF(INDEX(Suivi!$D:$D,1981)="",INDEX(Suivi!$C:$C,1981),INDEX(Suivi!$D:$D,1981)))</f>
        <v/>
      </c>
      <c r="Q1944">
        <f>IF($O1944="","",INDEX(Suivi!$E:$E,1981))</f>
        <v/>
      </c>
      <c r="R1944">
        <f>IF($O1944="","",INDEX(Suivi!$F:$F,1981))</f>
        <v/>
      </c>
      <c r="S1944">
        <f>IF($O1944="","",INDEX(Suivi!$G:$G,1981))</f>
        <v/>
      </c>
      <c r="T1944">
        <f>IF($O1944="","",IF(INDEX(Dossiers!$F$4:$F$63,37)="","",INDEX(Dossiers!$F$4:$F$63,37)))</f>
        <v/>
      </c>
      <c r="U1944">
        <f>IF($O1944="","",IF(INDEX(Dossiers!$G$4:$G$63,37)="","",INDEX(Dossiers!$G$4:$G$63,37)))</f>
        <v/>
      </c>
      <c r="V1944">
        <f>IF(OR($O1944="",NOT(ISNUMBER($Q1944))),"",$Q1944*1000000+1944)</f>
        <v/>
      </c>
      <c r="W1944" s="29">
        <f>IF($B1944="","",IFERROR(INDEX($U$4:$U$3183,MATCH(SMALL($V$4:$V$3183,1941),$V$4:$V$3183,0)),""))</f>
        <v/>
      </c>
    </row>
    <row r="1945">
      <c r="A1945">
        <f>IFERROR(INDEX($N$4:$N$3183,MATCH(SMALL($V$4:$V$3183,1942),$V$4:$V$3183,0)),"")</f>
        <v/>
      </c>
      <c r="B1945">
        <f>IFERROR(INDEX($O$4:$O$3183,MATCH(SMALL($V$4:$V$3183,1942),$V$4:$V$3183,0)),"")</f>
        <v/>
      </c>
      <c r="C1945">
        <f>IFERROR(INDEX($P$4:$P$3183,MATCH(SMALL($V$4:$V$3183,1942),$V$4:$V$3183,0)),"")</f>
        <v/>
      </c>
      <c r="D1945" s="29">
        <f>IFERROR(INDEX($Q$4:$Q$3183,MATCH(SMALL($V$4:$V$3183,1942),$V$4:$V$3183,0)),"")</f>
        <v/>
      </c>
      <c r="E1945" s="29">
        <f>IFERROR(INDEX($R$4:$R$3183,MATCH(SMALL($V$4:$V$3183,1942),$V$4:$V$3183,0)),"")</f>
        <v/>
      </c>
      <c r="F1945">
        <f>IFERROR(INDEX($S$4:$S$3183,MATCH(SMALL($V$4:$V$3183,1942),$V$4:$V$3183,0)),"")</f>
        <v/>
      </c>
      <c r="I1945" s="29">
        <f>IF($B1945="","",IFERROR(INDEX($U$4:$U$3183,MATCH(SMALL($V$4:$V$3183,1942),$V$4:$V$3183,0)),""))</f>
        <v/>
      </c>
      <c r="J1945">
        <f>IF($B1945="","",IF($D1945&gt;$F$2,"À venir",IF($E1945&lt;$D$2,"Passé","Dans la période")))</f>
        <v/>
      </c>
      <c r="K1945">
        <f>IF(OR($B1945="",NOT(ISNUMBER($D1945))),"",IF(AND($E1945&lt;$D$2,$G1945&lt;&gt;"X",$F1945&lt;&gt;"Réalisé",$F1945&lt;&gt;"Clôturé"),"RETARD",""))</f>
        <v/>
      </c>
      <c r="L1945">
        <f>IF(OR($B1945="",NOT(ISNUMBER($D1945))),"",IF(AND($D1945&gt;=$D$2,$D1945&lt;=$H$2,$G1945&lt;&gt;"X",$F1945&lt;&gt;"Réalisé",$F1945&lt;&gt;"Clôturé"),"≤ 7 j",""))</f>
        <v/>
      </c>
      <c r="M1945" s="29">
        <f>IF($B1945="","",IFERROR(INDEX($T$4:$T$3183,MATCH(SMALL($V$4:$V$3183,1942),$V$4:$V$3183,0)),""))</f>
        <v/>
      </c>
      <c r="O1945">
        <f>IF(INDEX(Suivi!$B:$B,1982)="","",INDEX(Suivi!$B:$B,1982))</f>
        <v/>
      </c>
      <c r="P1945">
        <f>IF($O1945="","",IF(INDEX(Suivi!$D:$D,1982)="",INDEX(Suivi!$C:$C,1982),INDEX(Suivi!$D:$D,1982)))</f>
        <v/>
      </c>
      <c r="Q1945">
        <f>IF($O1945="","",INDEX(Suivi!$E:$E,1982))</f>
        <v/>
      </c>
      <c r="R1945">
        <f>IF($O1945="","",INDEX(Suivi!$F:$F,1982))</f>
        <v/>
      </c>
      <c r="S1945">
        <f>IF($O1945="","",INDEX(Suivi!$G:$G,1982))</f>
        <v/>
      </c>
      <c r="T1945">
        <f>IF($O1945="","",IF(INDEX(Dossiers!$F$4:$F$63,37)="","",INDEX(Dossiers!$F$4:$F$63,37)))</f>
        <v/>
      </c>
      <c r="U1945">
        <f>IF($O1945="","",IF(INDEX(Dossiers!$G$4:$G$63,37)="","",INDEX(Dossiers!$G$4:$G$63,37)))</f>
        <v/>
      </c>
      <c r="V1945">
        <f>IF(OR($O1945="",NOT(ISNUMBER($Q1945))),"",$Q1945*1000000+1945)</f>
        <v/>
      </c>
      <c r="W1945" s="29">
        <f>IF($B1945="","",IFERROR(INDEX($U$4:$U$3183,MATCH(SMALL($V$4:$V$3183,1942),$V$4:$V$3183,0)),""))</f>
        <v/>
      </c>
    </row>
    <row r="1946">
      <c r="A1946">
        <f>IFERROR(INDEX($N$4:$N$3183,MATCH(SMALL($V$4:$V$3183,1943),$V$4:$V$3183,0)),"")</f>
        <v/>
      </c>
      <c r="B1946">
        <f>IFERROR(INDEX($O$4:$O$3183,MATCH(SMALL($V$4:$V$3183,1943),$V$4:$V$3183,0)),"")</f>
        <v/>
      </c>
      <c r="C1946">
        <f>IFERROR(INDEX($P$4:$P$3183,MATCH(SMALL($V$4:$V$3183,1943),$V$4:$V$3183,0)),"")</f>
        <v/>
      </c>
      <c r="D1946" s="29">
        <f>IFERROR(INDEX($Q$4:$Q$3183,MATCH(SMALL($V$4:$V$3183,1943),$V$4:$V$3183,0)),"")</f>
        <v/>
      </c>
      <c r="E1946" s="29">
        <f>IFERROR(INDEX($R$4:$R$3183,MATCH(SMALL($V$4:$V$3183,1943),$V$4:$V$3183,0)),"")</f>
        <v/>
      </c>
      <c r="F1946">
        <f>IFERROR(INDEX($S$4:$S$3183,MATCH(SMALL($V$4:$V$3183,1943),$V$4:$V$3183,0)),"")</f>
        <v/>
      </c>
      <c r="I1946" s="29">
        <f>IF($B1946="","",IFERROR(INDEX($U$4:$U$3183,MATCH(SMALL($V$4:$V$3183,1943),$V$4:$V$3183,0)),""))</f>
        <v/>
      </c>
      <c r="J1946">
        <f>IF($B1946="","",IF($D1946&gt;$F$2,"À venir",IF($E1946&lt;$D$2,"Passé","Dans la période")))</f>
        <v/>
      </c>
      <c r="K1946">
        <f>IF(OR($B1946="",NOT(ISNUMBER($D1946))),"",IF(AND($E1946&lt;$D$2,$G1946&lt;&gt;"X",$F1946&lt;&gt;"Réalisé",$F1946&lt;&gt;"Clôturé"),"RETARD",""))</f>
        <v/>
      </c>
      <c r="L1946">
        <f>IF(OR($B1946="",NOT(ISNUMBER($D1946))),"",IF(AND($D1946&gt;=$D$2,$D1946&lt;=$H$2,$G1946&lt;&gt;"X",$F1946&lt;&gt;"Réalisé",$F1946&lt;&gt;"Clôturé"),"≤ 7 j",""))</f>
        <v/>
      </c>
      <c r="M1946" s="29">
        <f>IF($B1946="","",IFERROR(INDEX($T$4:$T$3183,MATCH(SMALL($V$4:$V$3183,1943),$V$4:$V$3183,0)),""))</f>
        <v/>
      </c>
      <c r="O1946">
        <f>IF(INDEX(Suivi!$B:$B,1983)="","",INDEX(Suivi!$B:$B,1983))</f>
        <v/>
      </c>
      <c r="P1946">
        <f>IF($O1946="","",IF(INDEX(Suivi!$D:$D,1983)="",INDEX(Suivi!$C:$C,1983),INDEX(Suivi!$D:$D,1983)))</f>
        <v/>
      </c>
      <c r="Q1946">
        <f>IF($O1946="","",INDEX(Suivi!$E:$E,1983))</f>
        <v/>
      </c>
      <c r="R1946">
        <f>IF($O1946="","",INDEX(Suivi!$F:$F,1983))</f>
        <v/>
      </c>
      <c r="S1946">
        <f>IF($O1946="","",INDEX(Suivi!$G:$G,1983))</f>
        <v/>
      </c>
      <c r="T1946">
        <f>IF($O1946="","",IF(INDEX(Dossiers!$F$4:$F$63,37)="","",INDEX(Dossiers!$F$4:$F$63,37)))</f>
        <v/>
      </c>
      <c r="U1946">
        <f>IF($O1946="","",IF(INDEX(Dossiers!$G$4:$G$63,37)="","",INDEX(Dossiers!$G$4:$G$63,37)))</f>
        <v/>
      </c>
      <c r="V1946">
        <f>IF(OR($O1946="",NOT(ISNUMBER($Q1946))),"",$Q1946*1000000+1946)</f>
        <v/>
      </c>
      <c r="W1946" s="29">
        <f>IF($B1946="","",IFERROR(INDEX($U$4:$U$3183,MATCH(SMALL($V$4:$V$3183,1943),$V$4:$V$3183,0)),""))</f>
        <v/>
      </c>
    </row>
    <row r="1947">
      <c r="A1947">
        <f>IFERROR(INDEX($N$4:$N$3183,MATCH(SMALL($V$4:$V$3183,1944),$V$4:$V$3183,0)),"")</f>
        <v/>
      </c>
      <c r="B1947">
        <f>IFERROR(INDEX($O$4:$O$3183,MATCH(SMALL($V$4:$V$3183,1944),$V$4:$V$3183,0)),"")</f>
        <v/>
      </c>
      <c r="C1947">
        <f>IFERROR(INDEX($P$4:$P$3183,MATCH(SMALL($V$4:$V$3183,1944),$V$4:$V$3183,0)),"")</f>
        <v/>
      </c>
      <c r="D1947" s="29">
        <f>IFERROR(INDEX($Q$4:$Q$3183,MATCH(SMALL($V$4:$V$3183,1944),$V$4:$V$3183,0)),"")</f>
        <v/>
      </c>
      <c r="E1947" s="29">
        <f>IFERROR(INDEX($R$4:$R$3183,MATCH(SMALL($V$4:$V$3183,1944),$V$4:$V$3183,0)),"")</f>
        <v/>
      </c>
      <c r="F1947">
        <f>IFERROR(INDEX($S$4:$S$3183,MATCH(SMALL($V$4:$V$3183,1944),$V$4:$V$3183,0)),"")</f>
        <v/>
      </c>
      <c r="I1947" s="29">
        <f>IF($B1947="","",IFERROR(INDEX($U$4:$U$3183,MATCH(SMALL($V$4:$V$3183,1944),$V$4:$V$3183,0)),""))</f>
        <v/>
      </c>
      <c r="J1947">
        <f>IF($B1947="","",IF($D1947&gt;$F$2,"À venir",IF($E1947&lt;$D$2,"Passé","Dans la période")))</f>
        <v/>
      </c>
      <c r="K1947">
        <f>IF(OR($B1947="",NOT(ISNUMBER($D1947))),"",IF(AND($E1947&lt;$D$2,$G1947&lt;&gt;"X",$F1947&lt;&gt;"Réalisé",$F1947&lt;&gt;"Clôturé"),"RETARD",""))</f>
        <v/>
      </c>
      <c r="L1947">
        <f>IF(OR($B1947="",NOT(ISNUMBER($D1947))),"",IF(AND($D1947&gt;=$D$2,$D1947&lt;=$H$2,$G1947&lt;&gt;"X",$F1947&lt;&gt;"Réalisé",$F1947&lt;&gt;"Clôturé"),"≤ 7 j",""))</f>
        <v/>
      </c>
      <c r="M1947" s="29">
        <f>IF($B1947="","",IFERROR(INDEX($T$4:$T$3183,MATCH(SMALL($V$4:$V$3183,1944),$V$4:$V$3183,0)),""))</f>
        <v/>
      </c>
      <c r="O1947">
        <f>IF(INDEX(Suivi!$B:$B,1984)="","",INDEX(Suivi!$B:$B,1984))</f>
        <v/>
      </c>
      <c r="P1947">
        <f>IF($O1947="","",IF(INDEX(Suivi!$D:$D,1984)="",INDEX(Suivi!$C:$C,1984),INDEX(Suivi!$D:$D,1984)))</f>
        <v/>
      </c>
      <c r="Q1947">
        <f>IF($O1947="","",INDEX(Suivi!$E:$E,1984))</f>
        <v/>
      </c>
      <c r="R1947">
        <f>IF($O1947="","",INDEX(Suivi!$F:$F,1984))</f>
        <v/>
      </c>
      <c r="S1947">
        <f>IF($O1947="","",INDEX(Suivi!$G:$G,1984))</f>
        <v/>
      </c>
      <c r="T1947">
        <f>IF($O1947="","",IF(INDEX(Dossiers!$F$4:$F$63,37)="","",INDEX(Dossiers!$F$4:$F$63,37)))</f>
        <v/>
      </c>
      <c r="U1947">
        <f>IF($O1947="","",IF(INDEX(Dossiers!$G$4:$G$63,37)="","",INDEX(Dossiers!$G$4:$G$63,37)))</f>
        <v/>
      </c>
      <c r="V1947">
        <f>IF(OR($O1947="",NOT(ISNUMBER($Q1947))),"",$Q1947*1000000+1947)</f>
        <v/>
      </c>
      <c r="W1947" s="29">
        <f>IF($B1947="","",IFERROR(INDEX($U$4:$U$3183,MATCH(SMALL($V$4:$V$3183,1944),$V$4:$V$3183,0)),""))</f>
        <v/>
      </c>
    </row>
    <row r="1948">
      <c r="A1948">
        <f>IFERROR(INDEX($N$4:$N$3183,MATCH(SMALL($V$4:$V$3183,1945),$V$4:$V$3183,0)),"")</f>
        <v/>
      </c>
      <c r="B1948">
        <f>IFERROR(INDEX($O$4:$O$3183,MATCH(SMALL($V$4:$V$3183,1945),$V$4:$V$3183,0)),"")</f>
        <v/>
      </c>
      <c r="C1948">
        <f>IFERROR(INDEX($P$4:$P$3183,MATCH(SMALL($V$4:$V$3183,1945),$V$4:$V$3183,0)),"")</f>
        <v/>
      </c>
      <c r="D1948" s="29">
        <f>IFERROR(INDEX($Q$4:$Q$3183,MATCH(SMALL($V$4:$V$3183,1945),$V$4:$V$3183,0)),"")</f>
        <v/>
      </c>
      <c r="E1948" s="29">
        <f>IFERROR(INDEX($R$4:$R$3183,MATCH(SMALL($V$4:$V$3183,1945),$V$4:$V$3183,0)),"")</f>
        <v/>
      </c>
      <c r="F1948">
        <f>IFERROR(INDEX($S$4:$S$3183,MATCH(SMALL($V$4:$V$3183,1945),$V$4:$V$3183,0)),"")</f>
        <v/>
      </c>
      <c r="I1948" s="29">
        <f>IF($B1948="","",IFERROR(INDEX($U$4:$U$3183,MATCH(SMALL($V$4:$V$3183,1945),$V$4:$V$3183,0)),""))</f>
        <v/>
      </c>
      <c r="J1948">
        <f>IF($B1948="","",IF($D1948&gt;$F$2,"À venir",IF($E1948&lt;$D$2,"Passé","Dans la période")))</f>
        <v/>
      </c>
      <c r="K1948">
        <f>IF(OR($B1948="",NOT(ISNUMBER($D1948))),"",IF(AND($E1948&lt;$D$2,$G1948&lt;&gt;"X",$F1948&lt;&gt;"Réalisé",$F1948&lt;&gt;"Clôturé"),"RETARD",""))</f>
        <v/>
      </c>
      <c r="L1948">
        <f>IF(OR($B1948="",NOT(ISNUMBER($D1948))),"",IF(AND($D1948&gt;=$D$2,$D1948&lt;=$H$2,$G1948&lt;&gt;"X",$F1948&lt;&gt;"Réalisé",$F1948&lt;&gt;"Clôturé"),"≤ 7 j",""))</f>
        <v/>
      </c>
      <c r="M1948" s="29">
        <f>IF($B1948="","",IFERROR(INDEX($T$4:$T$3183,MATCH(SMALL($V$4:$V$3183,1945),$V$4:$V$3183,0)),""))</f>
        <v/>
      </c>
      <c r="O1948">
        <f>IF(INDEX(Suivi!$B:$B,1985)="","",INDEX(Suivi!$B:$B,1985))</f>
        <v/>
      </c>
      <c r="P1948">
        <f>IF($O1948="","",IF(INDEX(Suivi!$D:$D,1985)="",INDEX(Suivi!$C:$C,1985),INDEX(Suivi!$D:$D,1985)))</f>
        <v/>
      </c>
      <c r="Q1948">
        <f>IF($O1948="","",INDEX(Suivi!$E:$E,1985))</f>
        <v/>
      </c>
      <c r="R1948">
        <f>IF($O1948="","",INDEX(Suivi!$F:$F,1985))</f>
        <v/>
      </c>
      <c r="S1948">
        <f>IF($O1948="","",INDEX(Suivi!$G:$G,1985))</f>
        <v/>
      </c>
      <c r="T1948">
        <f>IF($O1948="","",IF(INDEX(Dossiers!$F$4:$F$63,37)="","",INDEX(Dossiers!$F$4:$F$63,37)))</f>
        <v/>
      </c>
      <c r="U1948">
        <f>IF($O1948="","",IF(INDEX(Dossiers!$G$4:$G$63,37)="","",INDEX(Dossiers!$G$4:$G$63,37)))</f>
        <v/>
      </c>
      <c r="V1948">
        <f>IF(OR($O1948="",NOT(ISNUMBER($Q1948))),"",$Q1948*1000000+1948)</f>
        <v/>
      </c>
      <c r="W1948" s="29">
        <f>IF($B1948="","",IFERROR(INDEX($U$4:$U$3183,MATCH(SMALL($V$4:$V$3183,1945),$V$4:$V$3183,0)),""))</f>
        <v/>
      </c>
    </row>
    <row r="1949">
      <c r="A1949">
        <f>IFERROR(INDEX($N$4:$N$3183,MATCH(SMALL($V$4:$V$3183,1946),$V$4:$V$3183,0)),"")</f>
        <v/>
      </c>
      <c r="B1949">
        <f>IFERROR(INDEX($O$4:$O$3183,MATCH(SMALL($V$4:$V$3183,1946),$V$4:$V$3183,0)),"")</f>
        <v/>
      </c>
      <c r="C1949">
        <f>IFERROR(INDEX($P$4:$P$3183,MATCH(SMALL($V$4:$V$3183,1946),$V$4:$V$3183,0)),"")</f>
        <v/>
      </c>
      <c r="D1949" s="29">
        <f>IFERROR(INDEX($Q$4:$Q$3183,MATCH(SMALL($V$4:$V$3183,1946),$V$4:$V$3183,0)),"")</f>
        <v/>
      </c>
      <c r="E1949" s="29">
        <f>IFERROR(INDEX($R$4:$R$3183,MATCH(SMALL($V$4:$V$3183,1946),$V$4:$V$3183,0)),"")</f>
        <v/>
      </c>
      <c r="F1949">
        <f>IFERROR(INDEX($S$4:$S$3183,MATCH(SMALL($V$4:$V$3183,1946),$V$4:$V$3183,0)),"")</f>
        <v/>
      </c>
      <c r="I1949" s="29">
        <f>IF($B1949="","",IFERROR(INDEX($U$4:$U$3183,MATCH(SMALL($V$4:$V$3183,1946),$V$4:$V$3183,0)),""))</f>
        <v/>
      </c>
      <c r="J1949">
        <f>IF($B1949="","",IF($D1949&gt;$F$2,"À venir",IF($E1949&lt;$D$2,"Passé","Dans la période")))</f>
        <v/>
      </c>
      <c r="K1949">
        <f>IF(OR($B1949="",NOT(ISNUMBER($D1949))),"",IF(AND($E1949&lt;$D$2,$G1949&lt;&gt;"X",$F1949&lt;&gt;"Réalisé",$F1949&lt;&gt;"Clôturé"),"RETARD",""))</f>
        <v/>
      </c>
      <c r="L1949">
        <f>IF(OR($B1949="",NOT(ISNUMBER($D1949))),"",IF(AND($D1949&gt;=$D$2,$D1949&lt;=$H$2,$G1949&lt;&gt;"X",$F1949&lt;&gt;"Réalisé",$F1949&lt;&gt;"Clôturé"),"≤ 7 j",""))</f>
        <v/>
      </c>
      <c r="M1949" s="29">
        <f>IF($B1949="","",IFERROR(INDEX($T$4:$T$3183,MATCH(SMALL($V$4:$V$3183,1946),$V$4:$V$3183,0)),""))</f>
        <v/>
      </c>
      <c r="O1949">
        <f>IF(INDEX(Suivi!$B:$B,1986)="","",INDEX(Suivi!$B:$B,1986))</f>
        <v/>
      </c>
      <c r="P1949">
        <f>IF($O1949="","",IF(INDEX(Suivi!$D:$D,1986)="",INDEX(Suivi!$C:$C,1986),INDEX(Suivi!$D:$D,1986)))</f>
        <v/>
      </c>
      <c r="Q1949">
        <f>IF($O1949="","",INDEX(Suivi!$E:$E,1986))</f>
        <v/>
      </c>
      <c r="R1949">
        <f>IF($O1949="","",INDEX(Suivi!$F:$F,1986))</f>
        <v/>
      </c>
      <c r="S1949">
        <f>IF($O1949="","",INDEX(Suivi!$G:$G,1986))</f>
        <v/>
      </c>
      <c r="T1949">
        <f>IF($O1949="","",IF(INDEX(Dossiers!$F$4:$F$63,37)="","",INDEX(Dossiers!$F$4:$F$63,37)))</f>
        <v/>
      </c>
      <c r="U1949">
        <f>IF($O1949="","",IF(INDEX(Dossiers!$G$4:$G$63,37)="","",INDEX(Dossiers!$G$4:$G$63,37)))</f>
        <v/>
      </c>
      <c r="V1949">
        <f>IF(OR($O1949="",NOT(ISNUMBER($Q1949))),"",$Q1949*1000000+1949)</f>
        <v/>
      </c>
      <c r="W1949" s="29">
        <f>IF($B1949="","",IFERROR(INDEX($U$4:$U$3183,MATCH(SMALL($V$4:$V$3183,1946),$V$4:$V$3183,0)),""))</f>
        <v/>
      </c>
    </row>
    <row r="1950">
      <c r="A1950">
        <f>IFERROR(INDEX($N$4:$N$3183,MATCH(SMALL($V$4:$V$3183,1947),$V$4:$V$3183,0)),"")</f>
        <v/>
      </c>
      <c r="B1950">
        <f>IFERROR(INDEX($O$4:$O$3183,MATCH(SMALL($V$4:$V$3183,1947),$V$4:$V$3183,0)),"")</f>
        <v/>
      </c>
      <c r="C1950">
        <f>IFERROR(INDEX($P$4:$P$3183,MATCH(SMALL($V$4:$V$3183,1947),$V$4:$V$3183,0)),"")</f>
        <v/>
      </c>
      <c r="D1950" s="29">
        <f>IFERROR(INDEX($Q$4:$Q$3183,MATCH(SMALL($V$4:$V$3183,1947),$V$4:$V$3183,0)),"")</f>
        <v/>
      </c>
      <c r="E1950" s="29">
        <f>IFERROR(INDEX($R$4:$R$3183,MATCH(SMALL($V$4:$V$3183,1947),$V$4:$V$3183,0)),"")</f>
        <v/>
      </c>
      <c r="F1950">
        <f>IFERROR(INDEX($S$4:$S$3183,MATCH(SMALL($V$4:$V$3183,1947),$V$4:$V$3183,0)),"")</f>
        <v/>
      </c>
      <c r="I1950" s="29">
        <f>IF($B1950="","",IFERROR(INDEX($U$4:$U$3183,MATCH(SMALL($V$4:$V$3183,1947),$V$4:$V$3183,0)),""))</f>
        <v/>
      </c>
      <c r="J1950">
        <f>IF($B1950="","",IF($D1950&gt;$F$2,"À venir",IF($E1950&lt;$D$2,"Passé","Dans la période")))</f>
        <v/>
      </c>
      <c r="K1950">
        <f>IF(OR($B1950="",NOT(ISNUMBER($D1950))),"",IF(AND($E1950&lt;$D$2,$G1950&lt;&gt;"X",$F1950&lt;&gt;"Réalisé",$F1950&lt;&gt;"Clôturé"),"RETARD",""))</f>
        <v/>
      </c>
      <c r="L1950">
        <f>IF(OR($B1950="",NOT(ISNUMBER($D1950))),"",IF(AND($D1950&gt;=$D$2,$D1950&lt;=$H$2,$G1950&lt;&gt;"X",$F1950&lt;&gt;"Réalisé",$F1950&lt;&gt;"Clôturé"),"≤ 7 j",""))</f>
        <v/>
      </c>
      <c r="M1950" s="29">
        <f>IF($B1950="","",IFERROR(INDEX($T$4:$T$3183,MATCH(SMALL($V$4:$V$3183,1947),$V$4:$V$3183,0)),""))</f>
        <v/>
      </c>
      <c r="O1950">
        <f>IF(INDEX(Suivi!$B:$B,1987)="","",INDEX(Suivi!$B:$B,1987))</f>
        <v/>
      </c>
      <c r="P1950">
        <f>IF($O1950="","",IF(INDEX(Suivi!$D:$D,1987)="",INDEX(Suivi!$C:$C,1987),INDEX(Suivi!$D:$D,1987)))</f>
        <v/>
      </c>
      <c r="Q1950">
        <f>IF($O1950="","",INDEX(Suivi!$E:$E,1987))</f>
        <v/>
      </c>
      <c r="R1950">
        <f>IF($O1950="","",INDEX(Suivi!$F:$F,1987))</f>
        <v/>
      </c>
      <c r="S1950">
        <f>IF($O1950="","",INDEX(Suivi!$G:$G,1987))</f>
        <v/>
      </c>
      <c r="T1950">
        <f>IF($O1950="","",IF(INDEX(Dossiers!$F$4:$F$63,37)="","",INDEX(Dossiers!$F$4:$F$63,37)))</f>
        <v/>
      </c>
      <c r="U1950">
        <f>IF($O1950="","",IF(INDEX(Dossiers!$G$4:$G$63,37)="","",INDEX(Dossiers!$G$4:$G$63,37)))</f>
        <v/>
      </c>
      <c r="V1950">
        <f>IF(OR($O1950="",NOT(ISNUMBER($Q1950))),"",$Q1950*1000000+1950)</f>
        <v/>
      </c>
      <c r="W1950" s="29">
        <f>IF($B1950="","",IFERROR(INDEX($U$4:$U$3183,MATCH(SMALL($V$4:$V$3183,1947),$V$4:$V$3183,0)),""))</f>
        <v/>
      </c>
    </row>
    <row r="1951">
      <c r="A1951">
        <f>IFERROR(INDEX($N$4:$N$3183,MATCH(SMALL($V$4:$V$3183,1948),$V$4:$V$3183,0)),"")</f>
        <v/>
      </c>
      <c r="B1951">
        <f>IFERROR(INDEX($O$4:$O$3183,MATCH(SMALL($V$4:$V$3183,1948),$V$4:$V$3183,0)),"")</f>
        <v/>
      </c>
      <c r="C1951">
        <f>IFERROR(INDEX($P$4:$P$3183,MATCH(SMALL($V$4:$V$3183,1948),$V$4:$V$3183,0)),"")</f>
        <v/>
      </c>
      <c r="D1951" s="29">
        <f>IFERROR(INDEX($Q$4:$Q$3183,MATCH(SMALL($V$4:$V$3183,1948),$V$4:$V$3183,0)),"")</f>
        <v/>
      </c>
      <c r="E1951" s="29">
        <f>IFERROR(INDEX($R$4:$R$3183,MATCH(SMALL($V$4:$V$3183,1948),$V$4:$V$3183,0)),"")</f>
        <v/>
      </c>
      <c r="F1951">
        <f>IFERROR(INDEX($S$4:$S$3183,MATCH(SMALL($V$4:$V$3183,1948),$V$4:$V$3183,0)),"")</f>
        <v/>
      </c>
      <c r="I1951" s="29">
        <f>IF($B1951="","",IFERROR(INDEX($U$4:$U$3183,MATCH(SMALL($V$4:$V$3183,1948),$V$4:$V$3183,0)),""))</f>
        <v/>
      </c>
      <c r="J1951">
        <f>IF($B1951="","",IF($D1951&gt;$F$2,"À venir",IF($E1951&lt;$D$2,"Passé","Dans la période")))</f>
        <v/>
      </c>
      <c r="K1951">
        <f>IF(OR($B1951="",NOT(ISNUMBER($D1951))),"",IF(AND($E1951&lt;$D$2,$G1951&lt;&gt;"X",$F1951&lt;&gt;"Réalisé",$F1951&lt;&gt;"Clôturé"),"RETARD",""))</f>
        <v/>
      </c>
      <c r="L1951">
        <f>IF(OR($B1951="",NOT(ISNUMBER($D1951))),"",IF(AND($D1951&gt;=$D$2,$D1951&lt;=$H$2,$G1951&lt;&gt;"X",$F1951&lt;&gt;"Réalisé",$F1951&lt;&gt;"Clôturé"),"≤ 7 j",""))</f>
        <v/>
      </c>
      <c r="M1951" s="29">
        <f>IF($B1951="","",IFERROR(INDEX($T$4:$T$3183,MATCH(SMALL($V$4:$V$3183,1948),$V$4:$V$3183,0)),""))</f>
        <v/>
      </c>
      <c r="O1951">
        <f>IF(INDEX(Suivi!$B:$B,1988)="","",INDEX(Suivi!$B:$B,1988))</f>
        <v/>
      </c>
      <c r="P1951">
        <f>IF($O1951="","",IF(INDEX(Suivi!$D:$D,1988)="",INDEX(Suivi!$C:$C,1988),INDEX(Suivi!$D:$D,1988)))</f>
        <v/>
      </c>
      <c r="Q1951">
        <f>IF($O1951="","",INDEX(Suivi!$E:$E,1988))</f>
        <v/>
      </c>
      <c r="R1951">
        <f>IF($O1951="","",INDEX(Suivi!$F:$F,1988))</f>
        <v/>
      </c>
      <c r="S1951">
        <f>IF($O1951="","",INDEX(Suivi!$G:$G,1988))</f>
        <v/>
      </c>
      <c r="T1951">
        <f>IF($O1951="","",IF(INDEX(Dossiers!$F$4:$F$63,37)="","",INDEX(Dossiers!$F$4:$F$63,37)))</f>
        <v/>
      </c>
      <c r="U1951">
        <f>IF($O1951="","",IF(INDEX(Dossiers!$G$4:$G$63,37)="","",INDEX(Dossiers!$G$4:$G$63,37)))</f>
        <v/>
      </c>
      <c r="V1951">
        <f>IF(OR($O1951="",NOT(ISNUMBER($Q1951))),"",$Q1951*1000000+1951)</f>
        <v/>
      </c>
      <c r="W1951" s="29">
        <f>IF($B1951="","",IFERROR(INDEX($U$4:$U$3183,MATCH(SMALL($V$4:$V$3183,1948),$V$4:$V$3183,0)),""))</f>
        <v/>
      </c>
    </row>
    <row r="1952">
      <c r="A1952">
        <f>IFERROR(INDEX($N$4:$N$3183,MATCH(SMALL($V$4:$V$3183,1949),$V$4:$V$3183,0)),"")</f>
        <v/>
      </c>
      <c r="B1952">
        <f>IFERROR(INDEX($O$4:$O$3183,MATCH(SMALL($V$4:$V$3183,1949),$V$4:$V$3183,0)),"")</f>
        <v/>
      </c>
      <c r="C1952">
        <f>IFERROR(INDEX($P$4:$P$3183,MATCH(SMALL($V$4:$V$3183,1949),$V$4:$V$3183,0)),"")</f>
        <v/>
      </c>
      <c r="D1952" s="29">
        <f>IFERROR(INDEX($Q$4:$Q$3183,MATCH(SMALL($V$4:$V$3183,1949),$V$4:$V$3183,0)),"")</f>
        <v/>
      </c>
      <c r="E1952" s="29">
        <f>IFERROR(INDEX($R$4:$R$3183,MATCH(SMALL($V$4:$V$3183,1949),$V$4:$V$3183,0)),"")</f>
        <v/>
      </c>
      <c r="F1952">
        <f>IFERROR(INDEX($S$4:$S$3183,MATCH(SMALL($V$4:$V$3183,1949),$V$4:$V$3183,0)),"")</f>
        <v/>
      </c>
      <c r="I1952" s="29">
        <f>IF($B1952="","",IFERROR(INDEX($U$4:$U$3183,MATCH(SMALL($V$4:$V$3183,1949),$V$4:$V$3183,0)),""))</f>
        <v/>
      </c>
      <c r="J1952">
        <f>IF($B1952="","",IF($D1952&gt;$F$2,"À venir",IF($E1952&lt;$D$2,"Passé","Dans la période")))</f>
        <v/>
      </c>
      <c r="K1952">
        <f>IF(OR($B1952="",NOT(ISNUMBER($D1952))),"",IF(AND($E1952&lt;$D$2,$G1952&lt;&gt;"X",$F1952&lt;&gt;"Réalisé",$F1952&lt;&gt;"Clôturé"),"RETARD",""))</f>
        <v/>
      </c>
      <c r="L1952">
        <f>IF(OR($B1952="",NOT(ISNUMBER($D1952))),"",IF(AND($D1952&gt;=$D$2,$D1952&lt;=$H$2,$G1952&lt;&gt;"X",$F1952&lt;&gt;"Réalisé",$F1952&lt;&gt;"Clôturé"),"≤ 7 j",""))</f>
        <v/>
      </c>
      <c r="M1952" s="29">
        <f>IF($B1952="","",IFERROR(INDEX($T$4:$T$3183,MATCH(SMALL($V$4:$V$3183,1949),$V$4:$V$3183,0)),""))</f>
        <v/>
      </c>
      <c r="O1952">
        <f>IF(INDEX(Suivi!$B:$B,1989)="","",INDEX(Suivi!$B:$B,1989))</f>
        <v/>
      </c>
      <c r="P1952">
        <f>IF($O1952="","",IF(INDEX(Suivi!$D:$D,1989)="",INDEX(Suivi!$C:$C,1989),INDEX(Suivi!$D:$D,1989)))</f>
        <v/>
      </c>
      <c r="Q1952">
        <f>IF($O1952="","",INDEX(Suivi!$E:$E,1989))</f>
        <v/>
      </c>
      <c r="R1952">
        <f>IF($O1952="","",INDEX(Suivi!$F:$F,1989))</f>
        <v/>
      </c>
      <c r="S1952">
        <f>IF($O1952="","",INDEX(Suivi!$G:$G,1989))</f>
        <v/>
      </c>
      <c r="T1952">
        <f>IF($O1952="","",IF(INDEX(Dossiers!$F$4:$F$63,37)="","",INDEX(Dossiers!$F$4:$F$63,37)))</f>
        <v/>
      </c>
      <c r="U1952">
        <f>IF($O1952="","",IF(INDEX(Dossiers!$G$4:$G$63,37)="","",INDEX(Dossiers!$G$4:$G$63,37)))</f>
        <v/>
      </c>
      <c r="V1952">
        <f>IF(OR($O1952="",NOT(ISNUMBER($Q1952))),"",$Q1952*1000000+1952)</f>
        <v/>
      </c>
      <c r="W1952" s="29">
        <f>IF($B1952="","",IFERROR(INDEX($U$4:$U$3183,MATCH(SMALL($V$4:$V$3183,1949),$V$4:$V$3183,0)),""))</f>
        <v/>
      </c>
    </row>
    <row r="1953">
      <c r="A1953">
        <f>IFERROR(INDEX($N$4:$N$3183,MATCH(SMALL($V$4:$V$3183,1950),$V$4:$V$3183,0)),"")</f>
        <v/>
      </c>
      <c r="B1953">
        <f>IFERROR(INDEX($O$4:$O$3183,MATCH(SMALL($V$4:$V$3183,1950),$V$4:$V$3183,0)),"")</f>
        <v/>
      </c>
      <c r="C1953">
        <f>IFERROR(INDEX($P$4:$P$3183,MATCH(SMALL($V$4:$V$3183,1950),$V$4:$V$3183,0)),"")</f>
        <v/>
      </c>
      <c r="D1953" s="29">
        <f>IFERROR(INDEX($Q$4:$Q$3183,MATCH(SMALL($V$4:$V$3183,1950),$V$4:$V$3183,0)),"")</f>
        <v/>
      </c>
      <c r="E1953" s="29">
        <f>IFERROR(INDEX($R$4:$R$3183,MATCH(SMALL($V$4:$V$3183,1950),$V$4:$V$3183,0)),"")</f>
        <v/>
      </c>
      <c r="F1953">
        <f>IFERROR(INDEX($S$4:$S$3183,MATCH(SMALL($V$4:$V$3183,1950),$V$4:$V$3183,0)),"")</f>
        <v/>
      </c>
      <c r="I1953" s="29">
        <f>IF($B1953="","",IFERROR(INDEX($U$4:$U$3183,MATCH(SMALL($V$4:$V$3183,1950),$V$4:$V$3183,0)),""))</f>
        <v/>
      </c>
      <c r="J1953">
        <f>IF($B1953="","",IF($D1953&gt;$F$2,"À venir",IF($E1953&lt;$D$2,"Passé","Dans la période")))</f>
        <v/>
      </c>
      <c r="K1953">
        <f>IF(OR($B1953="",NOT(ISNUMBER($D1953))),"",IF(AND($E1953&lt;$D$2,$G1953&lt;&gt;"X",$F1953&lt;&gt;"Réalisé",$F1953&lt;&gt;"Clôturé"),"RETARD",""))</f>
        <v/>
      </c>
      <c r="L1953">
        <f>IF(OR($B1953="",NOT(ISNUMBER($D1953))),"",IF(AND($D1953&gt;=$D$2,$D1953&lt;=$H$2,$G1953&lt;&gt;"X",$F1953&lt;&gt;"Réalisé",$F1953&lt;&gt;"Clôturé"),"≤ 7 j",""))</f>
        <v/>
      </c>
      <c r="M1953" s="29">
        <f>IF($B1953="","",IFERROR(INDEX($T$4:$T$3183,MATCH(SMALL($V$4:$V$3183,1950),$V$4:$V$3183,0)),""))</f>
        <v/>
      </c>
      <c r="O1953">
        <f>IF(INDEX(Suivi!$B:$B,1990)="","",INDEX(Suivi!$B:$B,1990))</f>
        <v/>
      </c>
      <c r="P1953">
        <f>IF($O1953="","",IF(INDEX(Suivi!$D:$D,1990)="",INDEX(Suivi!$C:$C,1990),INDEX(Suivi!$D:$D,1990)))</f>
        <v/>
      </c>
      <c r="Q1953">
        <f>IF($O1953="","",INDEX(Suivi!$E:$E,1990))</f>
        <v/>
      </c>
      <c r="R1953">
        <f>IF($O1953="","",INDEX(Suivi!$F:$F,1990))</f>
        <v/>
      </c>
      <c r="S1953">
        <f>IF($O1953="","",INDEX(Suivi!$G:$G,1990))</f>
        <v/>
      </c>
      <c r="T1953">
        <f>IF($O1953="","",IF(INDEX(Dossiers!$F$4:$F$63,37)="","",INDEX(Dossiers!$F$4:$F$63,37)))</f>
        <v/>
      </c>
      <c r="U1953">
        <f>IF($O1953="","",IF(INDEX(Dossiers!$G$4:$G$63,37)="","",INDEX(Dossiers!$G$4:$G$63,37)))</f>
        <v/>
      </c>
      <c r="V1953">
        <f>IF(OR($O1953="",NOT(ISNUMBER($Q1953))),"",$Q1953*1000000+1953)</f>
        <v/>
      </c>
      <c r="W1953" s="29">
        <f>IF($B1953="","",IFERROR(INDEX($U$4:$U$3183,MATCH(SMALL($V$4:$V$3183,1950),$V$4:$V$3183,0)),""))</f>
        <v/>
      </c>
    </row>
    <row r="1954">
      <c r="A1954">
        <f>IFERROR(INDEX($N$4:$N$3183,MATCH(SMALL($V$4:$V$3183,1951),$V$4:$V$3183,0)),"")</f>
        <v/>
      </c>
      <c r="B1954">
        <f>IFERROR(INDEX($O$4:$O$3183,MATCH(SMALL($V$4:$V$3183,1951),$V$4:$V$3183,0)),"")</f>
        <v/>
      </c>
      <c r="C1954">
        <f>IFERROR(INDEX($P$4:$P$3183,MATCH(SMALL($V$4:$V$3183,1951),$V$4:$V$3183,0)),"")</f>
        <v/>
      </c>
      <c r="D1954" s="29">
        <f>IFERROR(INDEX($Q$4:$Q$3183,MATCH(SMALL($V$4:$V$3183,1951),$V$4:$V$3183,0)),"")</f>
        <v/>
      </c>
      <c r="E1954" s="29">
        <f>IFERROR(INDEX($R$4:$R$3183,MATCH(SMALL($V$4:$V$3183,1951),$V$4:$V$3183,0)),"")</f>
        <v/>
      </c>
      <c r="F1954">
        <f>IFERROR(INDEX($S$4:$S$3183,MATCH(SMALL($V$4:$V$3183,1951),$V$4:$V$3183,0)),"")</f>
        <v/>
      </c>
      <c r="I1954" s="29">
        <f>IF($B1954="","",IFERROR(INDEX($U$4:$U$3183,MATCH(SMALL($V$4:$V$3183,1951),$V$4:$V$3183,0)),""))</f>
        <v/>
      </c>
      <c r="J1954">
        <f>IF($B1954="","",IF($D1954&gt;$F$2,"À venir",IF($E1954&lt;$D$2,"Passé","Dans la période")))</f>
        <v/>
      </c>
      <c r="K1954">
        <f>IF(OR($B1954="",NOT(ISNUMBER($D1954))),"",IF(AND($E1954&lt;$D$2,$G1954&lt;&gt;"X",$F1954&lt;&gt;"Réalisé",$F1954&lt;&gt;"Clôturé"),"RETARD",""))</f>
        <v/>
      </c>
      <c r="L1954">
        <f>IF(OR($B1954="",NOT(ISNUMBER($D1954))),"",IF(AND($D1954&gt;=$D$2,$D1954&lt;=$H$2,$G1954&lt;&gt;"X",$F1954&lt;&gt;"Réalisé",$F1954&lt;&gt;"Clôturé"),"≤ 7 j",""))</f>
        <v/>
      </c>
      <c r="M1954" s="29">
        <f>IF($B1954="","",IFERROR(INDEX($T$4:$T$3183,MATCH(SMALL($V$4:$V$3183,1951),$V$4:$V$3183,0)),""))</f>
        <v/>
      </c>
      <c r="O1954">
        <f>IF(INDEX(Suivi!$B:$B,1991)="","",INDEX(Suivi!$B:$B,1991))</f>
        <v/>
      </c>
      <c r="P1954">
        <f>IF($O1954="","",IF(INDEX(Suivi!$D:$D,1991)="",INDEX(Suivi!$C:$C,1991),INDEX(Suivi!$D:$D,1991)))</f>
        <v/>
      </c>
      <c r="Q1954">
        <f>IF($O1954="","",INDEX(Suivi!$E:$E,1991))</f>
        <v/>
      </c>
      <c r="R1954">
        <f>IF($O1954="","",INDEX(Suivi!$F:$F,1991))</f>
        <v/>
      </c>
      <c r="S1954">
        <f>IF($O1954="","",INDEX(Suivi!$G:$G,1991))</f>
        <v/>
      </c>
      <c r="T1954">
        <f>IF($O1954="","",IF(INDEX(Dossiers!$F$4:$F$63,37)="","",INDEX(Dossiers!$F$4:$F$63,37)))</f>
        <v/>
      </c>
      <c r="U1954">
        <f>IF($O1954="","",IF(INDEX(Dossiers!$G$4:$G$63,37)="","",INDEX(Dossiers!$G$4:$G$63,37)))</f>
        <v/>
      </c>
      <c r="V1954">
        <f>IF(OR($O1954="",NOT(ISNUMBER($Q1954))),"",$Q1954*1000000+1954)</f>
        <v/>
      </c>
      <c r="W1954" s="29">
        <f>IF($B1954="","",IFERROR(INDEX($U$4:$U$3183,MATCH(SMALL($V$4:$V$3183,1951),$V$4:$V$3183,0)),""))</f>
        <v/>
      </c>
    </row>
    <row r="1955">
      <c r="A1955">
        <f>IFERROR(INDEX($N$4:$N$3183,MATCH(SMALL($V$4:$V$3183,1952),$V$4:$V$3183,0)),"")</f>
        <v/>
      </c>
      <c r="B1955">
        <f>IFERROR(INDEX($O$4:$O$3183,MATCH(SMALL($V$4:$V$3183,1952),$V$4:$V$3183,0)),"")</f>
        <v/>
      </c>
      <c r="C1955">
        <f>IFERROR(INDEX($P$4:$P$3183,MATCH(SMALL($V$4:$V$3183,1952),$V$4:$V$3183,0)),"")</f>
        <v/>
      </c>
      <c r="D1955" s="29">
        <f>IFERROR(INDEX($Q$4:$Q$3183,MATCH(SMALL($V$4:$V$3183,1952),$V$4:$V$3183,0)),"")</f>
        <v/>
      </c>
      <c r="E1955" s="29">
        <f>IFERROR(INDEX($R$4:$R$3183,MATCH(SMALL($V$4:$V$3183,1952),$V$4:$V$3183,0)),"")</f>
        <v/>
      </c>
      <c r="F1955">
        <f>IFERROR(INDEX($S$4:$S$3183,MATCH(SMALL($V$4:$V$3183,1952),$V$4:$V$3183,0)),"")</f>
        <v/>
      </c>
      <c r="I1955" s="29">
        <f>IF($B1955="","",IFERROR(INDEX($U$4:$U$3183,MATCH(SMALL($V$4:$V$3183,1952),$V$4:$V$3183,0)),""))</f>
        <v/>
      </c>
      <c r="J1955">
        <f>IF($B1955="","",IF($D1955&gt;$F$2,"À venir",IF($E1955&lt;$D$2,"Passé","Dans la période")))</f>
        <v/>
      </c>
      <c r="K1955">
        <f>IF(OR($B1955="",NOT(ISNUMBER($D1955))),"",IF(AND($E1955&lt;$D$2,$G1955&lt;&gt;"X",$F1955&lt;&gt;"Réalisé",$F1955&lt;&gt;"Clôturé"),"RETARD",""))</f>
        <v/>
      </c>
      <c r="L1955">
        <f>IF(OR($B1955="",NOT(ISNUMBER($D1955))),"",IF(AND($D1955&gt;=$D$2,$D1955&lt;=$H$2,$G1955&lt;&gt;"X",$F1955&lt;&gt;"Réalisé",$F1955&lt;&gt;"Clôturé"),"≤ 7 j",""))</f>
        <v/>
      </c>
      <c r="M1955" s="29">
        <f>IF($B1955="","",IFERROR(INDEX($T$4:$T$3183,MATCH(SMALL($V$4:$V$3183,1952),$V$4:$V$3183,0)),""))</f>
        <v/>
      </c>
      <c r="O1955">
        <f>IF(INDEX(Suivi!$B:$B,1992)="","",INDEX(Suivi!$B:$B,1992))</f>
        <v/>
      </c>
      <c r="P1955">
        <f>IF($O1955="","",IF(INDEX(Suivi!$D:$D,1992)="",INDEX(Suivi!$C:$C,1992),INDEX(Suivi!$D:$D,1992)))</f>
        <v/>
      </c>
      <c r="Q1955">
        <f>IF($O1955="","",INDEX(Suivi!$E:$E,1992))</f>
        <v/>
      </c>
      <c r="R1955">
        <f>IF($O1955="","",INDEX(Suivi!$F:$F,1992))</f>
        <v/>
      </c>
      <c r="S1955">
        <f>IF($O1955="","",INDEX(Suivi!$G:$G,1992))</f>
        <v/>
      </c>
      <c r="T1955">
        <f>IF($O1955="","",IF(INDEX(Dossiers!$F$4:$F$63,37)="","",INDEX(Dossiers!$F$4:$F$63,37)))</f>
        <v/>
      </c>
      <c r="U1955">
        <f>IF($O1955="","",IF(INDEX(Dossiers!$G$4:$G$63,37)="","",INDEX(Dossiers!$G$4:$G$63,37)))</f>
        <v/>
      </c>
      <c r="V1955">
        <f>IF(OR($O1955="",NOT(ISNUMBER($Q1955))),"",$Q1955*1000000+1955)</f>
        <v/>
      </c>
      <c r="W1955" s="29">
        <f>IF($B1955="","",IFERROR(INDEX($U$4:$U$3183,MATCH(SMALL($V$4:$V$3183,1952),$V$4:$V$3183,0)),""))</f>
        <v/>
      </c>
    </row>
    <row r="1956">
      <c r="A1956">
        <f>IFERROR(INDEX($N$4:$N$3183,MATCH(SMALL($V$4:$V$3183,1953),$V$4:$V$3183,0)),"")</f>
        <v/>
      </c>
      <c r="B1956">
        <f>IFERROR(INDEX($O$4:$O$3183,MATCH(SMALL($V$4:$V$3183,1953),$V$4:$V$3183,0)),"")</f>
        <v/>
      </c>
      <c r="C1956">
        <f>IFERROR(INDEX($P$4:$P$3183,MATCH(SMALL($V$4:$V$3183,1953),$V$4:$V$3183,0)),"")</f>
        <v/>
      </c>
      <c r="D1956" s="29">
        <f>IFERROR(INDEX($Q$4:$Q$3183,MATCH(SMALL($V$4:$V$3183,1953),$V$4:$V$3183,0)),"")</f>
        <v/>
      </c>
      <c r="E1956" s="29">
        <f>IFERROR(INDEX($R$4:$R$3183,MATCH(SMALL($V$4:$V$3183,1953),$V$4:$V$3183,0)),"")</f>
        <v/>
      </c>
      <c r="F1956">
        <f>IFERROR(INDEX($S$4:$S$3183,MATCH(SMALL($V$4:$V$3183,1953),$V$4:$V$3183,0)),"")</f>
        <v/>
      </c>
      <c r="I1956" s="29">
        <f>IF($B1956="","",IFERROR(INDEX($U$4:$U$3183,MATCH(SMALL($V$4:$V$3183,1953),$V$4:$V$3183,0)),""))</f>
        <v/>
      </c>
      <c r="J1956">
        <f>IF($B1956="","",IF($D1956&gt;$F$2,"À venir",IF($E1956&lt;$D$2,"Passé","Dans la période")))</f>
        <v/>
      </c>
      <c r="K1956">
        <f>IF(OR($B1956="",NOT(ISNUMBER($D1956))),"",IF(AND($E1956&lt;$D$2,$G1956&lt;&gt;"X",$F1956&lt;&gt;"Réalisé",$F1956&lt;&gt;"Clôturé"),"RETARD",""))</f>
        <v/>
      </c>
      <c r="L1956">
        <f>IF(OR($B1956="",NOT(ISNUMBER($D1956))),"",IF(AND($D1956&gt;=$D$2,$D1956&lt;=$H$2,$G1956&lt;&gt;"X",$F1956&lt;&gt;"Réalisé",$F1956&lt;&gt;"Clôturé"),"≤ 7 j",""))</f>
        <v/>
      </c>
      <c r="M1956" s="29">
        <f>IF($B1956="","",IFERROR(INDEX($T$4:$T$3183,MATCH(SMALL($V$4:$V$3183,1953),$V$4:$V$3183,0)),""))</f>
        <v/>
      </c>
      <c r="O1956">
        <f>IF(INDEX(Suivi!$B:$B,1993)="","",INDEX(Suivi!$B:$B,1993))</f>
        <v/>
      </c>
      <c r="P1956">
        <f>IF($O1956="","",IF(INDEX(Suivi!$D:$D,1993)="",INDEX(Suivi!$C:$C,1993),INDEX(Suivi!$D:$D,1993)))</f>
        <v/>
      </c>
      <c r="Q1956">
        <f>IF($O1956="","",INDEX(Suivi!$E:$E,1993))</f>
        <v/>
      </c>
      <c r="R1956">
        <f>IF($O1956="","",INDEX(Suivi!$F:$F,1993))</f>
        <v/>
      </c>
      <c r="S1956">
        <f>IF($O1956="","",INDEX(Suivi!$G:$G,1993))</f>
        <v/>
      </c>
      <c r="T1956">
        <f>IF($O1956="","",IF(INDEX(Dossiers!$F$4:$F$63,37)="","",INDEX(Dossiers!$F$4:$F$63,37)))</f>
        <v/>
      </c>
      <c r="U1956">
        <f>IF($O1956="","",IF(INDEX(Dossiers!$G$4:$G$63,37)="","",INDEX(Dossiers!$G$4:$G$63,37)))</f>
        <v/>
      </c>
      <c r="V1956">
        <f>IF(OR($O1956="",NOT(ISNUMBER($Q1956))),"",$Q1956*1000000+1956)</f>
        <v/>
      </c>
      <c r="W1956" s="29">
        <f>IF($B1956="","",IFERROR(INDEX($U$4:$U$3183,MATCH(SMALL($V$4:$V$3183,1953),$V$4:$V$3183,0)),""))</f>
        <v/>
      </c>
    </row>
    <row r="1957">
      <c r="A1957">
        <f>IFERROR(INDEX($N$4:$N$3183,MATCH(SMALL($V$4:$V$3183,1954),$V$4:$V$3183,0)),"")</f>
        <v/>
      </c>
      <c r="B1957">
        <f>IFERROR(INDEX($O$4:$O$3183,MATCH(SMALL($V$4:$V$3183,1954),$V$4:$V$3183,0)),"")</f>
        <v/>
      </c>
      <c r="C1957">
        <f>IFERROR(INDEX($P$4:$P$3183,MATCH(SMALL($V$4:$V$3183,1954),$V$4:$V$3183,0)),"")</f>
        <v/>
      </c>
      <c r="D1957" s="29">
        <f>IFERROR(INDEX($Q$4:$Q$3183,MATCH(SMALL($V$4:$V$3183,1954),$V$4:$V$3183,0)),"")</f>
        <v/>
      </c>
      <c r="E1957" s="29">
        <f>IFERROR(INDEX($R$4:$R$3183,MATCH(SMALL($V$4:$V$3183,1954),$V$4:$V$3183,0)),"")</f>
        <v/>
      </c>
      <c r="F1957">
        <f>IFERROR(INDEX($S$4:$S$3183,MATCH(SMALL($V$4:$V$3183,1954),$V$4:$V$3183,0)),"")</f>
        <v/>
      </c>
      <c r="I1957" s="29">
        <f>IF($B1957="","",IFERROR(INDEX($U$4:$U$3183,MATCH(SMALL($V$4:$V$3183,1954),$V$4:$V$3183,0)),""))</f>
        <v/>
      </c>
      <c r="J1957">
        <f>IF($B1957="","",IF($D1957&gt;$F$2,"À venir",IF($E1957&lt;$D$2,"Passé","Dans la période")))</f>
        <v/>
      </c>
      <c r="K1957">
        <f>IF(OR($B1957="",NOT(ISNUMBER($D1957))),"",IF(AND($E1957&lt;$D$2,$G1957&lt;&gt;"X",$F1957&lt;&gt;"Réalisé",$F1957&lt;&gt;"Clôturé"),"RETARD",""))</f>
        <v/>
      </c>
      <c r="L1957">
        <f>IF(OR($B1957="",NOT(ISNUMBER($D1957))),"",IF(AND($D1957&gt;=$D$2,$D1957&lt;=$H$2,$G1957&lt;&gt;"X",$F1957&lt;&gt;"Réalisé",$F1957&lt;&gt;"Clôturé"),"≤ 7 j",""))</f>
        <v/>
      </c>
      <c r="M1957" s="29">
        <f>IF($B1957="","",IFERROR(INDEX($T$4:$T$3183,MATCH(SMALL($V$4:$V$3183,1954),$V$4:$V$3183,0)),""))</f>
        <v/>
      </c>
      <c r="O1957">
        <f>IF(INDEX(Suivi!$B:$B,1994)="","",INDEX(Suivi!$B:$B,1994))</f>
        <v/>
      </c>
      <c r="P1957">
        <f>IF($O1957="","",IF(INDEX(Suivi!$D:$D,1994)="",INDEX(Suivi!$C:$C,1994),INDEX(Suivi!$D:$D,1994)))</f>
        <v/>
      </c>
      <c r="Q1957">
        <f>IF($O1957="","",INDEX(Suivi!$E:$E,1994))</f>
        <v/>
      </c>
      <c r="R1957">
        <f>IF($O1957="","",INDEX(Suivi!$F:$F,1994))</f>
        <v/>
      </c>
      <c r="S1957">
        <f>IF($O1957="","",INDEX(Suivi!$G:$G,1994))</f>
        <v/>
      </c>
      <c r="T1957">
        <f>IF($O1957="","",IF(INDEX(Dossiers!$F$4:$F$63,37)="","",INDEX(Dossiers!$F$4:$F$63,37)))</f>
        <v/>
      </c>
      <c r="U1957">
        <f>IF($O1957="","",IF(INDEX(Dossiers!$G$4:$G$63,37)="","",INDEX(Dossiers!$G$4:$G$63,37)))</f>
        <v/>
      </c>
      <c r="V1957">
        <f>IF(OR($O1957="",NOT(ISNUMBER($Q1957))),"",$Q1957*1000000+1957)</f>
        <v/>
      </c>
      <c r="W1957" s="29">
        <f>IF($B1957="","",IFERROR(INDEX($U$4:$U$3183,MATCH(SMALL($V$4:$V$3183,1954),$V$4:$V$3183,0)),""))</f>
        <v/>
      </c>
    </row>
    <row r="1958">
      <c r="A1958">
        <f>IFERROR(INDEX($N$4:$N$3183,MATCH(SMALL($V$4:$V$3183,1955),$V$4:$V$3183,0)),"")</f>
        <v/>
      </c>
      <c r="B1958">
        <f>IFERROR(INDEX($O$4:$O$3183,MATCH(SMALL($V$4:$V$3183,1955),$V$4:$V$3183,0)),"")</f>
        <v/>
      </c>
      <c r="C1958">
        <f>IFERROR(INDEX($P$4:$P$3183,MATCH(SMALL($V$4:$V$3183,1955),$V$4:$V$3183,0)),"")</f>
        <v/>
      </c>
      <c r="D1958" s="29">
        <f>IFERROR(INDEX($Q$4:$Q$3183,MATCH(SMALL($V$4:$V$3183,1955),$V$4:$V$3183,0)),"")</f>
        <v/>
      </c>
      <c r="E1958" s="29">
        <f>IFERROR(INDEX($R$4:$R$3183,MATCH(SMALL($V$4:$V$3183,1955),$V$4:$V$3183,0)),"")</f>
        <v/>
      </c>
      <c r="F1958">
        <f>IFERROR(INDEX($S$4:$S$3183,MATCH(SMALL($V$4:$V$3183,1955),$V$4:$V$3183,0)),"")</f>
        <v/>
      </c>
      <c r="I1958" s="29">
        <f>IF($B1958="","",IFERROR(INDEX($U$4:$U$3183,MATCH(SMALL($V$4:$V$3183,1955),$V$4:$V$3183,0)),""))</f>
        <v/>
      </c>
      <c r="J1958">
        <f>IF($B1958="","",IF($D1958&gt;$F$2,"À venir",IF($E1958&lt;$D$2,"Passé","Dans la période")))</f>
        <v/>
      </c>
      <c r="K1958">
        <f>IF(OR($B1958="",NOT(ISNUMBER($D1958))),"",IF(AND($E1958&lt;$D$2,$G1958&lt;&gt;"X",$F1958&lt;&gt;"Réalisé",$F1958&lt;&gt;"Clôturé"),"RETARD",""))</f>
        <v/>
      </c>
      <c r="L1958">
        <f>IF(OR($B1958="",NOT(ISNUMBER($D1958))),"",IF(AND($D1958&gt;=$D$2,$D1958&lt;=$H$2,$G1958&lt;&gt;"X",$F1958&lt;&gt;"Réalisé",$F1958&lt;&gt;"Clôturé"),"≤ 7 j",""))</f>
        <v/>
      </c>
      <c r="M1958" s="29">
        <f>IF($B1958="","",IFERROR(INDEX($T$4:$T$3183,MATCH(SMALL($V$4:$V$3183,1955),$V$4:$V$3183,0)),""))</f>
        <v/>
      </c>
      <c r="O1958">
        <f>IF(INDEX(Suivi!$B:$B,1995)="","",INDEX(Suivi!$B:$B,1995))</f>
        <v/>
      </c>
      <c r="P1958">
        <f>IF($O1958="","",IF(INDEX(Suivi!$D:$D,1995)="",INDEX(Suivi!$C:$C,1995),INDEX(Suivi!$D:$D,1995)))</f>
        <v/>
      </c>
      <c r="Q1958">
        <f>IF($O1958="","",INDEX(Suivi!$E:$E,1995))</f>
        <v/>
      </c>
      <c r="R1958">
        <f>IF($O1958="","",INDEX(Suivi!$F:$F,1995))</f>
        <v/>
      </c>
      <c r="S1958">
        <f>IF($O1958="","",INDEX(Suivi!$G:$G,1995))</f>
        <v/>
      </c>
      <c r="T1958">
        <f>IF($O1958="","",IF(INDEX(Dossiers!$F$4:$F$63,37)="","",INDEX(Dossiers!$F$4:$F$63,37)))</f>
        <v/>
      </c>
      <c r="U1958">
        <f>IF($O1958="","",IF(INDEX(Dossiers!$G$4:$G$63,37)="","",INDEX(Dossiers!$G$4:$G$63,37)))</f>
        <v/>
      </c>
      <c r="V1958">
        <f>IF(OR($O1958="",NOT(ISNUMBER($Q1958))),"",$Q1958*1000000+1958)</f>
        <v/>
      </c>
      <c r="W1958" s="29">
        <f>IF($B1958="","",IFERROR(INDEX($U$4:$U$3183,MATCH(SMALL($V$4:$V$3183,1955),$V$4:$V$3183,0)),""))</f>
        <v/>
      </c>
    </row>
    <row r="1959">
      <c r="A1959">
        <f>IFERROR(INDEX($N$4:$N$3183,MATCH(SMALL($V$4:$V$3183,1956),$V$4:$V$3183,0)),"")</f>
        <v/>
      </c>
      <c r="B1959">
        <f>IFERROR(INDEX($O$4:$O$3183,MATCH(SMALL($V$4:$V$3183,1956),$V$4:$V$3183,0)),"")</f>
        <v/>
      </c>
      <c r="C1959">
        <f>IFERROR(INDEX($P$4:$P$3183,MATCH(SMALL($V$4:$V$3183,1956),$V$4:$V$3183,0)),"")</f>
        <v/>
      </c>
      <c r="D1959" s="29">
        <f>IFERROR(INDEX($Q$4:$Q$3183,MATCH(SMALL($V$4:$V$3183,1956),$V$4:$V$3183,0)),"")</f>
        <v/>
      </c>
      <c r="E1959" s="29">
        <f>IFERROR(INDEX($R$4:$R$3183,MATCH(SMALL($V$4:$V$3183,1956),$V$4:$V$3183,0)),"")</f>
        <v/>
      </c>
      <c r="F1959">
        <f>IFERROR(INDEX($S$4:$S$3183,MATCH(SMALL($V$4:$V$3183,1956),$V$4:$V$3183,0)),"")</f>
        <v/>
      </c>
      <c r="I1959" s="29">
        <f>IF($B1959="","",IFERROR(INDEX($U$4:$U$3183,MATCH(SMALL($V$4:$V$3183,1956),$V$4:$V$3183,0)),""))</f>
        <v/>
      </c>
      <c r="J1959">
        <f>IF($B1959="","",IF($D1959&gt;$F$2,"À venir",IF($E1959&lt;$D$2,"Passé","Dans la période")))</f>
        <v/>
      </c>
      <c r="K1959">
        <f>IF(OR($B1959="",NOT(ISNUMBER($D1959))),"",IF(AND($E1959&lt;$D$2,$G1959&lt;&gt;"X",$F1959&lt;&gt;"Réalisé",$F1959&lt;&gt;"Clôturé"),"RETARD",""))</f>
        <v/>
      </c>
      <c r="L1959">
        <f>IF(OR($B1959="",NOT(ISNUMBER($D1959))),"",IF(AND($D1959&gt;=$D$2,$D1959&lt;=$H$2,$G1959&lt;&gt;"X",$F1959&lt;&gt;"Réalisé",$F1959&lt;&gt;"Clôturé"),"≤ 7 j",""))</f>
        <v/>
      </c>
      <c r="M1959" s="29">
        <f>IF($B1959="","",IFERROR(INDEX($T$4:$T$3183,MATCH(SMALL($V$4:$V$3183,1956),$V$4:$V$3183,0)),""))</f>
        <v/>
      </c>
      <c r="O1959">
        <f>IF(INDEX(Suivi!$B:$B,1996)="","",INDEX(Suivi!$B:$B,1996))</f>
        <v/>
      </c>
      <c r="P1959">
        <f>IF($O1959="","",IF(INDEX(Suivi!$D:$D,1996)="",INDEX(Suivi!$C:$C,1996),INDEX(Suivi!$D:$D,1996)))</f>
        <v/>
      </c>
      <c r="Q1959">
        <f>IF($O1959="","",INDEX(Suivi!$E:$E,1996))</f>
        <v/>
      </c>
      <c r="R1959">
        <f>IF($O1959="","",INDEX(Suivi!$F:$F,1996))</f>
        <v/>
      </c>
      <c r="S1959">
        <f>IF($O1959="","",INDEX(Suivi!$G:$G,1996))</f>
        <v/>
      </c>
      <c r="T1959">
        <f>IF($O1959="","",IF(INDEX(Dossiers!$F$4:$F$63,37)="","",INDEX(Dossiers!$F$4:$F$63,37)))</f>
        <v/>
      </c>
      <c r="U1959">
        <f>IF($O1959="","",IF(INDEX(Dossiers!$G$4:$G$63,37)="","",INDEX(Dossiers!$G$4:$G$63,37)))</f>
        <v/>
      </c>
      <c r="V1959">
        <f>IF(OR($O1959="",NOT(ISNUMBER($Q1959))),"",$Q1959*1000000+1959)</f>
        <v/>
      </c>
      <c r="W1959" s="29">
        <f>IF($B1959="","",IFERROR(INDEX($U$4:$U$3183,MATCH(SMALL($V$4:$V$3183,1956),$V$4:$V$3183,0)),""))</f>
        <v/>
      </c>
    </row>
    <row r="1960">
      <c r="A1960">
        <f>IFERROR(INDEX($N$4:$N$3183,MATCH(SMALL($V$4:$V$3183,1957),$V$4:$V$3183,0)),"")</f>
        <v/>
      </c>
      <c r="B1960">
        <f>IFERROR(INDEX($O$4:$O$3183,MATCH(SMALL($V$4:$V$3183,1957),$V$4:$V$3183,0)),"")</f>
        <v/>
      </c>
      <c r="C1960">
        <f>IFERROR(INDEX($P$4:$P$3183,MATCH(SMALL($V$4:$V$3183,1957),$V$4:$V$3183,0)),"")</f>
        <v/>
      </c>
      <c r="D1960" s="29">
        <f>IFERROR(INDEX($Q$4:$Q$3183,MATCH(SMALL($V$4:$V$3183,1957),$V$4:$V$3183,0)),"")</f>
        <v/>
      </c>
      <c r="E1960" s="29">
        <f>IFERROR(INDEX($R$4:$R$3183,MATCH(SMALL($V$4:$V$3183,1957),$V$4:$V$3183,0)),"")</f>
        <v/>
      </c>
      <c r="F1960">
        <f>IFERROR(INDEX($S$4:$S$3183,MATCH(SMALL($V$4:$V$3183,1957),$V$4:$V$3183,0)),"")</f>
        <v/>
      </c>
      <c r="I1960" s="29">
        <f>IF($B1960="","",IFERROR(INDEX($U$4:$U$3183,MATCH(SMALL($V$4:$V$3183,1957),$V$4:$V$3183,0)),""))</f>
        <v/>
      </c>
      <c r="J1960">
        <f>IF($B1960="","",IF($D1960&gt;$F$2,"À venir",IF($E1960&lt;$D$2,"Passé","Dans la période")))</f>
        <v/>
      </c>
      <c r="K1960">
        <f>IF(OR($B1960="",NOT(ISNUMBER($D1960))),"",IF(AND($E1960&lt;$D$2,$G1960&lt;&gt;"X",$F1960&lt;&gt;"Réalisé",$F1960&lt;&gt;"Clôturé"),"RETARD",""))</f>
        <v/>
      </c>
      <c r="L1960">
        <f>IF(OR($B1960="",NOT(ISNUMBER($D1960))),"",IF(AND($D1960&gt;=$D$2,$D1960&lt;=$H$2,$G1960&lt;&gt;"X",$F1960&lt;&gt;"Réalisé",$F1960&lt;&gt;"Clôturé"),"≤ 7 j",""))</f>
        <v/>
      </c>
      <c r="M1960" s="29">
        <f>IF($B1960="","",IFERROR(INDEX($T$4:$T$3183,MATCH(SMALL($V$4:$V$3183,1957),$V$4:$V$3183,0)),""))</f>
        <v/>
      </c>
      <c r="O1960">
        <f>IF(INDEX(Suivi!$B:$B,1997)="","",INDEX(Suivi!$B:$B,1997))</f>
        <v/>
      </c>
      <c r="P1960">
        <f>IF($O1960="","",IF(INDEX(Suivi!$D:$D,1997)="",INDEX(Suivi!$C:$C,1997),INDEX(Suivi!$D:$D,1997)))</f>
        <v/>
      </c>
      <c r="Q1960">
        <f>IF($O1960="","",INDEX(Suivi!$E:$E,1997))</f>
        <v/>
      </c>
      <c r="R1960">
        <f>IF($O1960="","",INDEX(Suivi!$F:$F,1997))</f>
        <v/>
      </c>
      <c r="S1960">
        <f>IF($O1960="","",INDEX(Suivi!$G:$G,1997))</f>
        <v/>
      </c>
      <c r="T1960">
        <f>IF($O1960="","",IF(INDEX(Dossiers!$F$4:$F$63,37)="","",INDEX(Dossiers!$F$4:$F$63,37)))</f>
        <v/>
      </c>
      <c r="U1960">
        <f>IF($O1960="","",IF(INDEX(Dossiers!$G$4:$G$63,37)="","",INDEX(Dossiers!$G$4:$G$63,37)))</f>
        <v/>
      </c>
      <c r="V1960">
        <f>IF(OR($O1960="",NOT(ISNUMBER($Q1960))),"",$Q1960*1000000+1960)</f>
        <v/>
      </c>
      <c r="W1960" s="29">
        <f>IF($B1960="","",IFERROR(INDEX($U$4:$U$3183,MATCH(SMALL($V$4:$V$3183,1957),$V$4:$V$3183,0)),""))</f>
        <v/>
      </c>
    </row>
    <row r="1961">
      <c r="A1961">
        <f>IFERROR(INDEX($N$4:$N$3183,MATCH(SMALL($V$4:$V$3183,1958),$V$4:$V$3183,0)),"")</f>
        <v/>
      </c>
      <c r="B1961">
        <f>IFERROR(INDEX($O$4:$O$3183,MATCH(SMALL($V$4:$V$3183,1958),$V$4:$V$3183,0)),"")</f>
        <v/>
      </c>
      <c r="C1961">
        <f>IFERROR(INDEX($P$4:$P$3183,MATCH(SMALL($V$4:$V$3183,1958),$V$4:$V$3183,0)),"")</f>
        <v/>
      </c>
      <c r="D1961" s="29">
        <f>IFERROR(INDEX($Q$4:$Q$3183,MATCH(SMALL($V$4:$V$3183,1958),$V$4:$V$3183,0)),"")</f>
        <v/>
      </c>
      <c r="E1961" s="29">
        <f>IFERROR(INDEX($R$4:$R$3183,MATCH(SMALL($V$4:$V$3183,1958),$V$4:$V$3183,0)),"")</f>
        <v/>
      </c>
      <c r="F1961">
        <f>IFERROR(INDEX($S$4:$S$3183,MATCH(SMALL($V$4:$V$3183,1958),$V$4:$V$3183,0)),"")</f>
        <v/>
      </c>
      <c r="I1961" s="29">
        <f>IF($B1961="","",IFERROR(INDEX($U$4:$U$3183,MATCH(SMALL($V$4:$V$3183,1958),$V$4:$V$3183,0)),""))</f>
        <v/>
      </c>
      <c r="J1961">
        <f>IF($B1961="","",IF($D1961&gt;$F$2,"À venir",IF($E1961&lt;$D$2,"Passé","Dans la période")))</f>
        <v/>
      </c>
      <c r="K1961">
        <f>IF(OR($B1961="",NOT(ISNUMBER($D1961))),"",IF(AND($E1961&lt;$D$2,$G1961&lt;&gt;"X",$F1961&lt;&gt;"Réalisé",$F1961&lt;&gt;"Clôturé"),"RETARD",""))</f>
        <v/>
      </c>
      <c r="L1961">
        <f>IF(OR($B1961="",NOT(ISNUMBER($D1961))),"",IF(AND($D1961&gt;=$D$2,$D1961&lt;=$H$2,$G1961&lt;&gt;"X",$F1961&lt;&gt;"Réalisé",$F1961&lt;&gt;"Clôturé"),"≤ 7 j",""))</f>
        <v/>
      </c>
      <c r="M1961" s="29">
        <f>IF($B1961="","",IFERROR(INDEX($T$4:$T$3183,MATCH(SMALL($V$4:$V$3183,1958),$V$4:$V$3183,0)),""))</f>
        <v/>
      </c>
      <c r="O1961">
        <f>IF(INDEX(Suivi!$B:$B,1998)="","",INDEX(Suivi!$B:$B,1998))</f>
        <v/>
      </c>
      <c r="P1961">
        <f>IF($O1961="","",IF(INDEX(Suivi!$D:$D,1998)="",INDEX(Suivi!$C:$C,1998),INDEX(Suivi!$D:$D,1998)))</f>
        <v/>
      </c>
      <c r="Q1961">
        <f>IF($O1961="","",INDEX(Suivi!$E:$E,1998))</f>
        <v/>
      </c>
      <c r="R1961">
        <f>IF($O1961="","",INDEX(Suivi!$F:$F,1998))</f>
        <v/>
      </c>
      <c r="S1961">
        <f>IF($O1961="","",INDEX(Suivi!$G:$G,1998))</f>
        <v/>
      </c>
      <c r="T1961">
        <f>IF($O1961="","",IF(INDEX(Dossiers!$F$4:$F$63,37)="","",INDEX(Dossiers!$F$4:$F$63,37)))</f>
        <v/>
      </c>
      <c r="U1961">
        <f>IF($O1961="","",IF(INDEX(Dossiers!$G$4:$G$63,37)="","",INDEX(Dossiers!$G$4:$G$63,37)))</f>
        <v/>
      </c>
      <c r="V1961">
        <f>IF(OR($O1961="",NOT(ISNUMBER($Q1961))),"",$Q1961*1000000+1961)</f>
        <v/>
      </c>
      <c r="W1961" s="29">
        <f>IF($B1961="","",IFERROR(INDEX($U$4:$U$3183,MATCH(SMALL($V$4:$V$3183,1958),$V$4:$V$3183,0)),""))</f>
        <v/>
      </c>
    </row>
    <row r="1962">
      <c r="A1962">
        <f>IFERROR(INDEX($N$4:$N$3183,MATCH(SMALL($V$4:$V$3183,1959),$V$4:$V$3183,0)),"")</f>
        <v/>
      </c>
      <c r="B1962">
        <f>IFERROR(INDEX($O$4:$O$3183,MATCH(SMALL($V$4:$V$3183,1959),$V$4:$V$3183,0)),"")</f>
        <v/>
      </c>
      <c r="C1962">
        <f>IFERROR(INDEX($P$4:$P$3183,MATCH(SMALL($V$4:$V$3183,1959),$V$4:$V$3183,0)),"")</f>
        <v/>
      </c>
      <c r="D1962" s="29">
        <f>IFERROR(INDEX($Q$4:$Q$3183,MATCH(SMALL($V$4:$V$3183,1959),$V$4:$V$3183,0)),"")</f>
        <v/>
      </c>
      <c r="E1962" s="29">
        <f>IFERROR(INDEX($R$4:$R$3183,MATCH(SMALL($V$4:$V$3183,1959),$V$4:$V$3183,0)),"")</f>
        <v/>
      </c>
      <c r="F1962">
        <f>IFERROR(INDEX($S$4:$S$3183,MATCH(SMALL($V$4:$V$3183,1959),$V$4:$V$3183,0)),"")</f>
        <v/>
      </c>
      <c r="I1962" s="29">
        <f>IF($B1962="","",IFERROR(INDEX($U$4:$U$3183,MATCH(SMALL($V$4:$V$3183,1959),$V$4:$V$3183,0)),""))</f>
        <v/>
      </c>
      <c r="J1962">
        <f>IF($B1962="","",IF($D1962&gt;$F$2,"À venir",IF($E1962&lt;$D$2,"Passé","Dans la période")))</f>
        <v/>
      </c>
      <c r="K1962">
        <f>IF(OR($B1962="",NOT(ISNUMBER($D1962))),"",IF(AND($E1962&lt;$D$2,$G1962&lt;&gt;"X",$F1962&lt;&gt;"Réalisé",$F1962&lt;&gt;"Clôturé"),"RETARD",""))</f>
        <v/>
      </c>
      <c r="L1962">
        <f>IF(OR($B1962="",NOT(ISNUMBER($D1962))),"",IF(AND($D1962&gt;=$D$2,$D1962&lt;=$H$2,$G1962&lt;&gt;"X",$F1962&lt;&gt;"Réalisé",$F1962&lt;&gt;"Clôturé"),"≤ 7 j",""))</f>
        <v/>
      </c>
      <c r="M1962" s="29">
        <f>IF($B1962="","",IFERROR(INDEX($T$4:$T$3183,MATCH(SMALL($V$4:$V$3183,1959),$V$4:$V$3183,0)),""))</f>
        <v/>
      </c>
      <c r="O1962">
        <f>IF(INDEX(Suivi!$B:$B,1999)="","",INDEX(Suivi!$B:$B,1999))</f>
        <v/>
      </c>
      <c r="P1962">
        <f>IF($O1962="","",IF(INDEX(Suivi!$D:$D,1999)="",INDEX(Suivi!$C:$C,1999),INDEX(Suivi!$D:$D,1999)))</f>
        <v/>
      </c>
      <c r="Q1962">
        <f>IF($O1962="","",INDEX(Suivi!$E:$E,1999))</f>
        <v/>
      </c>
      <c r="R1962">
        <f>IF($O1962="","",INDEX(Suivi!$F:$F,1999))</f>
        <v/>
      </c>
      <c r="S1962">
        <f>IF($O1962="","",INDEX(Suivi!$G:$G,1999))</f>
        <v/>
      </c>
      <c r="T1962">
        <f>IF($O1962="","",IF(INDEX(Dossiers!$F$4:$F$63,37)="","",INDEX(Dossiers!$F$4:$F$63,37)))</f>
        <v/>
      </c>
      <c r="U1962">
        <f>IF($O1962="","",IF(INDEX(Dossiers!$G$4:$G$63,37)="","",INDEX(Dossiers!$G$4:$G$63,37)))</f>
        <v/>
      </c>
      <c r="V1962">
        <f>IF(OR($O1962="",NOT(ISNUMBER($Q1962))),"",$Q1962*1000000+1962)</f>
        <v/>
      </c>
      <c r="W1962" s="29">
        <f>IF($B1962="","",IFERROR(INDEX($U$4:$U$3183,MATCH(SMALL($V$4:$V$3183,1959),$V$4:$V$3183,0)),""))</f>
        <v/>
      </c>
    </row>
    <row r="1963">
      <c r="A1963">
        <f>IFERROR(INDEX($N$4:$N$3183,MATCH(SMALL($V$4:$V$3183,1960),$V$4:$V$3183,0)),"")</f>
        <v/>
      </c>
      <c r="B1963">
        <f>IFERROR(INDEX($O$4:$O$3183,MATCH(SMALL($V$4:$V$3183,1960),$V$4:$V$3183,0)),"")</f>
        <v/>
      </c>
      <c r="C1963">
        <f>IFERROR(INDEX($P$4:$P$3183,MATCH(SMALL($V$4:$V$3183,1960),$V$4:$V$3183,0)),"")</f>
        <v/>
      </c>
      <c r="D1963" s="29">
        <f>IFERROR(INDEX($Q$4:$Q$3183,MATCH(SMALL($V$4:$V$3183,1960),$V$4:$V$3183,0)),"")</f>
        <v/>
      </c>
      <c r="E1963" s="29">
        <f>IFERROR(INDEX($R$4:$R$3183,MATCH(SMALL($V$4:$V$3183,1960),$V$4:$V$3183,0)),"")</f>
        <v/>
      </c>
      <c r="F1963">
        <f>IFERROR(INDEX($S$4:$S$3183,MATCH(SMALL($V$4:$V$3183,1960),$V$4:$V$3183,0)),"")</f>
        <v/>
      </c>
      <c r="I1963" s="29">
        <f>IF($B1963="","",IFERROR(INDEX($U$4:$U$3183,MATCH(SMALL($V$4:$V$3183,1960),$V$4:$V$3183,0)),""))</f>
        <v/>
      </c>
      <c r="J1963">
        <f>IF($B1963="","",IF($D1963&gt;$F$2,"À venir",IF($E1963&lt;$D$2,"Passé","Dans la période")))</f>
        <v/>
      </c>
      <c r="K1963">
        <f>IF(OR($B1963="",NOT(ISNUMBER($D1963))),"",IF(AND($E1963&lt;$D$2,$G1963&lt;&gt;"X",$F1963&lt;&gt;"Réalisé",$F1963&lt;&gt;"Clôturé"),"RETARD",""))</f>
        <v/>
      </c>
      <c r="L1963">
        <f>IF(OR($B1963="",NOT(ISNUMBER($D1963))),"",IF(AND($D1963&gt;=$D$2,$D1963&lt;=$H$2,$G1963&lt;&gt;"X",$F1963&lt;&gt;"Réalisé",$F1963&lt;&gt;"Clôturé"),"≤ 7 j",""))</f>
        <v/>
      </c>
      <c r="M1963" s="29">
        <f>IF($B1963="","",IFERROR(INDEX($T$4:$T$3183,MATCH(SMALL($V$4:$V$3183,1960),$V$4:$V$3183,0)),""))</f>
        <v/>
      </c>
      <c r="O1963">
        <f>IF(INDEX(Suivi!$B:$B,2000)="","",INDEX(Suivi!$B:$B,2000))</f>
        <v/>
      </c>
      <c r="P1963">
        <f>IF($O1963="","",IF(INDEX(Suivi!$D:$D,2000)="",INDEX(Suivi!$C:$C,2000),INDEX(Suivi!$D:$D,2000)))</f>
        <v/>
      </c>
      <c r="Q1963">
        <f>IF($O1963="","",INDEX(Suivi!$E:$E,2000))</f>
        <v/>
      </c>
      <c r="R1963">
        <f>IF($O1963="","",INDEX(Suivi!$F:$F,2000))</f>
        <v/>
      </c>
      <c r="S1963">
        <f>IF($O1963="","",INDEX(Suivi!$G:$G,2000))</f>
        <v/>
      </c>
      <c r="T1963">
        <f>IF($O1963="","",IF(INDEX(Dossiers!$F$4:$F$63,37)="","",INDEX(Dossiers!$F$4:$F$63,37)))</f>
        <v/>
      </c>
      <c r="U1963">
        <f>IF($O1963="","",IF(INDEX(Dossiers!$G$4:$G$63,37)="","",INDEX(Dossiers!$G$4:$G$63,37)))</f>
        <v/>
      </c>
      <c r="V1963">
        <f>IF(OR($O1963="",NOT(ISNUMBER($Q1963))),"",$Q1963*1000000+1963)</f>
        <v/>
      </c>
      <c r="W1963" s="29">
        <f>IF($B1963="","",IFERROR(INDEX($U$4:$U$3183,MATCH(SMALL($V$4:$V$3183,1960),$V$4:$V$3183,0)),""))</f>
        <v/>
      </c>
    </row>
    <row r="1964">
      <c r="A1964">
        <f>IFERROR(INDEX($N$4:$N$3183,MATCH(SMALL($V$4:$V$3183,1961),$V$4:$V$3183,0)),"")</f>
        <v/>
      </c>
      <c r="B1964">
        <f>IFERROR(INDEX($O$4:$O$3183,MATCH(SMALL($V$4:$V$3183,1961),$V$4:$V$3183,0)),"")</f>
        <v/>
      </c>
      <c r="C1964">
        <f>IFERROR(INDEX($P$4:$P$3183,MATCH(SMALL($V$4:$V$3183,1961),$V$4:$V$3183,0)),"")</f>
        <v/>
      </c>
      <c r="D1964" s="29">
        <f>IFERROR(INDEX($Q$4:$Q$3183,MATCH(SMALL($V$4:$V$3183,1961),$V$4:$V$3183,0)),"")</f>
        <v/>
      </c>
      <c r="E1964" s="29">
        <f>IFERROR(INDEX($R$4:$R$3183,MATCH(SMALL($V$4:$V$3183,1961),$V$4:$V$3183,0)),"")</f>
        <v/>
      </c>
      <c r="F1964">
        <f>IFERROR(INDEX($S$4:$S$3183,MATCH(SMALL($V$4:$V$3183,1961),$V$4:$V$3183,0)),"")</f>
        <v/>
      </c>
      <c r="I1964" s="29">
        <f>IF($B1964="","",IFERROR(INDEX($U$4:$U$3183,MATCH(SMALL($V$4:$V$3183,1961),$V$4:$V$3183,0)),""))</f>
        <v/>
      </c>
      <c r="J1964">
        <f>IF($B1964="","",IF($D1964&gt;$F$2,"À venir",IF($E1964&lt;$D$2,"Passé","Dans la période")))</f>
        <v/>
      </c>
      <c r="K1964">
        <f>IF(OR($B1964="",NOT(ISNUMBER($D1964))),"",IF(AND($E1964&lt;$D$2,$G1964&lt;&gt;"X",$F1964&lt;&gt;"Réalisé",$F1964&lt;&gt;"Clôturé"),"RETARD",""))</f>
        <v/>
      </c>
      <c r="L1964">
        <f>IF(OR($B1964="",NOT(ISNUMBER($D1964))),"",IF(AND($D1964&gt;=$D$2,$D1964&lt;=$H$2,$G1964&lt;&gt;"X",$F1964&lt;&gt;"Réalisé",$F1964&lt;&gt;"Clôturé"),"≤ 7 j",""))</f>
        <v/>
      </c>
      <c r="M1964" s="29">
        <f>IF($B1964="","",IFERROR(INDEX($T$4:$T$3183,MATCH(SMALL($V$4:$V$3183,1961),$V$4:$V$3183,0)),""))</f>
        <v/>
      </c>
      <c r="O1964">
        <f>IF(INDEX(Suivi!$B:$B,2001)="","",INDEX(Suivi!$B:$B,2001))</f>
        <v/>
      </c>
      <c r="P1964">
        <f>IF($O1964="","",IF(INDEX(Suivi!$D:$D,2001)="",INDEX(Suivi!$C:$C,2001),INDEX(Suivi!$D:$D,2001)))</f>
        <v/>
      </c>
      <c r="Q1964">
        <f>IF($O1964="","",INDEX(Suivi!$E:$E,2001))</f>
        <v/>
      </c>
      <c r="R1964">
        <f>IF($O1964="","",INDEX(Suivi!$F:$F,2001))</f>
        <v/>
      </c>
      <c r="S1964">
        <f>IF($O1964="","",INDEX(Suivi!$G:$G,2001))</f>
        <v/>
      </c>
      <c r="T1964">
        <f>IF($O1964="","",IF(INDEX(Dossiers!$F$4:$F$63,37)="","",INDEX(Dossiers!$F$4:$F$63,37)))</f>
        <v/>
      </c>
      <c r="U1964">
        <f>IF($O1964="","",IF(INDEX(Dossiers!$G$4:$G$63,37)="","",INDEX(Dossiers!$G$4:$G$63,37)))</f>
        <v/>
      </c>
      <c r="V1964">
        <f>IF(OR($O1964="",NOT(ISNUMBER($Q1964))),"",$Q1964*1000000+1964)</f>
        <v/>
      </c>
      <c r="W1964" s="29">
        <f>IF($B1964="","",IFERROR(INDEX($U$4:$U$3183,MATCH(SMALL($V$4:$V$3183,1961),$V$4:$V$3183,0)),""))</f>
        <v/>
      </c>
    </row>
    <row r="1965">
      <c r="A1965">
        <f>IFERROR(INDEX($N$4:$N$3183,MATCH(SMALL($V$4:$V$3183,1962),$V$4:$V$3183,0)),"")</f>
        <v/>
      </c>
      <c r="B1965">
        <f>IFERROR(INDEX($O$4:$O$3183,MATCH(SMALL($V$4:$V$3183,1962),$V$4:$V$3183,0)),"")</f>
        <v/>
      </c>
      <c r="C1965">
        <f>IFERROR(INDEX($P$4:$P$3183,MATCH(SMALL($V$4:$V$3183,1962),$V$4:$V$3183,0)),"")</f>
        <v/>
      </c>
      <c r="D1965" s="29">
        <f>IFERROR(INDEX($Q$4:$Q$3183,MATCH(SMALL($V$4:$V$3183,1962),$V$4:$V$3183,0)),"")</f>
        <v/>
      </c>
      <c r="E1965" s="29">
        <f>IFERROR(INDEX($R$4:$R$3183,MATCH(SMALL($V$4:$V$3183,1962),$V$4:$V$3183,0)),"")</f>
        <v/>
      </c>
      <c r="F1965">
        <f>IFERROR(INDEX($S$4:$S$3183,MATCH(SMALL($V$4:$V$3183,1962),$V$4:$V$3183,0)),"")</f>
        <v/>
      </c>
      <c r="I1965" s="29">
        <f>IF($B1965="","",IFERROR(INDEX($U$4:$U$3183,MATCH(SMALL($V$4:$V$3183,1962),$V$4:$V$3183,0)),""))</f>
        <v/>
      </c>
      <c r="J1965">
        <f>IF($B1965="","",IF($D1965&gt;$F$2,"À venir",IF($E1965&lt;$D$2,"Passé","Dans la période")))</f>
        <v/>
      </c>
      <c r="K1965">
        <f>IF(OR($B1965="",NOT(ISNUMBER($D1965))),"",IF(AND($E1965&lt;$D$2,$G1965&lt;&gt;"X",$F1965&lt;&gt;"Réalisé",$F1965&lt;&gt;"Clôturé"),"RETARD",""))</f>
        <v/>
      </c>
      <c r="L1965">
        <f>IF(OR($B1965="",NOT(ISNUMBER($D1965))),"",IF(AND($D1965&gt;=$D$2,$D1965&lt;=$H$2,$G1965&lt;&gt;"X",$F1965&lt;&gt;"Réalisé",$F1965&lt;&gt;"Clôturé"),"≤ 7 j",""))</f>
        <v/>
      </c>
      <c r="M1965" s="29">
        <f>IF($B1965="","",IFERROR(INDEX($T$4:$T$3183,MATCH(SMALL($V$4:$V$3183,1962),$V$4:$V$3183,0)),""))</f>
        <v/>
      </c>
      <c r="O1965">
        <f>IF(INDEX(Suivi!$B:$B,2003)="","",INDEX(Suivi!$B:$B,2003))</f>
        <v/>
      </c>
      <c r="P1965">
        <f>IF($O1965="","",IF(INDEX(Suivi!$D:$D,2003)="",INDEX(Suivi!$C:$C,2003),INDEX(Suivi!$D:$D,2003)))</f>
        <v/>
      </c>
      <c r="Q1965">
        <f>IF($O1965="","",INDEX(Suivi!$E:$E,2003))</f>
        <v/>
      </c>
      <c r="R1965">
        <f>IF($O1965="","",INDEX(Suivi!$F:$F,2003))</f>
        <v/>
      </c>
      <c r="S1965">
        <f>IF($O1965="","",INDEX(Suivi!$G:$G,2003))</f>
        <v/>
      </c>
      <c r="T1965">
        <f>IF($O1965="","",IF(INDEX(Dossiers!$F$4:$F$63,38)="","",INDEX(Dossiers!$F$4:$F$63,38)))</f>
        <v/>
      </c>
      <c r="U1965">
        <f>IF($O1965="","",IF(INDEX(Dossiers!$G$4:$G$63,38)="","",INDEX(Dossiers!$G$4:$G$63,38)))</f>
        <v/>
      </c>
      <c r="V1965">
        <f>IF(OR($O1965="",NOT(ISNUMBER($Q1965))),"",$Q1965*1000000+1965)</f>
        <v/>
      </c>
      <c r="W1965" s="29">
        <f>IF($B1965="","",IFERROR(INDEX($U$4:$U$3183,MATCH(SMALL($V$4:$V$3183,1962),$V$4:$V$3183,0)),""))</f>
        <v/>
      </c>
    </row>
    <row r="1966">
      <c r="A1966">
        <f>IFERROR(INDEX($N$4:$N$3183,MATCH(SMALL($V$4:$V$3183,1963),$V$4:$V$3183,0)),"")</f>
        <v/>
      </c>
      <c r="B1966">
        <f>IFERROR(INDEX($O$4:$O$3183,MATCH(SMALL($V$4:$V$3183,1963),$V$4:$V$3183,0)),"")</f>
        <v/>
      </c>
      <c r="C1966">
        <f>IFERROR(INDEX($P$4:$P$3183,MATCH(SMALL($V$4:$V$3183,1963),$V$4:$V$3183,0)),"")</f>
        <v/>
      </c>
      <c r="D1966" s="29">
        <f>IFERROR(INDEX($Q$4:$Q$3183,MATCH(SMALL($V$4:$V$3183,1963),$V$4:$V$3183,0)),"")</f>
        <v/>
      </c>
      <c r="E1966" s="29">
        <f>IFERROR(INDEX($R$4:$R$3183,MATCH(SMALL($V$4:$V$3183,1963),$V$4:$V$3183,0)),"")</f>
        <v/>
      </c>
      <c r="F1966">
        <f>IFERROR(INDEX($S$4:$S$3183,MATCH(SMALL($V$4:$V$3183,1963),$V$4:$V$3183,0)),"")</f>
        <v/>
      </c>
      <c r="I1966" s="29">
        <f>IF($B1966="","",IFERROR(INDEX($U$4:$U$3183,MATCH(SMALL($V$4:$V$3183,1963),$V$4:$V$3183,0)),""))</f>
        <v/>
      </c>
      <c r="J1966">
        <f>IF($B1966="","",IF($D1966&gt;$F$2,"À venir",IF($E1966&lt;$D$2,"Passé","Dans la période")))</f>
        <v/>
      </c>
      <c r="K1966">
        <f>IF(OR($B1966="",NOT(ISNUMBER($D1966))),"",IF(AND($E1966&lt;$D$2,$G1966&lt;&gt;"X",$F1966&lt;&gt;"Réalisé",$F1966&lt;&gt;"Clôturé"),"RETARD",""))</f>
        <v/>
      </c>
      <c r="L1966">
        <f>IF(OR($B1966="",NOT(ISNUMBER($D1966))),"",IF(AND($D1966&gt;=$D$2,$D1966&lt;=$H$2,$G1966&lt;&gt;"X",$F1966&lt;&gt;"Réalisé",$F1966&lt;&gt;"Clôturé"),"≤ 7 j",""))</f>
        <v/>
      </c>
      <c r="M1966" s="29">
        <f>IF($B1966="","",IFERROR(INDEX($T$4:$T$3183,MATCH(SMALL($V$4:$V$3183,1963),$V$4:$V$3183,0)),""))</f>
        <v/>
      </c>
      <c r="O1966">
        <f>IF(INDEX(Suivi!$B:$B,2004)="","",INDEX(Suivi!$B:$B,2004))</f>
        <v/>
      </c>
      <c r="P1966">
        <f>IF($O1966="","",IF(INDEX(Suivi!$D:$D,2004)="",INDEX(Suivi!$C:$C,2004),INDEX(Suivi!$D:$D,2004)))</f>
        <v/>
      </c>
      <c r="Q1966">
        <f>IF($O1966="","",INDEX(Suivi!$E:$E,2004))</f>
        <v/>
      </c>
      <c r="R1966">
        <f>IF($O1966="","",INDEX(Suivi!$F:$F,2004))</f>
        <v/>
      </c>
      <c r="S1966">
        <f>IF($O1966="","",INDEX(Suivi!$G:$G,2004))</f>
        <v/>
      </c>
      <c r="T1966">
        <f>IF($O1966="","",IF(INDEX(Dossiers!$F$4:$F$63,38)="","",INDEX(Dossiers!$F$4:$F$63,38)))</f>
        <v/>
      </c>
      <c r="U1966">
        <f>IF($O1966="","",IF(INDEX(Dossiers!$G$4:$G$63,38)="","",INDEX(Dossiers!$G$4:$G$63,38)))</f>
        <v/>
      </c>
      <c r="V1966">
        <f>IF(OR($O1966="",NOT(ISNUMBER($Q1966))),"",$Q1966*1000000+1966)</f>
        <v/>
      </c>
      <c r="W1966" s="29">
        <f>IF($B1966="","",IFERROR(INDEX($U$4:$U$3183,MATCH(SMALL($V$4:$V$3183,1963),$V$4:$V$3183,0)),""))</f>
        <v/>
      </c>
    </row>
    <row r="1967">
      <c r="A1967">
        <f>IFERROR(INDEX($N$4:$N$3183,MATCH(SMALL($V$4:$V$3183,1964),$V$4:$V$3183,0)),"")</f>
        <v/>
      </c>
      <c r="B1967">
        <f>IFERROR(INDEX($O$4:$O$3183,MATCH(SMALL($V$4:$V$3183,1964),$V$4:$V$3183,0)),"")</f>
        <v/>
      </c>
      <c r="C1967">
        <f>IFERROR(INDEX($P$4:$P$3183,MATCH(SMALL($V$4:$V$3183,1964),$V$4:$V$3183,0)),"")</f>
        <v/>
      </c>
      <c r="D1967" s="29">
        <f>IFERROR(INDEX($Q$4:$Q$3183,MATCH(SMALL($V$4:$V$3183,1964),$V$4:$V$3183,0)),"")</f>
        <v/>
      </c>
      <c r="E1967" s="29">
        <f>IFERROR(INDEX($R$4:$R$3183,MATCH(SMALL($V$4:$V$3183,1964),$V$4:$V$3183,0)),"")</f>
        <v/>
      </c>
      <c r="F1967">
        <f>IFERROR(INDEX($S$4:$S$3183,MATCH(SMALL($V$4:$V$3183,1964),$V$4:$V$3183,0)),"")</f>
        <v/>
      </c>
      <c r="I1967" s="29">
        <f>IF($B1967="","",IFERROR(INDEX($U$4:$U$3183,MATCH(SMALL($V$4:$V$3183,1964),$V$4:$V$3183,0)),""))</f>
        <v/>
      </c>
      <c r="J1967">
        <f>IF($B1967="","",IF($D1967&gt;$F$2,"À venir",IF($E1967&lt;$D$2,"Passé","Dans la période")))</f>
        <v/>
      </c>
      <c r="K1967">
        <f>IF(OR($B1967="",NOT(ISNUMBER($D1967))),"",IF(AND($E1967&lt;$D$2,$G1967&lt;&gt;"X",$F1967&lt;&gt;"Réalisé",$F1967&lt;&gt;"Clôturé"),"RETARD",""))</f>
        <v/>
      </c>
      <c r="L1967">
        <f>IF(OR($B1967="",NOT(ISNUMBER($D1967))),"",IF(AND($D1967&gt;=$D$2,$D1967&lt;=$H$2,$G1967&lt;&gt;"X",$F1967&lt;&gt;"Réalisé",$F1967&lt;&gt;"Clôturé"),"≤ 7 j",""))</f>
        <v/>
      </c>
      <c r="M1967" s="29">
        <f>IF($B1967="","",IFERROR(INDEX($T$4:$T$3183,MATCH(SMALL($V$4:$V$3183,1964),$V$4:$V$3183,0)),""))</f>
        <v/>
      </c>
      <c r="O1967">
        <f>IF(INDEX(Suivi!$B:$B,2005)="","",INDEX(Suivi!$B:$B,2005))</f>
        <v/>
      </c>
      <c r="P1967">
        <f>IF($O1967="","",IF(INDEX(Suivi!$D:$D,2005)="",INDEX(Suivi!$C:$C,2005),INDEX(Suivi!$D:$D,2005)))</f>
        <v/>
      </c>
      <c r="Q1967">
        <f>IF($O1967="","",INDEX(Suivi!$E:$E,2005))</f>
        <v/>
      </c>
      <c r="R1967">
        <f>IF($O1967="","",INDEX(Suivi!$F:$F,2005))</f>
        <v/>
      </c>
      <c r="S1967">
        <f>IF($O1967="","",INDEX(Suivi!$G:$G,2005))</f>
        <v/>
      </c>
      <c r="T1967">
        <f>IF($O1967="","",IF(INDEX(Dossiers!$F$4:$F$63,38)="","",INDEX(Dossiers!$F$4:$F$63,38)))</f>
        <v/>
      </c>
      <c r="U1967">
        <f>IF($O1967="","",IF(INDEX(Dossiers!$G$4:$G$63,38)="","",INDEX(Dossiers!$G$4:$G$63,38)))</f>
        <v/>
      </c>
      <c r="V1967">
        <f>IF(OR($O1967="",NOT(ISNUMBER($Q1967))),"",$Q1967*1000000+1967)</f>
        <v/>
      </c>
      <c r="W1967" s="29">
        <f>IF($B1967="","",IFERROR(INDEX($U$4:$U$3183,MATCH(SMALL($V$4:$V$3183,1964),$V$4:$V$3183,0)),""))</f>
        <v/>
      </c>
    </row>
    <row r="1968">
      <c r="A1968">
        <f>IFERROR(INDEX($N$4:$N$3183,MATCH(SMALL($V$4:$V$3183,1965),$V$4:$V$3183,0)),"")</f>
        <v/>
      </c>
      <c r="B1968">
        <f>IFERROR(INDEX($O$4:$O$3183,MATCH(SMALL($V$4:$V$3183,1965),$V$4:$V$3183,0)),"")</f>
        <v/>
      </c>
      <c r="C1968">
        <f>IFERROR(INDEX($P$4:$P$3183,MATCH(SMALL($V$4:$V$3183,1965),$V$4:$V$3183,0)),"")</f>
        <v/>
      </c>
      <c r="D1968" s="29">
        <f>IFERROR(INDEX($Q$4:$Q$3183,MATCH(SMALL($V$4:$V$3183,1965),$V$4:$V$3183,0)),"")</f>
        <v/>
      </c>
      <c r="E1968" s="29">
        <f>IFERROR(INDEX($R$4:$R$3183,MATCH(SMALL($V$4:$V$3183,1965),$V$4:$V$3183,0)),"")</f>
        <v/>
      </c>
      <c r="F1968">
        <f>IFERROR(INDEX($S$4:$S$3183,MATCH(SMALL($V$4:$V$3183,1965),$V$4:$V$3183,0)),"")</f>
        <v/>
      </c>
      <c r="I1968" s="29">
        <f>IF($B1968="","",IFERROR(INDEX($U$4:$U$3183,MATCH(SMALL($V$4:$V$3183,1965),$V$4:$V$3183,0)),""))</f>
        <v/>
      </c>
      <c r="J1968">
        <f>IF($B1968="","",IF($D1968&gt;$F$2,"À venir",IF($E1968&lt;$D$2,"Passé","Dans la période")))</f>
        <v/>
      </c>
      <c r="K1968">
        <f>IF(OR($B1968="",NOT(ISNUMBER($D1968))),"",IF(AND($E1968&lt;$D$2,$G1968&lt;&gt;"X",$F1968&lt;&gt;"Réalisé",$F1968&lt;&gt;"Clôturé"),"RETARD",""))</f>
        <v/>
      </c>
      <c r="L1968">
        <f>IF(OR($B1968="",NOT(ISNUMBER($D1968))),"",IF(AND($D1968&gt;=$D$2,$D1968&lt;=$H$2,$G1968&lt;&gt;"X",$F1968&lt;&gt;"Réalisé",$F1968&lt;&gt;"Clôturé"),"≤ 7 j",""))</f>
        <v/>
      </c>
      <c r="M1968" s="29">
        <f>IF($B1968="","",IFERROR(INDEX($T$4:$T$3183,MATCH(SMALL($V$4:$V$3183,1965),$V$4:$V$3183,0)),""))</f>
        <v/>
      </c>
      <c r="O1968">
        <f>IF(INDEX(Suivi!$B:$B,2006)="","",INDEX(Suivi!$B:$B,2006))</f>
        <v/>
      </c>
      <c r="P1968">
        <f>IF($O1968="","",IF(INDEX(Suivi!$D:$D,2006)="",INDEX(Suivi!$C:$C,2006),INDEX(Suivi!$D:$D,2006)))</f>
        <v/>
      </c>
      <c r="Q1968">
        <f>IF($O1968="","",INDEX(Suivi!$E:$E,2006))</f>
        <v/>
      </c>
      <c r="R1968">
        <f>IF($O1968="","",INDEX(Suivi!$F:$F,2006))</f>
        <v/>
      </c>
      <c r="S1968">
        <f>IF($O1968="","",INDEX(Suivi!$G:$G,2006))</f>
        <v/>
      </c>
      <c r="T1968">
        <f>IF($O1968="","",IF(INDEX(Dossiers!$F$4:$F$63,38)="","",INDEX(Dossiers!$F$4:$F$63,38)))</f>
        <v/>
      </c>
      <c r="U1968">
        <f>IF($O1968="","",IF(INDEX(Dossiers!$G$4:$G$63,38)="","",INDEX(Dossiers!$G$4:$G$63,38)))</f>
        <v/>
      </c>
      <c r="V1968">
        <f>IF(OR($O1968="",NOT(ISNUMBER($Q1968))),"",$Q1968*1000000+1968)</f>
        <v/>
      </c>
      <c r="W1968" s="29">
        <f>IF($B1968="","",IFERROR(INDEX($U$4:$U$3183,MATCH(SMALL($V$4:$V$3183,1965),$V$4:$V$3183,0)),""))</f>
        <v/>
      </c>
    </row>
    <row r="1969">
      <c r="A1969">
        <f>IFERROR(INDEX($N$4:$N$3183,MATCH(SMALL($V$4:$V$3183,1966),$V$4:$V$3183,0)),"")</f>
        <v/>
      </c>
      <c r="B1969">
        <f>IFERROR(INDEX($O$4:$O$3183,MATCH(SMALL($V$4:$V$3183,1966),$V$4:$V$3183,0)),"")</f>
        <v/>
      </c>
      <c r="C1969">
        <f>IFERROR(INDEX($P$4:$P$3183,MATCH(SMALL($V$4:$V$3183,1966),$V$4:$V$3183,0)),"")</f>
        <v/>
      </c>
      <c r="D1969" s="29">
        <f>IFERROR(INDEX($Q$4:$Q$3183,MATCH(SMALL($V$4:$V$3183,1966),$V$4:$V$3183,0)),"")</f>
        <v/>
      </c>
      <c r="E1969" s="29">
        <f>IFERROR(INDEX($R$4:$R$3183,MATCH(SMALL($V$4:$V$3183,1966),$V$4:$V$3183,0)),"")</f>
        <v/>
      </c>
      <c r="F1969">
        <f>IFERROR(INDEX($S$4:$S$3183,MATCH(SMALL($V$4:$V$3183,1966),$V$4:$V$3183,0)),"")</f>
        <v/>
      </c>
      <c r="I1969" s="29">
        <f>IF($B1969="","",IFERROR(INDEX($U$4:$U$3183,MATCH(SMALL($V$4:$V$3183,1966),$V$4:$V$3183,0)),""))</f>
        <v/>
      </c>
      <c r="J1969">
        <f>IF($B1969="","",IF($D1969&gt;$F$2,"À venir",IF($E1969&lt;$D$2,"Passé","Dans la période")))</f>
        <v/>
      </c>
      <c r="K1969">
        <f>IF(OR($B1969="",NOT(ISNUMBER($D1969))),"",IF(AND($E1969&lt;$D$2,$G1969&lt;&gt;"X",$F1969&lt;&gt;"Réalisé",$F1969&lt;&gt;"Clôturé"),"RETARD",""))</f>
        <v/>
      </c>
      <c r="L1969">
        <f>IF(OR($B1969="",NOT(ISNUMBER($D1969))),"",IF(AND($D1969&gt;=$D$2,$D1969&lt;=$H$2,$G1969&lt;&gt;"X",$F1969&lt;&gt;"Réalisé",$F1969&lt;&gt;"Clôturé"),"≤ 7 j",""))</f>
        <v/>
      </c>
      <c r="M1969" s="29">
        <f>IF($B1969="","",IFERROR(INDEX($T$4:$T$3183,MATCH(SMALL($V$4:$V$3183,1966),$V$4:$V$3183,0)),""))</f>
        <v/>
      </c>
      <c r="O1969">
        <f>IF(INDEX(Suivi!$B:$B,2007)="","",INDEX(Suivi!$B:$B,2007))</f>
        <v/>
      </c>
      <c r="P1969">
        <f>IF($O1969="","",IF(INDEX(Suivi!$D:$D,2007)="",INDEX(Suivi!$C:$C,2007),INDEX(Suivi!$D:$D,2007)))</f>
        <v/>
      </c>
      <c r="Q1969">
        <f>IF($O1969="","",INDEX(Suivi!$E:$E,2007))</f>
        <v/>
      </c>
      <c r="R1969">
        <f>IF($O1969="","",INDEX(Suivi!$F:$F,2007))</f>
        <v/>
      </c>
      <c r="S1969">
        <f>IF($O1969="","",INDEX(Suivi!$G:$G,2007))</f>
        <v/>
      </c>
      <c r="T1969">
        <f>IF($O1969="","",IF(INDEX(Dossiers!$F$4:$F$63,38)="","",INDEX(Dossiers!$F$4:$F$63,38)))</f>
        <v/>
      </c>
      <c r="U1969">
        <f>IF($O1969="","",IF(INDEX(Dossiers!$G$4:$G$63,38)="","",INDEX(Dossiers!$G$4:$G$63,38)))</f>
        <v/>
      </c>
      <c r="V1969">
        <f>IF(OR($O1969="",NOT(ISNUMBER($Q1969))),"",$Q1969*1000000+1969)</f>
        <v/>
      </c>
      <c r="W1969" s="29">
        <f>IF($B1969="","",IFERROR(INDEX($U$4:$U$3183,MATCH(SMALL($V$4:$V$3183,1966),$V$4:$V$3183,0)),""))</f>
        <v/>
      </c>
    </row>
    <row r="1970">
      <c r="A1970">
        <f>IFERROR(INDEX($N$4:$N$3183,MATCH(SMALL($V$4:$V$3183,1967),$V$4:$V$3183,0)),"")</f>
        <v/>
      </c>
      <c r="B1970">
        <f>IFERROR(INDEX($O$4:$O$3183,MATCH(SMALL($V$4:$V$3183,1967),$V$4:$V$3183,0)),"")</f>
        <v/>
      </c>
      <c r="C1970">
        <f>IFERROR(INDEX($P$4:$P$3183,MATCH(SMALL($V$4:$V$3183,1967),$V$4:$V$3183,0)),"")</f>
        <v/>
      </c>
      <c r="D1970" s="29">
        <f>IFERROR(INDEX($Q$4:$Q$3183,MATCH(SMALL($V$4:$V$3183,1967),$V$4:$V$3183,0)),"")</f>
        <v/>
      </c>
      <c r="E1970" s="29">
        <f>IFERROR(INDEX($R$4:$R$3183,MATCH(SMALL($V$4:$V$3183,1967),$V$4:$V$3183,0)),"")</f>
        <v/>
      </c>
      <c r="F1970">
        <f>IFERROR(INDEX($S$4:$S$3183,MATCH(SMALL($V$4:$V$3183,1967),$V$4:$V$3183,0)),"")</f>
        <v/>
      </c>
      <c r="I1970" s="29">
        <f>IF($B1970="","",IFERROR(INDEX($U$4:$U$3183,MATCH(SMALL($V$4:$V$3183,1967),$V$4:$V$3183,0)),""))</f>
        <v/>
      </c>
      <c r="J1970">
        <f>IF($B1970="","",IF($D1970&gt;$F$2,"À venir",IF($E1970&lt;$D$2,"Passé","Dans la période")))</f>
        <v/>
      </c>
      <c r="K1970">
        <f>IF(OR($B1970="",NOT(ISNUMBER($D1970))),"",IF(AND($E1970&lt;$D$2,$G1970&lt;&gt;"X",$F1970&lt;&gt;"Réalisé",$F1970&lt;&gt;"Clôturé"),"RETARD",""))</f>
        <v/>
      </c>
      <c r="L1970">
        <f>IF(OR($B1970="",NOT(ISNUMBER($D1970))),"",IF(AND($D1970&gt;=$D$2,$D1970&lt;=$H$2,$G1970&lt;&gt;"X",$F1970&lt;&gt;"Réalisé",$F1970&lt;&gt;"Clôturé"),"≤ 7 j",""))</f>
        <v/>
      </c>
      <c r="M1970" s="29">
        <f>IF($B1970="","",IFERROR(INDEX($T$4:$T$3183,MATCH(SMALL($V$4:$V$3183,1967),$V$4:$V$3183,0)),""))</f>
        <v/>
      </c>
      <c r="O1970">
        <f>IF(INDEX(Suivi!$B:$B,2008)="","",INDEX(Suivi!$B:$B,2008))</f>
        <v/>
      </c>
      <c r="P1970">
        <f>IF($O1970="","",IF(INDEX(Suivi!$D:$D,2008)="",INDEX(Suivi!$C:$C,2008),INDEX(Suivi!$D:$D,2008)))</f>
        <v/>
      </c>
      <c r="Q1970">
        <f>IF($O1970="","",INDEX(Suivi!$E:$E,2008))</f>
        <v/>
      </c>
      <c r="R1970">
        <f>IF($O1970="","",INDEX(Suivi!$F:$F,2008))</f>
        <v/>
      </c>
      <c r="S1970">
        <f>IF($O1970="","",INDEX(Suivi!$G:$G,2008))</f>
        <v/>
      </c>
      <c r="T1970">
        <f>IF($O1970="","",IF(INDEX(Dossiers!$F$4:$F$63,38)="","",INDEX(Dossiers!$F$4:$F$63,38)))</f>
        <v/>
      </c>
      <c r="U1970">
        <f>IF($O1970="","",IF(INDEX(Dossiers!$G$4:$G$63,38)="","",INDEX(Dossiers!$G$4:$G$63,38)))</f>
        <v/>
      </c>
      <c r="V1970">
        <f>IF(OR($O1970="",NOT(ISNUMBER($Q1970))),"",$Q1970*1000000+1970)</f>
        <v/>
      </c>
      <c r="W1970" s="29">
        <f>IF($B1970="","",IFERROR(INDEX($U$4:$U$3183,MATCH(SMALL($V$4:$V$3183,1967),$V$4:$V$3183,0)),""))</f>
        <v/>
      </c>
    </row>
    <row r="1971">
      <c r="A1971">
        <f>IFERROR(INDEX($N$4:$N$3183,MATCH(SMALL($V$4:$V$3183,1968),$V$4:$V$3183,0)),"")</f>
        <v/>
      </c>
      <c r="B1971">
        <f>IFERROR(INDEX($O$4:$O$3183,MATCH(SMALL($V$4:$V$3183,1968),$V$4:$V$3183,0)),"")</f>
        <v/>
      </c>
      <c r="C1971">
        <f>IFERROR(INDEX($P$4:$P$3183,MATCH(SMALL($V$4:$V$3183,1968),$V$4:$V$3183,0)),"")</f>
        <v/>
      </c>
      <c r="D1971" s="29">
        <f>IFERROR(INDEX($Q$4:$Q$3183,MATCH(SMALL($V$4:$V$3183,1968),$V$4:$V$3183,0)),"")</f>
        <v/>
      </c>
      <c r="E1971" s="29">
        <f>IFERROR(INDEX($R$4:$R$3183,MATCH(SMALL($V$4:$V$3183,1968),$V$4:$V$3183,0)),"")</f>
        <v/>
      </c>
      <c r="F1971">
        <f>IFERROR(INDEX($S$4:$S$3183,MATCH(SMALL($V$4:$V$3183,1968),$V$4:$V$3183,0)),"")</f>
        <v/>
      </c>
      <c r="I1971" s="29">
        <f>IF($B1971="","",IFERROR(INDEX($U$4:$U$3183,MATCH(SMALL($V$4:$V$3183,1968),$V$4:$V$3183,0)),""))</f>
        <v/>
      </c>
      <c r="J1971">
        <f>IF($B1971="","",IF($D1971&gt;$F$2,"À venir",IF($E1971&lt;$D$2,"Passé","Dans la période")))</f>
        <v/>
      </c>
      <c r="K1971">
        <f>IF(OR($B1971="",NOT(ISNUMBER($D1971))),"",IF(AND($E1971&lt;$D$2,$G1971&lt;&gt;"X",$F1971&lt;&gt;"Réalisé",$F1971&lt;&gt;"Clôturé"),"RETARD",""))</f>
        <v/>
      </c>
      <c r="L1971">
        <f>IF(OR($B1971="",NOT(ISNUMBER($D1971))),"",IF(AND($D1971&gt;=$D$2,$D1971&lt;=$H$2,$G1971&lt;&gt;"X",$F1971&lt;&gt;"Réalisé",$F1971&lt;&gt;"Clôturé"),"≤ 7 j",""))</f>
        <v/>
      </c>
      <c r="M1971" s="29">
        <f>IF($B1971="","",IFERROR(INDEX($T$4:$T$3183,MATCH(SMALL($V$4:$V$3183,1968),$V$4:$V$3183,0)),""))</f>
        <v/>
      </c>
      <c r="O1971">
        <f>IF(INDEX(Suivi!$B:$B,2009)="","",INDEX(Suivi!$B:$B,2009))</f>
        <v/>
      </c>
      <c r="P1971">
        <f>IF($O1971="","",IF(INDEX(Suivi!$D:$D,2009)="",INDEX(Suivi!$C:$C,2009),INDEX(Suivi!$D:$D,2009)))</f>
        <v/>
      </c>
      <c r="Q1971">
        <f>IF($O1971="","",INDEX(Suivi!$E:$E,2009))</f>
        <v/>
      </c>
      <c r="R1971">
        <f>IF($O1971="","",INDEX(Suivi!$F:$F,2009))</f>
        <v/>
      </c>
      <c r="S1971">
        <f>IF($O1971="","",INDEX(Suivi!$G:$G,2009))</f>
        <v/>
      </c>
      <c r="T1971">
        <f>IF($O1971="","",IF(INDEX(Dossiers!$F$4:$F$63,38)="","",INDEX(Dossiers!$F$4:$F$63,38)))</f>
        <v/>
      </c>
      <c r="U1971">
        <f>IF($O1971="","",IF(INDEX(Dossiers!$G$4:$G$63,38)="","",INDEX(Dossiers!$G$4:$G$63,38)))</f>
        <v/>
      </c>
      <c r="V1971">
        <f>IF(OR($O1971="",NOT(ISNUMBER($Q1971))),"",$Q1971*1000000+1971)</f>
        <v/>
      </c>
      <c r="W1971" s="29">
        <f>IF($B1971="","",IFERROR(INDEX($U$4:$U$3183,MATCH(SMALL($V$4:$V$3183,1968),$V$4:$V$3183,0)),""))</f>
        <v/>
      </c>
    </row>
    <row r="1972">
      <c r="A1972">
        <f>IFERROR(INDEX($N$4:$N$3183,MATCH(SMALL($V$4:$V$3183,1969),$V$4:$V$3183,0)),"")</f>
        <v/>
      </c>
      <c r="B1972">
        <f>IFERROR(INDEX($O$4:$O$3183,MATCH(SMALL($V$4:$V$3183,1969),$V$4:$V$3183,0)),"")</f>
        <v/>
      </c>
      <c r="C1972">
        <f>IFERROR(INDEX($P$4:$P$3183,MATCH(SMALL($V$4:$V$3183,1969),$V$4:$V$3183,0)),"")</f>
        <v/>
      </c>
      <c r="D1972" s="29">
        <f>IFERROR(INDEX($Q$4:$Q$3183,MATCH(SMALL($V$4:$V$3183,1969),$V$4:$V$3183,0)),"")</f>
        <v/>
      </c>
      <c r="E1972" s="29">
        <f>IFERROR(INDEX($R$4:$R$3183,MATCH(SMALL($V$4:$V$3183,1969),$V$4:$V$3183,0)),"")</f>
        <v/>
      </c>
      <c r="F1972">
        <f>IFERROR(INDEX($S$4:$S$3183,MATCH(SMALL($V$4:$V$3183,1969),$V$4:$V$3183,0)),"")</f>
        <v/>
      </c>
      <c r="I1972" s="29">
        <f>IF($B1972="","",IFERROR(INDEX($U$4:$U$3183,MATCH(SMALL($V$4:$V$3183,1969),$V$4:$V$3183,0)),""))</f>
        <v/>
      </c>
      <c r="J1972">
        <f>IF($B1972="","",IF($D1972&gt;$F$2,"À venir",IF($E1972&lt;$D$2,"Passé","Dans la période")))</f>
        <v/>
      </c>
      <c r="K1972">
        <f>IF(OR($B1972="",NOT(ISNUMBER($D1972))),"",IF(AND($E1972&lt;$D$2,$G1972&lt;&gt;"X",$F1972&lt;&gt;"Réalisé",$F1972&lt;&gt;"Clôturé"),"RETARD",""))</f>
        <v/>
      </c>
      <c r="L1972">
        <f>IF(OR($B1972="",NOT(ISNUMBER($D1972))),"",IF(AND($D1972&gt;=$D$2,$D1972&lt;=$H$2,$G1972&lt;&gt;"X",$F1972&lt;&gt;"Réalisé",$F1972&lt;&gt;"Clôturé"),"≤ 7 j",""))</f>
        <v/>
      </c>
      <c r="M1972" s="29">
        <f>IF($B1972="","",IFERROR(INDEX($T$4:$T$3183,MATCH(SMALL($V$4:$V$3183,1969),$V$4:$V$3183,0)),""))</f>
        <v/>
      </c>
      <c r="O1972">
        <f>IF(INDEX(Suivi!$B:$B,2010)="","",INDEX(Suivi!$B:$B,2010))</f>
        <v/>
      </c>
      <c r="P1972">
        <f>IF($O1972="","",IF(INDEX(Suivi!$D:$D,2010)="",INDEX(Suivi!$C:$C,2010),INDEX(Suivi!$D:$D,2010)))</f>
        <v/>
      </c>
      <c r="Q1972">
        <f>IF($O1972="","",INDEX(Suivi!$E:$E,2010))</f>
        <v/>
      </c>
      <c r="R1972">
        <f>IF($O1972="","",INDEX(Suivi!$F:$F,2010))</f>
        <v/>
      </c>
      <c r="S1972">
        <f>IF($O1972="","",INDEX(Suivi!$G:$G,2010))</f>
        <v/>
      </c>
      <c r="T1972">
        <f>IF($O1972="","",IF(INDEX(Dossiers!$F$4:$F$63,38)="","",INDEX(Dossiers!$F$4:$F$63,38)))</f>
        <v/>
      </c>
      <c r="U1972">
        <f>IF($O1972="","",IF(INDEX(Dossiers!$G$4:$G$63,38)="","",INDEX(Dossiers!$G$4:$G$63,38)))</f>
        <v/>
      </c>
      <c r="V1972">
        <f>IF(OR($O1972="",NOT(ISNUMBER($Q1972))),"",$Q1972*1000000+1972)</f>
        <v/>
      </c>
      <c r="W1972" s="29">
        <f>IF($B1972="","",IFERROR(INDEX($U$4:$U$3183,MATCH(SMALL($V$4:$V$3183,1969),$V$4:$V$3183,0)),""))</f>
        <v/>
      </c>
    </row>
    <row r="1973">
      <c r="A1973">
        <f>IFERROR(INDEX($N$4:$N$3183,MATCH(SMALL($V$4:$V$3183,1970),$V$4:$V$3183,0)),"")</f>
        <v/>
      </c>
      <c r="B1973">
        <f>IFERROR(INDEX($O$4:$O$3183,MATCH(SMALL($V$4:$V$3183,1970),$V$4:$V$3183,0)),"")</f>
        <v/>
      </c>
      <c r="C1973">
        <f>IFERROR(INDEX($P$4:$P$3183,MATCH(SMALL($V$4:$V$3183,1970),$V$4:$V$3183,0)),"")</f>
        <v/>
      </c>
      <c r="D1973" s="29">
        <f>IFERROR(INDEX($Q$4:$Q$3183,MATCH(SMALL($V$4:$V$3183,1970),$V$4:$V$3183,0)),"")</f>
        <v/>
      </c>
      <c r="E1973" s="29">
        <f>IFERROR(INDEX($R$4:$R$3183,MATCH(SMALL($V$4:$V$3183,1970),$V$4:$V$3183,0)),"")</f>
        <v/>
      </c>
      <c r="F1973">
        <f>IFERROR(INDEX($S$4:$S$3183,MATCH(SMALL($V$4:$V$3183,1970),$V$4:$V$3183,0)),"")</f>
        <v/>
      </c>
      <c r="I1973" s="29">
        <f>IF($B1973="","",IFERROR(INDEX($U$4:$U$3183,MATCH(SMALL($V$4:$V$3183,1970),$V$4:$V$3183,0)),""))</f>
        <v/>
      </c>
      <c r="J1973">
        <f>IF($B1973="","",IF($D1973&gt;$F$2,"À venir",IF($E1973&lt;$D$2,"Passé","Dans la période")))</f>
        <v/>
      </c>
      <c r="K1973">
        <f>IF(OR($B1973="",NOT(ISNUMBER($D1973))),"",IF(AND($E1973&lt;$D$2,$G1973&lt;&gt;"X",$F1973&lt;&gt;"Réalisé",$F1973&lt;&gt;"Clôturé"),"RETARD",""))</f>
        <v/>
      </c>
      <c r="L1973">
        <f>IF(OR($B1973="",NOT(ISNUMBER($D1973))),"",IF(AND($D1973&gt;=$D$2,$D1973&lt;=$H$2,$G1973&lt;&gt;"X",$F1973&lt;&gt;"Réalisé",$F1973&lt;&gt;"Clôturé"),"≤ 7 j",""))</f>
        <v/>
      </c>
      <c r="M1973" s="29">
        <f>IF($B1973="","",IFERROR(INDEX($T$4:$T$3183,MATCH(SMALL($V$4:$V$3183,1970),$V$4:$V$3183,0)),""))</f>
        <v/>
      </c>
      <c r="O1973">
        <f>IF(INDEX(Suivi!$B:$B,2011)="","",INDEX(Suivi!$B:$B,2011))</f>
        <v/>
      </c>
      <c r="P1973">
        <f>IF($O1973="","",IF(INDEX(Suivi!$D:$D,2011)="",INDEX(Suivi!$C:$C,2011),INDEX(Suivi!$D:$D,2011)))</f>
        <v/>
      </c>
      <c r="Q1973">
        <f>IF($O1973="","",INDEX(Suivi!$E:$E,2011))</f>
        <v/>
      </c>
      <c r="R1973">
        <f>IF($O1973="","",INDEX(Suivi!$F:$F,2011))</f>
        <v/>
      </c>
      <c r="S1973">
        <f>IF($O1973="","",INDEX(Suivi!$G:$G,2011))</f>
        <v/>
      </c>
      <c r="T1973">
        <f>IF($O1973="","",IF(INDEX(Dossiers!$F$4:$F$63,38)="","",INDEX(Dossiers!$F$4:$F$63,38)))</f>
        <v/>
      </c>
      <c r="U1973">
        <f>IF($O1973="","",IF(INDEX(Dossiers!$G$4:$G$63,38)="","",INDEX(Dossiers!$G$4:$G$63,38)))</f>
        <v/>
      </c>
      <c r="V1973">
        <f>IF(OR($O1973="",NOT(ISNUMBER($Q1973))),"",$Q1973*1000000+1973)</f>
        <v/>
      </c>
      <c r="W1973" s="29">
        <f>IF($B1973="","",IFERROR(INDEX($U$4:$U$3183,MATCH(SMALL($V$4:$V$3183,1970),$V$4:$V$3183,0)),""))</f>
        <v/>
      </c>
    </row>
    <row r="1974">
      <c r="A1974">
        <f>IFERROR(INDEX($N$4:$N$3183,MATCH(SMALL($V$4:$V$3183,1971),$V$4:$V$3183,0)),"")</f>
        <v/>
      </c>
      <c r="B1974">
        <f>IFERROR(INDEX($O$4:$O$3183,MATCH(SMALL($V$4:$V$3183,1971),$V$4:$V$3183,0)),"")</f>
        <v/>
      </c>
      <c r="C1974">
        <f>IFERROR(INDEX($P$4:$P$3183,MATCH(SMALL($V$4:$V$3183,1971),$V$4:$V$3183,0)),"")</f>
        <v/>
      </c>
      <c r="D1974" s="29">
        <f>IFERROR(INDEX($Q$4:$Q$3183,MATCH(SMALL($V$4:$V$3183,1971),$V$4:$V$3183,0)),"")</f>
        <v/>
      </c>
      <c r="E1974" s="29">
        <f>IFERROR(INDEX($R$4:$R$3183,MATCH(SMALL($V$4:$V$3183,1971),$V$4:$V$3183,0)),"")</f>
        <v/>
      </c>
      <c r="F1974">
        <f>IFERROR(INDEX($S$4:$S$3183,MATCH(SMALL($V$4:$V$3183,1971),$V$4:$V$3183,0)),"")</f>
        <v/>
      </c>
      <c r="I1974" s="29">
        <f>IF($B1974="","",IFERROR(INDEX($U$4:$U$3183,MATCH(SMALL($V$4:$V$3183,1971),$V$4:$V$3183,0)),""))</f>
        <v/>
      </c>
      <c r="J1974">
        <f>IF($B1974="","",IF($D1974&gt;$F$2,"À venir",IF($E1974&lt;$D$2,"Passé","Dans la période")))</f>
        <v/>
      </c>
      <c r="K1974">
        <f>IF(OR($B1974="",NOT(ISNUMBER($D1974))),"",IF(AND($E1974&lt;$D$2,$G1974&lt;&gt;"X",$F1974&lt;&gt;"Réalisé",$F1974&lt;&gt;"Clôturé"),"RETARD",""))</f>
        <v/>
      </c>
      <c r="L1974">
        <f>IF(OR($B1974="",NOT(ISNUMBER($D1974))),"",IF(AND($D1974&gt;=$D$2,$D1974&lt;=$H$2,$G1974&lt;&gt;"X",$F1974&lt;&gt;"Réalisé",$F1974&lt;&gt;"Clôturé"),"≤ 7 j",""))</f>
        <v/>
      </c>
      <c r="M1974" s="29">
        <f>IF($B1974="","",IFERROR(INDEX($T$4:$T$3183,MATCH(SMALL($V$4:$V$3183,1971),$V$4:$V$3183,0)),""))</f>
        <v/>
      </c>
      <c r="O1974">
        <f>IF(INDEX(Suivi!$B:$B,2012)="","",INDEX(Suivi!$B:$B,2012))</f>
        <v/>
      </c>
      <c r="P1974">
        <f>IF($O1974="","",IF(INDEX(Suivi!$D:$D,2012)="",INDEX(Suivi!$C:$C,2012),INDEX(Suivi!$D:$D,2012)))</f>
        <v/>
      </c>
      <c r="Q1974">
        <f>IF($O1974="","",INDEX(Suivi!$E:$E,2012))</f>
        <v/>
      </c>
      <c r="R1974">
        <f>IF($O1974="","",INDEX(Suivi!$F:$F,2012))</f>
        <v/>
      </c>
      <c r="S1974">
        <f>IF($O1974="","",INDEX(Suivi!$G:$G,2012))</f>
        <v/>
      </c>
      <c r="T1974">
        <f>IF($O1974="","",IF(INDEX(Dossiers!$F$4:$F$63,38)="","",INDEX(Dossiers!$F$4:$F$63,38)))</f>
        <v/>
      </c>
      <c r="U1974">
        <f>IF($O1974="","",IF(INDEX(Dossiers!$G$4:$G$63,38)="","",INDEX(Dossiers!$G$4:$G$63,38)))</f>
        <v/>
      </c>
      <c r="V1974">
        <f>IF(OR($O1974="",NOT(ISNUMBER($Q1974))),"",$Q1974*1000000+1974)</f>
        <v/>
      </c>
      <c r="W1974" s="29">
        <f>IF($B1974="","",IFERROR(INDEX($U$4:$U$3183,MATCH(SMALL($V$4:$V$3183,1971),$V$4:$V$3183,0)),""))</f>
        <v/>
      </c>
    </row>
    <row r="1975">
      <c r="A1975">
        <f>IFERROR(INDEX($N$4:$N$3183,MATCH(SMALL($V$4:$V$3183,1972),$V$4:$V$3183,0)),"")</f>
        <v/>
      </c>
      <c r="B1975">
        <f>IFERROR(INDEX($O$4:$O$3183,MATCH(SMALL($V$4:$V$3183,1972),$V$4:$V$3183,0)),"")</f>
        <v/>
      </c>
      <c r="C1975">
        <f>IFERROR(INDEX($P$4:$P$3183,MATCH(SMALL($V$4:$V$3183,1972),$V$4:$V$3183,0)),"")</f>
        <v/>
      </c>
      <c r="D1975" s="29">
        <f>IFERROR(INDEX($Q$4:$Q$3183,MATCH(SMALL($V$4:$V$3183,1972),$V$4:$V$3183,0)),"")</f>
        <v/>
      </c>
      <c r="E1975" s="29">
        <f>IFERROR(INDEX($R$4:$R$3183,MATCH(SMALL($V$4:$V$3183,1972),$V$4:$V$3183,0)),"")</f>
        <v/>
      </c>
      <c r="F1975">
        <f>IFERROR(INDEX($S$4:$S$3183,MATCH(SMALL($V$4:$V$3183,1972),$V$4:$V$3183,0)),"")</f>
        <v/>
      </c>
      <c r="I1975" s="29">
        <f>IF($B1975="","",IFERROR(INDEX($U$4:$U$3183,MATCH(SMALL($V$4:$V$3183,1972),$V$4:$V$3183,0)),""))</f>
        <v/>
      </c>
      <c r="J1975">
        <f>IF($B1975="","",IF($D1975&gt;$F$2,"À venir",IF($E1975&lt;$D$2,"Passé","Dans la période")))</f>
        <v/>
      </c>
      <c r="K1975">
        <f>IF(OR($B1975="",NOT(ISNUMBER($D1975))),"",IF(AND($E1975&lt;$D$2,$G1975&lt;&gt;"X",$F1975&lt;&gt;"Réalisé",$F1975&lt;&gt;"Clôturé"),"RETARD",""))</f>
        <v/>
      </c>
      <c r="L1975">
        <f>IF(OR($B1975="",NOT(ISNUMBER($D1975))),"",IF(AND($D1975&gt;=$D$2,$D1975&lt;=$H$2,$G1975&lt;&gt;"X",$F1975&lt;&gt;"Réalisé",$F1975&lt;&gt;"Clôturé"),"≤ 7 j",""))</f>
        <v/>
      </c>
      <c r="M1975" s="29">
        <f>IF($B1975="","",IFERROR(INDEX($T$4:$T$3183,MATCH(SMALL($V$4:$V$3183,1972),$V$4:$V$3183,0)),""))</f>
        <v/>
      </c>
      <c r="O1975">
        <f>IF(INDEX(Suivi!$B:$B,2013)="","",INDEX(Suivi!$B:$B,2013))</f>
        <v/>
      </c>
      <c r="P1975">
        <f>IF($O1975="","",IF(INDEX(Suivi!$D:$D,2013)="",INDEX(Suivi!$C:$C,2013),INDEX(Suivi!$D:$D,2013)))</f>
        <v/>
      </c>
      <c r="Q1975">
        <f>IF($O1975="","",INDEX(Suivi!$E:$E,2013))</f>
        <v/>
      </c>
      <c r="R1975">
        <f>IF($O1975="","",INDEX(Suivi!$F:$F,2013))</f>
        <v/>
      </c>
      <c r="S1975">
        <f>IF($O1975="","",INDEX(Suivi!$G:$G,2013))</f>
        <v/>
      </c>
      <c r="T1975">
        <f>IF($O1975="","",IF(INDEX(Dossiers!$F$4:$F$63,38)="","",INDEX(Dossiers!$F$4:$F$63,38)))</f>
        <v/>
      </c>
      <c r="U1975">
        <f>IF($O1975="","",IF(INDEX(Dossiers!$G$4:$G$63,38)="","",INDEX(Dossiers!$G$4:$G$63,38)))</f>
        <v/>
      </c>
      <c r="V1975">
        <f>IF(OR($O1975="",NOT(ISNUMBER($Q1975))),"",$Q1975*1000000+1975)</f>
        <v/>
      </c>
      <c r="W1975" s="29">
        <f>IF($B1975="","",IFERROR(INDEX($U$4:$U$3183,MATCH(SMALL($V$4:$V$3183,1972),$V$4:$V$3183,0)),""))</f>
        <v/>
      </c>
    </row>
    <row r="1976">
      <c r="A1976">
        <f>IFERROR(INDEX($N$4:$N$3183,MATCH(SMALL($V$4:$V$3183,1973),$V$4:$V$3183,0)),"")</f>
        <v/>
      </c>
      <c r="B1976">
        <f>IFERROR(INDEX($O$4:$O$3183,MATCH(SMALL($V$4:$V$3183,1973),$V$4:$V$3183,0)),"")</f>
        <v/>
      </c>
      <c r="C1976">
        <f>IFERROR(INDEX($P$4:$P$3183,MATCH(SMALL($V$4:$V$3183,1973),$V$4:$V$3183,0)),"")</f>
        <v/>
      </c>
      <c r="D1976" s="29">
        <f>IFERROR(INDEX($Q$4:$Q$3183,MATCH(SMALL($V$4:$V$3183,1973),$V$4:$V$3183,0)),"")</f>
        <v/>
      </c>
      <c r="E1976" s="29">
        <f>IFERROR(INDEX($R$4:$R$3183,MATCH(SMALL($V$4:$V$3183,1973),$V$4:$V$3183,0)),"")</f>
        <v/>
      </c>
      <c r="F1976">
        <f>IFERROR(INDEX($S$4:$S$3183,MATCH(SMALL($V$4:$V$3183,1973),$V$4:$V$3183,0)),"")</f>
        <v/>
      </c>
      <c r="I1976" s="29">
        <f>IF($B1976="","",IFERROR(INDEX($U$4:$U$3183,MATCH(SMALL($V$4:$V$3183,1973),$V$4:$V$3183,0)),""))</f>
        <v/>
      </c>
      <c r="J1976">
        <f>IF($B1976="","",IF($D1976&gt;$F$2,"À venir",IF($E1976&lt;$D$2,"Passé","Dans la période")))</f>
        <v/>
      </c>
      <c r="K1976">
        <f>IF(OR($B1976="",NOT(ISNUMBER($D1976))),"",IF(AND($E1976&lt;$D$2,$G1976&lt;&gt;"X",$F1976&lt;&gt;"Réalisé",$F1976&lt;&gt;"Clôturé"),"RETARD",""))</f>
        <v/>
      </c>
      <c r="L1976">
        <f>IF(OR($B1976="",NOT(ISNUMBER($D1976))),"",IF(AND($D1976&gt;=$D$2,$D1976&lt;=$H$2,$G1976&lt;&gt;"X",$F1976&lt;&gt;"Réalisé",$F1976&lt;&gt;"Clôturé"),"≤ 7 j",""))</f>
        <v/>
      </c>
      <c r="M1976" s="29">
        <f>IF($B1976="","",IFERROR(INDEX($T$4:$T$3183,MATCH(SMALL($V$4:$V$3183,1973),$V$4:$V$3183,0)),""))</f>
        <v/>
      </c>
      <c r="O1976">
        <f>IF(INDEX(Suivi!$B:$B,2014)="","",INDEX(Suivi!$B:$B,2014))</f>
        <v/>
      </c>
      <c r="P1976">
        <f>IF($O1976="","",IF(INDEX(Suivi!$D:$D,2014)="",INDEX(Suivi!$C:$C,2014),INDEX(Suivi!$D:$D,2014)))</f>
        <v/>
      </c>
      <c r="Q1976">
        <f>IF($O1976="","",INDEX(Suivi!$E:$E,2014))</f>
        <v/>
      </c>
      <c r="R1976">
        <f>IF($O1976="","",INDEX(Suivi!$F:$F,2014))</f>
        <v/>
      </c>
      <c r="S1976">
        <f>IF($O1976="","",INDEX(Suivi!$G:$G,2014))</f>
        <v/>
      </c>
      <c r="T1976">
        <f>IF($O1976="","",IF(INDEX(Dossiers!$F$4:$F$63,38)="","",INDEX(Dossiers!$F$4:$F$63,38)))</f>
        <v/>
      </c>
      <c r="U1976">
        <f>IF($O1976="","",IF(INDEX(Dossiers!$G$4:$G$63,38)="","",INDEX(Dossiers!$G$4:$G$63,38)))</f>
        <v/>
      </c>
      <c r="V1976">
        <f>IF(OR($O1976="",NOT(ISNUMBER($Q1976))),"",$Q1976*1000000+1976)</f>
        <v/>
      </c>
      <c r="W1976" s="29">
        <f>IF($B1976="","",IFERROR(INDEX($U$4:$U$3183,MATCH(SMALL($V$4:$V$3183,1973),$V$4:$V$3183,0)),""))</f>
        <v/>
      </c>
    </row>
    <row r="1977">
      <c r="A1977">
        <f>IFERROR(INDEX($N$4:$N$3183,MATCH(SMALL($V$4:$V$3183,1974),$V$4:$V$3183,0)),"")</f>
        <v/>
      </c>
      <c r="B1977">
        <f>IFERROR(INDEX($O$4:$O$3183,MATCH(SMALL($V$4:$V$3183,1974),$V$4:$V$3183,0)),"")</f>
        <v/>
      </c>
      <c r="C1977">
        <f>IFERROR(INDEX($P$4:$P$3183,MATCH(SMALL($V$4:$V$3183,1974),$V$4:$V$3183,0)),"")</f>
        <v/>
      </c>
      <c r="D1977" s="29">
        <f>IFERROR(INDEX($Q$4:$Q$3183,MATCH(SMALL($V$4:$V$3183,1974),$V$4:$V$3183,0)),"")</f>
        <v/>
      </c>
      <c r="E1977" s="29">
        <f>IFERROR(INDEX($R$4:$R$3183,MATCH(SMALL($V$4:$V$3183,1974),$V$4:$V$3183,0)),"")</f>
        <v/>
      </c>
      <c r="F1977">
        <f>IFERROR(INDEX($S$4:$S$3183,MATCH(SMALL($V$4:$V$3183,1974),$V$4:$V$3183,0)),"")</f>
        <v/>
      </c>
      <c r="I1977" s="29">
        <f>IF($B1977="","",IFERROR(INDEX($U$4:$U$3183,MATCH(SMALL($V$4:$V$3183,1974),$V$4:$V$3183,0)),""))</f>
        <v/>
      </c>
      <c r="J1977">
        <f>IF($B1977="","",IF($D1977&gt;$F$2,"À venir",IF($E1977&lt;$D$2,"Passé","Dans la période")))</f>
        <v/>
      </c>
      <c r="K1977">
        <f>IF(OR($B1977="",NOT(ISNUMBER($D1977))),"",IF(AND($E1977&lt;$D$2,$G1977&lt;&gt;"X",$F1977&lt;&gt;"Réalisé",$F1977&lt;&gt;"Clôturé"),"RETARD",""))</f>
        <v/>
      </c>
      <c r="L1977">
        <f>IF(OR($B1977="",NOT(ISNUMBER($D1977))),"",IF(AND($D1977&gt;=$D$2,$D1977&lt;=$H$2,$G1977&lt;&gt;"X",$F1977&lt;&gt;"Réalisé",$F1977&lt;&gt;"Clôturé"),"≤ 7 j",""))</f>
        <v/>
      </c>
      <c r="M1977" s="29">
        <f>IF($B1977="","",IFERROR(INDEX($T$4:$T$3183,MATCH(SMALL($V$4:$V$3183,1974),$V$4:$V$3183,0)),""))</f>
        <v/>
      </c>
      <c r="O1977">
        <f>IF(INDEX(Suivi!$B:$B,2015)="","",INDEX(Suivi!$B:$B,2015))</f>
        <v/>
      </c>
      <c r="P1977">
        <f>IF($O1977="","",IF(INDEX(Suivi!$D:$D,2015)="",INDEX(Suivi!$C:$C,2015),INDEX(Suivi!$D:$D,2015)))</f>
        <v/>
      </c>
      <c r="Q1977">
        <f>IF($O1977="","",INDEX(Suivi!$E:$E,2015))</f>
        <v/>
      </c>
      <c r="R1977">
        <f>IF($O1977="","",INDEX(Suivi!$F:$F,2015))</f>
        <v/>
      </c>
      <c r="S1977">
        <f>IF($O1977="","",INDEX(Suivi!$G:$G,2015))</f>
        <v/>
      </c>
      <c r="T1977">
        <f>IF($O1977="","",IF(INDEX(Dossiers!$F$4:$F$63,38)="","",INDEX(Dossiers!$F$4:$F$63,38)))</f>
        <v/>
      </c>
      <c r="U1977">
        <f>IF($O1977="","",IF(INDEX(Dossiers!$G$4:$G$63,38)="","",INDEX(Dossiers!$G$4:$G$63,38)))</f>
        <v/>
      </c>
      <c r="V1977">
        <f>IF(OR($O1977="",NOT(ISNUMBER($Q1977))),"",$Q1977*1000000+1977)</f>
        <v/>
      </c>
      <c r="W1977" s="29">
        <f>IF($B1977="","",IFERROR(INDEX($U$4:$U$3183,MATCH(SMALL($V$4:$V$3183,1974),$V$4:$V$3183,0)),""))</f>
        <v/>
      </c>
    </row>
    <row r="1978">
      <c r="A1978">
        <f>IFERROR(INDEX($N$4:$N$3183,MATCH(SMALL($V$4:$V$3183,1975),$V$4:$V$3183,0)),"")</f>
        <v/>
      </c>
      <c r="B1978">
        <f>IFERROR(INDEX($O$4:$O$3183,MATCH(SMALL($V$4:$V$3183,1975),$V$4:$V$3183,0)),"")</f>
        <v/>
      </c>
      <c r="C1978">
        <f>IFERROR(INDEX($P$4:$P$3183,MATCH(SMALL($V$4:$V$3183,1975),$V$4:$V$3183,0)),"")</f>
        <v/>
      </c>
      <c r="D1978" s="29">
        <f>IFERROR(INDEX($Q$4:$Q$3183,MATCH(SMALL($V$4:$V$3183,1975),$V$4:$V$3183,0)),"")</f>
        <v/>
      </c>
      <c r="E1978" s="29">
        <f>IFERROR(INDEX($R$4:$R$3183,MATCH(SMALL($V$4:$V$3183,1975),$V$4:$V$3183,0)),"")</f>
        <v/>
      </c>
      <c r="F1978">
        <f>IFERROR(INDEX($S$4:$S$3183,MATCH(SMALL($V$4:$V$3183,1975),$V$4:$V$3183,0)),"")</f>
        <v/>
      </c>
      <c r="I1978" s="29">
        <f>IF($B1978="","",IFERROR(INDEX($U$4:$U$3183,MATCH(SMALL($V$4:$V$3183,1975),$V$4:$V$3183,0)),""))</f>
        <v/>
      </c>
      <c r="J1978">
        <f>IF($B1978="","",IF($D1978&gt;$F$2,"À venir",IF($E1978&lt;$D$2,"Passé","Dans la période")))</f>
        <v/>
      </c>
      <c r="K1978">
        <f>IF(OR($B1978="",NOT(ISNUMBER($D1978))),"",IF(AND($E1978&lt;$D$2,$G1978&lt;&gt;"X",$F1978&lt;&gt;"Réalisé",$F1978&lt;&gt;"Clôturé"),"RETARD",""))</f>
        <v/>
      </c>
      <c r="L1978">
        <f>IF(OR($B1978="",NOT(ISNUMBER($D1978))),"",IF(AND($D1978&gt;=$D$2,$D1978&lt;=$H$2,$G1978&lt;&gt;"X",$F1978&lt;&gt;"Réalisé",$F1978&lt;&gt;"Clôturé"),"≤ 7 j",""))</f>
        <v/>
      </c>
      <c r="M1978" s="29">
        <f>IF($B1978="","",IFERROR(INDEX($T$4:$T$3183,MATCH(SMALL($V$4:$V$3183,1975),$V$4:$V$3183,0)),""))</f>
        <v/>
      </c>
      <c r="O1978">
        <f>IF(INDEX(Suivi!$B:$B,2016)="","",INDEX(Suivi!$B:$B,2016))</f>
        <v/>
      </c>
      <c r="P1978">
        <f>IF($O1978="","",IF(INDEX(Suivi!$D:$D,2016)="",INDEX(Suivi!$C:$C,2016),INDEX(Suivi!$D:$D,2016)))</f>
        <v/>
      </c>
      <c r="Q1978">
        <f>IF($O1978="","",INDEX(Suivi!$E:$E,2016))</f>
        <v/>
      </c>
      <c r="R1978">
        <f>IF($O1978="","",INDEX(Suivi!$F:$F,2016))</f>
        <v/>
      </c>
      <c r="S1978">
        <f>IF($O1978="","",INDEX(Suivi!$G:$G,2016))</f>
        <v/>
      </c>
      <c r="T1978">
        <f>IF($O1978="","",IF(INDEX(Dossiers!$F$4:$F$63,38)="","",INDEX(Dossiers!$F$4:$F$63,38)))</f>
        <v/>
      </c>
      <c r="U1978">
        <f>IF($O1978="","",IF(INDEX(Dossiers!$G$4:$G$63,38)="","",INDEX(Dossiers!$G$4:$G$63,38)))</f>
        <v/>
      </c>
      <c r="V1978">
        <f>IF(OR($O1978="",NOT(ISNUMBER($Q1978))),"",$Q1978*1000000+1978)</f>
        <v/>
      </c>
      <c r="W1978" s="29">
        <f>IF($B1978="","",IFERROR(INDEX($U$4:$U$3183,MATCH(SMALL($V$4:$V$3183,1975),$V$4:$V$3183,0)),""))</f>
        <v/>
      </c>
    </row>
    <row r="1979">
      <c r="A1979">
        <f>IFERROR(INDEX($N$4:$N$3183,MATCH(SMALL($V$4:$V$3183,1976),$V$4:$V$3183,0)),"")</f>
        <v/>
      </c>
      <c r="B1979">
        <f>IFERROR(INDEX($O$4:$O$3183,MATCH(SMALL($V$4:$V$3183,1976),$V$4:$V$3183,0)),"")</f>
        <v/>
      </c>
      <c r="C1979">
        <f>IFERROR(INDEX($P$4:$P$3183,MATCH(SMALL($V$4:$V$3183,1976),$V$4:$V$3183,0)),"")</f>
        <v/>
      </c>
      <c r="D1979" s="29">
        <f>IFERROR(INDEX($Q$4:$Q$3183,MATCH(SMALL($V$4:$V$3183,1976),$V$4:$V$3183,0)),"")</f>
        <v/>
      </c>
      <c r="E1979" s="29">
        <f>IFERROR(INDEX($R$4:$R$3183,MATCH(SMALL($V$4:$V$3183,1976),$V$4:$V$3183,0)),"")</f>
        <v/>
      </c>
      <c r="F1979">
        <f>IFERROR(INDEX($S$4:$S$3183,MATCH(SMALL($V$4:$V$3183,1976),$V$4:$V$3183,0)),"")</f>
        <v/>
      </c>
      <c r="I1979" s="29">
        <f>IF($B1979="","",IFERROR(INDEX($U$4:$U$3183,MATCH(SMALL($V$4:$V$3183,1976),$V$4:$V$3183,0)),""))</f>
        <v/>
      </c>
      <c r="J1979">
        <f>IF($B1979="","",IF($D1979&gt;$F$2,"À venir",IF($E1979&lt;$D$2,"Passé","Dans la période")))</f>
        <v/>
      </c>
      <c r="K1979">
        <f>IF(OR($B1979="",NOT(ISNUMBER($D1979))),"",IF(AND($E1979&lt;$D$2,$G1979&lt;&gt;"X",$F1979&lt;&gt;"Réalisé",$F1979&lt;&gt;"Clôturé"),"RETARD",""))</f>
        <v/>
      </c>
      <c r="L1979">
        <f>IF(OR($B1979="",NOT(ISNUMBER($D1979))),"",IF(AND($D1979&gt;=$D$2,$D1979&lt;=$H$2,$G1979&lt;&gt;"X",$F1979&lt;&gt;"Réalisé",$F1979&lt;&gt;"Clôturé"),"≤ 7 j",""))</f>
        <v/>
      </c>
      <c r="M1979" s="29">
        <f>IF($B1979="","",IFERROR(INDEX($T$4:$T$3183,MATCH(SMALL($V$4:$V$3183,1976),$V$4:$V$3183,0)),""))</f>
        <v/>
      </c>
      <c r="O1979">
        <f>IF(INDEX(Suivi!$B:$B,2017)="","",INDEX(Suivi!$B:$B,2017))</f>
        <v/>
      </c>
      <c r="P1979">
        <f>IF($O1979="","",IF(INDEX(Suivi!$D:$D,2017)="",INDEX(Suivi!$C:$C,2017),INDEX(Suivi!$D:$D,2017)))</f>
        <v/>
      </c>
      <c r="Q1979">
        <f>IF($O1979="","",INDEX(Suivi!$E:$E,2017))</f>
        <v/>
      </c>
      <c r="R1979">
        <f>IF($O1979="","",INDEX(Suivi!$F:$F,2017))</f>
        <v/>
      </c>
      <c r="S1979">
        <f>IF($O1979="","",INDEX(Suivi!$G:$G,2017))</f>
        <v/>
      </c>
      <c r="T1979">
        <f>IF($O1979="","",IF(INDEX(Dossiers!$F$4:$F$63,38)="","",INDEX(Dossiers!$F$4:$F$63,38)))</f>
        <v/>
      </c>
      <c r="U1979">
        <f>IF($O1979="","",IF(INDEX(Dossiers!$G$4:$G$63,38)="","",INDEX(Dossiers!$G$4:$G$63,38)))</f>
        <v/>
      </c>
      <c r="V1979">
        <f>IF(OR($O1979="",NOT(ISNUMBER($Q1979))),"",$Q1979*1000000+1979)</f>
        <v/>
      </c>
      <c r="W1979" s="29">
        <f>IF($B1979="","",IFERROR(INDEX($U$4:$U$3183,MATCH(SMALL($V$4:$V$3183,1976),$V$4:$V$3183,0)),""))</f>
        <v/>
      </c>
    </row>
    <row r="1980">
      <c r="A1980">
        <f>IFERROR(INDEX($N$4:$N$3183,MATCH(SMALL($V$4:$V$3183,1977),$V$4:$V$3183,0)),"")</f>
        <v/>
      </c>
      <c r="B1980">
        <f>IFERROR(INDEX($O$4:$O$3183,MATCH(SMALL($V$4:$V$3183,1977),$V$4:$V$3183,0)),"")</f>
        <v/>
      </c>
      <c r="C1980">
        <f>IFERROR(INDEX($P$4:$P$3183,MATCH(SMALL($V$4:$V$3183,1977),$V$4:$V$3183,0)),"")</f>
        <v/>
      </c>
      <c r="D1980" s="29">
        <f>IFERROR(INDEX($Q$4:$Q$3183,MATCH(SMALL($V$4:$V$3183,1977),$V$4:$V$3183,0)),"")</f>
        <v/>
      </c>
      <c r="E1980" s="29">
        <f>IFERROR(INDEX($R$4:$R$3183,MATCH(SMALL($V$4:$V$3183,1977),$V$4:$V$3183,0)),"")</f>
        <v/>
      </c>
      <c r="F1980">
        <f>IFERROR(INDEX($S$4:$S$3183,MATCH(SMALL($V$4:$V$3183,1977),$V$4:$V$3183,0)),"")</f>
        <v/>
      </c>
      <c r="I1980" s="29">
        <f>IF($B1980="","",IFERROR(INDEX($U$4:$U$3183,MATCH(SMALL($V$4:$V$3183,1977),$V$4:$V$3183,0)),""))</f>
        <v/>
      </c>
      <c r="J1980">
        <f>IF($B1980="","",IF($D1980&gt;$F$2,"À venir",IF($E1980&lt;$D$2,"Passé","Dans la période")))</f>
        <v/>
      </c>
      <c r="K1980">
        <f>IF(OR($B1980="",NOT(ISNUMBER($D1980))),"",IF(AND($E1980&lt;$D$2,$G1980&lt;&gt;"X",$F1980&lt;&gt;"Réalisé",$F1980&lt;&gt;"Clôturé"),"RETARD",""))</f>
        <v/>
      </c>
      <c r="L1980">
        <f>IF(OR($B1980="",NOT(ISNUMBER($D1980))),"",IF(AND($D1980&gt;=$D$2,$D1980&lt;=$H$2,$G1980&lt;&gt;"X",$F1980&lt;&gt;"Réalisé",$F1980&lt;&gt;"Clôturé"),"≤ 7 j",""))</f>
        <v/>
      </c>
      <c r="M1980" s="29">
        <f>IF($B1980="","",IFERROR(INDEX($T$4:$T$3183,MATCH(SMALL($V$4:$V$3183,1977),$V$4:$V$3183,0)),""))</f>
        <v/>
      </c>
      <c r="O1980">
        <f>IF(INDEX(Suivi!$B:$B,2018)="","",INDEX(Suivi!$B:$B,2018))</f>
        <v/>
      </c>
      <c r="P1980">
        <f>IF($O1980="","",IF(INDEX(Suivi!$D:$D,2018)="",INDEX(Suivi!$C:$C,2018),INDEX(Suivi!$D:$D,2018)))</f>
        <v/>
      </c>
      <c r="Q1980">
        <f>IF($O1980="","",INDEX(Suivi!$E:$E,2018))</f>
        <v/>
      </c>
      <c r="R1980">
        <f>IF($O1980="","",INDEX(Suivi!$F:$F,2018))</f>
        <v/>
      </c>
      <c r="S1980">
        <f>IF($O1980="","",INDEX(Suivi!$G:$G,2018))</f>
        <v/>
      </c>
      <c r="T1980">
        <f>IF($O1980="","",IF(INDEX(Dossiers!$F$4:$F$63,38)="","",INDEX(Dossiers!$F$4:$F$63,38)))</f>
        <v/>
      </c>
      <c r="U1980">
        <f>IF($O1980="","",IF(INDEX(Dossiers!$G$4:$G$63,38)="","",INDEX(Dossiers!$G$4:$G$63,38)))</f>
        <v/>
      </c>
      <c r="V1980">
        <f>IF(OR($O1980="",NOT(ISNUMBER($Q1980))),"",$Q1980*1000000+1980)</f>
        <v/>
      </c>
      <c r="W1980" s="29">
        <f>IF($B1980="","",IFERROR(INDEX($U$4:$U$3183,MATCH(SMALL($V$4:$V$3183,1977),$V$4:$V$3183,0)),""))</f>
        <v/>
      </c>
    </row>
    <row r="1981">
      <c r="A1981">
        <f>IFERROR(INDEX($N$4:$N$3183,MATCH(SMALL($V$4:$V$3183,1978),$V$4:$V$3183,0)),"")</f>
        <v/>
      </c>
      <c r="B1981">
        <f>IFERROR(INDEX($O$4:$O$3183,MATCH(SMALL($V$4:$V$3183,1978),$V$4:$V$3183,0)),"")</f>
        <v/>
      </c>
      <c r="C1981">
        <f>IFERROR(INDEX($P$4:$P$3183,MATCH(SMALL($V$4:$V$3183,1978),$V$4:$V$3183,0)),"")</f>
        <v/>
      </c>
      <c r="D1981" s="29">
        <f>IFERROR(INDEX($Q$4:$Q$3183,MATCH(SMALL($V$4:$V$3183,1978),$V$4:$V$3183,0)),"")</f>
        <v/>
      </c>
      <c r="E1981" s="29">
        <f>IFERROR(INDEX($R$4:$R$3183,MATCH(SMALL($V$4:$V$3183,1978),$V$4:$V$3183,0)),"")</f>
        <v/>
      </c>
      <c r="F1981">
        <f>IFERROR(INDEX($S$4:$S$3183,MATCH(SMALL($V$4:$V$3183,1978),$V$4:$V$3183,0)),"")</f>
        <v/>
      </c>
      <c r="I1981" s="29">
        <f>IF($B1981="","",IFERROR(INDEX($U$4:$U$3183,MATCH(SMALL($V$4:$V$3183,1978),$V$4:$V$3183,0)),""))</f>
        <v/>
      </c>
      <c r="J1981">
        <f>IF($B1981="","",IF($D1981&gt;$F$2,"À venir",IF($E1981&lt;$D$2,"Passé","Dans la période")))</f>
        <v/>
      </c>
      <c r="K1981">
        <f>IF(OR($B1981="",NOT(ISNUMBER($D1981))),"",IF(AND($E1981&lt;$D$2,$G1981&lt;&gt;"X",$F1981&lt;&gt;"Réalisé",$F1981&lt;&gt;"Clôturé"),"RETARD",""))</f>
        <v/>
      </c>
      <c r="L1981">
        <f>IF(OR($B1981="",NOT(ISNUMBER($D1981))),"",IF(AND($D1981&gt;=$D$2,$D1981&lt;=$H$2,$G1981&lt;&gt;"X",$F1981&lt;&gt;"Réalisé",$F1981&lt;&gt;"Clôturé"),"≤ 7 j",""))</f>
        <v/>
      </c>
      <c r="M1981" s="29">
        <f>IF($B1981="","",IFERROR(INDEX($T$4:$T$3183,MATCH(SMALL($V$4:$V$3183,1978),$V$4:$V$3183,0)),""))</f>
        <v/>
      </c>
      <c r="O1981">
        <f>IF(INDEX(Suivi!$B:$B,2019)="","",INDEX(Suivi!$B:$B,2019))</f>
        <v/>
      </c>
      <c r="P1981">
        <f>IF($O1981="","",IF(INDEX(Suivi!$D:$D,2019)="",INDEX(Suivi!$C:$C,2019),INDEX(Suivi!$D:$D,2019)))</f>
        <v/>
      </c>
      <c r="Q1981">
        <f>IF($O1981="","",INDEX(Suivi!$E:$E,2019))</f>
        <v/>
      </c>
      <c r="R1981">
        <f>IF($O1981="","",INDEX(Suivi!$F:$F,2019))</f>
        <v/>
      </c>
      <c r="S1981">
        <f>IF($O1981="","",INDEX(Suivi!$G:$G,2019))</f>
        <v/>
      </c>
      <c r="T1981">
        <f>IF($O1981="","",IF(INDEX(Dossiers!$F$4:$F$63,38)="","",INDEX(Dossiers!$F$4:$F$63,38)))</f>
        <v/>
      </c>
      <c r="U1981">
        <f>IF($O1981="","",IF(INDEX(Dossiers!$G$4:$G$63,38)="","",INDEX(Dossiers!$G$4:$G$63,38)))</f>
        <v/>
      </c>
      <c r="V1981">
        <f>IF(OR($O1981="",NOT(ISNUMBER($Q1981))),"",$Q1981*1000000+1981)</f>
        <v/>
      </c>
      <c r="W1981" s="29">
        <f>IF($B1981="","",IFERROR(INDEX($U$4:$U$3183,MATCH(SMALL($V$4:$V$3183,1978),$V$4:$V$3183,0)),""))</f>
        <v/>
      </c>
    </row>
    <row r="1982">
      <c r="A1982">
        <f>IFERROR(INDEX($N$4:$N$3183,MATCH(SMALL($V$4:$V$3183,1979),$V$4:$V$3183,0)),"")</f>
        <v/>
      </c>
      <c r="B1982">
        <f>IFERROR(INDEX($O$4:$O$3183,MATCH(SMALL($V$4:$V$3183,1979),$V$4:$V$3183,0)),"")</f>
        <v/>
      </c>
      <c r="C1982">
        <f>IFERROR(INDEX($P$4:$P$3183,MATCH(SMALL($V$4:$V$3183,1979),$V$4:$V$3183,0)),"")</f>
        <v/>
      </c>
      <c r="D1982" s="29">
        <f>IFERROR(INDEX($Q$4:$Q$3183,MATCH(SMALL($V$4:$V$3183,1979),$V$4:$V$3183,0)),"")</f>
        <v/>
      </c>
      <c r="E1982" s="29">
        <f>IFERROR(INDEX($R$4:$R$3183,MATCH(SMALL($V$4:$V$3183,1979),$V$4:$V$3183,0)),"")</f>
        <v/>
      </c>
      <c r="F1982">
        <f>IFERROR(INDEX($S$4:$S$3183,MATCH(SMALL($V$4:$V$3183,1979),$V$4:$V$3183,0)),"")</f>
        <v/>
      </c>
      <c r="I1982" s="29">
        <f>IF($B1982="","",IFERROR(INDEX($U$4:$U$3183,MATCH(SMALL($V$4:$V$3183,1979),$V$4:$V$3183,0)),""))</f>
        <v/>
      </c>
      <c r="J1982">
        <f>IF($B1982="","",IF($D1982&gt;$F$2,"À venir",IF($E1982&lt;$D$2,"Passé","Dans la période")))</f>
        <v/>
      </c>
      <c r="K1982">
        <f>IF(OR($B1982="",NOT(ISNUMBER($D1982))),"",IF(AND($E1982&lt;$D$2,$G1982&lt;&gt;"X",$F1982&lt;&gt;"Réalisé",$F1982&lt;&gt;"Clôturé"),"RETARD",""))</f>
        <v/>
      </c>
      <c r="L1982">
        <f>IF(OR($B1982="",NOT(ISNUMBER($D1982))),"",IF(AND($D1982&gt;=$D$2,$D1982&lt;=$H$2,$G1982&lt;&gt;"X",$F1982&lt;&gt;"Réalisé",$F1982&lt;&gt;"Clôturé"),"≤ 7 j",""))</f>
        <v/>
      </c>
      <c r="M1982" s="29">
        <f>IF($B1982="","",IFERROR(INDEX($T$4:$T$3183,MATCH(SMALL($V$4:$V$3183,1979),$V$4:$V$3183,0)),""))</f>
        <v/>
      </c>
      <c r="O1982">
        <f>IF(INDEX(Suivi!$B:$B,2020)="","",INDEX(Suivi!$B:$B,2020))</f>
        <v/>
      </c>
      <c r="P1982">
        <f>IF($O1982="","",IF(INDEX(Suivi!$D:$D,2020)="",INDEX(Suivi!$C:$C,2020),INDEX(Suivi!$D:$D,2020)))</f>
        <v/>
      </c>
      <c r="Q1982">
        <f>IF($O1982="","",INDEX(Suivi!$E:$E,2020))</f>
        <v/>
      </c>
      <c r="R1982">
        <f>IF($O1982="","",INDEX(Suivi!$F:$F,2020))</f>
        <v/>
      </c>
      <c r="S1982">
        <f>IF($O1982="","",INDEX(Suivi!$G:$G,2020))</f>
        <v/>
      </c>
      <c r="T1982">
        <f>IF($O1982="","",IF(INDEX(Dossiers!$F$4:$F$63,38)="","",INDEX(Dossiers!$F$4:$F$63,38)))</f>
        <v/>
      </c>
      <c r="U1982">
        <f>IF($O1982="","",IF(INDEX(Dossiers!$G$4:$G$63,38)="","",INDEX(Dossiers!$G$4:$G$63,38)))</f>
        <v/>
      </c>
      <c r="V1982">
        <f>IF(OR($O1982="",NOT(ISNUMBER($Q1982))),"",$Q1982*1000000+1982)</f>
        <v/>
      </c>
      <c r="W1982" s="29">
        <f>IF($B1982="","",IFERROR(INDEX($U$4:$U$3183,MATCH(SMALL($V$4:$V$3183,1979),$V$4:$V$3183,0)),""))</f>
        <v/>
      </c>
    </row>
    <row r="1983">
      <c r="A1983">
        <f>IFERROR(INDEX($N$4:$N$3183,MATCH(SMALL($V$4:$V$3183,1980),$V$4:$V$3183,0)),"")</f>
        <v/>
      </c>
      <c r="B1983">
        <f>IFERROR(INDEX($O$4:$O$3183,MATCH(SMALL($V$4:$V$3183,1980),$V$4:$V$3183,0)),"")</f>
        <v/>
      </c>
      <c r="C1983">
        <f>IFERROR(INDEX($P$4:$P$3183,MATCH(SMALL($V$4:$V$3183,1980),$V$4:$V$3183,0)),"")</f>
        <v/>
      </c>
      <c r="D1983" s="29">
        <f>IFERROR(INDEX($Q$4:$Q$3183,MATCH(SMALL($V$4:$V$3183,1980),$V$4:$V$3183,0)),"")</f>
        <v/>
      </c>
      <c r="E1983" s="29">
        <f>IFERROR(INDEX($R$4:$R$3183,MATCH(SMALL($V$4:$V$3183,1980),$V$4:$V$3183,0)),"")</f>
        <v/>
      </c>
      <c r="F1983">
        <f>IFERROR(INDEX($S$4:$S$3183,MATCH(SMALL($V$4:$V$3183,1980),$V$4:$V$3183,0)),"")</f>
        <v/>
      </c>
      <c r="I1983" s="29">
        <f>IF($B1983="","",IFERROR(INDEX($U$4:$U$3183,MATCH(SMALL($V$4:$V$3183,1980),$V$4:$V$3183,0)),""))</f>
        <v/>
      </c>
      <c r="J1983">
        <f>IF($B1983="","",IF($D1983&gt;$F$2,"À venir",IF($E1983&lt;$D$2,"Passé","Dans la période")))</f>
        <v/>
      </c>
      <c r="K1983">
        <f>IF(OR($B1983="",NOT(ISNUMBER($D1983))),"",IF(AND($E1983&lt;$D$2,$G1983&lt;&gt;"X",$F1983&lt;&gt;"Réalisé",$F1983&lt;&gt;"Clôturé"),"RETARD",""))</f>
        <v/>
      </c>
      <c r="L1983">
        <f>IF(OR($B1983="",NOT(ISNUMBER($D1983))),"",IF(AND($D1983&gt;=$D$2,$D1983&lt;=$H$2,$G1983&lt;&gt;"X",$F1983&lt;&gt;"Réalisé",$F1983&lt;&gt;"Clôturé"),"≤ 7 j",""))</f>
        <v/>
      </c>
      <c r="M1983" s="29">
        <f>IF($B1983="","",IFERROR(INDEX($T$4:$T$3183,MATCH(SMALL($V$4:$V$3183,1980),$V$4:$V$3183,0)),""))</f>
        <v/>
      </c>
      <c r="O1983">
        <f>IF(INDEX(Suivi!$B:$B,2021)="","",INDEX(Suivi!$B:$B,2021))</f>
        <v/>
      </c>
      <c r="P1983">
        <f>IF($O1983="","",IF(INDEX(Suivi!$D:$D,2021)="",INDEX(Suivi!$C:$C,2021),INDEX(Suivi!$D:$D,2021)))</f>
        <v/>
      </c>
      <c r="Q1983">
        <f>IF($O1983="","",INDEX(Suivi!$E:$E,2021))</f>
        <v/>
      </c>
      <c r="R1983">
        <f>IF($O1983="","",INDEX(Suivi!$F:$F,2021))</f>
        <v/>
      </c>
      <c r="S1983">
        <f>IF($O1983="","",INDEX(Suivi!$G:$G,2021))</f>
        <v/>
      </c>
      <c r="T1983">
        <f>IF($O1983="","",IF(INDEX(Dossiers!$F$4:$F$63,38)="","",INDEX(Dossiers!$F$4:$F$63,38)))</f>
        <v/>
      </c>
      <c r="U1983">
        <f>IF($O1983="","",IF(INDEX(Dossiers!$G$4:$G$63,38)="","",INDEX(Dossiers!$G$4:$G$63,38)))</f>
        <v/>
      </c>
      <c r="V1983">
        <f>IF(OR($O1983="",NOT(ISNUMBER($Q1983))),"",$Q1983*1000000+1983)</f>
        <v/>
      </c>
      <c r="W1983" s="29">
        <f>IF($B1983="","",IFERROR(INDEX($U$4:$U$3183,MATCH(SMALL($V$4:$V$3183,1980),$V$4:$V$3183,0)),""))</f>
        <v/>
      </c>
    </row>
    <row r="1984">
      <c r="A1984">
        <f>IFERROR(INDEX($N$4:$N$3183,MATCH(SMALL($V$4:$V$3183,1981),$V$4:$V$3183,0)),"")</f>
        <v/>
      </c>
      <c r="B1984">
        <f>IFERROR(INDEX($O$4:$O$3183,MATCH(SMALL($V$4:$V$3183,1981),$V$4:$V$3183,0)),"")</f>
        <v/>
      </c>
      <c r="C1984">
        <f>IFERROR(INDEX($P$4:$P$3183,MATCH(SMALL($V$4:$V$3183,1981),$V$4:$V$3183,0)),"")</f>
        <v/>
      </c>
      <c r="D1984" s="29">
        <f>IFERROR(INDEX($Q$4:$Q$3183,MATCH(SMALL($V$4:$V$3183,1981),$V$4:$V$3183,0)),"")</f>
        <v/>
      </c>
      <c r="E1984" s="29">
        <f>IFERROR(INDEX($R$4:$R$3183,MATCH(SMALL($V$4:$V$3183,1981),$V$4:$V$3183,0)),"")</f>
        <v/>
      </c>
      <c r="F1984">
        <f>IFERROR(INDEX($S$4:$S$3183,MATCH(SMALL($V$4:$V$3183,1981),$V$4:$V$3183,0)),"")</f>
        <v/>
      </c>
      <c r="I1984" s="29">
        <f>IF($B1984="","",IFERROR(INDEX($U$4:$U$3183,MATCH(SMALL($V$4:$V$3183,1981),$V$4:$V$3183,0)),""))</f>
        <v/>
      </c>
      <c r="J1984">
        <f>IF($B1984="","",IF($D1984&gt;$F$2,"À venir",IF($E1984&lt;$D$2,"Passé","Dans la période")))</f>
        <v/>
      </c>
      <c r="K1984">
        <f>IF(OR($B1984="",NOT(ISNUMBER($D1984))),"",IF(AND($E1984&lt;$D$2,$G1984&lt;&gt;"X",$F1984&lt;&gt;"Réalisé",$F1984&lt;&gt;"Clôturé"),"RETARD",""))</f>
        <v/>
      </c>
      <c r="L1984">
        <f>IF(OR($B1984="",NOT(ISNUMBER($D1984))),"",IF(AND($D1984&gt;=$D$2,$D1984&lt;=$H$2,$G1984&lt;&gt;"X",$F1984&lt;&gt;"Réalisé",$F1984&lt;&gt;"Clôturé"),"≤ 7 j",""))</f>
        <v/>
      </c>
      <c r="M1984" s="29">
        <f>IF($B1984="","",IFERROR(INDEX($T$4:$T$3183,MATCH(SMALL($V$4:$V$3183,1981),$V$4:$V$3183,0)),""))</f>
        <v/>
      </c>
      <c r="O1984">
        <f>IF(INDEX(Suivi!$B:$B,2022)="","",INDEX(Suivi!$B:$B,2022))</f>
        <v/>
      </c>
      <c r="P1984">
        <f>IF($O1984="","",IF(INDEX(Suivi!$D:$D,2022)="",INDEX(Suivi!$C:$C,2022),INDEX(Suivi!$D:$D,2022)))</f>
        <v/>
      </c>
      <c r="Q1984">
        <f>IF($O1984="","",INDEX(Suivi!$E:$E,2022))</f>
        <v/>
      </c>
      <c r="R1984">
        <f>IF($O1984="","",INDEX(Suivi!$F:$F,2022))</f>
        <v/>
      </c>
      <c r="S1984">
        <f>IF($O1984="","",INDEX(Suivi!$G:$G,2022))</f>
        <v/>
      </c>
      <c r="T1984">
        <f>IF($O1984="","",IF(INDEX(Dossiers!$F$4:$F$63,38)="","",INDEX(Dossiers!$F$4:$F$63,38)))</f>
        <v/>
      </c>
      <c r="U1984">
        <f>IF($O1984="","",IF(INDEX(Dossiers!$G$4:$G$63,38)="","",INDEX(Dossiers!$G$4:$G$63,38)))</f>
        <v/>
      </c>
      <c r="V1984">
        <f>IF(OR($O1984="",NOT(ISNUMBER($Q1984))),"",$Q1984*1000000+1984)</f>
        <v/>
      </c>
      <c r="W1984" s="29">
        <f>IF($B1984="","",IFERROR(INDEX($U$4:$U$3183,MATCH(SMALL($V$4:$V$3183,1981),$V$4:$V$3183,0)),""))</f>
        <v/>
      </c>
    </row>
    <row r="1985">
      <c r="A1985">
        <f>IFERROR(INDEX($N$4:$N$3183,MATCH(SMALL($V$4:$V$3183,1982),$V$4:$V$3183,0)),"")</f>
        <v/>
      </c>
      <c r="B1985">
        <f>IFERROR(INDEX($O$4:$O$3183,MATCH(SMALL($V$4:$V$3183,1982),$V$4:$V$3183,0)),"")</f>
        <v/>
      </c>
      <c r="C1985">
        <f>IFERROR(INDEX($P$4:$P$3183,MATCH(SMALL($V$4:$V$3183,1982),$V$4:$V$3183,0)),"")</f>
        <v/>
      </c>
      <c r="D1985" s="29">
        <f>IFERROR(INDEX($Q$4:$Q$3183,MATCH(SMALL($V$4:$V$3183,1982),$V$4:$V$3183,0)),"")</f>
        <v/>
      </c>
      <c r="E1985" s="29">
        <f>IFERROR(INDEX($R$4:$R$3183,MATCH(SMALL($V$4:$V$3183,1982),$V$4:$V$3183,0)),"")</f>
        <v/>
      </c>
      <c r="F1985">
        <f>IFERROR(INDEX($S$4:$S$3183,MATCH(SMALL($V$4:$V$3183,1982),$V$4:$V$3183,0)),"")</f>
        <v/>
      </c>
      <c r="I1985" s="29">
        <f>IF($B1985="","",IFERROR(INDEX($U$4:$U$3183,MATCH(SMALL($V$4:$V$3183,1982),$V$4:$V$3183,0)),""))</f>
        <v/>
      </c>
      <c r="J1985">
        <f>IF($B1985="","",IF($D1985&gt;$F$2,"À venir",IF($E1985&lt;$D$2,"Passé","Dans la période")))</f>
        <v/>
      </c>
      <c r="K1985">
        <f>IF(OR($B1985="",NOT(ISNUMBER($D1985))),"",IF(AND($E1985&lt;$D$2,$G1985&lt;&gt;"X",$F1985&lt;&gt;"Réalisé",$F1985&lt;&gt;"Clôturé"),"RETARD",""))</f>
        <v/>
      </c>
      <c r="L1985">
        <f>IF(OR($B1985="",NOT(ISNUMBER($D1985))),"",IF(AND($D1985&gt;=$D$2,$D1985&lt;=$H$2,$G1985&lt;&gt;"X",$F1985&lt;&gt;"Réalisé",$F1985&lt;&gt;"Clôturé"),"≤ 7 j",""))</f>
        <v/>
      </c>
      <c r="M1985" s="29">
        <f>IF($B1985="","",IFERROR(INDEX($T$4:$T$3183,MATCH(SMALL($V$4:$V$3183,1982),$V$4:$V$3183,0)),""))</f>
        <v/>
      </c>
      <c r="O1985">
        <f>IF(INDEX(Suivi!$B:$B,2023)="","",INDEX(Suivi!$B:$B,2023))</f>
        <v/>
      </c>
      <c r="P1985">
        <f>IF($O1985="","",IF(INDEX(Suivi!$D:$D,2023)="",INDEX(Suivi!$C:$C,2023),INDEX(Suivi!$D:$D,2023)))</f>
        <v/>
      </c>
      <c r="Q1985">
        <f>IF($O1985="","",INDEX(Suivi!$E:$E,2023))</f>
        <v/>
      </c>
      <c r="R1985">
        <f>IF($O1985="","",INDEX(Suivi!$F:$F,2023))</f>
        <v/>
      </c>
      <c r="S1985">
        <f>IF($O1985="","",INDEX(Suivi!$G:$G,2023))</f>
        <v/>
      </c>
      <c r="T1985">
        <f>IF($O1985="","",IF(INDEX(Dossiers!$F$4:$F$63,38)="","",INDEX(Dossiers!$F$4:$F$63,38)))</f>
        <v/>
      </c>
      <c r="U1985">
        <f>IF($O1985="","",IF(INDEX(Dossiers!$G$4:$G$63,38)="","",INDEX(Dossiers!$G$4:$G$63,38)))</f>
        <v/>
      </c>
      <c r="V1985">
        <f>IF(OR($O1985="",NOT(ISNUMBER($Q1985))),"",$Q1985*1000000+1985)</f>
        <v/>
      </c>
      <c r="W1985" s="29">
        <f>IF($B1985="","",IFERROR(INDEX($U$4:$U$3183,MATCH(SMALL($V$4:$V$3183,1982),$V$4:$V$3183,0)),""))</f>
        <v/>
      </c>
    </row>
    <row r="1986">
      <c r="A1986">
        <f>IFERROR(INDEX($N$4:$N$3183,MATCH(SMALL($V$4:$V$3183,1983),$V$4:$V$3183,0)),"")</f>
        <v/>
      </c>
      <c r="B1986">
        <f>IFERROR(INDEX($O$4:$O$3183,MATCH(SMALL($V$4:$V$3183,1983),$V$4:$V$3183,0)),"")</f>
        <v/>
      </c>
      <c r="C1986">
        <f>IFERROR(INDEX($P$4:$P$3183,MATCH(SMALL($V$4:$V$3183,1983),$V$4:$V$3183,0)),"")</f>
        <v/>
      </c>
      <c r="D1986" s="29">
        <f>IFERROR(INDEX($Q$4:$Q$3183,MATCH(SMALL($V$4:$V$3183,1983),$V$4:$V$3183,0)),"")</f>
        <v/>
      </c>
      <c r="E1986" s="29">
        <f>IFERROR(INDEX($R$4:$R$3183,MATCH(SMALL($V$4:$V$3183,1983),$V$4:$V$3183,0)),"")</f>
        <v/>
      </c>
      <c r="F1986">
        <f>IFERROR(INDEX($S$4:$S$3183,MATCH(SMALL($V$4:$V$3183,1983),$V$4:$V$3183,0)),"")</f>
        <v/>
      </c>
      <c r="I1986" s="29">
        <f>IF($B1986="","",IFERROR(INDEX($U$4:$U$3183,MATCH(SMALL($V$4:$V$3183,1983),$V$4:$V$3183,0)),""))</f>
        <v/>
      </c>
      <c r="J1986">
        <f>IF($B1986="","",IF($D1986&gt;$F$2,"À venir",IF($E1986&lt;$D$2,"Passé","Dans la période")))</f>
        <v/>
      </c>
      <c r="K1986">
        <f>IF(OR($B1986="",NOT(ISNUMBER($D1986))),"",IF(AND($E1986&lt;$D$2,$G1986&lt;&gt;"X",$F1986&lt;&gt;"Réalisé",$F1986&lt;&gt;"Clôturé"),"RETARD",""))</f>
        <v/>
      </c>
      <c r="L1986">
        <f>IF(OR($B1986="",NOT(ISNUMBER($D1986))),"",IF(AND($D1986&gt;=$D$2,$D1986&lt;=$H$2,$G1986&lt;&gt;"X",$F1986&lt;&gt;"Réalisé",$F1986&lt;&gt;"Clôturé"),"≤ 7 j",""))</f>
        <v/>
      </c>
      <c r="M1986" s="29">
        <f>IF($B1986="","",IFERROR(INDEX($T$4:$T$3183,MATCH(SMALL($V$4:$V$3183,1983),$V$4:$V$3183,0)),""))</f>
        <v/>
      </c>
      <c r="O1986">
        <f>IF(INDEX(Suivi!$B:$B,2024)="","",INDEX(Suivi!$B:$B,2024))</f>
        <v/>
      </c>
      <c r="P1986">
        <f>IF($O1986="","",IF(INDEX(Suivi!$D:$D,2024)="",INDEX(Suivi!$C:$C,2024),INDEX(Suivi!$D:$D,2024)))</f>
        <v/>
      </c>
      <c r="Q1986">
        <f>IF($O1986="","",INDEX(Suivi!$E:$E,2024))</f>
        <v/>
      </c>
      <c r="R1986">
        <f>IF($O1986="","",INDEX(Suivi!$F:$F,2024))</f>
        <v/>
      </c>
      <c r="S1986">
        <f>IF($O1986="","",INDEX(Suivi!$G:$G,2024))</f>
        <v/>
      </c>
      <c r="T1986">
        <f>IF($O1986="","",IF(INDEX(Dossiers!$F$4:$F$63,38)="","",INDEX(Dossiers!$F$4:$F$63,38)))</f>
        <v/>
      </c>
      <c r="U1986">
        <f>IF($O1986="","",IF(INDEX(Dossiers!$G$4:$G$63,38)="","",INDEX(Dossiers!$G$4:$G$63,38)))</f>
        <v/>
      </c>
      <c r="V1986">
        <f>IF(OR($O1986="",NOT(ISNUMBER($Q1986))),"",$Q1986*1000000+1986)</f>
        <v/>
      </c>
      <c r="W1986" s="29">
        <f>IF($B1986="","",IFERROR(INDEX($U$4:$U$3183,MATCH(SMALL($V$4:$V$3183,1983),$V$4:$V$3183,0)),""))</f>
        <v/>
      </c>
    </row>
    <row r="1987">
      <c r="A1987">
        <f>IFERROR(INDEX($N$4:$N$3183,MATCH(SMALL($V$4:$V$3183,1984),$V$4:$V$3183,0)),"")</f>
        <v/>
      </c>
      <c r="B1987">
        <f>IFERROR(INDEX($O$4:$O$3183,MATCH(SMALL($V$4:$V$3183,1984),$V$4:$V$3183,0)),"")</f>
        <v/>
      </c>
      <c r="C1987">
        <f>IFERROR(INDEX($P$4:$P$3183,MATCH(SMALL($V$4:$V$3183,1984),$V$4:$V$3183,0)),"")</f>
        <v/>
      </c>
      <c r="D1987" s="29">
        <f>IFERROR(INDEX($Q$4:$Q$3183,MATCH(SMALL($V$4:$V$3183,1984),$V$4:$V$3183,0)),"")</f>
        <v/>
      </c>
      <c r="E1987" s="29">
        <f>IFERROR(INDEX($R$4:$R$3183,MATCH(SMALL($V$4:$V$3183,1984),$V$4:$V$3183,0)),"")</f>
        <v/>
      </c>
      <c r="F1987">
        <f>IFERROR(INDEX($S$4:$S$3183,MATCH(SMALL($V$4:$V$3183,1984),$V$4:$V$3183,0)),"")</f>
        <v/>
      </c>
      <c r="I1987" s="29">
        <f>IF($B1987="","",IFERROR(INDEX($U$4:$U$3183,MATCH(SMALL($V$4:$V$3183,1984),$V$4:$V$3183,0)),""))</f>
        <v/>
      </c>
      <c r="J1987">
        <f>IF($B1987="","",IF($D1987&gt;$F$2,"À venir",IF($E1987&lt;$D$2,"Passé","Dans la période")))</f>
        <v/>
      </c>
      <c r="K1987">
        <f>IF(OR($B1987="",NOT(ISNUMBER($D1987))),"",IF(AND($E1987&lt;$D$2,$G1987&lt;&gt;"X",$F1987&lt;&gt;"Réalisé",$F1987&lt;&gt;"Clôturé"),"RETARD",""))</f>
        <v/>
      </c>
      <c r="L1987">
        <f>IF(OR($B1987="",NOT(ISNUMBER($D1987))),"",IF(AND($D1987&gt;=$D$2,$D1987&lt;=$H$2,$G1987&lt;&gt;"X",$F1987&lt;&gt;"Réalisé",$F1987&lt;&gt;"Clôturé"),"≤ 7 j",""))</f>
        <v/>
      </c>
      <c r="M1987" s="29">
        <f>IF($B1987="","",IFERROR(INDEX($T$4:$T$3183,MATCH(SMALL($V$4:$V$3183,1984),$V$4:$V$3183,0)),""))</f>
        <v/>
      </c>
      <c r="O1987">
        <f>IF(INDEX(Suivi!$B:$B,2025)="","",INDEX(Suivi!$B:$B,2025))</f>
        <v/>
      </c>
      <c r="P1987">
        <f>IF($O1987="","",IF(INDEX(Suivi!$D:$D,2025)="",INDEX(Suivi!$C:$C,2025),INDEX(Suivi!$D:$D,2025)))</f>
        <v/>
      </c>
      <c r="Q1987">
        <f>IF($O1987="","",INDEX(Suivi!$E:$E,2025))</f>
        <v/>
      </c>
      <c r="R1987">
        <f>IF($O1987="","",INDEX(Suivi!$F:$F,2025))</f>
        <v/>
      </c>
      <c r="S1987">
        <f>IF($O1987="","",INDEX(Suivi!$G:$G,2025))</f>
        <v/>
      </c>
      <c r="T1987">
        <f>IF($O1987="","",IF(INDEX(Dossiers!$F$4:$F$63,38)="","",INDEX(Dossiers!$F$4:$F$63,38)))</f>
        <v/>
      </c>
      <c r="U1987">
        <f>IF($O1987="","",IF(INDEX(Dossiers!$G$4:$G$63,38)="","",INDEX(Dossiers!$G$4:$G$63,38)))</f>
        <v/>
      </c>
      <c r="V1987">
        <f>IF(OR($O1987="",NOT(ISNUMBER($Q1987))),"",$Q1987*1000000+1987)</f>
        <v/>
      </c>
      <c r="W1987" s="29">
        <f>IF($B1987="","",IFERROR(INDEX($U$4:$U$3183,MATCH(SMALL($V$4:$V$3183,1984),$V$4:$V$3183,0)),""))</f>
        <v/>
      </c>
    </row>
    <row r="1988">
      <c r="A1988">
        <f>IFERROR(INDEX($N$4:$N$3183,MATCH(SMALL($V$4:$V$3183,1985),$V$4:$V$3183,0)),"")</f>
        <v/>
      </c>
      <c r="B1988">
        <f>IFERROR(INDEX($O$4:$O$3183,MATCH(SMALL($V$4:$V$3183,1985),$V$4:$V$3183,0)),"")</f>
        <v/>
      </c>
      <c r="C1988">
        <f>IFERROR(INDEX($P$4:$P$3183,MATCH(SMALL($V$4:$V$3183,1985),$V$4:$V$3183,0)),"")</f>
        <v/>
      </c>
      <c r="D1988" s="29">
        <f>IFERROR(INDEX($Q$4:$Q$3183,MATCH(SMALL($V$4:$V$3183,1985),$V$4:$V$3183,0)),"")</f>
        <v/>
      </c>
      <c r="E1988" s="29">
        <f>IFERROR(INDEX($R$4:$R$3183,MATCH(SMALL($V$4:$V$3183,1985),$V$4:$V$3183,0)),"")</f>
        <v/>
      </c>
      <c r="F1988">
        <f>IFERROR(INDEX($S$4:$S$3183,MATCH(SMALL($V$4:$V$3183,1985),$V$4:$V$3183,0)),"")</f>
        <v/>
      </c>
      <c r="I1988" s="29">
        <f>IF($B1988="","",IFERROR(INDEX($U$4:$U$3183,MATCH(SMALL($V$4:$V$3183,1985),$V$4:$V$3183,0)),""))</f>
        <v/>
      </c>
      <c r="J1988">
        <f>IF($B1988="","",IF($D1988&gt;$F$2,"À venir",IF($E1988&lt;$D$2,"Passé","Dans la période")))</f>
        <v/>
      </c>
      <c r="K1988">
        <f>IF(OR($B1988="",NOT(ISNUMBER($D1988))),"",IF(AND($E1988&lt;$D$2,$G1988&lt;&gt;"X",$F1988&lt;&gt;"Réalisé",$F1988&lt;&gt;"Clôturé"),"RETARD",""))</f>
        <v/>
      </c>
      <c r="L1988">
        <f>IF(OR($B1988="",NOT(ISNUMBER($D1988))),"",IF(AND($D1988&gt;=$D$2,$D1988&lt;=$H$2,$G1988&lt;&gt;"X",$F1988&lt;&gt;"Réalisé",$F1988&lt;&gt;"Clôturé"),"≤ 7 j",""))</f>
        <v/>
      </c>
      <c r="M1988" s="29">
        <f>IF($B1988="","",IFERROR(INDEX($T$4:$T$3183,MATCH(SMALL($V$4:$V$3183,1985),$V$4:$V$3183,0)),""))</f>
        <v/>
      </c>
      <c r="O1988">
        <f>IF(INDEX(Suivi!$B:$B,2026)="","",INDEX(Suivi!$B:$B,2026))</f>
        <v/>
      </c>
      <c r="P1988">
        <f>IF($O1988="","",IF(INDEX(Suivi!$D:$D,2026)="",INDEX(Suivi!$C:$C,2026),INDEX(Suivi!$D:$D,2026)))</f>
        <v/>
      </c>
      <c r="Q1988">
        <f>IF($O1988="","",INDEX(Suivi!$E:$E,2026))</f>
        <v/>
      </c>
      <c r="R1988">
        <f>IF($O1988="","",INDEX(Suivi!$F:$F,2026))</f>
        <v/>
      </c>
      <c r="S1988">
        <f>IF($O1988="","",INDEX(Suivi!$G:$G,2026))</f>
        <v/>
      </c>
      <c r="T1988">
        <f>IF($O1988="","",IF(INDEX(Dossiers!$F$4:$F$63,38)="","",INDEX(Dossiers!$F$4:$F$63,38)))</f>
        <v/>
      </c>
      <c r="U1988">
        <f>IF($O1988="","",IF(INDEX(Dossiers!$G$4:$G$63,38)="","",INDEX(Dossiers!$G$4:$G$63,38)))</f>
        <v/>
      </c>
      <c r="V1988">
        <f>IF(OR($O1988="",NOT(ISNUMBER($Q1988))),"",$Q1988*1000000+1988)</f>
        <v/>
      </c>
      <c r="W1988" s="29">
        <f>IF($B1988="","",IFERROR(INDEX($U$4:$U$3183,MATCH(SMALL($V$4:$V$3183,1985),$V$4:$V$3183,0)),""))</f>
        <v/>
      </c>
    </row>
    <row r="1989">
      <c r="A1989">
        <f>IFERROR(INDEX($N$4:$N$3183,MATCH(SMALL($V$4:$V$3183,1986),$V$4:$V$3183,0)),"")</f>
        <v/>
      </c>
      <c r="B1989">
        <f>IFERROR(INDEX($O$4:$O$3183,MATCH(SMALL($V$4:$V$3183,1986),$V$4:$V$3183,0)),"")</f>
        <v/>
      </c>
      <c r="C1989">
        <f>IFERROR(INDEX($P$4:$P$3183,MATCH(SMALL($V$4:$V$3183,1986),$V$4:$V$3183,0)),"")</f>
        <v/>
      </c>
      <c r="D1989" s="29">
        <f>IFERROR(INDEX($Q$4:$Q$3183,MATCH(SMALL($V$4:$V$3183,1986),$V$4:$V$3183,0)),"")</f>
        <v/>
      </c>
      <c r="E1989" s="29">
        <f>IFERROR(INDEX($R$4:$R$3183,MATCH(SMALL($V$4:$V$3183,1986),$V$4:$V$3183,0)),"")</f>
        <v/>
      </c>
      <c r="F1989">
        <f>IFERROR(INDEX($S$4:$S$3183,MATCH(SMALL($V$4:$V$3183,1986),$V$4:$V$3183,0)),"")</f>
        <v/>
      </c>
      <c r="I1989" s="29">
        <f>IF($B1989="","",IFERROR(INDEX($U$4:$U$3183,MATCH(SMALL($V$4:$V$3183,1986),$V$4:$V$3183,0)),""))</f>
        <v/>
      </c>
      <c r="J1989">
        <f>IF($B1989="","",IF($D1989&gt;$F$2,"À venir",IF($E1989&lt;$D$2,"Passé","Dans la période")))</f>
        <v/>
      </c>
      <c r="K1989">
        <f>IF(OR($B1989="",NOT(ISNUMBER($D1989))),"",IF(AND($E1989&lt;$D$2,$G1989&lt;&gt;"X",$F1989&lt;&gt;"Réalisé",$F1989&lt;&gt;"Clôturé"),"RETARD",""))</f>
        <v/>
      </c>
      <c r="L1989">
        <f>IF(OR($B1989="",NOT(ISNUMBER($D1989))),"",IF(AND($D1989&gt;=$D$2,$D1989&lt;=$H$2,$G1989&lt;&gt;"X",$F1989&lt;&gt;"Réalisé",$F1989&lt;&gt;"Clôturé"),"≤ 7 j",""))</f>
        <v/>
      </c>
      <c r="M1989" s="29">
        <f>IF($B1989="","",IFERROR(INDEX($T$4:$T$3183,MATCH(SMALL($V$4:$V$3183,1986),$V$4:$V$3183,0)),""))</f>
        <v/>
      </c>
      <c r="O1989">
        <f>IF(INDEX(Suivi!$B:$B,2027)="","",INDEX(Suivi!$B:$B,2027))</f>
        <v/>
      </c>
      <c r="P1989">
        <f>IF($O1989="","",IF(INDEX(Suivi!$D:$D,2027)="",INDEX(Suivi!$C:$C,2027),INDEX(Suivi!$D:$D,2027)))</f>
        <v/>
      </c>
      <c r="Q1989">
        <f>IF($O1989="","",INDEX(Suivi!$E:$E,2027))</f>
        <v/>
      </c>
      <c r="R1989">
        <f>IF($O1989="","",INDEX(Suivi!$F:$F,2027))</f>
        <v/>
      </c>
      <c r="S1989">
        <f>IF($O1989="","",INDEX(Suivi!$G:$G,2027))</f>
        <v/>
      </c>
      <c r="T1989">
        <f>IF($O1989="","",IF(INDEX(Dossiers!$F$4:$F$63,38)="","",INDEX(Dossiers!$F$4:$F$63,38)))</f>
        <v/>
      </c>
      <c r="U1989">
        <f>IF($O1989="","",IF(INDEX(Dossiers!$G$4:$G$63,38)="","",INDEX(Dossiers!$G$4:$G$63,38)))</f>
        <v/>
      </c>
      <c r="V1989">
        <f>IF(OR($O1989="",NOT(ISNUMBER($Q1989))),"",$Q1989*1000000+1989)</f>
        <v/>
      </c>
      <c r="W1989" s="29">
        <f>IF($B1989="","",IFERROR(INDEX($U$4:$U$3183,MATCH(SMALL($V$4:$V$3183,1986),$V$4:$V$3183,0)),""))</f>
        <v/>
      </c>
    </row>
    <row r="1990">
      <c r="A1990">
        <f>IFERROR(INDEX($N$4:$N$3183,MATCH(SMALL($V$4:$V$3183,1987),$V$4:$V$3183,0)),"")</f>
        <v/>
      </c>
      <c r="B1990">
        <f>IFERROR(INDEX($O$4:$O$3183,MATCH(SMALL($V$4:$V$3183,1987),$V$4:$V$3183,0)),"")</f>
        <v/>
      </c>
      <c r="C1990">
        <f>IFERROR(INDEX($P$4:$P$3183,MATCH(SMALL($V$4:$V$3183,1987),$V$4:$V$3183,0)),"")</f>
        <v/>
      </c>
      <c r="D1990" s="29">
        <f>IFERROR(INDEX($Q$4:$Q$3183,MATCH(SMALL($V$4:$V$3183,1987),$V$4:$V$3183,0)),"")</f>
        <v/>
      </c>
      <c r="E1990" s="29">
        <f>IFERROR(INDEX($R$4:$R$3183,MATCH(SMALL($V$4:$V$3183,1987),$V$4:$V$3183,0)),"")</f>
        <v/>
      </c>
      <c r="F1990">
        <f>IFERROR(INDEX($S$4:$S$3183,MATCH(SMALL($V$4:$V$3183,1987),$V$4:$V$3183,0)),"")</f>
        <v/>
      </c>
      <c r="I1990" s="29">
        <f>IF($B1990="","",IFERROR(INDEX($U$4:$U$3183,MATCH(SMALL($V$4:$V$3183,1987),$V$4:$V$3183,0)),""))</f>
        <v/>
      </c>
      <c r="J1990">
        <f>IF($B1990="","",IF($D1990&gt;$F$2,"À venir",IF($E1990&lt;$D$2,"Passé","Dans la période")))</f>
        <v/>
      </c>
      <c r="K1990">
        <f>IF(OR($B1990="",NOT(ISNUMBER($D1990))),"",IF(AND($E1990&lt;$D$2,$G1990&lt;&gt;"X",$F1990&lt;&gt;"Réalisé",$F1990&lt;&gt;"Clôturé"),"RETARD",""))</f>
        <v/>
      </c>
      <c r="L1990">
        <f>IF(OR($B1990="",NOT(ISNUMBER($D1990))),"",IF(AND($D1990&gt;=$D$2,$D1990&lt;=$H$2,$G1990&lt;&gt;"X",$F1990&lt;&gt;"Réalisé",$F1990&lt;&gt;"Clôturé"),"≤ 7 j",""))</f>
        <v/>
      </c>
      <c r="M1990" s="29">
        <f>IF($B1990="","",IFERROR(INDEX($T$4:$T$3183,MATCH(SMALL($V$4:$V$3183,1987),$V$4:$V$3183,0)),""))</f>
        <v/>
      </c>
      <c r="O1990">
        <f>IF(INDEX(Suivi!$B:$B,2028)="","",INDEX(Suivi!$B:$B,2028))</f>
        <v/>
      </c>
      <c r="P1990">
        <f>IF($O1990="","",IF(INDEX(Suivi!$D:$D,2028)="",INDEX(Suivi!$C:$C,2028),INDEX(Suivi!$D:$D,2028)))</f>
        <v/>
      </c>
      <c r="Q1990">
        <f>IF($O1990="","",INDEX(Suivi!$E:$E,2028))</f>
        <v/>
      </c>
      <c r="R1990">
        <f>IF($O1990="","",INDEX(Suivi!$F:$F,2028))</f>
        <v/>
      </c>
      <c r="S1990">
        <f>IF($O1990="","",INDEX(Suivi!$G:$G,2028))</f>
        <v/>
      </c>
      <c r="T1990">
        <f>IF($O1990="","",IF(INDEX(Dossiers!$F$4:$F$63,38)="","",INDEX(Dossiers!$F$4:$F$63,38)))</f>
        <v/>
      </c>
      <c r="U1990">
        <f>IF($O1990="","",IF(INDEX(Dossiers!$G$4:$G$63,38)="","",INDEX(Dossiers!$G$4:$G$63,38)))</f>
        <v/>
      </c>
      <c r="V1990">
        <f>IF(OR($O1990="",NOT(ISNUMBER($Q1990))),"",$Q1990*1000000+1990)</f>
        <v/>
      </c>
      <c r="W1990" s="29">
        <f>IF($B1990="","",IFERROR(INDEX($U$4:$U$3183,MATCH(SMALL($V$4:$V$3183,1987),$V$4:$V$3183,0)),""))</f>
        <v/>
      </c>
    </row>
    <row r="1991">
      <c r="A1991">
        <f>IFERROR(INDEX($N$4:$N$3183,MATCH(SMALL($V$4:$V$3183,1988),$V$4:$V$3183,0)),"")</f>
        <v/>
      </c>
      <c r="B1991">
        <f>IFERROR(INDEX($O$4:$O$3183,MATCH(SMALL($V$4:$V$3183,1988),$V$4:$V$3183,0)),"")</f>
        <v/>
      </c>
      <c r="C1991">
        <f>IFERROR(INDEX($P$4:$P$3183,MATCH(SMALL($V$4:$V$3183,1988),$V$4:$V$3183,0)),"")</f>
        <v/>
      </c>
      <c r="D1991" s="29">
        <f>IFERROR(INDEX($Q$4:$Q$3183,MATCH(SMALL($V$4:$V$3183,1988),$V$4:$V$3183,0)),"")</f>
        <v/>
      </c>
      <c r="E1991" s="29">
        <f>IFERROR(INDEX($R$4:$R$3183,MATCH(SMALL($V$4:$V$3183,1988),$V$4:$V$3183,0)),"")</f>
        <v/>
      </c>
      <c r="F1991">
        <f>IFERROR(INDEX($S$4:$S$3183,MATCH(SMALL($V$4:$V$3183,1988),$V$4:$V$3183,0)),"")</f>
        <v/>
      </c>
      <c r="I1991" s="29">
        <f>IF($B1991="","",IFERROR(INDEX($U$4:$U$3183,MATCH(SMALL($V$4:$V$3183,1988),$V$4:$V$3183,0)),""))</f>
        <v/>
      </c>
      <c r="J1991">
        <f>IF($B1991="","",IF($D1991&gt;$F$2,"À venir",IF($E1991&lt;$D$2,"Passé","Dans la période")))</f>
        <v/>
      </c>
      <c r="K1991">
        <f>IF(OR($B1991="",NOT(ISNUMBER($D1991))),"",IF(AND($E1991&lt;$D$2,$G1991&lt;&gt;"X",$F1991&lt;&gt;"Réalisé",$F1991&lt;&gt;"Clôturé"),"RETARD",""))</f>
        <v/>
      </c>
      <c r="L1991">
        <f>IF(OR($B1991="",NOT(ISNUMBER($D1991))),"",IF(AND($D1991&gt;=$D$2,$D1991&lt;=$H$2,$G1991&lt;&gt;"X",$F1991&lt;&gt;"Réalisé",$F1991&lt;&gt;"Clôturé"),"≤ 7 j",""))</f>
        <v/>
      </c>
      <c r="M1991" s="29">
        <f>IF($B1991="","",IFERROR(INDEX($T$4:$T$3183,MATCH(SMALL($V$4:$V$3183,1988),$V$4:$V$3183,0)),""))</f>
        <v/>
      </c>
      <c r="O1991">
        <f>IF(INDEX(Suivi!$B:$B,2029)="","",INDEX(Suivi!$B:$B,2029))</f>
        <v/>
      </c>
      <c r="P1991">
        <f>IF($O1991="","",IF(INDEX(Suivi!$D:$D,2029)="",INDEX(Suivi!$C:$C,2029),INDEX(Suivi!$D:$D,2029)))</f>
        <v/>
      </c>
      <c r="Q1991">
        <f>IF($O1991="","",INDEX(Suivi!$E:$E,2029))</f>
        <v/>
      </c>
      <c r="R1991">
        <f>IF($O1991="","",INDEX(Suivi!$F:$F,2029))</f>
        <v/>
      </c>
      <c r="S1991">
        <f>IF($O1991="","",INDEX(Suivi!$G:$G,2029))</f>
        <v/>
      </c>
      <c r="T1991">
        <f>IF($O1991="","",IF(INDEX(Dossiers!$F$4:$F$63,38)="","",INDEX(Dossiers!$F$4:$F$63,38)))</f>
        <v/>
      </c>
      <c r="U1991">
        <f>IF($O1991="","",IF(INDEX(Dossiers!$G$4:$G$63,38)="","",INDEX(Dossiers!$G$4:$G$63,38)))</f>
        <v/>
      </c>
      <c r="V1991">
        <f>IF(OR($O1991="",NOT(ISNUMBER($Q1991))),"",$Q1991*1000000+1991)</f>
        <v/>
      </c>
      <c r="W1991" s="29">
        <f>IF($B1991="","",IFERROR(INDEX($U$4:$U$3183,MATCH(SMALL($V$4:$V$3183,1988),$V$4:$V$3183,0)),""))</f>
        <v/>
      </c>
    </row>
    <row r="1992">
      <c r="A1992">
        <f>IFERROR(INDEX($N$4:$N$3183,MATCH(SMALL($V$4:$V$3183,1989),$V$4:$V$3183,0)),"")</f>
        <v/>
      </c>
      <c r="B1992">
        <f>IFERROR(INDEX($O$4:$O$3183,MATCH(SMALL($V$4:$V$3183,1989),$V$4:$V$3183,0)),"")</f>
        <v/>
      </c>
      <c r="C1992">
        <f>IFERROR(INDEX($P$4:$P$3183,MATCH(SMALL($V$4:$V$3183,1989),$V$4:$V$3183,0)),"")</f>
        <v/>
      </c>
      <c r="D1992" s="29">
        <f>IFERROR(INDEX($Q$4:$Q$3183,MATCH(SMALL($V$4:$V$3183,1989),$V$4:$V$3183,0)),"")</f>
        <v/>
      </c>
      <c r="E1992" s="29">
        <f>IFERROR(INDEX($R$4:$R$3183,MATCH(SMALL($V$4:$V$3183,1989),$V$4:$V$3183,0)),"")</f>
        <v/>
      </c>
      <c r="F1992">
        <f>IFERROR(INDEX($S$4:$S$3183,MATCH(SMALL($V$4:$V$3183,1989),$V$4:$V$3183,0)),"")</f>
        <v/>
      </c>
      <c r="I1992" s="29">
        <f>IF($B1992="","",IFERROR(INDEX($U$4:$U$3183,MATCH(SMALL($V$4:$V$3183,1989),$V$4:$V$3183,0)),""))</f>
        <v/>
      </c>
      <c r="J1992">
        <f>IF($B1992="","",IF($D1992&gt;$F$2,"À venir",IF($E1992&lt;$D$2,"Passé","Dans la période")))</f>
        <v/>
      </c>
      <c r="K1992">
        <f>IF(OR($B1992="",NOT(ISNUMBER($D1992))),"",IF(AND($E1992&lt;$D$2,$G1992&lt;&gt;"X",$F1992&lt;&gt;"Réalisé",$F1992&lt;&gt;"Clôturé"),"RETARD",""))</f>
        <v/>
      </c>
      <c r="L1992">
        <f>IF(OR($B1992="",NOT(ISNUMBER($D1992))),"",IF(AND($D1992&gt;=$D$2,$D1992&lt;=$H$2,$G1992&lt;&gt;"X",$F1992&lt;&gt;"Réalisé",$F1992&lt;&gt;"Clôturé"),"≤ 7 j",""))</f>
        <v/>
      </c>
      <c r="M1992" s="29">
        <f>IF($B1992="","",IFERROR(INDEX($T$4:$T$3183,MATCH(SMALL($V$4:$V$3183,1989),$V$4:$V$3183,0)),""))</f>
        <v/>
      </c>
      <c r="O1992">
        <f>IF(INDEX(Suivi!$B:$B,2030)="","",INDEX(Suivi!$B:$B,2030))</f>
        <v/>
      </c>
      <c r="P1992">
        <f>IF($O1992="","",IF(INDEX(Suivi!$D:$D,2030)="",INDEX(Suivi!$C:$C,2030),INDEX(Suivi!$D:$D,2030)))</f>
        <v/>
      </c>
      <c r="Q1992">
        <f>IF($O1992="","",INDEX(Suivi!$E:$E,2030))</f>
        <v/>
      </c>
      <c r="R1992">
        <f>IF($O1992="","",INDEX(Suivi!$F:$F,2030))</f>
        <v/>
      </c>
      <c r="S1992">
        <f>IF($O1992="","",INDEX(Suivi!$G:$G,2030))</f>
        <v/>
      </c>
      <c r="T1992">
        <f>IF($O1992="","",IF(INDEX(Dossiers!$F$4:$F$63,38)="","",INDEX(Dossiers!$F$4:$F$63,38)))</f>
        <v/>
      </c>
      <c r="U1992">
        <f>IF($O1992="","",IF(INDEX(Dossiers!$G$4:$G$63,38)="","",INDEX(Dossiers!$G$4:$G$63,38)))</f>
        <v/>
      </c>
      <c r="V1992">
        <f>IF(OR($O1992="",NOT(ISNUMBER($Q1992))),"",$Q1992*1000000+1992)</f>
        <v/>
      </c>
      <c r="W1992" s="29">
        <f>IF($B1992="","",IFERROR(INDEX($U$4:$U$3183,MATCH(SMALL($V$4:$V$3183,1989),$V$4:$V$3183,0)),""))</f>
        <v/>
      </c>
    </row>
    <row r="1993">
      <c r="A1993">
        <f>IFERROR(INDEX($N$4:$N$3183,MATCH(SMALL($V$4:$V$3183,1990),$V$4:$V$3183,0)),"")</f>
        <v/>
      </c>
      <c r="B1993">
        <f>IFERROR(INDEX($O$4:$O$3183,MATCH(SMALL($V$4:$V$3183,1990),$V$4:$V$3183,0)),"")</f>
        <v/>
      </c>
      <c r="C1993">
        <f>IFERROR(INDEX($P$4:$P$3183,MATCH(SMALL($V$4:$V$3183,1990),$V$4:$V$3183,0)),"")</f>
        <v/>
      </c>
      <c r="D1993" s="29">
        <f>IFERROR(INDEX($Q$4:$Q$3183,MATCH(SMALL($V$4:$V$3183,1990),$V$4:$V$3183,0)),"")</f>
        <v/>
      </c>
      <c r="E1993" s="29">
        <f>IFERROR(INDEX($R$4:$R$3183,MATCH(SMALL($V$4:$V$3183,1990),$V$4:$V$3183,0)),"")</f>
        <v/>
      </c>
      <c r="F1993">
        <f>IFERROR(INDEX($S$4:$S$3183,MATCH(SMALL($V$4:$V$3183,1990),$V$4:$V$3183,0)),"")</f>
        <v/>
      </c>
      <c r="I1993" s="29">
        <f>IF($B1993="","",IFERROR(INDEX($U$4:$U$3183,MATCH(SMALL($V$4:$V$3183,1990),$V$4:$V$3183,0)),""))</f>
        <v/>
      </c>
      <c r="J1993">
        <f>IF($B1993="","",IF($D1993&gt;$F$2,"À venir",IF($E1993&lt;$D$2,"Passé","Dans la période")))</f>
        <v/>
      </c>
      <c r="K1993">
        <f>IF(OR($B1993="",NOT(ISNUMBER($D1993))),"",IF(AND($E1993&lt;$D$2,$G1993&lt;&gt;"X",$F1993&lt;&gt;"Réalisé",$F1993&lt;&gt;"Clôturé"),"RETARD",""))</f>
        <v/>
      </c>
      <c r="L1993">
        <f>IF(OR($B1993="",NOT(ISNUMBER($D1993))),"",IF(AND($D1993&gt;=$D$2,$D1993&lt;=$H$2,$G1993&lt;&gt;"X",$F1993&lt;&gt;"Réalisé",$F1993&lt;&gt;"Clôturé"),"≤ 7 j",""))</f>
        <v/>
      </c>
      <c r="M1993" s="29">
        <f>IF($B1993="","",IFERROR(INDEX($T$4:$T$3183,MATCH(SMALL($V$4:$V$3183,1990),$V$4:$V$3183,0)),""))</f>
        <v/>
      </c>
      <c r="O1993">
        <f>IF(INDEX(Suivi!$B:$B,2031)="","",INDEX(Suivi!$B:$B,2031))</f>
        <v/>
      </c>
      <c r="P1993">
        <f>IF($O1993="","",IF(INDEX(Suivi!$D:$D,2031)="",INDEX(Suivi!$C:$C,2031),INDEX(Suivi!$D:$D,2031)))</f>
        <v/>
      </c>
      <c r="Q1993">
        <f>IF($O1993="","",INDEX(Suivi!$E:$E,2031))</f>
        <v/>
      </c>
      <c r="R1993">
        <f>IF($O1993="","",INDEX(Suivi!$F:$F,2031))</f>
        <v/>
      </c>
      <c r="S1993">
        <f>IF($O1993="","",INDEX(Suivi!$G:$G,2031))</f>
        <v/>
      </c>
      <c r="T1993">
        <f>IF($O1993="","",IF(INDEX(Dossiers!$F$4:$F$63,38)="","",INDEX(Dossiers!$F$4:$F$63,38)))</f>
        <v/>
      </c>
      <c r="U1993">
        <f>IF($O1993="","",IF(INDEX(Dossiers!$G$4:$G$63,38)="","",INDEX(Dossiers!$G$4:$G$63,38)))</f>
        <v/>
      </c>
      <c r="V1993">
        <f>IF(OR($O1993="",NOT(ISNUMBER($Q1993))),"",$Q1993*1000000+1993)</f>
        <v/>
      </c>
      <c r="W1993" s="29">
        <f>IF($B1993="","",IFERROR(INDEX($U$4:$U$3183,MATCH(SMALL($V$4:$V$3183,1990),$V$4:$V$3183,0)),""))</f>
        <v/>
      </c>
    </row>
    <row r="1994">
      <c r="A1994">
        <f>IFERROR(INDEX($N$4:$N$3183,MATCH(SMALL($V$4:$V$3183,1991),$V$4:$V$3183,0)),"")</f>
        <v/>
      </c>
      <c r="B1994">
        <f>IFERROR(INDEX($O$4:$O$3183,MATCH(SMALL($V$4:$V$3183,1991),$V$4:$V$3183,0)),"")</f>
        <v/>
      </c>
      <c r="C1994">
        <f>IFERROR(INDEX($P$4:$P$3183,MATCH(SMALL($V$4:$V$3183,1991),$V$4:$V$3183,0)),"")</f>
        <v/>
      </c>
      <c r="D1994" s="29">
        <f>IFERROR(INDEX($Q$4:$Q$3183,MATCH(SMALL($V$4:$V$3183,1991),$V$4:$V$3183,0)),"")</f>
        <v/>
      </c>
      <c r="E1994" s="29">
        <f>IFERROR(INDEX($R$4:$R$3183,MATCH(SMALL($V$4:$V$3183,1991),$V$4:$V$3183,0)),"")</f>
        <v/>
      </c>
      <c r="F1994">
        <f>IFERROR(INDEX($S$4:$S$3183,MATCH(SMALL($V$4:$V$3183,1991),$V$4:$V$3183,0)),"")</f>
        <v/>
      </c>
      <c r="I1994" s="29">
        <f>IF($B1994="","",IFERROR(INDEX($U$4:$U$3183,MATCH(SMALL($V$4:$V$3183,1991),$V$4:$V$3183,0)),""))</f>
        <v/>
      </c>
      <c r="J1994">
        <f>IF($B1994="","",IF($D1994&gt;$F$2,"À venir",IF($E1994&lt;$D$2,"Passé","Dans la période")))</f>
        <v/>
      </c>
      <c r="K1994">
        <f>IF(OR($B1994="",NOT(ISNUMBER($D1994))),"",IF(AND($E1994&lt;$D$2,$G1994&lt;&gt;"X",$F1994&lt;&gt;"Réalisé",$F1994&lt;&gt;"Clôturé"),"RETARD",""))</f>
        <v/>
      </c>
      <c r="L1994">
        <f>IF(OR($B1994="",NOT(ISNUMBER($D1994))),"",IF(AND($D1994&gt;=$D$2,$D1994&lt;=$H$2,$G1994&lt;&gt;"X",$F1994&lt;&gt;"Réalisé",$F1994&lt;&gt;"Clôturé"),"≤ 7 j",""))</f>
        <v/>
      </c>
      <c r="M1994" s="29">
        <f>IF($B1994="","",IFERROR(INDEX($T$4:$T$3183,MATCH(SMALL($V$4:$V$3183,1991),$V$4:$V$3183,0)),""))</f>
        <v/>
      </c>
      <c r="O1994">
        <f>IF(INDEX(Suivi!$B:$B,2032)="","",INDEX(Suivi!$B:$B,2032))</f>
        <v/>
      </c>
      <c r="P1994">
        <f>IF($O1994="","",IF(INDEX(Suivi!$D:$D,2032)="",INDEX(Suivi!$C:$C,2032),INDEX(Suivi!$D:$D,2032)))</f>
        <v/>
      </c>
      <c r="Q1994">
        <f>IF($O1994="","",INDEX(Suivi!$E:$E,2032))</f>
        <v/>
      </c>
      <c r="R1994">
        <f>IF($O1994="","",INDEX(Suivi!$F:$F,2032))</f>
        <v/>
      </c>
      <c r="S1994">
        <f>IF($O1994="","",INDEX(Suivi!$G:$G,2032))</f>
        <v/>
      </c>
      <c r="T1994">
        <f>IF($O1994="","",IF(INDEX(Dossiers!$F$4:$F$63,38)="","",INDEX(Dossiers!$F$4:$F$63,38)))</f>
        <v/>
      </c>
      <c r="U1994">
        <f>IF($O1994="","",IF(INDEX(Dossiers!$G$4:$G$63,38)="","",INDEX(Dossiers!$G$4:$G$63,38)))</f>
        <v/>
      </c>
      <c r="V1994">
        <f>IF(OR($O1994="",NOT(ISNUMBER($Q1994))),"",$Q1994*1000000+1994)</f>
        <v/>
      </c>
      <c r="W1994" s="29">
        <f>IF($B1994="","",IFERROR(INDEX($U$4:$U$3183,MATCH(SMALL($V$4:$V$3183,1991),$V$4:$V$3183,0)),""))</f>
        <v/>
      </c>
    </row>
    <row r="1995">
      <c r="A1995">
        <f>IFERROR(INDEX($N$4:$N$3183,MATCH(SMALL($V$4:$V$3183,1992),$V$4:$V$3183,0)),"")</f>
        <v/>
      </c>
      <c r="B1995">
        <f>IFERROR(INDEX($O$4:$O$3183,MATCH(SMALL($V$4:$V$3183,1992),$V$4:$V$3183,0)),"")</f>
        <v/>
      </c>
      <c r="C1995">
        <f>IFERROR(INDEX($P$4:$P$3183,MATCH(SMALL($V$4:$V$3183,1992),$V$4:$V$3183,0)),"")</f>
        <v/>
      </c>
      <c r="D1995" s="29">
        <f>IFERROR(INDEX($Q$4:$Q$3183,MATCH(SMALL($V$4:$V$3183,1992),$V$4:$V$3183,0)),"")</f>
        <v/>
      </c>
      <c r="E1995" s="29">
        <f>IFERROR(INDEX($R$4:$R$3183,MATCH(SMALL($V$4:$V$3183,1992),$V$4:$V$3183,0)),"")</f>
        <v/>
      </c>
      <c r="F1995">
        <f>IFERROR(INDEX($S$4:$S$3183,MATCH(SMALL($V$4:$V$3183,1992),$V$4:$V$3183,0)),"")</f>
        <v/>
      </c>
      <c r="I1995" s="29">
        <f>IF($B1995="","",IFERROR(INDEX($U$4:$U$3183,MATCH(SMALL($V$4:$V$3183,1992),$V$4:$V$3183,0)),""))</f>
        <v/>
      </c>
      <c r="J1995">
        <f>IF($B1995="","",IF($D1995&gt;$F$2,"À venir",IF($E1995&lt;$D$2,"Passé","Dans la période")))</f>
        <v/>
      </c>
      <c r="K1995">
        <f>IF(OR($B1995="",NOT(ISNUMBER($D1995))),"",IF(AND($E1995&lt;$D$2,$G1995&lt;&gt;"X",$F1995&lt;&gt;"Réalisé",$F1995&lt;&gt;"Clôturé"),"RETARD",""))</f>
        <v/>
      </c>
      <c r="L1995">
        <f>IF(OR($B1995="",NOT(ISNUMBER($D1995))),"",IF(AND($D1995&gt;=$D$2,$D1995&lt;=$H$2,$G1995&lt;&gt;"X",$F1995&lt;&gt;"Réalisé",$F1995&lt;&gt;"Clôturé"),"≤ 7 j",""))</f>
        <v/>
      </c>
      <c r="M1995" s="29">
        <f>IF($B1995="","",IFERROR(INDEX($T$4:$T$3183,MATCH(SMALL($V$4:$V$3183,1992),$V$4:$V$3183,0)),""))</f>
        <v/>
      </c>
      <c r="O1995">
        <f>IF(INDEX(Suivi!$B:$B,2033)="","",INDEX(Suivi!$B:$B,2033))</f>
        <v/>
      </c>
      <c r="P1995">
        <f>IF($O1995="","",IF(INDEX(Suivi!$D:$D,2033)="",INDEX(Suivi!$C:$C,2033),INDEX(Suivi!$D:$D,2033)))</f>
        <v/>
      </c>
      <c r="Q1995">
        <f>IF($O1995="","",INDEX(Suivi!$E:$E,2033))</f>
        <v/>
      </c>
      <c r="R1995">
        <f>IF($O1995="","",INDEX(Suivi!$F:$F,2033))</f>
        <v/>
      </c>
      <c r="S1995">
        <f>IF($O1995="","",INDEX(Suivi!$G:$G,2033))</f>
        <v/>
      </c>
      <c r="T1995">
        <f>IF($O1995="","",IF(INDEX(Dossiers!$F$4:$F$63,38)="","",INDEX(Dossiers!$F$4:$F$63,38)))</f>
        <v/>
      </c>
      <c r="U1995">
        <f>IF($O1995="","",IF(INDEX(Dossiers!$G$4:$G$63,38)="","",INDEX(Dossiers!$G$4:$G$63,38)))</f>
        <v/>
      </c>
      <c r="V1995">
        <f>IF(OR($O1995="",NOT(ISNUMBER($Q1995))),"",$Q1995*1000000+1995)</f>
        <v/>
      </c>
      <c r="W1995" s="29">
        <f>IF($B1995="","",IFERROR(INDEX($U$4:$U$3183,MATCH(SMALL($V$4:$V$3183,1992),$V$4:$V$3183,0)),""))</f>
        <v/>
      </c>
    </row>
    <row r="1996">
      <c r="A1996">
        <f>IFERROR(INDEX($N$4:$N$3183,MATCH(SMALL($V$4:$V$3183,1993),$V$4:$V$3183,0)),"")</f>
        <v/>
      </c>
      <c r="B1996">
        <f>IFERROR(INDEX($O$4:$O$3183,MATCH(SMALL($V$4:$V$3183,1993),$V$4:$V$3183,0)),"")</f>
        <v/>
      </c>
      <c r="C1996">
        <f>IFERROR(INDEX($P$4:$P$3183,MATCH(SMALL($V$4:$V$3183,1993),$V$4:$V$3183,0)),"")</f>
        <v/>
      </c>
      <c r="D1996" s="29">
        <f>IFERROR(INDEX($Q$4:$Q$3183,MATCH(SMALL($V$4:$V$3183,1993),$V$4:$V$3183,0)),"")</f>
        <v/>
      </c>
      <c r="E1996" s="29">
        <f>IFERROR(INDEX($R$4:$R$3183,MATCH(SMALL($V$4:$V$3183,1993),$V$4:$V$3183,0)),"")</f>
        <v/>
      </c>
      <c r="F1996">
        <f>IFERROR(INDEX($S$4:$S$3183,MATCH(SMALL($V$4:$V$3183,1993),$V$4:$V$3183,0)),"")</f>
        <v/>
      </c>
      <c r="I1996" s="29">
        <f>IF($B1996="","",IFERROR(INDEX($U$4:$U$3183,MATCH(SMALL($V$4:$V$3183,1993),$V$4:$V$3183,0)),""))</f>
        <v/>
      </c>
      <c r="J1996">
        <f>IF($B1996="","",IF($D1996&gt;$F$2,"À venir",IF($E1996&lt;$D$2,"Passé","Dans la période")))</f>
        <v/>
      </c>
      <c r="K1996">
        <f>IF(OR($B1996="",NOT(ISNUMBER($D1996))),"",IF(AND($E1996&lt;$D$2,$G1996&lt;&gt;"X",$F1996&lt;&gt;"Réalisé",$F1996&lt;&gt;"Clôturé"),"RETARD",""))</f>
        <v/>
      </c>
      <c r="L1996">
        <f>IF(OR($B1996="",NOT(ISNUMBER($D1996))),"",IF(AND($D1996&gt;=$D$2,$D1996&lt;=$H$2,$G1996&lt;&gt;"X",$F1996&lt;&gt;"Réalisé",$F1996&lt;&gt;"Clôturé"),"≤ 7 j",""))</f>
        <v/>
      </c>
      <c r="M1996" s="29">
        <f>IF($B1996="","",IFERROR(INDEX($T$4:$T$3183,MATCH(SMALL($V$4:$V$3183,1993),$V$4:$V$3183,0)),""))</f>
        <v/>
      </c>
      <c r="O1996">
        <f>IF(INDEX(Suivi!$B:$B,2034)="","",INDEX(Suivi!$B:$B,2034))</f>
        <v/>
      </c>
      <c r="P1996">
        <f>IF($O1996="","",IF(INDEX(Suivi!$D:$D,2034)="",INDEX(Suivi!$C:$C,2034),INDEX(Suivi!$D:$D,2034)))</f>
        <v/>
      </c>
      <c r="Q1996">
        <f>IF($O1996="","",INDEX(Suivi!$E:$E,2034))</f>
        <v/>
      </c>
      <c r="R1996">
        <f>IF($O1996="","",INDEX(Suivi!$F:$F,2034))</f>
        <v/>
      </c>
      <c r="S1996">
        <f>IF($O1996="","",INDEX(Suivi!$G:$G,2034))</f>
        <v/>
      </c>
      <c r="T1996">
        <f>IF($O1996="","",IF(INDEX(Dossiers!$F$4:$F$63,38)="","",INDEX(Dossiers!$F$4:$F$63,38)))</f>
        <v/>
      </c>
      <c r="U1996">
        <f>IF($O1996="","",IF(INDEX(Dossiers!$G$4:$G$63,38)="","",INDEX(Dossiers!$G$4:$G$63,38)))</f>
        <v/>
      </c>
      <c r="V1996">
        <f>IF(OR($O1996="",NOT(ISNUMBER($Q1996))),"",$Q1996*1000000+1996)</f>
        <v/>
      </c>
      <c r="W1996" s="29">
        <f>IF($B1996="","",IFERROR(INDEX($U$4:$U$3183,MATCH(SMALL($V$4:$V$3183,1993),$V$4:$V$3183,0)),""))</f>
        <v/>
      </c>
    </row>
    <row r="1997">
      <c r="A1997">
        <f>IFERROR(INDEX($N$4:$N$3183,MATCH(SMALL($V$4:$V$3183,1994),$V$4:$V$3183,0)),"")</f>
        <v/>
      </c>
      <c r="B1997">
        <f>IFERROR(INDEX($O$4:$O$3183,MATCH(SMALL($V$4:$V$3183,1994),$V$4:$V$3183,0)),"")</f>
        <v/>
      </c>
      <c r="C1997">
        <f>IFERROR(INDEX($P$4:$P$3183,MATCH(SMALL($V$4:$V$3183,1994),$V$4:$V$3183,0)),"")</f>
        <v/>
      </c>
      <c r="D1997" s="29">
        <f>IFERROR(INDEX($Q$4:$Q$3183,MATCH(SMALL($V$4:$V$3183,1994),$V$4:$V$3183,0)),"")</f>
        <v/>
      </c>
      <c r="E1997" s="29">
        <f>IFERROR(INDEX($R$4:$R$3183,MATCH(SMALL($V$4:$V$3183,1994),$V$4:$V$3183,0)),"")</f>
        <v/>
      </c>
      <c r="F1997">
        <f>IFERROR(INDEX($S$4:$S$3183,MATCH(SMALL($V$4:$V$3183,1994),$V$4:$V$3183,0)),"")</f>
        <v/>
      </c>
      <c r="I1997" s="29">
        <f>IF($B1997="","",IFERROR(INDEX($U$4:$U$3183,MATCH(SMALL($V$4:$V$3183,1994),$V$4:$V$3183,0)),""))</f>
        <v/>
      </c>
      <c r="J1997">
        <f>IF($B1997="","",IF($D1997&gt;$F$2,"À venir",IF($E1997&lt;$D$2,"Passé","Dans la période")))</f>
        <v/>
      </c>
      <c r="K1997">
        <f>IF(OR($B1997="",NOT(ISNUMBER($D1997))),"",IF(AND($E1997&lt;$D$2,$G1997&lt;&gt;"X",$F1997&lt;&gt;"Réalisé",$F1997&lt;&gt;"Clôturé"),"RETARD",""))</f>
        <v/>
      </c>
      <c r="L1997">
        <f>IF(OR($B1997="",NOT(ISNUMBER($D1997))),"",IF(AND($D1997&gt;=$D$2,$D1997&lt;=$H$2,$G1997&lt;&gt;"X",$F1997&lt;&gt;"Réalisé",$F1997&lt;&gt;"Clôturé"),"≤ 7 j",""))</f>
        <v/>
      </c>
      <c r="M1997" s="29">
        <f>IF($B1997="","",IFERROR(INDEX($T$4:$T$3183,MATCH(SMALL($V$4:$V$3183,1994),$V$4:$V$3183,0)),""))</f>
        <v/>
      </c>
      <c r="O1997">
        <f>IF(INDEX(Suivi!$B:$B,2035)="","",INDEX(Suivi!$B:$B,2035))</f>
        <v/>
      </c>
      <c r="P1997">
        <f>IF($O1997="","",IF(INDEX(Suivi!$D:$D,2035)="",INDEX(Suivi!$C:$C,2035),INDEX(Suivi!$D:$D,2035)))</f>
        <v/>
      </c>
      <c r="Q1997">
        <f>IF($O1997="","",INDEX(Suivi!$E:$E,2035))</f>
        <v/>
      </c>
      <c r="R1997">
        <f>IF($O1997="","",INDEX(Suivi!$F:$F,2035))</f>
        <v/>
      </c>
      <c r="S1997">
        <f>IF($O1997="","",INDEX(Suivi!$G:$G,2035))</f>
        <v/>
      </c>
      <c r="T1997">
        <f>IF($O1997="","",IF(INDEX(Dossiers!$F$4:$F$63,38)="","",INDEX(Dossiers!$F$4:$F$63,38)))</f>
        <v/>
      </c>
      <c r="U1997">
        <f>IF($O1997="","",IF(INDEX(Dossiers!$G$4:$G$63,38)="","",INDEX(Dossiers!$G$4:$G$63,38)))</f>
        <v/>
      </c>
      <c r="V1997">
        <f>IF(OR($O1997="",NOT(ISNUMBER($Q1997))),"",$Q1997*1000000+1997)</f>
        <v/>
      </c>
      <c r="W1997" s="29">
        <f>IF($B1997="","",IFERROR(INDEX($U$4:$U$3183,MATCH(SMALL($V$4:$V$3183,1994),$V$4:$V$3183,0)),""))</f>
        <v/>
      </c>
    </row>
    <row r="1998">
      <c r="A1998">
        <f>IFERROR(INDEX($N$4:$N$3183,MATCH(SMALL($V$4:$V$3183,1995),$V$4:$V$3183,0)),"")</f>
        <v/>
      </c>
      <c r="B1998">
        <f>IFERROR(INDEX($O$4:$O$3183,MATCH(SMALL($V$4:$V$3183,1995),$V$4:$V$3183,0)),"")</f>
        <v/>
      </c>
      <c r="C1998">
        <f>IFERROR(INDEX($P$4:$P$3183,MATCH(SMALL($V$4:$V$3183,1995),$V$4:$V$3183,0)),"")</f>
        <v/>
      </c>
      <c r="D1998" s="29">
        <f>IFERROR(INDEX($Q$4:$Q$3183,MATCH(SMALL($V$4:$V$3183,1995),$V$4:$V$3183,0)),"")</f>
        <v/>
      </c>
      <c r="E1998" s="29">
        <f>IFERROR(INDEX($R$4:$R$3183,MATCH(SMALL($V$4:$V$3183,1995),$V$4:$V$3183,0)),"")</f>
        <v/>
      </c>
      <c r="F1998">
        <f>IFERROR(INDEX($S$4:$S$3183,MATCH(SMALL($V$4:$V$3183,1995),$V$4:$V$3183,0)),"")</f>
        <v/>
      </c>
      <c r="I1998" s="29">
        <f>IF($B1998="","",IFERROR(INDEX($U$4:$U$3183,MATCH(SMALL($V$4:$V$3183,1995),$V$4:$V$3183,0)),""))</f>
        <v/>
      </c>
      <c r="J1998">
        <f>IF($B1998="","",IF($D1998&gt;$F$2,"À venir",IF($E1998&lt;$D$2,"Passé","Dans la période")))</f>
        <v/>
      </c>
      <c r="K1998">
        <f>IF(OR($B1998="",NOT(ISNUMBER($D1998))),"",IF(AND($E1998&lt;$D$2,$G1998&lt;&gt;"X",$F1998&lt;&gt;"Réalisé",$F1998&lt;&gt;"Clôturé"),"RETARD",""))</f>
        <v/>
      </c>
      <c r="L1998">
        <f>IF(OR($B1998="",NOT(ISNUMBER($D1998))),"",IF(AND($D1998&gt;=$D$2,$D1998&lt;=$H$2,$G1998&lt;&gt;"X",$F1998&lt;&gt;"Réalisé",$F1998&lt;&gt;"Clôturé"),"≤ 7 j",""))</f>
        <v/>
      </c>
      <c r="M1998" s="29">
        <f>IF($B1998="","",IFERROR(INDEX($T$4:$T$3183,MATCH(SMALL($V$4:$V$3183,1995),$V$4:$V$3183,0)),""))</f>
        <v/>
      </c>
      <c r="O1998">
        <f>IF(INDEX(Suivi!$B:$B,2036)="","",INDEX(Suivi!$B:$B,2036))</f>
        <v/>
      </c>
      <c r="P1998">
        <f>IF($O1998="","",IF(INDEX(Suivi!$D:$D,2036)="",INDEX(Suivi!$C:$C,2036),INDEX(Suivi!$D:$D,2036)))</f>
        <v/>
      </c>
      <c r="Q1998">
        <f>IF($O1998="","",INDEX(Suivi!$E:$E,2036))</f>
        <v/>
      </c>
      <c r="R1998">
        <f>IF($O1998="","",INDEX(Suivi!$F:$F,2036))</f>
        <v/>
      </c>
      <c r="S1998">
        <f>IF($O1998="","",INDEX(Suivi!$G:$G,2036))</f>
        <v/>
      </c>
      <c r="T1998">
        <f>IF($O1998="","",IF(INDEX(Dossiers!$F$4:$F$63,38)="","",INDEX(Dossiers!$F$4:$F$63,38)))</f>
        <v/>
      </c>
      <c r="U1998">
        <f>IF($O1998="","",IF(INDEX(Dossiers!$G$4:$G$63,38)="","",INDEX(Dossiers!$G$4:$G$63,38)))</f>
        <v/>
      </c>
      <c r="V1998">
        <f>IF(OR($O1998="",NOT(ISNUMBER($Q1998))),"",$Q1998*1000000+1998)</f>
        <v/>
      </c>
      <c r="W1998" s="29">
        <f>IF($B1998="","",IFERROR(INDEX($U$4:$U$3183,MATCH(SMALL($V$4:$V$3183,1995),$V$4:$V$3183,0)),""))</f>
        <v/>
      </c>
    </row>
    <row r="1999">
      <c r="A1999">
        <f>IFERROR(INDEX($N$4:$N$3183,MATCH(SMALL($V$4:$V$3183,1996),$V$4:$V$3183,0)),"")</f>
        <v/>
      </c>
      <c r="B1999">
        <f>IFERROR(INDEX($O$4:$O$3183,MATCH(SMALL($V$4:$V$3183,1996),$V$4:$V$3183,0)),"")</f>
        <v/>
      </c>
      <c r="C1999">
        <f>IFERROR(INDEX($P$4:$P$3183,MATCH(SMALL($V$4:$V$3183,1996),$V$4:$V$3183,0)),"")</f>
        <v/>
      </c>
      <c r="D1999" s="29">
        <f>IFERROR(INDEX($Q$4:$Q$3183,MATCH(SMALL($V$4:$V$3183,1996),$V$4:$V$3183,0)),"")</f>
        <v/>
      </c>
      <c r="E1999" s="29">
        <f>IFERROR(INDEX($R$4:$R$3183,MATCH(SMALL($V$4:$V$3183,1996),$V$4:$V$3183,0)),"")</f>
        <v/>
      </c>
      <c r="F1999">
        <f>IFERROR(INDEX($S$4:$S$3183,MATCH(SMALL($V$4:$V$3183,1996),$V$4:$V$3183,0)),"")</f>
        <v/>
      </c>
      <c r="I1999" s="29">
        <f>IF($B1999="","",IFERROR(INDEX($U$4:$U$3183,MATCH(SMALL($V$4:$V$3183,1996),$V$4:$V$3183,0)),""))</f>
        <v/>
      </c>
      <c r="J1999">
        <f>IF($B1999="","",IF($D1999&gt;$F$2,"À venir",IF($E1999&lt;$D$2,"Passé","Dans la période")))</f>
        <v/>
      </c>
      <c r="K1999">
        <f>IF(OR($B1999="",NOT(ISNUMBER($D1999))),"",IF(AND($E1999&lt;$D$2,$G1999&lt;&gt;"X",$F1999&lt;&gt;"Réalisé",$F1999&lt;&gt;"Clôturé"),"RETARD",""))</f>
        <v/>
      </c>
      <c r="L1999">
        <f>IF(OR($B1999="",NOT(ISNUMBER($D1999))),"",IF(AND($D1999&gt;=$D$2,$D1999&lt;=$H$2,$G1999&lt;&gt;"X",$F1999&lt;&gt;"Réalisé",$F1999&lt;&gt;"Clôturé"),"≤ 7 j",""))</f>
        <v/>
      </c>
      <c r="M1999" s="29">
        <f>IF($B1999="","",IFERROR(INDEX($T$4:$T$3183,MATCH(SMALL($V$4:$V$3183,1996),$V$4:$V$3183,0)),""))</f>
        <v/>
      </c>
      <c r="O1999">
        <f>IF(INDEX(Suivi!$B:$B,2037)="","",INDEX(Suivi!$B:$B,2037))</f>
        <v/>
      </c>
      <c r="P1999">
        <f>IF($O1999="","",IF(INDEX(Suivi!$D:$D,2037)="",INDEX(Suivi!$C:$C,2037),INDEX(Suivi!$D:$D,2037)))</f>
        <v/>
      </c>
      <c r="Q1999">
        <f>IF($O1999="","",INDEX(Suivi!$E:$E,2037))</f>
        <v/>
      </c>
      <c r="R1999">
        <f>IF($O1999="","",INDEX(Suivi!$F:$F,2037))</f>
        <v/>
      </c>
      <c r="S1999">
        <f>IF($O1999="","",INDEX(Suivi!$G:$G,2037))</f>
        <v/>
      </c>
      <c r="T1999">
        <f>IF($O1999="","",IF(INDEX(Dossiers!$F$4:$F$63,38)="","",INDEX(Dossiers!$F$4:$F$63,38)))</f>
        <v/>
      </c>
      <c r="U1999">
        <f>IF($O1999="","",IF(INDEX(Dossiers!$G$4:$G$63,38)="","",INDEX(Dossiers!$G$4:$G$63,38)))</f>
        <v/>
      </c>
      <c r="V1999">
        <f>IF(OR($O1999="",NOT(ISNUMBER($Q1999))),"",$Q1999*1000000+1999)</f>
        <v/>
      </c>
      <c r="W1999" s="29">
        <f>IF($B1999="","",IFERROR(INDEX($U$4:$U$3183,MATCH(SMALL($V$4:$V$3183,1996),$V$4:$V$3183,0)),""))</f>
        <v/>
      </c>
    </row>
    <row r="2000">
      <c r="A2000">
        <f>IFERROR(INDEX($N$4:$N$3183,MATCH(SMALL($V$4:$V$3183,1997),$V$4:$V$3183,0)),"")</f>
        <v/>
      </c>
      <c r="B2000">
        <f>IFERROR(INDEX($O$4:$O$3183,MATCH(SMALL($V$4:$V$3183,1997),$V$4:$V$3183,0)),"")</f>
        <v/>
      </c>
      <c r="C2000">
        <f>IFERROR(INDEX($P$4:$P$3183,MATCH(SMALL($V$4:$V$3183,1997),$V$4:$V$3183,0)),"")</f>
        <v/>
      </c>
      <c r="D2000" s="29">
        <f>IFERROR(INDEX($Q$4:$Q$3183,MATCH(SMALL($V$4:$V$3183,1997),$V$4:$V$3183,0)),"")</f>
        <v/>
      </c>
      <c r="E2000" s="29">
        <f>IFERROR(INDEX($R$4:$R$3183,MATCH(SMALL($V$4:$V$3183,1997),$V$4:$V$3183,0)),"")</f>
        <v/>
      </c>
      <c r="F2000">
        <f>IFERROR(INDEX($S$4:$S$3183,MATCH(SMALL($V$4:$V$3183,1997),$V$4:$V$3183,0)),"")</f>
        <v/>
      </c>
      <c r="I2000" s="29">
        <f>IF($B2000="","",IFERROR(INDEX($U$4:$U$3183,MATCH(SMALL($V$4:$V$3183,1997),$V$4:$V$3183,0)),""))</f>
        <v/>
      </c>
      <c r="J2000">
        <f>IF($B2000="","",IF($D2000&gt;$F$2,"À venir",IF($E2000&lt;$D$2,"Passé","Dans la période")))</f>
        <v/>
      </c>
      <c r="K2000">
        <f>IF(OR($B2000="",NOT(ISNUMBER($D2000))),"",IF(AND($E2000&lt;$D$2,$G2000&lt;&gt;"X",$F2000&lt;&gt;"Réalisé",$F2000&lt;&gt;"Clôturé"),"RETARD",""))</f>
        <v/>
      </c>
      <c r="L2000">
        <f>IF(OR($B2000="",NOT(ISNUMBER($D2000))),"",IF(AND($D2000&gt;=$D$2,$D2000&lt;=$H$2,$G2000&lt;&gt;"X",$F2000&lt;&gt;"Réalisé",$F2000&lt;&gt;"Clôturé"),"≤ 7 j",""))</f>
        <v/>
      </c>
      <c r="M2000" s="29">
        <f>IF($B2000="","",IFERROR(INDEX($T$4:$T$3183,MATCH(SMALL($V$4:$V$3183,1997),$V$4:$V$3183,0)),""))</f>
        <v/>
      </c>
      <c r="O2000">
        <f>IF(INDEX(Suivi!$B:$B,2038)="","",INDEX(Suivi!$B:$B,2038))</f>
        <v/>
      </c>
      <c r="P2000">
        <f>IF($O2000="","",IF(INDEX(Suivi!$D:$D,2038)="",INDEX(Suivi!$C:$C,2038),INDEX(Suivi!$D:$D,2038)))</f>
        <v/>
      </c>
      <c r="Q2000">
        <f>IF($O2000="","",INDEX(Suivi!$E:$E,2038))</f>
        <v/>
      </c>
      <c r="R2000">
        <f>IF($O2000="","",INDEX(Suivi!$F:$F,2038))</f>
        <v/>
      </c>
      <c r="S2000">
        <f>IF($O2000="","",INDEX(Suivi!$G:$G,2038))</f>
        <v/>
      </c>
      <c r="T2000">
        <f>IF($O2000="","",IF(INDEX(Dossiers!$F$4:$F$63,38)="","",INDEX(Dossiers!$F$4:$F$63,38)))</f>
        <v/>
      </c>
      <c r="U2000">
        <f>IF($O2000="","",IF(INDEX(Dossiers!$G$4:$G$63,38)="","",INDEX(Dossiers!$G$4:$G$63,38)))</f>
        <v/>
      </c>
      <c r="V2000">
        <f>IF(OR($O2000="",NOT(ISNUMBER($Q2000))),"",$Q2000*1000000+2000)</f>
        <v/>
      </c>
      <c r="W2000" s="29">
        <f>IF($B2000="","",IFERROR(INDEX($U$4:$U$3183,MATCH(SMALL($V$4:$V$3183,1997),$V$4:$V$3183,0)),""))</f>
        <v/>
      </c>
    </row>
    <row r="2001">
      <c r="A2001">
        <f>IFERROR(INDEX($N$4:$N$3183,MATCH(SMALL($V$4:$V$3183,1998),$V$4:$V$3183,0)),"")</f>
        <v/>
      </c>
      <c r="B2001">
        <f>IFERROR(INDEX($O$4:$O$3183,MATCH(SMALL($V$4:$V$3183,1998),$V$4:$V$3183,0)),"")</f>
        <v/>
      </c>
      <c r="C2001">
        <f>IFERROR(INDEX($P$4:$P$3183,MATCH(SMALL($V$4:$V$3183,1998),$V$4:$V$3183,0)),"")</f>
        <v/>
      </c>
      <c r="D2001" s="29">
        <f>IFERROR(INDEX($Q$4:$Q$3183,MATCH(SMALL($V$4:$V$3183,1998),$V$4:$V$3183,0)),"")</f>
        <v/>
      </c>
      <c r="E2001" s="29">
        <f>IFERROR(INDEX($R$4:$R$3183,MATCH(SMALL($V$4:$V$3183,1998),$V$4:$V$3183,0)),"")</f>
        <v/>
      </c>
      <c r="F2001">
        <f>IFERROR(INDEX($S$4:$S$3183,MATCH(SMALL($V$4:$V$3183,1998),$V$4:$V$3183,0)),"")</f>
        <v/>
      </c>
      <c r="I2001" s="29">
        <f>IF($B2001="","",IFERROR(INDEX($U$4:$U$3183,MATCH(SMALL($V$4:$V$3183,1998),$V$4:$V$3183,0)),""))</f>
        <v/>
      </c>
      <c r="J2001">
        <f>IF($B2001="","",IF($D2001&gt;$F$2,"À venir",IF($E2001&lt;$D$2,"Passé","Dans la période")))</f>
        <v/>
      </c>
      <c r="K2001">
        <f>IF(OR($B2001="",NOT(ISNUMBER($D2001))),"",IF(AND($E2001&lt;$D$2,$G2001&lt;&gt;"X",$F2001&lt;&gt;"Réalisé",$F2001&lt;&gt;"Clôturé"),"RETARD",""))</f>
        <v/>
      </c>
      <c r="L2001">
        <f>IF(OR($B2001="",NOT(ISNUMBER($D2001))),"",IF(AND($D2001&gt;=$D$2,$D2001&lt;=$H$2,$G2001&lt;&gt;"X",$F2001&lt;&gt;"Réalisé",$F2001&lt;&gt;"Clôturé"),"≤ 7 j",""))</f>
        <v/>
      </c>
      <c r="M2001" s="29">
        <f>IF($B2001="","",IFERROR(INDEX($T$4:$T$3183,MATCH(SMALL($V$4:$V$3183,1998),$V$4:$V$3183,0)),""))</f>
        <v/>
      </c>
      <c r="O2001">
        <f>IF(INDEX(Suivi!$B:$B,2039)="","",INDEX(Suivi!$B:$B,2039))</f>
        <v/>
      </c>
      <c r="P2001">
        <f>IF($O2001="","",IF(INDEX(Suivi!$D:$D,2039)="",INDEX(Suivi!$C:$C,2039),INDEX(Suivi!$D:$D,2039)))</f>
        <v/>
      </c>
      <c r="Q2001">
        <f>IF($O2001="","",INDEX(Suivi!$E:$E,2039))</f>
        <v/>
      </c>
      <c r="R2001">
        <f>IF($O2001="","",INDEX(Suivi!$F:$F,2039))</f>
        <v/>
      </c>
      <c r="S2001">
        <f>IF($O2001="","",INDEX(Suivi!$G:$G,2039))</f>
        <v/>
      </c>
      <c r="T2001">
        <f>IF($O2001="","",IF(INDEX(Dossiers!$F$4:$F$63,38)="","",INDEX(Dossiers!$F$4:$F$63,38)))</f>
        <v/>
      </c>
      <c r="U2001">
        <f>IF($O2001="","",IF(INDEX(Dossiers!$G$4:$G$63,38)="","",INDEX(Dossiers!$G$4:$G$63,38)))</f>
        <v/>
      </c>
      <c r="V2001">
        <f>IF(OR($O2001="",NOT(ISNUMBER($Q2001))),"",$Q2001*1000000+2001)</f>
        <v/>
      </c>
      <c r="W2001" s="29">
        <f>IF($B2001="","",IFERROR(INDEX($U$4:$U$3183,MATCH(SMALL($V$4:$V$3183,1998),$V$4:$V$3183,0)),""))</f>
        <v/>
      </c>
    </row>
    <row r="2002">
      <c r="A2002">
        <f>IFERROR(INDEX($N$4:$N$3183,MATCH(SMALL($V$4:$V$3183,1999),$V$4:$V$3183,0)),"")</f>
        <v/>
      </c>
      <c r="B2002">
        <f>IFERROR(INDEX($O$4:$O$3183,MATCH(SMALL($V$4:$V$3183,1999),$V$4:$V$3183,0)),"")</f>
        <v/>
      </c>
      <c r="C2002">
        <f>IFERROR(INDEX($P$4:$P$3183,MATCH(SMALL($V$4:$V$3183,1999),$V$4:$V$3183,0)),"")</f>
        <v/>
      </c>
      <c r="D2002" s="29">
        <f>IFERROR(INDEX($Q$4:$Q$3183,MATCH(SMALL($V$4:$V$3183,1999),$V$4:$V$3183,0)),"")</f>
        <v/>
      </c>
      <c r="E2002" s="29">
        <f>IFERROR(INDEX($R$4:$R$3183,MATCH(SMALL($V$4:$V$3183,1999),$V$4:$V$3183,0)),"")</f>
        <v/>
      </c>
      <c r="F2002">
        <f>IFERROR(INDEX($S$4:$S$3183,MATCH(SMALL($V$4:$V$3183,1999),$V$4:$V$3183,0)),"")</f>
        <v/>
      </c>
      <c r="I2002" s="29">
        <f>IF($B2002="","",IFERROR(INDEX($U$4:$U$3183,MATCH(SMALL($V$4:$V$3183,1999),$V$4:$V$3183,0)),""))</f>
        <v/>
      </c>
      <c r="J2002">
        <f>IF($B2002="","",IF($D2002&gt;$F$2,"À venir",IF($E2002&lt;$D$2,"Passé","Dans la période")))</f>
        <v/>
      </c>
      <c r="K2002">
        <f>IF(OR($B2002="",NOT(ISNUMBER($D2002))),"",IF(AND($E2002&lt;$D$2,$G2002&lt;&gt;"X",$F2002&lt;&gt;"Réalisé",$F2002&lt;&gt;"Clôturé"),"RETARD",""))</f>
        <v/>
      </c>
      <c r="L2002">
        <f>IF(OR($B2002="",NOT(ISNUMBER($D2002))),"",IF(AND($D2002&gt;=$D$2,$D2002&lt;=$H$2,$G2002&lt;&gt;"X",$F2002&lt;&gt;"Réalisé",$F2002&lt;&gt;"Clôturé"),"≤ 7 j",""))</f>
        <v/>
      </c>
      <c r="M2002" s="29">
        <f>IF($B2002="","",IFERROR(INDEX($T$4:$T$3183,MATCH(SMALL($V$4:$V$3183,1999),$V$4:$V$3183,0)),""))</f>
        <v/>
      </c>
      <c r="O2002">
        <f>IF(INDEX(Suivi!$B:$B,2040)="","",INDEX(Suivi!$B:$B,2040))</f>
        <v/>
      </c>
      <c r="P2002">
        <f>IF($O2002="","",IF(INDEX(Suivi!$D:$D,2040)="",INDEX(Suivi!$C:$C,2040),INDEX(Suivi!$D:$D,2040)))</f>
        <v/>
      </c>
      <c r="Q2002">
        <f>IF($O2002="","",INDEX(Suivi!$E:$E,2040))</f>
        <v/>
      </c>
      <c r="R2002">
        <f>IF($O2002="","",INDEX(Suivi!$F:$F,2040))</f>
        <v/>
      </c>
      <c r="S2002">
        <f>IF($O2002="","",INDEX(Suivi!$G:$G,2040))</f>
        <v/>
      </c>
      <c r="T2002">
        <f>IF($O2002="","",IF(INDEX(Dossiers!$F$4:$F$63,38)="","",INDEX(Dossiers!$F$4:$F$63,38)))</f>
        <v/>
      </c>
      <c r="U2002">
        <f>IF($O2002="","",IF(INDEX(Dossiers!$G$4:$G$63,38)="","",INDEX(Dossiers!$G$4:$G$63,38)))</f>
        <v/>
      </c>
      <c r="V2002">
        <f>IF(OR($O2002="",NOT(ISNUMBER($Q2002))),"",$Q2002*1000000+2002)</f>
        <v/>
      </c>
      <c r="W2002" s="29">
        <f>IF($B2002="","",IFERROR(INDEX($U$4:$U$3183,MATCH(SMALL($V$4:$V$3183,1999),$V$4:$V$3183,0)),""))</f>
        <v/>
      </c>
    </row>
    <row r="2003">
      <c r="A2003">
        <f>IFERROR(INDEX($N$4:$N$3183,MATCH(SMALL($V$4:$V$3183,2000),$V$4:$V$3183,0)),"")</f>
        <v/>
      </c>
      <c r="B2003">
        <f>IFERROR(INDEX($O$4:$O$3183,MATCH(SMALL($V$4:$V$3183,2000),$V$4:$V$3183,0)),"")</f>
        <v/>
      </c>
      <c r="C2003">
        <f>IFERROR(INDEX($P$4:$P$3183,MATCH(SMALL($V$4:$V$3183,2000),$V$4:$V$3183,0)),"")</f>
        <v/>
      </c>
      <c r="D2003" s="29">
        <f>IFERROR(INDEX($Q$4:$Q$3183,MATCH(SMALL($V$4:$V$3183,2000),$V$4:$V$3183,0)),"")</f>
        <v/>
      </c>
      <c r="E2003" s="29">
        <f>IFERROR(INDEX($R$4:$R$3183,MATCH(SMALL($V$4:$V$3183,2000),$V$4:$V$3183,0)),"")</f>
        <v/>
      </c>
      <c r="F2003">
        <f>IFERROR(INDEX($S$4:$S$3183,MATCH(SMALL($V$4:$V$3183,2000),$V$4:$V$3183,0)),"")</f>
        <v/>
      </c>
      <c r="I2003" s="29">
        <f>IF($B2003="","",IFERROR(INDEX($U$4:$U$3183,MATCH(SMALL($V$4:$V$3183,2000),$V$4:$V$3183,0)),""))</f>
        <v/>
      </c>
      <c r="J2003">
        <f>IF($B2003="","",IF($D2003&gt;$F$2,"À venir",IF($E2003&lt;$D$2,"Passé","Dans la période")))</f>
        <v/>
      </c>
      <c r="K2003">
        <f>IF(OR($B2003="",NOT(ISNUMBER($D2003))),"",IF(AND($E2003&lt;$D$2,$G2003&lt;&gt;"X",$F2003&lt;&gt;"Réalisé",$F2003&lt;&gt;"Clôturé"),"RETARD",""))</f>
        <v/>
      </c>
      <c r="L2003">
        <f>IF(OR($B2003="",NOT(ISNUMBER($D2003))),"",IF(AND($D2003&gt;=$D$2,$D2003&lt;=$H$2,$G2003&lt;&gt;"X",$F2003&lt;&gt;"Réalisé",$F2003&lt;&gt;"Clôturé"),"≤ 7 j",""))</f>
        <v/>
      </c>
      <c r="M2003" s="29">
        <f>IF($B2003="","",IFERROR(INDEX($T$4:$T$3183,MATCH(SMALL($V$4:$V$3183,2000),$V$4:$V$3183,0)),""))</f>
        <v/>
      </c>
      <c r="O2003">
        <f>IF(INDEX(Suivi!$B:$B,2041)="","",INDEX(Suivi!$B:$B,2041))</f>
        <v/>
      </c>
      <c r="P2003">
        <f>IF($O2003="","",IF(INDEX(Suivi!$D:$D,2041)="",INDEX(Suivi!$C:$C,2041),INDEX(Suivi!$D:$D,2041)))</f>
        <v/>
      </c>
      <c r="Q2003">
        <f>IF($O2003="","",INDEX(Suivi!$E:$E,2041))</f>
        <v/>
      </c>
      <c r="R2003">
        <f>IF($O2003="","",INDEX(Suivi!$F:$F,2041))</f>
        <v/>
      </c>
      <c r="S2003">
        <f>IF($O2003="","",INDEX(Suivi!$G:$G,2041))</f>
        <v/>
      </c>
      <c r="T2003">
        <f>IF($O2003="","",IF(INDEX(Dossiers!$F$4:$F$63,38)="","",INDEX(Dossiers!$F$4:$F$63,38)))</f>
        <v/>
      </c>
      <c r="U2003">
        <f>IF($O2003="","",IF(INDEX(Dossiers!$G$4:$G$63,38)="","",INDEX(Dossiers!$G$4:$G$63,38)))</f>
        <v/>
      </c>
      <c r="V2003">
        <f>IF(OR($O2003="",NOT(ISNUMBER($Q2003))),"",$Q2003*1000000+2003)</f>
        <v/>
      </c>
      <c r="W2003" s="29">
        <f>IF($B2003="","",IFERROR(INDEX($U$4:$U$3183,MATCH(SMALL($V$4:$V$3183,2000),$V$4:$V$3183,0)),""))</f>
        <v/>
      </c>
    </row>
    <row r="2004">
      <c r="A2004">
        <f>IFERROR(INDEX($N$4:$N$3183,MATCH(SMALL($V$4:$V$3183,2001),$V$4:$V$3183,0)),"")</f>
        <v/>
      </c>
      <c r="B2004">
        <f>IFERROR(INDEX($O$4:$O$3183,MATCH(SMALL($V$4:$V$3183,2001),$V$4:$V$3183,0)),"")</f>
        <v/>
      </c>
      <c r="C2004">
        <f>IFERROR(INDEX($P$4:$P$3183,MATCH(SMALL($V$4:$V$3183,2001),$V$4:$V$3183,0)),"")</f>
        <v/>
      </c>
      <c r="D2004" s="29">
        <f>IFERROR(INDEX($Q$4:$Q$3183,MATCH(SMALL($V$4:$V$3183,2001),$V$4:$V$3183,0)),"")</f>
        <v/>
      </c>
      <c r="E2004" s="29">
        <f>IFERROR(INDEX($R$4:$R$3183,MATCH(SMALL($V$4:$V$3183,2001),$V$4:$V$3183,0)),"")</f>
        <v/>
      </c>
      <c r="F2004">
        <f>IFERROR(INDEX($S$4:$S$3183,MATCH(SMALL($V$4:$V$3183,2001),$V$4:$V$3183,0)),"")</f>
        <v/>
      </c>
      <c r="I2004" s="29">
        <f>IF($B2004="","",IFERROR(INDEX($U$4:$U$3183,MATCH(SMALL($V$4:$V$3183,2001),$V$4:$V$3183,0)),""))</f>
        <v/>
      </c>
      <c r="J2004">
        <f>IF($B2004="","",IF($D2004&gt;$F$2,"À venir",IF($E2004&lt;$D$2,"Passé","Dans la période")))</f>
        <v/>
      </c>
      <c r="K2004">
        <f>IF(OR($B2004="",NOT(ISNUMBER($D2004))),"",IF(AND($E2004&lt;$D$2,$G2004&lt;&gt;"X",$F2004&lt;&gt;"Réalisé",$F2004&lt;&gt;"Clôturé"),"RETARD",""))</f>
        <v/>
      </c>
      <c r="L2004">
        <f>IF(OR($B2004="",NOT(ISNUMBER($D2004))),"",IF(AND($D2004&gt;=$D$2,$D2004&lt;=$H$2,$G2004&lt;&gt;"X",$F2004&lt;&gt;"Réalisé",$F2004&lt;&gt;"Clôturé"),"≤ 7 j",""))</f>
        <v/>
      </c>
      <c r="M2004" s="29">
        <f>IF($B2004="","",IFERROR(INDEX($T$4:$T$3183,MATCH(SMALL($V$4:$V$3183,2001),$V$4:$V$3183,0)),""))</f>
        <v/>
      </c>
      <c r="O2004">
        <f>IF(INDEX(Suivi!$B:$B,2042)="","",INDEX(Suivi!$B:$B,2042))</f>
        <v/>
      </c>
      <c r="P2004">
        <f>IF($O2004="","",IF(INDEX(Suivi!$D:$D,2042)="",INDEX(Suivi!$C:$C,2042),INDEX(Suivi!$D:$D,2042)))</f>
        <v/>
      </c>
      <c r="Q2004">
        <f>IF($O2004="","",INDEX(Suivi!$E:$E,2042))</f>
        <v/>
      </c>
      <c r="R2004">
        <f>IF($O2004="","",INDEX(Suivi!$F:$F,2042))</f>
        <v/>
      </c>
      <c r="S2004">
        <f>IF($O2004="","",INDEX(Suivi!$G:$G,2042))</f>
        <v/>
      </c>
      <c r="T2004">
        <f>IF($O2004="","",IF(INDEX(Dossiers!$F$4:$F$63,38)="","",INDEX(Dossiers!$F$4:$F$63,38)))</f>
        <v/>
      </c>
      <c r="U2004">
        <f>IF($O2004="","",IF(INDEX(Dossiers!$G$4:$G$63,38)="","",INDEX(Dossiers!$G$4:$G$63,38)))</f>
        <v/>
      </c>
      <c r="V2004">
        <f>IF(OR($O2004="",NOT(ISNUMBER($Q2004))),"",$Q2004*1000000+2004)</f>
        <v/>
      </c>
      <c r="W2004" s="29">
        <f>IF($B2004="","",IFERROR(INDEX($U$4:$U$3183,MATCH(SMALL($V$4:$V$3183,2001),$V$4:$V$3183,0)),""))</f>
        <v/>
      </c>
    </row>
    <row r="2005">
      <c r="A2005">
        <f>IFERROR(INDEX($N$4:$N$3183,MATCH(SMALL($V$4:$V$3183,2002),$V$4:$V$3183,0)),"")</f>
        <v/>
      </c>
      <c r="B2005">
        <f>IFERROR(INDEX($O$4:$O$3183,MATCH(SMALL($V$4:$V$3183,2002),$V$4:$V$3183,0)),"")</f>
        <v/>
      </c>
      <c r="C2005">
        <f>IFERROR(INDEX($P$4:$P$3183,MATCH(SMALL($V$4:$V$3183,2002),$V$4:$V$3183,0)),"")</f>
        <v/>
      </c>
      <c r="D2005" s="29">
        <f>IFERROR(INDEX($Q$4:$Q$3183,MATCH(SMALL($V$4:$V$3183,2002),$V$4:$V$3183,0)),"")</f>
        <v/>
      </c>
      <c r="E2005" s="29">
        <f>IFERROR(INDEX($R$4:$R$3183,MATCH(SMALL($V$4:$V$3183,2002),$V$4:$V$3183,0)),"")</f>
        <v/>
      </c>
      <c r="F2005">
        <f>IFERROR(INDEX($S$4:$S$3183,MATCH(SMALL($V$4:$V$3183,2002),$V$4:$V$3183,0)),"")</f>
        <v/>
      </c>
      <c r="I2005" s="29">
        <f>IF($B2005="","",IFERROR(INDEX($U$4:$U$3183,MATCH(SMALL($V$4:$V$3183,2002),$V$4:$V$3183,0)),""))</f>
        <v/>
      </c>
      <c r="J2005">
        <f>IF($B2005="","",IF($D2005&gt;$F$2,"À venir",IF($E2005&lt;$D$2,"Passé","Dans la période")))</f>
        <v/>
      </c>
      <c r="K2005">
        <f>IF(OR($B2005="",NOT(ISNUMBER($D2005))),"",IF(AND($E2005&lt;$D$2,$G2005&lt;&gt;"X",$F2005&lt;&gt;"Réalisé",$F2005&lt;&gt;"Clôturé"),"RETARD",""))</f>
        <v/>
      </c>
      <c r="L2005">
        <f>IF(OR($B2005="",NOT(ISNUMBER($D2005))),"",IF(AND($D2005&gt;=$D$2,$D2005&lt;=$H$2,$G2005&lt;&gt;"X",$F2005&lt;&gt;"Réalisé",$F2005&lt;&gt;"Clôturé"),"≤ 7 j",""))</f>
        <v/>
      </c>
      <c r="M2005" s="29">
        <f>IF($B2005="","",IFERROR(INDEX($T$4:$T$3183,MATCH(SMALL($V$4:$V$3183,2002),$V$4:$V$3183,0)),""))</f>
        <v/>
      </c>
      <c r="O2005">
        <f>IF(INDEX(Suivi!$B:$B,2043)="","",INDEX(Suivi!$B:$B,2043))</f>
        <v/>
      </c>
      <c r="P2005">
        <f>IF($O2005="","",IF(INDEX(Suivi!$D:$D,2043)="",INDEX(Suivi!$C:$C,2043),INDEX(Suivi!$D:$D,2043)))</f>
        <v/>
      </c>
      <c r="Q2005">
        <f>IF($O2005="","",INDEX(Suivi!$E:$E,2043))</f>
        <v/>
      </c>
      <c r="R2005">
        <f>IF($O2005="","",INDEX(Suivi!$F:$F,2043))</f>
        <v/>
      </c>
      <c r="S2005">
        <f>IF($O2005="","",INDEX(Suivi!$G:$G,2043))</f>
        <v/>
      </c>
      <c r="T2005">
        <f>IF($O2005="","",IF(INDEX(Dossiers!$F$4:$F$63,38)="","",INDEX(Dossiers!$F$4:$F$63,38)))</f>
        <v/>
      </c>
      <c r="U2005">
        <f>IF($O2005="","",IF(INDEX(Dossiers!$G$4:$G$63,38)="","",INDEX(Dossiers!$G$4:$G$63,38)))</f>
        <v/>
      </c>
      <c r="V2005">
        <f>IF(OR($O2005="",NOT(ISNUMBER($Q2005))),"",$Q2005*1000000+2005)</f>
        <v/>
      </c>
      <c r="W2005" s="29">
        <f>IF($B2005="","",IFERROR(INDEX($U$4:$U$3183,MATCH(SMALL($V$4:$V$3183,2002),$V$4:$V$3183,0)),""))</f>
        <v/>
      </c>
    </row>
    <row r="2006">
      <c r="A2006">
        <f>IFERROR(INDEX($N$4:$N$3183,MATCH(SMALL($V$4:$V$3183,2003),$V$4:$V$3183,0)),"")</f>
        <v/>
      </c>
      <c r="B2006">
        <f>IFERROR(INDEX($O$4:$O$3183,MATCH(SMALL($V$4:$V$3183,2003),$V$4:$V$3183,0)),"")</f>
        <v/>
      </c>
      <c r="C2006">
        <f>IFERROR(INDEX($P$4:$P$3183,MATCH(SMALL($V$4:$V$3183,2003),$V$4:$V$3183,0)),"")</f>
        <v/>
      </c>
      <c r="D2006" s="29">
        <f>IFERROR(INDEX($Q$4:$Q$3183,MATCH(SMALL($V$4:$V$3183,2003),$V$4:$V$3183,0)),"")</f>
        <v/>
      </c>
      <c r="E2006" s="29">
        <f>IFERROR(INDEX($R$4:$R$3183,MATCH(SMALL($V$4:$V$3183,2003),$V$4:$V$3183,0)),"")</f>
        <v/>
      </c>
      <c r="F2006">
        <f>IFERROR(INDEX($S$4:$S$3183,MATCH(SMALL($V$4:$V$3183,2003),$V$4:$V$3183,0)),"")</f>
        <v/>
      </c>
      <c r="I2006" s="29">
        <f>IF($B2006="","",IFERROR(INDEX($U$4:$U$3183,MATCH(SMALL($V$4:$V$3183,2003),$V$4:$V$3183,0)),""))</f>
        <v/>
      </c>
      <c r="J2006">
        <f>IF($B2006="","",IF($D2006&gt;$F$2,"À venir",IF($E2006&lt;$D$2,"Passé","Dans la période")))</f>
        <v/>
      </c>
      <c r="K2006">
        <f>IF(OR($B2006="",NOT(ISNUMBER($D2006))),"",IF(AND($E2006&lt;$D$2,$G2006&lt;&gt;"X",$F2006&lt;&gt;"Réalisé",$F2006&lt;&gt;"Clôturé"),"RETARD",""))</f>
        <v/>
      </c>
      <c r="L2006">
        <f>IF(OR($B2006="",NOT(ISNUMBER($D2006))),"",IF(AND($D2006&gt;=$D$2,$D2006&lt;=$H$2,$G2006&lt;&gt;"X",$F2006&lt;&gt;"Réalisé",$F2006&lt;&gt;"Clôturé"),"≤ 7 j",""))</f>
        <v/>
      </c>
      <c r="M2006" s="29">
        <f>IF($B2006="","",IFERROR(INDEX($T$4:$T$3183,MATCH(SMALL($V$4:$V$3183,2003),$V$4:$V$3183,0)),""))</f>
        <v/>
      </c>
      <c r="O2006">
        <f>IF(INDEX(Suivi!$B:$B,2044)="","",INDEX(Suivi!$B:$B,2044))</f>
        <v/>
      </c>
      <c r="P2006">
        <f>IF($O2006="","",IF(INDEX(Suivi!$D:$D,2044)="",INDEX(Suivi!$C:$C,2044),INDEX(Suivi!$D:$D,2044)))</f>
        <v/>
      </c>
      <c r="Q2006">
        <f>IF($O2006="","",INDEX(Suivi!$E:$E,2044))</f>
        <v/>
      </c>
      <c r="R2006">
        <f>IF($O2006="","",INDEX(Suivi!$F:$F,2044))</f>
        <v/>
      </c>
      <c r="S2006">
        <f>IF($O2006="","",INDEX(Suivi!$G:$G,2044))</f>
        <v/>
      </c>
      <c r="T2006">
        <f>IF($O2006="","",IF(INDEX(Dossiers!$F$4:$F$63,38)="","",INDEX(Dossiers!$F$4:$F$63,38)))</f>
        <v/>
      </c>
      <c r="U2006">
        <f>IF($O2006="","",IF(INDEX(Dossiers!$G$4:$G$63,38)="","",INDEX(Dossiers!$G$4:$G$63,38)))</f>
        <v/>
      </c>
      <c r="V2006">
        <f>IF(OR($O2006="",NOT(ISNUMBER($Q2006))),"",$Q2006*1000000+2006)</f>
        <v/>
      </c>
      <c r="W2006" s="29">
        <f>IF($B2006="","",IFERROR(INDEX($U$4:$U$3183,MATCH(SMALL($V$4:$V$3183,2003),$V$4:$V$3183,0)),""))</f>
        <v/>
      </c>
    </row>
    <row r="2007">
      <c r="A2007">
        <f>IFERROR(INDEX($N$4:$N$3183,MATCH(SMALL($V$4:$V$3183,2004),$V$4:$V$3183,0)),"")</f>
        <v/>
      </c>
      <c r="B2007">
        <f>IFERROR(INDEX($O$4:$O$3183,MATCH(SMALL($V$4:$V$3183,2004),$V$4:$V$3183,0)),"")</f>
        <v/>
      </c>
      <c r="C2007">
        <f>IFERROR(INDEX($P$4:$P$3183,MATCH(SMALL($V$4:$V$3183,2004),$V$4:$V$3183,0)),"")</f>
        <v/>
      </c>
      <c r="D2007" s="29">
        <f>IFERROR(INDEX($Q$4:$Q$3183,MATCH(SMALL($V$4:$V$3183,2004),$V$4:$V$3183,0)),"")</f>
        <v/>
      </c>
      <c r="E2007" s="29">
        <f>IFERROR(INDEX($R$4:$R$3183,MATCH(SMALL($V$4:$V$3183,2004),$V$4:$V$3183,0)),"")</f>
        <v/>
      </c>
      <c r="F2007">
        <f>IFERROR(INDEX($S$4:$S$3183,MATCH(SMALL($V$4:$V$3183,2004),$V$4:$V$3183,0)),"")</f>
        <v/>
      </c>
      <c r="I2007" s="29">
        <f>IF($B2007="","",IFERROR(INDEX($U$4:$U$3183,MATCH(SMALL($V$4:$V$3183,2004),$V$4:$V$3183,0)),""))</f>
        <v/>
      </c>
      <c r="J2007">
        <f>IF($B2007="","",IF($D2007&gt;$F$2,"À venir",IF($E2007&lt;$D$2,"Passé","Dans la période")))</f>
        <v/>
      </c>
      <c r="K2007">
        <f>IF(OR($B2007="",NOT(ISNUMBER($D2007))),"",IF(AND($E2007&lt;$D$2,$G2007&lt;&gt;"X",$F2007&lt;&gt;"Réalisé",$F2007&lt;&gt;"Clôturé"),"RETARD",""))</f>
        <v/>
      </c>
      <c r="L2007">
        <f>IF(OR($B2007="",NOT(ISNUMBER($D2007))),"",IF(AND($D2007&gt;=$D$2,$D2007&lt;=$H$2,$G2007&lt;&gt;"X",$F2007&lt;&gt;"Réalisé",$F2007&lt;&gt;"Clôturé"),"≤ 7 j",""))</f>
        <v/>
      </c>
      <c r="M2007" s="29">
        <f>IF($B2007="","",IFERROR(INDEX($T$4:$T$3183,MATCH(SMALL($V$4:$V$3183,2004),$V$4:$V$3183,0)),""))</f>
        <v/>
      </c>
      <c r="O2007">
        <f>IF(INDEX(Suivi!$B:$B,2045)="","",INDEX(Suivi!$B:$B,2045))</f>
        <v/>
      </c>
      <c r="P2007">
        <f>IF($O2007="","",IF(INDEX(Suivi!$D:$D,2045)="",INDEX(Suivi!$C:$C,2045),INDEX(Suivi!$D:$D,2045)))</f>
        <v/>
      </c>
      <c r="Q2007">
        <f>IF($O2007="","",INDEX(Suivi!$E:$E,2045))</f>
        <v/>
      </c>
      <c r="R2007">
        <f>IF($O2007="","",INDEX(Suivi!$F:$F,2045))</f>
        <v/>
      </c>
      <c r="S2007">
        <f>IF($O2007="","",INDEX(Suivi!$G:$G,2045))</f>
        <v/>
      </c>
      <c r="T2007">
        <f>IF($O2007="","",IF(INDEX(Dossiers!$F$4:$F$63,38)="","",INDEX(Dossiers!$F$4:$F$63,38)))</f>
        <v/>
      </c>
      <c r="U2007">
        <f>IF($O2007="","",IF(INDEX(Dossiers!$G$4:$G$63,38)="","",INDEX(Dossiers!$G$4:$G$63,38)))</f>
        <v/>
      </c>
      <c r="V2007">
        <f>IF(OR($O2007="",NOT(ISNUMBER($Q2007))),"",$Q2007*1000000+2007)</f>
        <v/>
      </c>
      <c r="W2007" s="29">
        <f>IF($B2007="","",IFERROR(INDEX($U$4:$U$3183,MATCH(SMALL($V$4:$V$3183,2004),$V$4:$V$3183,0)),""))</f>
        <v/>
      </c>
    </row>
    <row r="2008">
      <c r="A2008">
        <f>IFERROR(INDEX($N$4:$N$3183,MATCH(SMALL($V$4:$V$3183,2005),$V$4:$V$3183,0)),"")</f>
        <v/>
      </c>
      <c r="B2008">
        <f>IFERROR(INDEX($O$4:$O$3183,MATCH(SMALL($V$4:$V$3183,2005),$V$4:$V$3183,0)),"")</f>
        <v/>
      </c>
      <c r="C2008">
        <f>IFERROR(INDEX($P$4:$P$3183,MATCH(SMALL($V$4:$V$3183,2005),$V$4:$V$3183,0)),"")</f>
        <v/>
      </c>
      <c r="D2008" s="29">
        <f>IFERROR(INDEX($Q$4:$Q$3183,MATCH(SMALL($V$4:$V$3183,2005),$V$4:$V$3183,0)),"")</f>
        <v/>
      </c>
      <c r="E2008" s="29">
        <f>IFERROR(INDEX($R$4:$R$3183,MATCH(SMALL($V$4:$V$3183,2005),$V$4:$V$3183,0)),"")</f>
        <v/>
      </c>
      <c r="F2008">
        <f>IFERROR(INDEX($S$4:$S$3183,MATCH(SMALL($V$4:$V$3183,2005),$V$4:$V$3183,0)),"")</f>
        <v/>
      </c>
      <c r="I2008" s="29">
        <f>IF($B2008="","",IFERROR(INDEX($U$4:$U$3183,MATCH(SMALL($V$4:$V$3183,2005),$V$4:$V$3183,0)),""))</f>
        <v/>
      </c>
      <c r="J2008">
        <f>IF($B2008="","",IF($D2008&gt;$F$2,"À venir",IF($E2008&lt;$D$2,"Passé","Dans la période")))</f>
        <v/>
      </c>
      <c r="K2008">
        <f>IF(OR($B2008="",NOT(ISNUMBER($D2008))),"",IF(AND($E2008&lt;$D$2,$G2008&lt;&gt;"X",$F2008&lt;&gt;"Réalisé",$F2008&lt;&gt;"Clôturé"),"RETARD",""))</f>
        <v/>
      </c>
      <c r="L2008">
        <f>IF(OR($B2008="",NOT(ISNUMBER($D2008))),"",IF(AND($D2008&gt;=$D$2,$D2008&lt;=$H$2,$G2008&lt;&gt;"X",$F2008&lt;&gt;"Réalisé",$F2008&lt;&gt;"Clôturé"),"≤ 7 j",""))</f>
        <v/>
      </c>
      <c r="M2008" s="29">
        <f>IF($B2008="","",IFERROR(INDEX($T$4:$T$3183,MATCH(SMALL($V$4:$V$3183,2005),$V$4:$V$3183,0)),""))</f>
        <v/>
      </c>
      <c r="O2008">
        <f>IF(INDEX(Suivi!$B:$B,2046)="","",INDEX(Suivi!$B:$B,2046))</f>
        <v/>
      </c>
      <c r="P2008">
        <f>IF($O2008="","",IF(INDEX(Suivi!$D:$D,2046)="",INDEX(Suivi!$C:$C,2046),INDEX(Suivi!$D:$D,2046)))</f>
        <v/>
      </c>
      <c r="Q2008">
        <f>IF($O2008="","",INDEX(Suivi!$E:$E,2046))</f>
        <v/>
      </c>
      <c r="R2008">
        <f>IF($O2008="","",INDEX(Suivi!$F:$F,2046))</f>
        <v/>
      </c>
      <c r="S2008">
        <f>IF($O2008="","",INDEX(Suivi!$G:$G,2046))</f>
        <v/>
      </c>
      <c r="T2008">
        <f>IF($O2008="","",IF(INDEX(Dossiers!$F$4:$F$63,38)="","",INDEX(Dossiers!$F$4:$F$63,38)))</f>
        <v/>
      </c>
      <c r="U2008">
        <f>IF($O2008="","",IF(INDEX(Dossiers!$G$4:$G$63,38)="","",INDEX(Dossiers!$G$4:$G$63,38)))</f>
        <v/>
      </c>
      <c r="V2008">
        <f>IF(OR($O2008="",NOT(ISNUMBER($Q2008))),"",$Q2008*1000000+2008)</f>
        <v/>
      </c>
      <c r="W2008" s="29">
        <f>IF($B2008="","",IFERROR(INDEX($U$4:$U$3183,MATCH(SMALL($V$4:$V$3183,2005),$V$4:$V$3183,0)),""))</f>
        <v/>
      </c>
    </row>
    <row r="2009">
      <c r="A2009">
        <f>IFERROR(INDEX($N$4:$N$3183,MATCH(SMALL($V$4:$V$3183,2006),$V$4:$V$3183,0)),"")</f>
        <v/>
      </c>
      <c r="B2009">
        <f>IFERROR(INDEX($O$4:$O$3183,MATCH(SMALL($V$4:$V$3183,2006),$V$4:$V$3183,0)),"")</f>
        <v/>
      </c>
      <c r="C2009">
        <f>IFERROR(INDEX($P$4:$P$3183,MATCH(SMALL($V$4:$V$3183,2006),$V$4:$V$3183,0)),"")</f>
        <v/>
      </c>
      <c r="D2009" s="29">
        <f>IFERROR(INDEX($Q$4:$Q$3183,MATCH(SMALL($V$4:$V$3183,2006),$V$4:$V$3183,0)),"")</f>
        <v/>
      </c>
      <c r="E2009" s="29">
        <f>IFERROR(INDEX($R$4:$R$3183,MATCH(SMALL($V$4:$V$3183,2006),$V$4:$V$3183,0)),"")</f>
        <v/>
      </c>
      <c r="F2009">
        <f>IFERROR(INDEX($S$4:$S$3183,MATCH(SMALL($V$4:$V$3183,2006),$V$4:$V$3183,0)),"")</f>
        <v/>
      </c>
      <c r="I2009" s="29">
        <f>IF($B2009="","",IFERROR(INDEX($U$4:$U$3183,MATCH(SMALL($V$4:$V$3183,2006),$V$4:$V$3183,0)),""))</f>
        <v/>
      </c>
      <c r="J2009">
        <f>IF($B2009="","",IF($D2009&gt;$F$2,"À venir",IF($E2009&lt;$D$2,"Passé","Dans la période")))</f>
        <v/>
      </c>
      <c r="K2009">
        <f>IF(OR($B2009="",NOT(ISNUMBER($D2009))),"",IF(AND($E2009&lt;$D$2,$G2009&lt;&gt;"X",$F2009&lt;&gt;"Réalisé",$F2009&lt;&gt;"Clôturé"),"RETARD",""))</f>
        <v/>
      </c>
      <c r="L2009">
        <f>IF(OR($B2009="",NOT(ISNUMBER($D2009))),"",IF(AND($D2009&gt;=$D$2,$D2009&lt;=$H$2,$G2009&lt;&gt;"X",$F2009&lt;&gt;"Réalisé",$F2009&lt;&gt;"Clôturé"),"≤ 7 j",""))</f>
        <v/>
      </c>
      <c r="M2009" s="29">
        <f>IF($B2009="","",IFERROR(INDEX($T$4:$T$3183,MATCH(SMALL($V$4:$V$3183,2006),$V$4:$V$3183,0)),""))</f>
        <v/>
      </c>
      <c r="O2009">
        <f>IF(INDEX(Suivi!$B:$B,2047)="","",INDEX(Suivi!$B:$B,2047))</f>
        <v/>
      </c>
      <c r="P2009">
        <f>IF($O2009="","",IF(INDEX(Suivi!$D:$D,2047)="",INDEX(Suivi!$C:$C,2047),INDEX(Suivi!$D:$D,2047)))</f>
        <v/>
      </c>
      <c r="Q2009">
        <f>IF($O2009="","",INDEX(Suivi!$E:$E,2047))</f>
        <v/>
      </c>
      <c r="R2009">
        <f>IF($O2009="","",INDEX(Suivi!$F:$F,2047))</f>
        <v/>
      </c>
      <c r="S2009">
        <f>IF($O2009="","",INDEX(Suivi!$G:$G,2047))</f>
        <v/>
      </c>
      <c r="T2009">
        <f>IF($O2009="","",IF(INDEX(Dossiers!$F$4:$F$63,38)="","",INDEX(Dossiers!$F$4:$F$63,38)))</f>
        <v/>
      </c>
      <c r="U2009">
        <f>IF($O2009="","",IF(INDEX(Dossiers!$G$4:$G$63,38)="","",INDEX(Dossiers!$G$4:$G$63,38)))</f>
        <v/>
      </c>
      <c r="V2009">
        <f>IF(OR($O2009="",NOT(ISNUMBER($Q2009))),"",$Q2009*1000000+2009)</f>
        <v/>
      </c>
      <c r="W2009" s="29">
        <f>IF($B2009="","",IFERROR(INDEX($U$4:$U$3183,MATCH(SMALL($V$4:$V$3183,2006),$V$4:$V$3183,0)),""))</f>
        <v/>
      </c>
    </row>
    <row r="2010">
      <c r="A2010">
        <f>IFERROR(INDEX($N$4:$N$3183,MATCH(SMALL($V$4:$V$3183,2007),$V$4:$V$3183,0)),"")</f>
        <v/>
      </c>
      <c r="B2010">
        <f>IFERROR(INDEX($O$4:$O$3183,MATCH(SMALL($V$4:$V$3183,2007),$V$4:$V$3183,0)),"")</f>
        <v/>
      </c>
      <c r="C2010">
        <f>IFERROR(INDEX($P$4:$P$3183,MATCH(SMALL($V$4:$V$3183,2007),$V$4:$V$3183,0)),"")</f>
        <v/>
      </c>
      <c r="D2010" s="29">
        <f>IFERROR(INDEX($Q$4:$Q$3183,MATCH(SMALL($V$4:$V$3183,2007),$V$4:$V$3183,0)),"")</f>
        <v/>
      </c>
      <c r="E2010" s="29">
        <f>IFERROR(INDEX($R$4:$R$3183,MATCH(SMALL($V$4:$V$3183,2007),$V$4:$V$3183,0)),"")</f>
        <v/>
      </c>
      <c r="F2010">
        <f>IFERROR(INDEX($S$4:$S$3183,MATCH(SMALL($V$4:$V$3183,2007),$V$4:$V$3183,0)),"")</f>
        <v/>
      </c>
      <c r="I2010" s="29">
        <f>IF($B2010="","",IFERROR(INDEX($U$4:$U$3183,MATCH(SMALL($V$4:$V$3183,2007),$V$4:$V$3183,0)),""))</f>
        <v/>
      </c>
      <c r="J2010">
        <f>IF($B2010="","",IF($D2010&gt;$F$2,"À venir",IF($E2010&lt;$D$2,"Passé","Dans la période")))</f>
        <v/>
      </c>
      <c r="K2010">
        <f>IF(OR($B2010="",NOT(ISNUMBER($D2010))),"",IF(AND($E2010&lt;$D$2,$G2010&lt;&gt;"X",$F2010&lt;&gt;"Réalisé",$F2010&lt;&gt;"Clôturé"),"RETARD",""))</f>
        <v/>
      </c>
      <c r="L2010">
        <f>IF(OR($B2010="",NOT(ISNUMBER($D2010))),"",IF(AND($D2010&gt;=$D$2,$D2010&lt;=$H$2,$G2010&lt;&gt;"X",$F2010&lt;&gt;"Réalisé",$F2010&lt;&gt;"Clôturé"),"≤ 7 j",""))</f>
        <v/>
      </c>
      <c r="M2010" s="29">
        <f>IF($B2010="","",IFERROR(INDEX($T$4:$T$3183,MATCH(SMALL($V$4:$V$3183,2007),$V$4:$V$3183,0)),""))</f>
        <v/>
      </c>
      <c r="O2010">
        <f>IF(INDEX(Suivi!$B:$B,2048)="","",INDEX(Suivi!$B:$B,2048))</f>
        <v/>
      </c>
      <c r="P2010">
        <f>IF($O2010="","",IF(INDEX(Suivi!$D:$D,2048)="",INDEX(Suivi!$C:$C,2048),INDEX(Suivi!$D:$D,2048)))</f>
        <v/>
      </c>
      <c r="Q2010">
        <f>IF($O2010="","",INDEX(Suivi!$E:$E,2048))</f>
        <v/>
      </c>
      <c r="R2010">
        <f>IF($O2010="","",INDEX(Suivi!$F:$F,2048))</f>
        <v/>
      </c>
      <c r="S2010">
        <f>IF($O2010="","",INDEX(Suivi!$G:$G,2048))</f>
        <v/>
      </c>
      <c r="T2010">
        <f>IF($O2010="","",IF(INDEX(Dossiers!$F$4:$F$63,38)="","",INDEX(Dossiers!$F$4:$F$63,38)))</f>
        <v/>
      </c>
      <c r="U2010">
        <f>IF($O2010="","",IF(INDEX(Dossiers!$G$4:$G$63,38)="","",INDEX(Dossiers!$G$4:$G$63,38)))</f>
        <v/>
      </c>
      <c r="V2010">
        <f>IF(OR($O2010="",NOT(ISNUMBER($Q2010))),"",$Q2010*1000000+2010)</f>
        <v/>
      </c>
      <c r="W2010" s="29">
        <f>IF($B2010="","",IFERROR(INDEX($U$4:$U$3183,MATCH(SMALL($V$4:$V$3183,2007),$V$4:$V$3183,0)),""))</f>
        <v/>
      </c>
    </row>
    <row r="2011">
      <c r="A2011">
        <f>IFERROR(INDEX($N$4:$N$3183,MATCH(SMALL($V$4:$V$3183,2008),$V$4:$V$3183,0)),"")</f>
        <v/>
      </c>
      <c r="B2011">
        <f>IFERROR(INDEX($O$4:$O$3183,MATCH(SMALL($V$4:$V$3183,2008),$V$4:$V$3183,0)),"")</f>
        <v/>
      </c>
      <c r="C2011">
        <f>IFERROR(INDEX($P$4:$P$3183,MATCH(SMALL($V$4:$V$3183,2008),$V$4:$V$3183,0)),"")</f>
        <v/>
      </c>
      <c r="D2011" s="29">
        <f>IFERROR(INDEX($Q$4:$Q$3183,MATCH(SMALL($V$4:$V$3183,2008),$V$4:$V$3183,0)),"")</f>
        <v/>
      </c>
      <c r="E2011" s="29">
        <f>IFERROR(INDEX($R$4:$R$3183,MATCH(SMALL($V$4:$V$3183,2008),$V$4:$V$3183,0)),"")</f>
        <v/>
      </c>
      <c r="F2011">
        <f>IFERROR(INDEX($S$4:$S$3183,MATCH(SMALL($V$4:$V$3183,2008),$V$4:$V$3183,0)),"")</f>
        <v/>
      </c>
      <c r="I2011" s="29">
        <f>IF($B2011="","",IFERROR(INDEX($U$4:$U$3183,MATCH(SMALL($V$4:$V$3183,2008),$V$4:$V$3183,0)),""))</f>
        <v/>
      </c>
      <c r="J2011">
        <f>IF($B2011="","",IF($D2011&gt;$F$2,"À venir",IF($E2011&lt;$D$2,"Passé","Dans la période")))</f>
        <v/>
      </c>
      <c r="K2011">
        <f>IF(OR($B2011="",NOT(ISNUMBER($D2011))),"",IF(AND($E2011&lt;$D$2,$G2011&lt;&gt;"X",$F2011&lt;&gt;"Réalisé",$F2011&lt;&gt;"Clôturé"),"RETARD",""))</f>
        <v/>
      </c>
      <c r="L2011">
        <f>IF(OR($B2011="",NOT(ISNUMBER($D2011))),"",IF(AND($D2011&gt;=$D$2,$D2011&lt;=$H$2,$G2011&lt;&gt;"X",$F2011&lt;&gt;"Réalisé",$F2011&lt;&gt;"Clôturé"),"≤ 7 j",""))</f>
        <v/>
      </c>
      <c r="M2011" s="29">
        <f>IF($B2011="","",IFERROR(INDEX($T$4:$T$3183,MATCH(SMALL($V$4:$V$3183,2008),$V$4:$V$3183,0)),""))</f>
        <v/>
      </c>
      <c r="O2011">
        <f>IF(INDEX(Suivi!$B:$B,2049)="","",INDEX(Suivi!$B:$B,2049))</f>
        <v/>
      </c>
      <c r="P2011">
        <f>IF($O2011="","",IF(INDEX(Suivi!$D:$D,2049)="",INDEX(Suivi!$C:$C,2049),INDEX(Suivi!$D:$D,2049)))</f>
        <v/>
      </c>
      <c r="Q2011">
        <f>IF($O2011="","",INDEX(Suivi!$E:$E,2049))</f>
        <v/>
      </c>
      <c r="R2011">
        <f>IF($O2011="","",INDEX(Suivi!$F:$F,2049))</f>
        <v/>
      </c>
      <c r="S2011">
        <f>IF($O2011="","",INDEX(Suivi!$G:$G,2049))</f>
        <v/>
      </c>
      <c r="T2011">
        <f>IF($O2011="","",IF(INDEX(Dossiers!$F$4:$F$63,38)="","",INDEX(Dossiers!$F$4:$F$63,38)))</f>
        <v/>
      </c>
      <c r="U2011">
        <f>IF($O2011="","",IF(INDEX(Dossiers!$G$4:$G$63,38)="","",INDEX(Dossiers!$G$4:$G$63,38)))</f>
        <v/>
      </c>
      <c r="V2011">
        <f>IF(OR($O2011="",NOT(ISNUMBER($Q2011))),"",$Q2011*1000000+2011)</f>
        <v/>
      </c>
      <c r="W2011" s="29">
        <f>IF($B2011="","",IFERROR(INDEX($U$4:$U$3183,MATCH(SMALL($V$4:$V$3183,2008),$V$4:$V$3183,0)),""))</f>
        <v/>
      </c>
    </row>
    <row r="2012">
      <c r="A2012">
        <f>IFERROR(INDEX($N$4:$N$3183,MATCH(SMALL($V$4:$V$3183,2009),$V$4:$V$3183,0)),"")</f>
        <v/>
      </c>
      <c r="B2012">
        <f>IFERROR(INDEX($O$4:$O$3183,MATCH(SMALL($V$4:$V$3183,2009),$V$4:$V$3183,0)),"")</f>
        <v/>
      </c>
      <c r="C2012">
        <f>IFERROR(INDEX($P$4:$P$3183,MATCH(SMALL($V$4:$V$3183,2009),$V$4:$V$3183,0)),"")</f>
        <v/>
      </c>
      <c r="D2012" s="29">
        <f>IFERROR(INDEX($Q$4:$Q$3183,MATCH(SMALL($V$4:$V$3183,2009),$V$4:$V$3183,0)),"")</f>
        <v/>
      </c>
      <c r="E2012" s="29">
        <f>IFERROR(INDEX($R$4:$R$3183,MATCH(SMALL($V$4:$V$3183,2009),$V$4:$V$3183,0)),"")</f>
        <v/>
      </c>
      <c r="F2012">
        <f>IFERROR(INDEX($S$4:$S$3183,MATCH(SMALL($V$4:$V$3183,2009),$V$4:$V$3183,0)),"")</f>
        <v/>
      </c>
      <c r="I2012" s="29">
        <f>IF($B2012="","",IFERROR(INDEX($U$4:$U$3183,MATCH(SMALL($V$4:$V$3183,2009),$V$4:$V$3183,0)),""))</f>
        <v/>
      </c>
      <c r="J2012">
        <f>IF($B2012="","",IF($D2012&gt;$F$2,"À venir",IF($E2012&lt;$D$2,"Passé","Dans la période")))</f>
        <v/>
      </c>
      <c r="K2012">
        <f>IF(OR($B2012="",NOT(ISNUMBER($D2012))),"",IF(AND($E2012&lt;$D$2,$G2012&lt;&gt;"X",$F2012&lt;&gt;"Réalisé",$F2012&lt;&gt;"Clôturé"),"RETARD",""))</f>
        <v/>
      </c>
      <c r="L2012">
        <f>IF(OR($B2012="",NOT(ISNUMBER($D2012))),"",IF(AND($D2012&gt;=$D$2,$D2012&lt;=$H$2,$G2012&lt;&gt;"X",$F2012&lt;&gt;"Réalisé",$F2012&lt;&gt;"Clôturé"),"≤ 7 j",""))</f>
        <v/>
      </c>
      <c r="M2012" s="29">
        <f>IF($B2012="","",IFERROR(INDEX($T$4:$T$3183,MATCH(SMALL($V$4:$V$3183,2009),$V$4:$V$3183,0)),""))</f>
        <v/>
      </c>
      <c r="O2012">
        <f>IF(INDEX(Suivi!$B:$B,2050)="","",INDEX(Suivi!$B:$B,2050))</f>
        <v/>
      </c>
      <c r="P2012">
        <f>IF($O2012="","",IF(INDEX(Suivi!$D:$D,2050)="",INDEX(Suivi!$C:$C,2050),INDEX(Suivi!$D:$D,2050)))</f>
        <v/>
      </c>
      <c r="Q2012">
        <f>IF($O2012="","",INDEX(Suivi!$E:$E,2050))</f>
        <v/>
      </c>
      <c r="R2012">
        <f>IF($O2012="","",INDEX(Suivi!$F:$F,2050))</f>
        <v/>
      </c>
      <c r="S2012">
        <f>IF($O2012="","",INDEX(Suivi!$G:$G,2050))</f>
        <v/>
      </c>
      <c r="T2012">
        <f>IF($O2012="","",IF(INDEX(Dossiers!$F$4:$F$63,38)="","",INDEX(Dossiers!$F$4:$F$63,38)))</f>
        <v/>
      </c>
      <c r="U2012">
        <f>IF($O2012="","",IF(INDEX(Dossiers!$G$4:$G$63,38)="","",INDEX(Dossiers!$G$4:$G$63,38)))</f>
        <v/>
      </c>
      <c r="V2012">
        <f>IF(OR($O2012="",NOT(ISNUMBER($Q2012))),"",$Q2012*1000000+2012)</f>
        <v/>
      </c>
      <c r="W2012" s="29">
        <f>IF($B2012="","",IFERROR(INDEX($U$4:$U$3183,MATCH(SMALL($V$4:$V$3183,2009),$V$4:$V$3183,0)),""))</f>
        <v/>
      </c>
    </row>
    <row r="2013">
      <c r="A2013">
        <f>IFERROR(INDEX($N$4:$N$3183,MATCH(SMALL($V$4:$V$3183,2010),$V$4:$V$3183,0)),"")</f>
        <v/>
      </c>
      <c r="B2013">
        <f>IFERROR(INDEX($O$4:$O$3183,MATCH(SMALL($V$4:$V$3183,2010),$V$4:$V$3183,0)),"")</f>
        <v/>
      </c>
      <c r="C2013">
        <f>IFERROR(INDEX($P$4:$P$3183,MATCH(SMALL($V$4:$V$3183,2010),$V$4:$V$3183,0)),"")</f>
        <v/>
      </c>
      <c r="D2013" s="29">
        <f>IFERROR(INDEX($Q$4:$Q$3183,MATCH(SMALL($V$4:$V$3183,2010),$V$4:$V$3183,0)),"")</f>
        <v/>
      </c>
      <c r="E2013" s="29">
        <f>IFERROR(INDEX($R$4:$R$3183,MATCH(SMALL($V$4:$V$3183,2010),$V$4:$V$3183,0)),"")</f>
        <v/>
      </c>
      <c r="F2013">
        <f>IFERROR(INDEX($S$4:$S$3183,MATCH(SMALL($V$4:$V$3183,2010),$V$4:$V$3183,0)),"")</f>
        <v/>
      </c>
      <c r="I2013" s="29">
        <f>IF($B2013="","",IFERROR(INDEX($U$4:$U$3183,MATCH(SMALL($V$4:$V$3183,2010),$V$4:$V$3183,0)),""))</f>
        <v/>
      </c>
      <c r="J2013">
        <f>IF($B2013="","",IF($D2013&gt;$F$2,"À venir",IF($E2013&lt;$D$2,"Passé","Dans la période")))</f>
        <v/>
      </c>
      <c r="K2013">
        <f>IF(OR($B2013="",NOT(ISNUMBER($D2013))),"",IF(AND($E2013&lt;$D$2,$G2013&lt;&gt;"X",$F2013&lt;&gt;"Réalisé",$F2013&lt;&gt;"Clôturé"),"RETARD",""))</f>
        <v/>
      </c>
      <c r="L2013">
        <f>IF(OR($B2013="",NOT(ISNUMBER($D2013))),"",IF(AND($D2013&gt;=$D$2,$D2013&lt;=$H$2,$G2013&lt;&gt;"X",$F2013&lt;&gt;"Réalisé",$F2013&lt;&gt;"Clôturé"),"≤ 7 j",""))</f>
        <v/>
      </c>
      <c r="M2013" s="29">
        <f>IF($B2013="","",IFERROR(INDEX($T$4:$T$3183,MATCH(SMALL($V$4:$V$3183,2010),$V$4:$V$3183,0)),""))</f>
        <v/>
      </c>
      <c r="O2013">
        <f>IF(INDEX(Suivi!$B:$B,2051)="","",INDEX(Suivi!$B:$B,2051))</f>
        <v/>
      </c>
      <c r="P2013">
        <f>IF($O2013="","",IF(INDEX(Suivi!$D:$D,2051)="",INDEX(Suivi!$C:$C,2051),INDEX(Suivi!$D:$D,2051)))</f>
        <v/>
      </c>
      <c r="Q2013">
        <f>IF($O2013="","",INDEX(Suivi!$E:$E,2051))</f>
        <v/>
      </c>
      <c r="R2013">
        <f>IF($O2013="","",INDEX(Suivi!$F:$F,2051))</f>
        <v/>
      </c>
      <c r="S2013">
        <f>IF($O2013="","",INDEX(Suivi!$G:$G,2051))</f>
        <v/>
      </c>
      <c r="T2013">
        <f>IF($O2013="","",IF(INDEX(Dossiers!$F$4:$F$63,38)="","",INDEX(Dossiers!$F$4:$F$63,38)))</f>
        <v/>
      </c>
      <c r="U2013">
        <f>IF($O2013="","",IF(INDEX(Dossiers!$G$4:$G$63,38)="","",INDEX(Dossiers!$G$4:$G$63,38)))</f>
        <v/>
      </c>
      <c r="V2013">
        <f>IF(OR($O2013="",NOT(ISNUMBER($Q2013))),"",$Q2013*1000000+2013)</f>
        <v/>
      </c>
      <c r="W2013" s="29">
        <f>IF($B2013="","",IFERROR(INDEX($U$4:$U$3183,MATCH(SMALL($V$4:$V$3183,2010),$V$4:$V$3183,0)),""))</f>
        <v/>
      </c>
    </row>
    <row r="2014">
      <c r="A2014">
        <f>IFERROR(INDEX($N$4:$N$3183,MATCH(SMALL($V$4:$V$3183,2011),$V$4:$V$3183,0)),"")</f>
        <v/>
      </c>
      <c r="B2014">
        <f>IFERROR(INDEX($O$4:$O$3183,MATCH(SMALL($V$4:$V$3183,2011),$V$4:$V$3183,0)),"")</f>
        <v/>
      </c>
      <c r="C2014">
        <f>IFERROR(INDEX($P$4:$P$3183,MATCH(SMALL($V$4:$V$3183,2011),$V$4:$V$3183,0)),"")</f>
        <v/>
      </c>
      <c r="D2014" s="29">
        <f>IFERROR(INDEX($Q$4:$Q$3183,MATCH(SMALL($V$4:$V$3183,2011),$V$4:$V$3183,0)),"")</f>
        <v/>
      </c>
      <c r="E2014" s="29">
        <f>IFERROR(INDEX($R$4:$R$3183,MATCH(SMALL($V$4:$V$3183,2011),$V$4:$V$3183,0)),"")</f>
        <v/>
      </c>
      <c r="F2014">
        <f>IFERROR(INDEX($S$4:$S$3183,MATCH(SMALL($V$4:$V$3183,2011),$V$4:$V$3183,0)),"")</f>
        <v/>
      </c>
      <c r="I2014" s="29">
        <f>IF($B2014="","",IFERROR(INDEX($U$4:$U$3183,MATCH(SMALL($V$4:$V$3183,2011),$V$4:$V$3183,0)),""))</f>
        <v/>
      </c>
      <c r="J2014">
        <f>IF($B2014="","",IF($D2014&gt;$F$2,"À venir",IF($E2014&lt;$D$2,"Passé","Dans la période")))</f>
        <v/>
      </c>
      <c r="K2014">
        <f>IF(OR($B2014="",NOT(ISNUMBER($D2014))),"",IF(AND($E2014&lt;$D$2,$G2014&lt;&gt;"X",$F2014&lt;&gt;"Réalisé",$F2014&lt;&gt;"Clôturé"),"RETARD",""))</f>
        <v/>
      </c>
      <c r="L2014">
        <f>IF(OR($B2014="",NOT(ISNUMBER($D2014))),"",IF(AND($D2014&gt;=$D$2,$D2014&lt;=$H$2,$G2014&lt;&gt;"X",$F2014&lt;&gt;"Réalisé",$F2014&lt;&gt;"Clôturé"),"≤ 7 j",""))</f>
        <v/>
      </c>
      <c r="M2014" s="29">
        <f>IF($B2014="","",IFERROR(INDEX($T$4:$T$3183,MATCH(SMALL($V$4:$V$3183,2011),$V$4:$V$3183,0)),""))</f>
        <v/>
      </c>
      <c r="O2014">
        <f>IF(INDEX(Suivi!$B:$B,2052)="","",INDEX(Suivi!$B:$B,2052))</f>
        <v/>
      </c>
      <c r="P2014">
        <f>IF($O2014="","",IF(INDEX(Suivi!$D:$D,2052)="",INDEX(Suivi!$C:$C,2052),INDEX(Suivi!$D:$D,2052)))</f>
        <v/>
      </c>
      <c r="Q2014">
        <f>IF($O2014="","",INDEX(Suivi!$E:$E,2052))</f>
        <v/>
      </c>
      <c r="R2014">
        <f>IF($O2014="","",INDEX(Suivi!$F:$F,2052))</f>
        <v/>
      </c>
      <c r="S2014">
        <f>IF($O2014="","",INDEX(Suivi!$G:$G,2052))</f>
        <v/>
      </c>
      <c r="T2014">
        <f>IF($O2014="","",IF(INDEX(Dossiers!$F$4:$F$63,38)="","",INDEX(Dossiers!$F$4:$F$63,38)))</f>
        <v/>
      </c>
      <c r="U2014">
        <f>IF($O2014="","",IF(INDEX(Dossiers!$G$4:$G$63,38)="","",INDEX(Dossiers!$G$4:$G$63,38)))</f>
        <v/>
      </c>
      <c r="V2014">
        <f>IF(OR($O2014="",NOT(ISNUMBER($Q2014))),"",$Q2014*1000000+2014)</f>
        <v/>
      </c>
      <c r="W2014" s="29">
        <f>IF($B2014="","",IFERROR(INDEX($U$4:$U$3183,MATCH(SMALL($V$4:$V$3183,2011),$V$4:$V$3183,0)),""))</f>
        <v/>
      </c>
    </row>
    <row r="2015">
      <c r="A2015">
        <f>IFERROR(INDEX($N$4:$N$3183,MATCH(SMALL($V$4:$V$3183,2012),$V$4:$V$3183,0)),"")</f>
        <v/>
      </c>
      <c r="B2015">
        <f>IFERROR(INDEX($O$4:$O$3183,MATCH(SMALL($V$4:$V$3183,2012),$V$4:$V$3183,0)),"")</f>
        <v/>
      </c>
      <c r="C2015">
        <f>IFERROR(INDEX($P$4:$P$3183,MATCH(SMALL($V$4:$V$3183,2012),$V$4:$V$3183,0)),"")</f>
        <v/>
      </c>
      <c r="D2015" s="29">
        <f>IFERROR(INDEX($Q$4:$Q$3183,MATCH(SMALL($V$4:$V$3183,2012),$V$4:$V$3183,0)),"")</f>
        <v/>
      </c>
      <c r="E2015" s="29">
        <f>IFERROR(INDEX($R$4:$R$3183,MATCH(SMALL($V$4:$V$3183,2012),$V$4:$V$3183,0)),"")</f>
        <v/>
      </c>
      <c r="F2015">
        <f>IFERROR(INDEX($S$4:$S$3183,MATCH(SMALL($V$4:$V$3183,2012),$V$4:$V$3183,0)),"")</f>
        <v/>
      </c>
      <c r="I2015" s="29">
        <f>IF($B2015="","",IFERROR(INDEX($U$4:$U$3183,MATCH(SMALL($V$4:$V$3183,2012),$V$4:$V$3183,0)),""))</f>
        <v/>
      </c>
      <c r="J2015">
        <f>IF($B2015="","",IF($D2015&gt;$F$2,"À venir",IF($E2015&lt;$D$2,"Passé","Dans la période")))</f>
        <v/>
      </c>
      <c r="K2015">
        <f>IF(OR($B2015="",NOT(ISNUMBER($D2015))),"",IF(AND($E2015&lt;$D$2,$G2015&lt;&gt;"X",$F2015&lt;&gt;"Réalisé",$F2015&lt;&gt;"Clôturé"),"RETARD",""))</f>
        <v/>
      </c>
      <c r="L2015">
        <f>IF(OR($B2015="",NOT(ISNUMBER($D2015))),"",IF(AND($D2015&gt;=$D$2,$D2015&lt;=$H$2,$G2015&lt;&gt;"X",$F2015&lt;&gt;"Réalisé",$F2015&lt;&gt;"Clôturé"),"≤ 7 j",""))</f>
        <v/>
      </c>
      <c r="M2015" s="29">
        <f>IF($B2015="","",IFERROR(INDEX($T$4:$T$3183,MATCH(SMALL($V$4:$V$3183,2012),$V$4:$V$3183,0)),""))</f>
        <v/>
      </c>
      <c r="O2015">
        <f>IF(INDEX(Suivi!$B:$B,2053)="","",INDEX(Suivi!$B:$B,2053))</f>
        <v/>
      </c>
      <c r="P2015">
        <f>IF($O2015="","",IF(INDEX(Suivi!$D:$D,2053)="",INDEX(Suivi!$C:$C,2053),INDEX(Suivi!$D:$D,2053)))</f>
        <v/>
      </c>
      <c r="Q2015">
        <f>IF($O2015="","",INDEX(Suivi!$E:$E,2053))</f>
        <v/>
      </c>
      <c r="R2015">
        <f>IF($O2015="","",INDEX(Suivi!$F:$F,2053))</f>
        <v/>
      </c>
      <c r="S2015">
        <f>IF($O2015="","",INDEX(Suivi!$G:$G,2053))</f>
        <v/>
      </c>
      <c r="T2015">
        <f>IF($O2015="","",IF(INDEX(Dossiers!$F$4:$F$63,38)="","",INDEX(Dossiers!$F$4:$F$63,38)))</f>
        <v/>
      </c>
      <c r="U2015">
        <f>IF($O2015="","",IF(INDEX(Dossiers!$G$4:$G$63,38)="","",INDEX(Dossiers!$G$4:$G$63,38)))</f>
        <v/>
      </c>
      <c r="V2015">
        <f>IF(OR($O2015="",NOT(ISNUMBER($Q2015))),"",$Q2015*1000000+2015)</f>
        <v/>
      </c>
      <c r="W2015" s="29">
        <f>IF($B2015="","",IFERROR(INDEX($U$4:$U$3183,MATCH(SMALL($V$4:$V$3183,2012),$V$4:$V$3183,0)),""))</f>
        <v/>
      </c>
    </row>
    <row r="2016">
      <c r="A2016">
        <f>IFERROR(INDEX($N$4:$N$3183,MATCH(SMALL($V$4:$V$3183,2013),$V$4:$V$3183,0)),"")</f>
        <v/>
      </c>
      <c r="B2016">
        <f>IFERROR(INDEX($O$4:$O$3183,MATCH(SMALL($V$4:$V$3183,2013),$V$4:$V$3183,0)),"")</f>
        <v/>
      </c>
      <c r="C2016">
        <f>IFERROR(INDEX($P$4:$P$3183,MATCH(SMALL($V$4:$V$3183,2013),$V$4:$V$3183,0)),"")</f>
        <v/>
      </c>
      <c r="D2016" s="29">
        <f>IFERROR(INDEX($Q$4:$Q$3183,MATCH(SMALL($V$4:$V$3183,2013),$V$4:$V$3183,0)),"")</f>
        <v/>
      </c>
      <c r="E2016" s="29">
        <f>IFERROR(INDEX($R$4:$R$3183,MATCH(SMALL($V$4:$V$3183,2013),$V$4:$V$3183,0)),"")</f>
        <v/>
      </c>
      <c r="F2016">
        <f>IFERROR(INDEX($S$4:$S$3183,MATCH(SMALL($V$4:$V$3183,2013),$V$4:$V$3183,0)),"")</f>
        <v/>
      </c>
      <c r="I2016" s="29">
        <f>IF($B2016="","",IFERROR(INDEX($U$4:$U$3183,MATCH(SMALL($V$4:$V$3183,2013),$V$4:$V$3183,0)),""))</f>
        <v/>
      </c>
      <c r="J2016">
        <f>IF($B2016="","",IF($D2016&gt;$F$2,"À venir",IF($E2016&lt;$D$2,"Passé","Dans la période")))</f>
        <v/>
      </c>
      <c r="K2016">
        <f>IF(OR($B2016="",NOT(ISNUMBER($D2016))),"",IF(AND($E2016&lt;$D$2,$G2016&lt;&gt;"X",$F2016&lt;&gt;"Réalisé",$F2016&lt;&gt;"Clôturé"),"RETARD",""))</f>
        <v/>
      </c>
      <c r="L2016">
        <f>IF(OR($B2016="",NOT(ISNUMBER($D2016))),"",IF(AND($D2016&gt;=$D$2,$D2016&lt;=$H$2,$G2016&lt;&gt;"X",$F2016&lt;&gt;"Réalisé",$F2016&lt;&gt;"Clôturé"),"≤ 7 j",""))</f>
        <v/>
      </c>
      <c r="M2016" s="29">
        <f>IF($B2016="","",IFERROR(INDEX($T$4:$T$3183,MATCH(SMALL($V$4:$V$3183,2013),$V$4:$V$3183,0)),""))</f>
        <v/>
      </c>
      <c r="O2016">
        <f>IF(INDEX(Suivi!$B:$B,2054)="","",INDEX(Suivi!$B:$B,2054))</f>
        <v/>
      </c>
      <c r="P2016">
        <f>IF($O2016="","",IF(INDEX(Suivi!$D:$D,2054)="",INDEX(Suivi!$C:$C,2054),INDEX(Suivi!$D:$D,2054)))</f>
        <v/>
      </c>
      <c r="Q2016">
        <f>IF($O2016="","",INDEX(Suivi!$E:$E,2054))</f>
        <v/>
      </c>
      <c r="R2016">
        <f>IF($O2016="","",INDEX(Suivi!$F:$F,2054))</f>
        <v/>
      </c>
      <c r="S2016">
        <f>IF($O2016="","",INDEX(Suivi!$G:$G,2054))</f>
        <v/>
      </c>
      <c r="T2016">
        <f>IF($O2016="","",IF(INDEX(Dossiers!$F$4:$F$63,38)="","",INDEX(Dossiers!$F$4:$F$63,38)))</f>
        <v/>
      </c>
      <c r="U2016">
        <f>IF($O2016="","",IF(INDEX(Dossiers!$G$4:$G$63,38)="","",INDEX(Dossiers!$G$4:$G$63,38)))</f>
        <v/>
      </c>
      <c r="V2016">
        <f>IF(OR($O2016="",NOT(ISNUMBER($Q2016))),"",$Q2016*1000000+2016)</f>
        <v/>
      </c>
      <c r="W2016" s="29">
        <f>IF($B2016="","",IFERROR(INDEX($U$4:$U$3183,MATCH(SMALL($V$4:$V$3183,2013),$V$4:$V$3183,0)),""))</f>
        <v/>
      </c>
    </row>
    <row r="2017">
      <c r="A2017">
        <f>IFERROR(INDEX($N$4:$N$3183,MATCH(SMALL($V$4:$V$3183,2014),$V$4:$V$3183,0)),"")</f>
        <v/>
      </c>
      <c r="B2017">
        <f>IFERROR(INDEX($O$4:$O$3183,MATCH(SMALL($V$4:$V$3183,2014),$V$4:$V$3183,0)),"")</f>
        <v/>
      </c>
      <c r="C2017">
        <f>IFERROR(INDEX($P$4:$P$3183,MATCH(SMALL($V$4:$V$3183,2014),$V$4:$V$3183,0)),"")</f>
        <v/>
      </c>
      <c r="D2017" s="29">
        <f>IFERROR(INDEX($Q$4:$Q$3183,MATCH(SMALL($V$4:$V$3183,2014),$V$4:$V$3183,0)),"")</f>
        <v/>
      </c>
      <c r="E2017" s="29">
        <f>IFERROR(INDEX($R$4:$R$3183,MATCH(SMALL($V$4:$V$3183,2014),$V$4:$V$3183,0)),"")</f>
        <v/>
      </c>
      <c r="F2017">
        <f>IFERROR(INDEX($S$4:$S$3183,MATCH(SMALL($V$4:$V$3183,2014),$V$4:$V$3183,0)),"")</f>
        <v/>
      </c>
      <c r="I2017" s="29">
        <f>IF($B2017="","",IFERROR(INDEX($U$4:$U$3183,MATCH(SMALL($V$4:$V$3183,2014),$V$4:$V$3183,0)),""))</f>
        <v/>
      </c>
      <c r="J2017">
        <f>IF($B2017="","",IF($D2017&gt;$F$2,"À venir",IF($E2017&lt;$D$2,"Passé","Dans la période")))</f>
        <v/>
      </c>
      <c r="K2017">
        <f>IF(OR($B2017="",NOT(ISNUMBER($D2017))),"",IF(AND($E2017&lt;$D$2,$G2017&lt;&gt;"X",$F2017&lt;&gt;"Réalisé",$F2017&lt;&gt;"Clôturé"),"RETARD",""))</f>
        <v/>
      </c>
      <c r="L2017">
        <f>IF(OR($B2017="",NOT(ISNUMBER($D2017))),"",IF(AND($D2017&gt;=$D$2,$D2017&lt;=$H$2,$G2017&lt;&gt;"X",$F2017&lt;&gt;"Réalisé",$F2017&lt;&gt;"Clôturé"),"≤ 7 j",""))</f>
        <v/>
      </c>
      <c r="M2017" s="29">
        <f>IF($B2017="","",IFERROR(INDEX($T$4:$T$3183,MATCH(SMALL($V$4:$V$3183,2014),$V$4:$V$3183,0)),""))</f>
        <v/>
      </c>
      <c r="O2017">
        <f>IF(INDEX(Suivi!$B:$B,2055)="","",INDEX(Suivi!$B:$B,2055))</f>
        <v/>
      </c>
      <c r="P2017">
        <f>IF($O2017="","",IF(INDEX(Suivi!$D:$D,2055)="",INDEX(Suivi!$C:$C,2055),INDEX(Suivi!$D:$D,2055)))</f>
        <v/>
      </c>
      <c r="Q2017">
        <f>IF($O2017="","",INDEX(Suivi!$E:$E,2055))</f>
        <v/>
      </c>
      <c r="R2017">
        <f>IF($O2017="","",INDEX(Suivi!$F:$F,2055))</f>
        <v/>
      </c>
      <c r="S2017">
        <f>IF($O2017="","",INDEX(Suivi!$G:$G,2055))</f>
        <v/>
      </c>
      <c r="T2017">
        <f>IF($O2017="","",IF(INDEX(Dossiers!$F$4:$F$63,38)="","",INDEX(Dossiers!$F$4:$F$63,38)))</f>
        <v/>
      </c>
      <c r="U2017">
        <f>IF($O2017="","",IF(INDEX(Dossiers!$G$4:$G$63,38)="","",INDEX(Dossiers!$G$4:$G$63,38)))</f>
        <v/>
      </c>
      <c r="V2017">
        <f>IF(OR($O2017="",NOT(ISNUMBER($Q2017))),"",$Q2017*1000000+2017)</f>
        <v/>
      </c>
      <c r="W2017" s="29">
        <f>IF($B2017="","",IFERROR(INDEX($U$4:$U$3183,MATCH(SMALL($V$4:$V$3183,2014),$V$4:$V$3183,0)),""))</f>
        <v/>
      </c>
    </row>
    <row r="2018">
      <c r="A2018">
        <f>IFERROR(INDEX($N$4:$N$3183,MATCH(SMALL($V$4:$V$3183,2015),$V$4:$V$3183,0)),"")</f>
        <v/>
      </c>
      <c r="B2018">
        <f>IFERROR(INDEX($O$4:$O$3183,MATCH(SMALL($V$4:$V$3183,2015),$V$4:$V$3183,0)),"")</f>
        <v/>
      </c>
      <c r="C2018">
        <f>IFERROR(INDEX($P$4:$P$3183,MATCH(SMALL($V$4:$V$3183,2015),$V$4:$V$3183,0)),"")</f>
        <v/>
      </c>
      <c r="D2018" s="29">
        <f>IFERROR(INDEX($Q$4:$Q$3183,MATCH(SMALL($V$4:$V$3183,2015),$V$4:$V$3183,0)),"")</f>
        <v/>
      </c>
      <c r="E2018" s="29">
        <f>IFERROR(INDEX($R$4:$R$3183,MATCH(SMALL($V$4:$V$3183,2015),$V$4:$V$3183,0)),"")</f>
        <v/>
      </c>
      <c r="F2018">
        <f>IFERROR(INDEX($S$4:$S$3183,MATCH(SMALL($V$4:$V$3183,2015),$V$4:$V$3183,0)),"")</f>
        <v/>
      </c>
      <c r="I2018" s="29">
        <f>IF($B2018="","",IFERROR(INDEX($U$4:$U$3183,MATCH(SMALL($V$4:$V$3183,2015),$V$4:$V$3183,0)),""))</f>
        <v/>
      </c>
      <c r="J2018">
        <f>IF($B2018="","",IF($D2018&gt;$F$2,"À venir",IF($E2018&lt;$D$2,"Passé","Dans la période")))</f>
        <v/>
      </c>
      <c r="K2018">
        <f>IF(OR($B2018="",NOT(ISNUMBER($D2018))),"",IF(AND($E2018&lt;$D$2,$G2018&lt;&gt;"X",$F2018&lt;&gt;"Réalisé",$F2018&lt;&gt;"Clôturé"),"RETARD",""))</f>
        <v/>
      </c>
      <c r="L2018">
        <f>IF(OR($B2018="",NOT(ISNUMBER($D2018))),"",IF(AND($D2018&gt;=$D$2,$D2018&lt;=$H$2,$G2018&lt;&gt;"X",$F2018&lt;&gt;"Réalisé",$F2018&lt;&gt;"Clôturé"),"≤ 7 j",""))</f>
        <v/>
      </c>
      <c r="M2018" s="29">
        <f>IF($B2018="","",IFERROR(INDEX($T$4:$T$3183,MATCH(SMALL($V$4:$V$3183,2015),$V$4:$V$3183,0)),""))</f>
        <v/>
      </c>
      <c r="O2018">
        <f>IF(INDEX(Suivi!$B:$B,2057)="","",INDEX(Suivi!$B:$B,2057))</f>
        <v/>
      </c>
      <c r="P2018">
        <f>IF($O2018="","",IF(INDEX(Suivi!$D:$D,2057)="",INDEX(Suivi!$C:$C,2057),INDEX(Suivi!$D:$D,2057)))</f>
        <v/>
      </c>
      <c r="Q2018">
        <f>IF($O2018="","",INDEX(Suivi!$E:$E,2057))</f>
        <v/>
      </c>
      <c r="R2018">
        <f>IF($O2018="","",INDEX(Suivi!$F:$F,2057))</f>
        <v/>
      </c>
      <c r="S2018">
        <f>IF($O2018="","",INDEX(Suivi!$G:$G,2057))</f>
        <v/>
      </c>
      <c r="T2018">
        <f>IF($O2018="","",IF(INDEX(Dossiers!$F$4:$F$63,39)="","",INDEX(Dossiers!$F$4:$F$63,39)))</f>
        <v/>
      </c>
      <c r="U2018">
        <f>IF($O2018="","",IF(INDEX(Dossiers!$G$4:$G$63,39)="","",INDEX(Dossiers!$G$4:$G$63,39)))</f>
        <v/>
      </c>
      <c r="V2018">
        <f>IF(OR($O2018="",NOT(ISNUMBER($Q2018))),"",$Q2018*1000000+2018)</f>
        <v/>
      </c>
      <c r="W2018" s="29">
        <f>IF($B2018="","",IFERROR(INDEX($U$4:$U$3183,MATCH(SMALL($V$4:$V$3183,2015),$V$4:$V$3183,0)),""))</f>
        <v/>
      </c>
    </row>
    <row r="2019">
      <c r="A2019">
        <f>IFERROR(INDEX($N$4:$N$3183,MATCH(SMALL($V$4:$V$3183,2016),$V$4:$V$3183,0)),"")</f>
        <v/>
      </c>
      <c r="B2019">
        <f>IFERROR(INDEX($O$4:$O$3183,MATCH(SMALL($V$4:$V$3183,2016),$V$4:$V$3183,0)),"")</f>
        <v/>
      </c>
      <c r="C2019">
        <f>IFERROR(INDEX($P$4:$P$3183,MATCH(SMALL($V$4:$V$3183,2016),$V$4:$V$3183,0)),"")</f>
        <v/>
      </c>
      <c r="D2019" s="29">
        <f>IFERROR(INDEX($Q$4:$Q$3183,MATCH(SMALL($V$4:$V$3183,2016),$V$4:$V$3183,0)),"")</f>
        <v/>
      </c>
      <c r="E2019" s="29">
        <f>IFERROR(INDEX($R$4:$R$3183,MATCH(SMALL($V$4:$V$3183,2016),$V$4:$V$3183,0)),"")</f>
        <v/>
      </c>
      <c r="F2019">
        <f>IFERROR(INDEX($S$4:$S$3183,MATCH(SMALL($V$4:$V$3183,2016),$V$4:$V$3183,0)),"")</f>
        <v/>
      </c>
      <c r="I2019" s="29">
        <f>IF($B2019="","",IFERROR(INDEX($U$4:$U$3183,MATCH(SMALL($V$4:$V$3183,2016),$V$4:$V$3183,0)),""))</f>
        <v/>
      </c>
      <c r="J2019">
        <f>IF($B2019="","",IF($D2019&gt;$F$2,"À venir",IF($E2019&lt;$D$2,"Passé","Dans la période")))</f>
        <v/>
      </c>
      <c r="K2019">
        <f>IF(OR($B2019="",NOT(ISNUMBER($D2019))),"",IF(AND($E2019&lt;$D$2,$G2019&lt;&gt;"X",$F2019&lt;&gt;"Réalisé",$F2019&lt;&gt;"Clôturé"),"RETARD",""))</f>
        <v/>
      </c>
      <c r="L2019">
        <f>IF(OR($B2019="",NOT(ISNUMBER($D2019))),"",IF(AND($D2019&gt;=$D$2,$D2019&lt;=$H$2,$G2019&lt;&gt;"X",$F2019&lt;&gt;"Réalisé",$F2019&lt;&gt;"Clôturé"),"≤ 7 j",""))</f>
        <v/>
      </c>
      <c r="M2019" s="29">
        <f>IF($B2019="","",IFERROR(INDEX($T$4:$T$3183,MATCH(SMALL($V$4:$V$3183,2016),$V$4:$V$3183,0)),""))</f>
        <v/>
      </c>
      <c r="O2019">
        <f>IF(INDEX(Suivi!$B:$B,2058)="","",INDEX(Suivi!$B:$B,2058))</f>
        <v/>
      </c>
      <c r="P2019">
        <f>IF($O2019="","",IF(INDEX(Suivi!$D:$D,2058)="",INDEX(Suivi!$C:$C,2058),INDEX(Suivi!$D:$D,2058)))</f>
        <v/>
      </c>
      <c r="Q2019">
        <f>IF($O2019="","",INDEX(Suivi!$E:$E,2058))</f>
        <v/>
      </c>
      <c r="R2019">
        <f>IF($O2019="","",INDEX(Suivi!$F:$F,2058))</f>
        <v/>
      </c>
      <c r="S2019">
        <f>IF($O2019="","",INDEX(Suivi!$G:$G,2058))</f>
        <v/>
      </c>
      <c r="T2019">
        <f>IF($O2019="","",IF(INDEX(Dossiers!$F$4:$F$63,39)="","",INDEX(Dossiers!$F$4:$F$63,39)))</f>
        <v/>
      </c>
      <c r="U2019">
        <f>IF($O2019="","",IF(INDEX(Dossiers!$G$4:$G$63,39)="","",INDEX(Dossiers!$G$4:$G$63,39)))</f>
        <v/>
      </c>
      <c r="V2019">
        <f>IF(OR($O2019="",NOT(ISNUMBER($Q2019))),"",$Q2019*1000000+2019)</f>
        <v/>
      </c>
      <c r="W2019" s="29">
        <f>IF($B2019="","",IFERROR(INDEX($U$4:$U$3183,MATCH(SMALL($V$4:$V$3183,2016),$V$4:$V$3183,0)),""))</f>
        <v/>
      </c>
    </row>
    <row r="2020">
      <c r="A2020">
        <f>IFERROR(INDEX($N$4:$N$3183,MATCH(SMALL($V$4:$V$3183,2017),$V$4:$V$3183,0)),"")</f>
        <v/>
      </c>
      <c r="B2020">
        <f>IFERROR(INDEX($O$4:$O$3183,MATCH(SMALL($V$4:$V$3183,2017),$V$4:$V$3183,0)),"")</f>
        <v/>
      </c>
      <c r="C2020">
        <f>IFERROR(INDEX($P$4:$P$3183,MATCH(SMALL($V$4:$V$3183,2017),$V$4:$V$3183,0)),"")</f>
        <v/>
      </c>
      <c r="D2020" s="29">
        <f>IFERROR(INDEX($Q$4:$Q$3183,MATCH(SMALL($V$4:$V$3183,2017),$V$4:$V$3183,0)),"")</f>
        <v/>
      </c>
      <c r="E2020" s="29">
        <f>IFERROR(INDEX($R$4:$R$3183,MATCH(SMALL($V$4:$V$3183,2017),$V$4:$V$3183,0)),"")</f>
        <v/>
      </c>
      <c r="F2020">
        <f>IFERROR(INDEX($S$4:$S$3183,MATCH(SMALL($V$4:$V$3183,2017),$V$4:$V$3183,0)),"")</f>
        <v/>
      </c>
      <c r="I2020" s="29">
        <f>IF($B2020="","",IFERROR(INDEX($U$4:$U$3183,MATCH(SMALL($V$4:$V$3183,2017),$V$4:$V$3183,0)),""))</f>
        <v/>
      </c>
      <c r="J2020">
        <f>IF($B2020="","",IF($D2020&gt;$F$2,"À venir",IF($E2020&lt;$D$2,"Passé","Dans la période")))</f>
        <v/>
      </c>
      <c r="K2020">
        <f>IF(OR($B2020="",NOT(ISNUMBER($D2020))),"",IF(AND($E2020&lt;$D$2,$G2020&lt;&gt;"X",$F2020&lt;&gt;"Réalisé",$F2020&lt;&gt;"Clôturé"),"RETARD",""))</f>
        <v/>
      </c>
      <c r="L2020">
        <f>IF(OR($B2020="",NOT(ISNUMBER($D2020))),"",IF(AND($D2020&gt;=$D$2,$D2020&lt;=$H$2,$G2020&lt;&gt;"X",$F2020&lt;&gt;"Réalisé",$F2020&lt;&gt;"Clôturé"),"≤ 7 j",""))</f>
        <v/>
      </c>
      <c r="M2020" s="29">
        <f>IF($B2020="","",IFERROR(INDEX($T$4:$T$3183,MATCH(SMALL($V$4:$V$3183,2017),$V$4:$V$3183,0)),""))</f>
        <v/>
      </c>
      <c r="O2020">
        <f>IF(INDEX(Suivi!$B:$B,2059)="","",INDEX(Suivi!$B:$B,2059))</f>
        <v/>
      </c>
      <c r="P2020">
        <f>IF($O2020="","",IF(INDEX(Suivi!$D:$D,2059)="",INDEX(Suivi!$C:$C,2059),INDEX(Suivi!$D:$D,2059)))</f>
        <v/>
      </c>
      <c r="Q2020">
        <f>IF($O2020="","",INDEX(Suivi!$E:$E,2059))</f>
        <v/>
      </c>
      <c r="R2020">
        <f>IF($O2020="","",INDEX(Suivi!$F:$F,2059))</f>
        <v/>
      </c>
      <c r="S2020">
        <f>IF($O2020="","",INDEX(Suivi!$G:$G,2059))</f>
        <v/>
      </c>
      <c r="T2020">
        <f>IF($O2020="","",IF(INDEX(Dossiers!$F$4:$F$63,39)="","",INDEX(Dossiers!$F$4:$F$63,39)))</f>
        <v/>
      </c>
      <c r="U2020">
        <f>IF($O2020="","",IF(INDEX(Dossiers!$G$4:$G$63,39)="","",INDEX(Dossiers!$G$4:$G$63,39)))</f>
        <v/>
      </c>
      <c r="V2020">
        <f>IF(OR($O2020="",NOT(ISNUMBER($Q2020))),"",$Q2020*1000000+2020)</f>
        <v/>
      </c>
      <c r="W2020" s="29">
        <f>IF($B2020="","",IFERROR(INDEX($U$4:$U$3183,MATCH(SMALL($V$4:$V$3183,2017),$V$4:$V$3183,0)),""))</f>
        <v/>
      </c>
    </row>
    <row r="2021">
      <c r="A2021">
        <f>IFERROR(INDEX($N$4:$N$3183,MATCH(SMALL($V$4:$V$3183,2018),$V$4:$V$3183,0)),"")</f>
        <v/>
      </c>
      <c r="B2021">
        <f>IFERROR(INDEX($O$4:$O$3183,MATCH(SMALL($V$4:$V$3183,2018),$V$4:$V$3183,0)),"")</f>
        <v/>
      </c>
      <c r="C2021">
        <f>IFERROR(INDEX($P$4:$P$3183,MATCH(SMALL($V$4:$V$3183,2018),$V$4:$V$3183,0)),"")</f>
        <v/>
      </c>
      <c r="D2021" s="29">
        <f>IFERROR(INDEX($Q$4:$Q$3183,MATCH(SMALL($V$4:$V$3183,2018),$V$4:$V$3183,0)),"")</f>
        <v/>
      </c>
      <c r="E2021" s="29">
        <f>IFERROR(INDEX($R$4:$R$3183,MATCH(SMALL($V$4:$V$3183,2018),$V$4:$V$3183,0)),"")</f>
        <v/>
      </c>
      <c r="F2021">
        <f>IFERROR(INDEX($S$4:$S$3183,MATCH(SMALL($V$4:$V$3183,2018),$V$4:$V$3183,0)),"")</f>
        <v/>
      </c>
      <c r="I2021" s="29">
        <f>IF($B2021="","",IFERROR(INDEX($U$4:$U$3183,MATCH(SMALL($V$4:$V$3183,2018),$V$4:$V$3183,0)),""))</f>
        <v/>
      </c>
      <c r="J2021">
        <f>IF($B2021="","",IF($D2021&gt;$F$2,"À venir",IF($E2021&lt;$D$2,"Passé","Dans la période")))</f>
        <v/>
      </c>
      <c r="K2021">
        <f>IF(OR($B2021="",NOT(ISNUMBER($D2021))),"",IF(AND($E2021&lt;$D$2,$G2021&lt;&gt;"X",$F2021&lt;&gt;"Réalisé",$F2021&lt;&gt;"Clôturé"),"RETARD",""))</f>
        <v/>
      </c>
      <c r="L2021">
        <f>IF(OR($B2021="",NOT(ISNUMBER($D2021))),"",IF(AND($D2021&gt;=$D$2,$D2021&lt;=$H$2,$G2021&lt;&gt;"X",$F2021&lt;&gt;"Réalisé",$F2021&lt;&gt;"Clôturé"),"≤ 7 j",""))</f>
        <v/>
      </c>
      <c r="M2021" s="29">
        <f>IF($B2021="","",IFERROR(INDEX($T$4:$T$3183,MATCH(SMALL($V$4:$V$3183,2018),$V$4:$V$3183,0)),""))</f>
        <v/>
      </c>
      <c r="O2021">
        <f>IF(INDEX(Suivi!$B:$B,2060)="","",INDEX(Suivi!$B:$B,2060))</f>
        <v/>
      </c>
      <c r="P2021">
        <f>IF($O2021="","",IF(INDEX(Suivi!$D:$D,2060)="",INDEX(Suivi!$C:$C,2060),INDEX(Suivi!$D:$D,2060)))</f>
        <v/>
      </c>
      <c r="Q2021">
        <f>IF($O2021="","",INDEX(Suivi!$E:$E,2060))</f>
        <v/>
      </c>
      <c r="R2021">
        <f>IF($O2021="","",INDEX(Suivi!$F:$F,2060))</f>
        <v/>
      </c>
      <c r="S2021">
        <f>IF($O2021="","",INDEX(Suivi!$G:$G,2060))</f>
        <v/>
      </c>
      <c r="T2021">
        <f>IF($O2021="","",IF(INDEX(Dossiers!$F$4:$F$63,39)="","",INDEX(Dossiers!$F$4:$F$63,39)))</f>
        <v/>
      </c>
      <c r="U2021">
        <f>IF($O2021="","",IF(INDEX(Dossiers!$G$4:$G$63,39)="","",INDEX(Dossiers!$G$4:$G$63,39)))</f>
        <v/>
      </c>
      <c r="V2021">
        <f>IF(OR($O2021="",NOT(ISNUMBER($Q2021))),"",$Q2021*1000000+2021)</f>
        <v/>
      </c>
      <c r="W2021" s="29">
        <f>IF($B2021="","",IFERROR(INDEX($U$4:$U$3183,MATCH(SMALL($V$4:$V$3183,2018),$V$4:$V$3183,0)),""))</f>
        <v/>
      </c>
    </row>
    <row r="2022">
      <c r="A2022">
        <f>IFERROR(INDEX($N$4:$N$3183,MATCH(SMALL($V$4:$V$3183,2019),$V$4:$V$3183,0)),"")</f>
        <v/>
      </c>
      <c r="B2022">
        <f>IFERROR(INDEX($O$4:$O$3183,MATCH(SMALL($V$4:$V$3183,2019),$V$4:$V$3183,0)),"")</f>
        <v/>
      </c>
      <c r="C2022">
        <f>IFERROR(INDEX($P$4:$P$3183,MATCH(SMALL($V$4:$V$3183,2019),$V$4:$V$3183,0)),"")</f>
        <v/>
      </c>
      <c r="D2022" s="29">
        <f>IFERROR(INDEX($Q$4:$Q$3183,MATCH(SMALL($V$4:$V$3183,2019),$V$4:$V$3183,0)),"")</f>
        <v/>
      </c>
      <c r="E2022" s="29">
        <f>IFERROR(INDEX($R$4:$R$3183,MATCH(SMALL($V$4:$V$3183,2019),$V$4:$V$3183,0)),"")</f>
        <v/>
      </c>
      <c r="F2022">
        <f>IFERROR(INDEX($S$4:$S$3183,MATCH(SMALL($V$4:$V$3183,2019),$V$4:$V$3183,0)),"")</f>
        <v/>
      </c>
      <c r="I2022" s="29">
        <f>IF($B2022="","",IFERROR(INDEX($U$4:$U$3183,MATCH(SMALL($V$4:$V$3183,2019),$V$4:$V$3183,0)),""))</f>
        <v/>
      </c>
      <c r="J2022">
        <f>IF($B2022="","",IF($D2022&gt;$F$2,"À venir",IF($E2022&lt;$D$2,"Passé","Dans la période")))</f>
        <v/>
      </c>
      <c r="K2022">
        <f>IF(OR($B2022="",NOT(ISNUMBER($D2022))),"",IF(AND($E2022&lt;$D$2,$G2022&lt;&gt;"X",$F2022&lt;&gt;"Réalisé",$F2022&lt;&gt;"Clôturé"),"RETARD",""))</f>
        <v/>
      </c>
      <c r="L2022">
        <f>IF(OR($B2022="",NOT(ISNUMBER($D2022))),"",IF(AND($D2022&gt;=$D$2,$D2022&lt;=$H$2,$G2022&lt;&gt;"X",$F2022&lt;&gt;"Réalisé",$F2022&lt;&gt;"Clôturé"),"≤ 7 j",""))</f>
        <v/>
      </c>
      <c r="M2022" s="29">
        <f>IF($B2022="","",IFERROR(INDEX($T$4:$T$3183,MATCH(SMALL($V$4:$V$3183,2019),$V$4:$V$3183,0)),""))</f>
        <v/>
      </c>
      <c r="O2022">
        <f>IF(INDEX(Suivi!$B:$B,2061)="","",INDEX(Suivi!$B:$B,2061))</f>
        <v/>
      </c>
      <c r="P2022">
        <f>IF($O2022="","",IF(INDEX(Suivi!$D:$D,2061)="",INDEX(Suivi!$C:$C,2061),INDEX(Suivi!$D:$D,2061)))</f>
        <v/>
      </c>
      <c r="Q2022">
        <f>IF($O2022="","",INDEX(Suivi!$E:$E,2061))</f>
        <v/>
      </c>
      <c r="R2022">
        <f>IF($O2022="","",INDEX(Suivi!$F:$F,2061))</f>
        <v/>
      </c>
      <c r="S2022">
        <f>IF($O2022="","",INDEX(Suivi!$G:$G,2061))</f>
        <v/>
      </c>
      <c r="T2022">
        <f>IF($O2022="","",IF(INDEX(Dossiers!$F$4:$F$63,39)="","",INDEX(Dossiers!$F$4:$F$63,39)))</f>
        <v/>
      </c>
      <c r="U2022">
        <f>IF($O2022="","",IF(INDEX(Dossiers!$G$4:$G$63,39)="","",INDEX(Dossiers!$G$4:$G$63,39)))</f>
        <v/>
      </c>
      <c r="V2022">
        <f>IF(OR($O2022="",NOT(ISNUMBER($Q2022))),"",$Q2022*1000000+2022)</f>
        <v/>
      </c>
      <c r="W2022" s="29">
        <f>IF($B2022="","",IFERROR(INDEX($U$4:$U$3183,MATCH(SMALL($V$4:$V$3183,2019),$V$4:$V$3183,0)),""))</f>
        <v/>
      </c>
    </row>
    <row r="2023">
      <c r="A2023">
        <f>IFERROR(INDEX($N$4:$N$3183,MATCH(SMALL($V$4:$V$3183,2020),$V$4:$V$3183,0)),"")</f>
        <v/>
      </c>
      <c r="B2023">
        <f>IFERROR(INDEX($O$4:$O$3183,MATCH(SMALL($V$4:$V$3183,2020),$V$4:$V$3183,0)),"")</f>
        <v/>
      </c>
      <c r="C2023">
        <f>IFERROR(INDEX($P$4:$P$3183,MATCH(SMALL($V$4:$V$3183,2020),$V$4:$V$3183,0)),"")</f>
        <v/>
      </c>
      <c r="D2023" s="29">
        <f>IFERROR(INDEX($Q$4:$Q$3183,MATCH(SMALL($V$4:$V$3183,2020),$V$4:$V$3183,0)),"")</f>
        <v/>
      </c>
      <c r="E2023" s="29">
        <f>IFERROR(INDEX($R$4:$R$3183,MATCH(SMALL($V$4:$V$3183,2020),$V$4:$V$3183,0)),"")</f>
        <v/>
      </c>
      <c r="F2023">
        <f>IFERROR(INDEX($S$4:$S$3183,MATCH(SMALL($V$4:$V$3183,2020),$V$4:$V$3183,0)),"")</f>
        <v/>
      </c>
      <c r="I2023" s="29">
        <f>IF($B2023="","",IFERROR(INDEX($U$4:$U$3183,MATCH(SMALL($V$4:$V$3183,2020),$V$4:$V$3183,0)),""))</f>
        <v/>
      </c>
      <c r="J2023">
        <f>IF($B2023="","",IF($D2023&gt;$F$2,"À venir",IF($E2023&lt;$D$2,"Passé","Dans la période")))</f>
        <v/>
      </c>
      <c r="K2023">
        <f>IF(OR($B2023="",NOT(ISNUMBER($D2023))),"",IF(AND($E2023&lt;$D$2,$G2023&lt;&gt;"X",$F2023&lt;&gt;"Réalisé",$F2023&lt;&gt;"Clôturé"),"RETARD",""))</f>
        <v/>
      </c>
      <c r="L2023">
        <f>IF(OR($B2023="",NOT(ISNUMBER($D2023))),"",IF(AND($D2023&gt;=$D$2,$D2023&lt;=$H$2,$G2023&lt;&gt;"X",$F2023&lt;&gt;"Réalisé",$F2023&lt;&gt;"Clôturé"),"≤ 7 j",""))</f>
        <v/>
      </c>
      <c r="M2023" s="29">
        <f>IF($B2023="","",IFERROR(INDEX($T$4:$T$3183,MATCH(SMALL($V$4:$V$3183,2020),$V$4:$V$3183,0)),""))</f>
        <v/>
      </c>
      <c r="O2023">
        <f>IF(INDEX(Suivi!$B:$B,2062)="","",INDEX(Suivi!$B:$B,2062))</f>
        <v/>
      </c>
      <c r="P2023">
        <f>IF($O2023="","",IF(INDEX(Suivi!$D:$D,2062)="",INDEX(Suivi!$C:$C,2062),INDEX(Suivi!$D:$D,2062)))</f>
        <v/>
      </c>
      <c r="Q2023">
        <f>IF($O2023="","",INDEX(Suivi!$E:$E,2062))</f>
        <v/>
      </c>
      <c r="R2023">
        <f>IF($O2023="","",INDEX(Suivi!$F:$F,2062))</f>
        <v/>
      </c>
      <c r="S2023">
        <f>IF($O2023="","",INDEX(Suivi!$G:$G,2062))</f>
        <v/>
      </c>
      <c r="T2023">
        <f>IF($O2023="","",IF(INDEX(Dossiers!$F$4:$F$63,39)="","",INDEX(Dossiers!$F$4:$F$63,39)))</f>
        <v/>
      </c>
      <c r="U2023">
        <f>IF($O2023="","",IF(INDEX(Dossiers!$G$4:$G$63,39)="","",INDEX(Dossiers!$G$4:$G$63,39)))</f>
        <v/>
      </c>
      <c r="V2023">
        <f>IF(OR($O2023="",NOT(ISNUMBER($Q2023))),"",$Q2023*1000000+2023)</f>
        <v/>
      </c>
      <c r="W2023" s="29">
        <f>IF($B2023="","",IFERROR(INDEX($U$4:$U$3183,MATCH(SMALL($V$4:$V$3183,2020),$V$4:$V$3183,0)),""))</f>
        <v/>
      </c>
    </row>
    <row r="2024">
      <c r="A2024">
        <f>IFERROR(INDEX($N$4:$N$3183,MATCH(SMALL($V$4:$V$3183,2021),$V$4:$V$3183,0)),"")</f>
        <v/>
      </c>
      <c r="B2024">
        <f>IFERROR(INDEX($O$4:$O$3183,MATCH(SMALL($V$4:$V$3183,2021),$V$4:$V$3183,0)),"")</f>
        <v/>
      </c>
      <c r="C2024">
        <f>IFERROR(INDEX($P$4:$P$3183,MATCH(SMALL($V$4:$V$3183,2021),$V$4:$V$3183,0)),"")</f>
        <v/>
      </c>
      <c r="D2024" s="29">
        <f>IFERROR(INDEX($Q$4:$Q$3183,MATCH(SMALL($V$4:$V$3183,2021),$V$4:$V$3183,0)),"")</f>
        <v/>
      </c>
      <c r="E2024" s="29">
        <f>IFERROR(INDEX($R$4:$R$3183,MATCH(SMALL($V$4:$V$3183,2021),$V$4:$V$3183,0)),"")</f>
        <v/>
      </c>
      <c r="F2024">
        <f>IFERROR(INDEX($S$4:$S$3183,MATCH(SMALL($V$4:$V$3183,2021),$V$4:$V$3183,0)),"")</f>
        <v/>
      </c>
      <c r="I2024" s="29">
        <f>IF($B2024="","",IFERROR(INDEX($U$4:$U$3183,MATCH(SMALL($V$4:$V$3183,2021),$V$4:$V$3183,0)),""))</f>
        <v/>
      </c>
      <c r="J2024">
        <f>IF($B2024="","",IF($D2024&gt;$F$2,"À venir",IF($E2024&lt;$D$2,"Passé","Dans la période")))</f>
        <v/>
      </c>
      <c r="K2024">
        <f>IF(OR($B2024="",NOT(ISNUMBER($D2024))),"",IF(AND($E2024&lt;$D$2,$G2024&lt;&gt;"X",$F2024&lt;&gt;"Réalisé",$F2024&lt;&gt;"Clôturé"),"RETARD",""))</f>
        <v/>
      </c>
      <c r="L2024">
        <f>IF(OR($B2024="",NOT(ISNUMBER($D2024))),"",IF(AND($D2024&gt;=$D$2,$D2024&lt;=$H$2,$G2024&lt;&gt;"X",$F2024&lt;&gt;"Réalisé",$F2024&lt;&gt;"Clôturé"),"≤ 7 j",""))</f>
        <v/>
      </c>
      <c r="M2024" s="29">
        <f>IF($B2024="","",IFERROR(INDEX($T$4:$T$3183,MATCH(SMALL($V$4:$V$3183,2021),$V$4:$V$3183,0)),""))</f>
        <v/>
      </c>
      <c r="O2024">
        <f>IF(INDEX(Suivi!$B:$B,2063)="","",INDEX(Suivi!$B:$B,2063))</f>
        <v/>
      </c>
      <c r="P2024">
        <f>IF($O2024="","",IF(INDEX(Suivi!$D:$D,2063)="",INDEX(Suivi!$C:$C,2063),INDEX(Suivi!$D:$D,2063)))</f>
        <v/>
      </c>
      <c r="Q2024">
        <f>IF($O2024="","",INDEX(Suivi!$E:$E,2063))</f>
        <v/>
      </c>
      <c r="R2024">
        <f>IF($O2024="","",INDEX(Suivi!$F:$F,2063))</f>
        <v/>
      </c>
      <c r="S2024">
        <f>IF($O2024="","",INDEX(Suivi!$G:$G,2063))</f>
        <v/>
      </c>
      <c r="T2024">
        <f>IF($O2024="","",IF(INDEX(Dossiers!$F$4:$F$63,39)="","",INDEX(Dossiers!$F$4:$F$63,39)))</f>
        <v/>
      </c>
      <c r="U2024">
        <f>IF($O2024="","",IF(INDEX(Dossiers!$G$4:$G$63,39)="","",INDEX(Dossiers!$G$4:$G$63,39)))</f>
        <v/>
      </c>
      <c r="V2024">
        <f>IF(OR($O2024="",NOT(ISNUMBER($Q2024))),"",$Q2024*1000000+2024)</f>
        <v/>
      </c>
      <c r="W2024" s="29">
        <f>IF($B2024="","",IFERROR(INDEX($U$4:$U$3183,MATCH(SMALL($V$4:$V$3183,2021),$V$4:$V$3183,0)),""))</f>
        <v/>
      </c>
    </row>
    <row r="2025">
      <c r="A2025">
        <f>IFERROR(INDEX($N$4:$N$3183,MATCH(SMALL($V$4:$V$3183,2022),$V$4:$V$3183,0)),"")</f>
        <v/>
      </c>
      <c r="B2025">
        <f>IFERROR(INDEX($O$4:$O$3183,MATCH(SMALL($V$4:$V$3183,2022),$V$4:$V$3183,0)),"")</f>
        <v/>
      </c>
      <c r="C2025">
        <f>IFERROR(INDEX($P$4:$P$3183,MATCH(SMALL($V$4:$V$3183,2022),$V$4:$V$3183,0)),"")</f>
        <v/>
      </c>
      <c r="D2025" s="29">
        <f>IFERROR(INDEX($Q$4:$Q$3183,MATCH(SMALL($V$4:$V$3183,2022),$V$4:$V$3183,0)),"")</f>
        <v/>
      </c>
      <c r="E2025" s="29">
        <f>IFERROR(INDEX($R$4:$R$3183,MATCH(SMALL($V$4:$V$3183,2022),$V$4:$V$3183,0)),"")</f>
        <v/>
      </c>
      <c r="F2025">
        <f>IFERROR(INDEX($S$4:$S$3183,MATCH(SMALL($V$4:$V$3183,2022),$V$4:$V$3183,0)),"")</f>
        <v/>
      </c>
      <c r="I2025" s="29">
        <f>IF($B2025="","",IFERROR(INDEX($U$4:$U$3183,MATCH(SMALL($V$4:$V$3183,2022),$V$4:$V$3183,0)),""))</f>
        <v/>
      </c>
      <c r="J2025">
        <f>IF($B2025="","",IF($D2025&gt;$F$2,"À venir",IF($E2025&lt;$D$2,"Passé","Dans la période")))</f>
        <v/>
      </c>
      <c r="K2025">
        <f>IF(OR($B2025="",NOT(ISNUMBER($D2025))),"",IF(AND($E2025&lt;$D$2,$G2025&lt;&gt;"X",$F2025&lt;&gt;"Réalisé",$F2025&lt;&gt;"Clôturé"),"RETARD",""))</f>
        <v/>
      </c>
      <c r="L2025">
        <f>IF(OR($B2025="",NOT(ISNUMBER($D2025))),"",IF(AND($D2025&gt;=$D$2,$D2025&lt;=$H$2,$G2025&lt;&gt;"X",$F2025&lt;&gt;"Réalisé",$F2025&lt;&gt;"Clôturé"),"≤ 7 j",""))</f>
        <v/>
      </c>
      <c r="M2025" s="29">
        <f>IF($B2025="","",IFERROR(INDEX($T$4:$T$3183,MATCH(SMALL($V$4:$V$3183,2022),$V$4:$V$3183,0)),""))</f>
        <v/>
      </c>
      <c r="O2025">
        <f>IF(INDEX(Suivi!$B:$B,2064)="","",INDEX(Suivi!$B:$B,2064))</f>
        <v/>
      </c>
      <c r="P2025">
        <f>IF($O2025="","",IF(INDEX(Suivi!$D:$D,2064)="",INDEX(Suivi!$C:$C,2064),INDEX(Suivi!$D:$D,2064)))</f>
        <v/>
      </c>
      <c r="Q2025">
        <f>IF($O2025="","",INDEX(Suivi!$E:$E,2064))</f>
        <v/>
      </c>
      <c r="R2025">
        <f>IF($O2025="","",INDEX(Suivi!$F:$F,2064))</f>
        <v/>
      </c>
      <c r="S2025">
        <f>IF($O2025="","",INDEX(Suivi!$G:$G,2064))</f>
        <v/>
      </c>
      <c r="T2025">
        <f>IF($O2025="","",IF(INDEX(Dossiers!$F$4:$F$63,39)="","",INDEX(Dossiers!$F$4:$F$63,39)))</f>
        <v/>
      </c>
      <c r="U2025">
        <f>IF($O2025="","",IF(INDEX(Dossiers!$G$4:$G$63,39)="","",INDEX(Dossiers!$G$4:$G$63,39)))</f>
        <v/>
      </c>
      <c r="V2025">
        <f>IF(OR($O2025="",NOT(ISNUMBER($Q2025))),"",$Q2025*1000000+2025)</f>
        <v/>
      </c>
      <c r="W2025" s="29">
        <f>IF($B2025="","",IFERROR(INDEX($U$4:$U$3183,MATCH(SMALL($V$4:$V$3183,2022),$V$4:$V$3183,0)),""))</f>
        <v/>
      </c>
    </row>
    <row r="2026">
      <c r="A2026">
        <f>IFERROR(INDEX($N$4:$N$3183,MATCH(SMALL($V$4:$V$3183,2023),$V$4:$V$3183,0)),"")</f>
        <v/>
      </c>
      <c r="B2026">
        <f>IFERROR(INDEX($O$4:$O$3183,MATCH(SMALL($V$4:$V$3183,2023),$V$4:$V$3183,0)),"")</f>
        <v/>
      </c>
      <c r="C2026">
        <f>IFERROR(INDEX($P$4:$P$3183,MATCH(SMALL($V$4:$V$3183,2023),$V$4:$V$3183,0)),"")</f>
        <v/>
      </c>
      <c r="D2026" s="29">
        <f>IFERROR(INDEX($Q$4:$Q$3183,MATCH(SMALL($V$4:$V$3183,2023),$V$4:$V$3183,0)),"")</f>
        <v/>
      </c>
      <c r="E2026" s="29">
        <f>IFERROR(INDEX($R$4:$R$3183,MATCH(SMALL($V$4:$V$3183,2023),$V$4:$V$3183,0)),"")</f>
        <v/>
      </c>
      <c r="F2026">
        <f>IFERROR(INDEX($S$4:$S$3183,MATCH(SMALL($V$4:$V$3183,2023),$V$4:$V$3183,0)),"")</f>
        <v/>
      </c>
      <c r="I2026" s="29">
        <f>IF($B2026="","",IFERROR(INDEX($U$4:$U$3183,MATCH(SMALL($V$4:$V$3183,2023),$V$4:$V$3183,0)),""))</f>
        <v/>
      </c>
      <c r="J2026">
        <f>IF($B2026="","",IF($D2026&gt;$F$2,"À venir",IF($E2026&lt;$D$2,"Passé","Dans la période")))</f>
        <v/>
      </c>
      <c r="K2026">
        <f>IF(OR($B2026="",NOT(ISNUMBER($D2026))),"",IF(AND($E2026&lt;$D$2,$G2026&lt;&gt;"X",$F2026&lt;&gt;"Réalisé",$F2026&lt;&gt;"Clôturé"),"RETARD",""))</f>
        <v/>
      </c>
      <c r="L2026">
        <f>IF(OR($B2026="",NOT(ISNUMBER($D2026))),"",IF(AND($D2026&gt;=$D$2,$D2026&lt;=$H$2,$G2026&lt;&gt;"X",$F2026&lt;&gt;"Réalisé",$F2026&lt;&gt;"Clôturé"),"≤ 7 j",""))</f>
        <v/>
      </c>
      <c r="M2026" s="29">
        <f>IF($B2026="","",IFERROR(INDEX($T$4:$T$3183,MATCH(SMALL($V$4:$V$3183,2023),$V$4:$V$3183,0)),""))</f>
        <v/>
      </c>
      <c r="O2026">
        <f>IF(INDEX(Suivi!$B:$B,2065)="","",INDEX(Suivi!$B:$B,2065))</f>
        <v/>
      </c>
      <c r="P2026">
        <f>IF($O2026="","",IF(INDEX(Suivi!$D:$D,2065)="",INDEX(Suivi!$C:$C,2065),INDEX(Suivi!$D:$D,2065)))</f>
        <v/>
      </c>
      <c r="Q2026">
        <f>IF($O2026="","",INDEX(Suivi!$E:$E,2065))</f>
        <v/>
      </c>
      <c r="R2026">
        <f>IF($O2026="","",INDEX(Suivi!$F:$F,2065))</f>
        <v/>
      </c>
      <c r="S2026">
        <f>IF($O2026="","",INDEX(Suivi!$G:$G,2065))</f>
        <v/>
      </c>
      <c r="T2026">
        <f>IF($O2026="","",IF(INDEX(Dossiers!$F$4:$F$63,39)="","",INDEX(Dossiers!$F$4:$F$63,39)))</f>
        <v/>
      </c>
      <c r="U2026">
        <f>IF($O2026="","",IF(INDEX(Dossiers!$G$4:$G$63,39)="","",INDEX(Dossiers!$G$4:$G$63,39)))</f>
        <v/>
      </c>
      <c r="V2026">
        <f>IF(OR($O2026="",NOT(ISNUMBER($Q2026))),"",$Q2026*1000000+2026)</f>
        <v/>
      </c>
      <c r="W2026" s="29">
        <f>IF($B2026="","",IFERROR(INDEX($U$4:$U$3183,MATCH(SMALL($V$4:$V$3183,2023),$V$4:$V$3183,0)),""))</f>
        <v/>
      </c>
    </row>
    <row r="2027">
      <c r="A2027">
        <f>IFERROR(INDEX($N$4:$N$3183,MATCH(SMALL($V$4:$V$3183,2024),$V$4:$V$3183,0)),"")</f>
        <v/>
      </c>
      <c r="B2027">
        <f>IFERROR(INDEX($O$4:$O$3183,MATCH(SMALL($V$4:$V$3183,2024),$V$4:$V$3183,0)),"")</f>
        <v/>
      </c>
      <c r="C2027">
        <f>IFERROR(INDEX($P$4:$P$3183,MATCH(SMALL($V$4:$V$3183,2024),$V$4:$V$3183,0)),"")</f>
        <v/>
      </c>
      <c r="D2027" s="29">
        <f>IFERROR(INDEX($Q$4:$Q$3183,MATCH(SMALL($V$4:$V$3183,2024),$V$4:$V$3183,0)),"")</f>
        <v/>
      </c>
      <c r="E2027" s="29">
        <f>IFERROR(INDEX($R$4:$R$3183,MATCH(SMALL($V$4:$V$3183,2024),$V$4:$V$3183,0)),"")</f>
        <v/>
      </c>
      <c r="F2027">
        <f>IFERROR(INDEX($S$4:$S$3183,MATCH(SMALL($V$4:$V$3183,2024),$V$4:$V$3183,0)),"")</f>
        <v/>
      </c>
      <c r="I2027" s="29">
        <f>IF($B2027="","",IFERROR(INDEX($U$4:$U$3183,MATCH(SMALL($V$4:$V$3183,2024),$V$4:$V$3183,0)),""))</f>
        <v/>
      </c>
      <c r="J2027">
        <f>IF($B2027="","",IF($D2027&gt;$F$2,"À venir",IF($E2027&lt;$D$2,"Passé","Dans la période")))</f>
        <v/>
      </c>
      <c r="K2027">
        <f>IF(OR($B2027="",NOT(ISNUMBER($D2027))),"",IF(AND($E2027&lt;$D$2,$G2027&lt;&gt;"X",$F2027&lt;&gt;"Réalisé",$F2027&lt;&gt;"Clôturé"),"RETARD",""))</f>
        <v/>
      </c>
      <c r="L2027">
        <f>IF(OR($B2027="",NOT(ISNUMBER($D2027))),"",IF(AND($D2027&gt;=$D$2,$D2027&lt;=$H$2,$G2027&lt;&gt;"X",$F2027&lt;&gt;"Réalisé",$F2027&lt;&gt;"Clôturé"),"≤ 7 j",""))</f>
        <v/>
      </c>
      <c r="M2027" s="29">
        <f>IF($B2027="","",IFERROR(INDEX($T$4:$T$3183,MATCH(SMALL($V$4:$V$3183,2024),$V$4:$V$3183,0)),""))</f>
        <v/>
      </c>
      <c r="O2027">
        <f>IF(INDEX(Suivi!$B:$B,2066)="","",INDEX(Suivi!$B:$B,2066))</f>
        <v/>
      </c>
      <c r="P2027">
        <f>IF($O2027="","",IF(INDEX(Suivi!$D:$D,2066)="",INDEX(Suivi!$C:$C,2066),INDEX(Suivi!$D:$D,2066)))</f>
        <v/>
      </c>
      <c r="Q2027">
        <f>IF($O2027="","",INDEX(Suivi!$E:$E,2066))</f>
        <v/>
      </c>
      <c r="R2027">
        <f>IF($O2027="","",INDEX(Suivi!$F:$F,2066))</f>
        <v/>
      </c>
      <c r="S2027">
        <f>IF($O2027="","",INDEX(Suivi!$G:$G,2066))</f>
        <v/>
      </c>
      <c r="T2027">
        <f>IF($O2027="","",IF(INDEX(Dossiers!$F$4:$F$63,39)="","",INDEX(Dossiers!$F$4:$F$63,39)))</f>
        <v/>
      </c>
      <c r="U2027">
        <f>IF($O2027="","",IF(INDEX(Dossiers!$G$4:$G$63,39)="","",INDEX(Dossiers!$G$4:$G$63,39)))</f>
        <v/>
      </c>
      <c r="V2027">
        <f>IF(OR($O2027="",NOT(ISNUMBER($Q2027))),"",$Q2027*1000000+2027)</f>
        <v/>
      </c>
      <c r="W2027" s="29">
        <f>IF($B2027="","",IFERROR(INDEX($U$4:$U$3183,MATCH(SMALL($V$4:$V$3183,2024),$V$4:$V$3183,0)),""))</f>
        <v/>
      </c>
    </row>
    <row r="2028">
      <c r="A2028">
        <f>IFERROR(INDEX($N$4:$N$3183,MATCH(SMALL($V$4:$V$3183,2025),$V$4:$V$3183,0)),"")</f>
        <v/>
      </c>
      <c r="B2028">
        <f>IFERROR(INDEX($O$4:$O$3183,MATCH(SMALL($V$4:$V$3183,2025),$V$4:$V$3183,0)),"")</f>
        <v/>
      </c>
      <c r="C2028">
        <f>IFERROR(INDEX($P$4:$P$3183,MATCH(SMALL($V$4:$V$3183,2025),$V$4:$V$3183,0)),"")</f>
        <v/>
      </c>
      <c r="D2028" s="29">
        <f>IFERROR(INDEX($Q$4:$Q$3183,MATCH(SMALL($V$4:$V$3183,2025),$V$4:$V$3183,0)),"")</f>
        <v/>
      </c>
      <c r="E2028" s="29">
        <f>IFERROR(INDEX($R$4:$R$3183,MATCH(SMALL($V$4:$V$3183,2025),$V$4:$V$3183,0)),"")</f>
        <v/>
      </c>
      <c r="F2028">
        <f>IFERROR(INDEX($S$4:$S$3183,MATCH(SMALL($V$4:$V$3183,2025),$V$4:$V$3183,0)),"")</f>
        <v/>
      </c>
      <c r="I2028" s="29">
        <f>IF($B2028="","",IFERROR(INDEX($U$4:$U$3183,MATCH(SMALL($V$4:$V$3183,2025),$V$4:$V$3183,0)),""))</f>
        <v/>
      </c>
      <c r="J2028">
        <f>IF($B2028="","",IF($D2028&gt;$F$2,"À venir",IF($E2028&lt;$D$2,"Passé","Dans la période")))</f>
        <v/>
      </c>
      <c r="K2028">
        <f>IF(OR($B2028="",NOT(ISNUMBER($D2028))),"",IF(AND($E2028&lt;$D$2,$G2028&lt;&gt;"X",$F2028&lt;&gt;"Réalisé",$F2028&lt;&gt;"Clôturé"),"RETARD",""))</f>
        <v/>
      </c>
      <c r="L2028">
        <f>IF(OR($B2028="",NOT(ISNUMBER($D2028))),"",IF(AND($D2028&gt;=$D$2,$D2028&lt;=$H$2,$G2028&lt;&gt;"X",$F2028&lt;&gt;"Réalisé",$F2028&lt;&gt;"Clôturé"),"≤ 7 j",""))</f>
        <v/>
      </c>
      <c r="M2028" s="29">
        <f>IF($B2028="","",IFERROR(INDEX($T$4:$T$3183,MATCH(SMALL($V$4:$V$3183,2025),$V$4:$V$3183,0)),""))</f>
        <v/>
      </c>
      <c r="O2028">
        <f>IF(INDEX(Suivi!$B:$B,2067)="","",INDEX(Suivi!$B:$B,2067))</f>
        <v/>
      </c>
      <c r="P2028">
        <f>IF($O2028="","",IF(INDEX(Suivi!$D:$D,2067)="",INDEX(Suivi!$C:$C,2067),INDEX(Suivi!$D:$D,2067)))</f>
        <v/>
      </c>
      <c r="Q2028">
        <f>IF($O2028="","",INDEX(Suivi!$E:$E,2067))</f>
        <v/>
      </c>
      <c r="R2028">
        <f>IF($O2028="","",INDEX(Suivi!$F:$F,2067))</f>
        <v/>
      </c>
      <c r="S2028">
        <f>IF($O2028="","",INDEX(Suivi!$G:$G,2067))</f>
        <v/>
      </c>
      <c r="T2028">
        <f>IF($O2028="","",IF(INDEX(Dossiers!$F$4:$F$63,39)="","",INDEX(Dossiers!$F$4:$F$63,39)))</f>
        <v/>
      </c>
      <c r="U2028">
        <f>IF($O2028="","",IF(INDEX(Dossiers!$G$4:$G$63,39)="","",INDEX(Dossiers!$G$4:$G$63,39)))</f>
        <v/>
      </c>
      <c r="V2028">
        <f>IF(OR($O2028="",NOT(ISNUMBER($Q2028))),"",$Q2028*1000000+2028)</f>
        <v/>
      </c>
      <c r="W2028" s="29">
        <f>IF($B2028="","",IFERROR(INDEX($U$4:$U$3183,MATCH(SMALL($V$4:$V$3183,2025),$V$4:$V$3183,0)),""))</f>
        <v/>
      </c>
    </row>
    <row r="2029">
      <c r="A2029">
        <f>IFERROR(INDEX($N$4:$N$3183,MATCH(SMALL($V$4:$V$3183,2026),$V$4:$V$3183,0)),"")</f>
        <v/>
      </c>
      <c r="B2029">
        <f>IFERROR(INDEX($O$4:$O$3183,MATCH(SMALL($V$4:$V$3183,2026),$V$4:$V$3183,0)),"")</f>
        <v/>
      </c>
      <c r="C2029">
        <f>IFERROR(INDEX($P$4:$P$3183,MATCH(SMALL($V$4:$V$3183,2026),$V$4:$V$3183,0)),"")</f>
        <v/>
      </c>
      <c r="D2029" s="29">
        <f>IFERROR(INDEX($Q$4:$Q$3183,MATCH(SMALL($V$4:$V$3183,2026),$V$4:$V$3183,0)),"")</f>
        <v/>
      </c>
      <c r="E2029" s="29">
        <f>IFERROR(INDEX($R$4:$R$3183,MATCH(SMALL($V$4:$V$3183,2026),$V$4:$V$3183,0)),"")</f>
        <v/>
      </c>
      <c r="F2029">
        <f>IFERROR(INDEX($S$4:$S$3183,MATCH(SMALL($V$4:$V$3183,2026),$V$4:$V$3183,0)),"")</f>
        <v/>
      </c>
      <c r="I2029" s="29">
        <f>IF($B2029="","",IFERROR(INDEX($U$4:$U$3183,MATCH(SMALL($V$4:$V$3183,2026),$V$4:$V$3183,0)),""))</f>
        <v/>
      </c>
      <c r="J2029">
        <f>IF($B2029="","",IF($D2029&gt;$F$2,"À venir",IF($E2029&lt;$D$2,"Passé","Dans la période")))</f>
        <v/>
      </c>
      <c r="K2029">
        <f>IF(OR($B2029="",NOT(ISNUMBER($D2029))),"",IF(AND($E2029&lt;$D$2,$G2029&lt;&gt;"X",$F2029&lt;&gt;"Réalisé",$F2029&lt;&gt;"Clôturé"),"RETARD",""))</f>
        <v/>
      </c>
      <c r="L2029">
        <f>IF(OR($B2029="",NOT(ISNUMBER($D2029))),"",IF(AND($D2029&gt;=$D$2,$D2029&lt;=$H$2,$G2029&lt;&gt;"X",$F2029&lt;&gt;"Réalisé",$F2029&lt;&gt;"Clôturé"),"≤ 7 j",""))</f>
        <v/>
      </c>
      <c r="M2029" s="29">
        <f>IF($B2029="","",IFERROR(INDEX($T$4:$T$3183,MATCH(SMALL($V$4:$V$3183,2026),$V$4:$V$3183,0)),""))</f>
        <v/>
      </c>
      <c r="O2029">
        <f>IF(INDEX(Suivi!$B:$B,2068)="","",INDEX(Suivi!$B:$B,2068))</f>
        <v/>
      </c>
      <c r="P2029">
        <f>IF($O2029="","",IF(INDEX(Suivi!$D:$D,2068)="",INDEX(Suivi!$C:$C,2068),INDEX(Suivi!$D:$D,2068)))</f>
        <v/>
      </c>
      <c r="Q2029">
        <f>IF($O2029="","",INDEX(Suivi!$E:$E,2068))</f>
        <v/>
      </c>
      <c r="R2029">
        <f>IF($O2029="","",INDEX(Suivi!$F:$F,2068))</f>
        <v/>
      </c>
      <c r="S2029">
        <f>IF($O2029="","",INDEX(Suivi!$G:$G,2068))</f>
        <v/>
      </c>
      <c r="T2029">
        <f>IF($O2029="","",IF(INDEX(Dossiers!$F$4:$F$63,39)="","",INDEX(Dossiers!$F$4:$F$63,39)))</f>
        <v/>
      </c>
      <c r="U2029">
        <f>IF($O2029="","",IF(INDEX(Dossiers!$G$4:$G$63,39)="","",INDEX(Dossiers!$G$4:$G$63,39)))</f>
        <v/>
      </c>
      <c r="V2029">
        <f>IF(OR($O2029="",NOT(ISNUMBER($Q2029))),"",$Q2029*1000000+2029)</f>
        <v/>
      </c>
      <c r="W2029" s="29">
        <f>IF($B2029="","",IFERROR(INDEX($U$4:$U$3183,MATCH(SMALL($V$4:$V$3183,2026),$V$4:$V$3183,0)),""))</f>
        <v/>
      </c>
    </row>
    <row r="2030">
      <c r="A2030">
        <f>IFERROR(INDEX($N$4:$N$3183,MATCH(SMALL($V$4:$V$3183,2027),$V$4:$V$3183,0)),"")</f>
        <v/>
      </c>
      <c r="B2030">
        <f>IFERROR(INDEX($O$4:$O$3183,MATCH(SMALL($V$4:$V$3183,2027),$V$4:$V$3183,0)),"")</f>
        <v/>
      </c>
      <c r="C2030">
        <f>IFERROR(INDEX($P$4:$P$3183,MATCH(SMALL($V$4:$V$3183,2027),$V$4:$V$3183,0)),"")</f>
        <v/>
      </c>
      <c r="D2030" s="29">
        <f>IFERROR(INDEX($Q$4:$Q$3183,MATCH(SMALL($V$4:$V$3183,2027),$V$4:$V$3183,0)),"")</f>
        <v/>
      </c>
      <c r="E2030" s="29">
        <f>IFERROR(INDEX($R$4:$R$3183,MATCH(SMALL($V$4:$V$3183,2027),$V$4:$V$3183,0)),"")</f>
        <v/>
      </c>
      <c r="F2030">
        <f>IFERROR(INDEX($S$4:$S$3183,MATCH(SMALL($V$4:$V$3183,2027),$V$4:$V$3183,0)),"")</f>
        <v/>
      </c>
      <c r="I2030" s="29">
        <f>IF($B2030="","",IFERROR(INDEX($U$4:$U$3183,MATCH(SMALL($V$4:$V$3183,2027),$V$4:$V$3183,0)),""))</f>
        <v/>
      </c>
      <c r="J2030">
        <f>IF($B2030="","",IF($D2030&gt;$F$2,"À venir",IF($E2030&lt;$D$2,"Passé","Dans la période")))</f>
        <v/>
      </c>
      <c r="K2030">
        <f>IF(OR($B2030="",NOT(ISNUMBER($D2030))),"",IF(AND($E2030&lt;$D$2,$G2030&lt;&gt;"X",$F2030&lt;&gt;"Réalisé",$F2030&lt;&gt;"Clôturé"),"RETARD",""))</f>
        <v/>
      </c>
      <c r="L2030">
        <f>IF(OR($B2030="",NOT(ISNUMBER($D2030))),"",IF(AND($D2030&gt;=$D$2,$D2030&lt;=$H$2,$G2030&lt;&gt;"X",$F2030&lt;&gt;"Réalisé",$F2030&lt;&gt;"Clôturé"),"≤ 7 j",""))</f>
        <v/>
      </c>
      <c r="M2030" s="29">
        <f>IF($B2030="","",IFERROR(INDEX($T$4:$T$3183,MATCH(SMALL($V$4:$V$3183,2027),$V$4:$V$3183,0)),""))</f>
        <v/>
      </c>
      <c r="O2030">
        <f>IF(INDEX(Suivi!$B:$B,2069)="","",INDEX(Suivi!$B:$B,2069))</f>
        <v/>
      </c>
      <c r="P2030">
        <f>IF($O2030="","",IF(INDEX(Suivi!$D:$D,2069)="",INDEX(Suivi!$C:$C,2069),INDEX(Suivi!$D:$D,2069)))</f>
        <v/>
      </c>
      <c r="Q2030">
        <f>IF($O2030="","",INDEX(Suivi!$E:$E,2069))</f>
        <v/>
      </c>
      <c r="R2030">
        <f>IF($O2030="","",INDEX(Suivi!$F:$F,2069))</f>
        <v/>
      </c>
      <c r="S2030">
        <f>IF($O2030="","",INDEX(Suivi!$G:$G,2069))</f>
        <v/>
      </c>
      <c r="T2030">
        <f>IF($O2030="","",IF(INDEX(Dossiers!$F$4:$F$63,39)="","",INDEX(Dossiers!$F$4:$F$63,39)))</f>
        <v/>
      </c>
      <c r="U2030">
        <f>IF($O2030="","",IF(INDEX(Dossiers!$G$4:$G$63,39)="","",INDEX(Dossiers!$G$4:$G$63,39)))</f>
        <v/>
      </c>
      <c r="V2030">
        <f>IF(OR($O2030="",NOT(ISNUMBER($Q2030))),"",$Q2030*1000000+2030)</f>
        <v/>
      </c>
      <c r="W2030" s="29">
        <f>IF($B2030="","",IFERROR(INDEX($U$4:$U$3183,MATCH(SMALL($V$4:$V$3183,2027),$V$4:$V$3183,0)),""))</f>
        <v/>
      </c>
    </row>
    <row r="2031">
      <c r="A2031">
        <f>IFERROR(INDEX($N$4:$N$3183,MATCH(SMALL($V$4:$V$3183,2028),$V$4:$V$3183,0)),"")</f>
        <v/>
      </c>
      <c r="B2031">
        <f>IFERROR(INDEX($O$4:$O$3183,MATCH(SMALL($V$4:$V$3183,2028),$V$4:$V$3183,0)),"")</f>
        <v/>
      </c>
      <c r="C2031">
        <f>IFERROR(INDEX($P$4:$P$3183,MATCH(SMALL($V$4:$V$3183,2028),$V$4:$V$3183,0)),"")</f>
        <v/>
      </c>
      <c r="D2031" s="29">
        <f>IFERROR(INDEX($Q$4:$Q$3183,MATCH(SMALL($V$4:$V$3183,2028),$V$4:$V$3183,0)),"")</f>
        <v/>
      </c>
      <c r="E2031" s="29">
        <f>IFERROR(INDEX($R$4:$R$3183,MATCH(SMALL($V$4:$V$3183,2028),$V$4:$V$3183,0)),"")</f>
        <v/>
      </c>
      <c r="F2031">
        <f>IFERROR(INDEX($S$4:$S$3183,MATCH(SMALL($V$4:$V$3183,2028),$V$4:$V$3183,0)),"")</f>
        <v/>
      </c>
      <c r="I2031" s="29">
        <f>IF($B2031="","",IFERROR(INDEX($U$4:$U$3183,MATCH(SMALL($V$4:$V$3183,2028),$V$4:$V$3183,0)),""))</f>
        <v/>
      </c>
      <c r="J2031">
        <f>IF($B2031="","",IF($D2031&gt;$F$2,"À venir",IF($E2031&lt;$D$2,"Passé","Dans la période")))</f>
        <v/>
      </c>
      <c r="K2031">
        <f>IF(OR($B2031="",NOT(ISNUMBER($D2031))),"",IF(AND($E2031&lt;$D$2,$G2031&lt;&gt;"X",$F2031&lt;&gt;"Réalisé",$F2031&lt;&gt;"Clôturé"),"RETARD",""))</f>
        <v/>
      </c>
      <c r="L2031">
        <f>IF(OR($B2031="",NOT(ISNUMBER($D2031))),"",IF(AND($D2031&gt;=$D$2,$D2031&lt;=$H$2,$G2031&lt;&gt;"X",$F2031&lt;&gt;"Réalisé",$F2031&lt;&gt;"Clôturé"),"≤ 7 j",""))</f>
        <v/>
      </c>
      <c r="M2031" s="29">
        <f>IF($B2031="","",IFERROR(INDEX($T$4:$T$3183,MATCH(SMALL($V$4:$V$3183,2028),$V$4:$V$3183,0)),""))</f>
        <v/>
      </c>
      <c r="O2031">
        <f>IF(INDEX(Suivi!$B:$B,2070)="","",INDEX(Suivi!$B:$B,2070))</f>
        <v/>
      </c>
      <c r="P2031">
        <f>IF($O2031="","",IF(INDEX(Suivi!$D:$D,2070)="",INDEX(Suivi!$C:$C,2070),INDEX(Suivi!$D:$D,2070)))</f>
        <v/>
      </c>
      <c r="Q2031">
        <f>IF($O2031="","",INDEX(Suivi!$E:$E,2070))</f>
        <v/>
      </c>
      <c r="R2031">
        <f>IF($O2031="","",INDEX(Suivi!$F:$F,2070))</f>
        <v/>
      </c>
      <c r="S2031">
        <f>IF($O2031="","",INDEX(Suivi!$G:$G,2070))</f>
        <v/>
      </c>
      <c r="T2031">
        <f>IF($O2031="","",IF(INDEX(Dossiers!$F$4:$F$63,39)="","",INDEX(Dossiers!$F$4:$F$63,39)))</f>
        <v/>
      </c>
      <c r="U2031">
        <f>IF($O2031="","",IF(INDEX(Dossiers!$G$4:$G$63,39)="","",INDEX(Dossiers!$G$4:$G$63,39)))</f>
        <v/>
      </c>
      <c r="V2031">
        <f>IF(OR($O2031="",NOT(ISNUMBER($Q2031))),"",$Q2031*1000000+2031)</f>
        <v/>
      </c>
      <c r="W2031" s="29">
        <f>IF($B2031="","",IFERROR(INDEX($U$4:$U$3183,MATCH(SMALL($V$4:$V$3183,2028),$V$4:$V$3183,0)),""))</f>
        <v/>
      </c>
    </row>
    <row r="2032">
      <c r="A2032">
        <f>IFERROR(INDEX($N$4:$N$3183,MATCH(SMALL($V$4:$V$3183,2029),$V$4:$V$3183,0)),"")</f>
        <v/>
      </c>
      <c r="B2032">
        <f>IFERROR(INDEX($O$4:$O$3183,MATCH(SMALL($V$4:$V$3183,2029),$V$4:$V$3183,0)),"")</f>
        <v/>
      </c>
      <c r="C2032">
        <f>IFERROR(INDEX($P$4:$P$3183,MATCH(SMALL($V$4:$V$3183,2029),$V$4:$V$3183,0)),"")</f>
        <v/>
      </c>
      <c r="D2032" s="29">
        <f>IFERROR(INDEX($Q$4:$Q$3183,MATCH(SMALL($V$4:$V$3183,2029),$V$4:$V$3183,0)),"")</f>
        <v/>
      </c>
      <c r="E2032" s="29">
        <f>IFERROR(INDEX($R$4:$R$3183,MATCH(SMALL($V$4:$V$3183,2029),$V$4:$V$3183,0)),"")</f>
        <v/>
      </c>
      <c r="F2032">
        <f>IFERROR(INDEX($S$4:$S$3183,MATCH(SMALL($V$4:$V$3183,2029),$V$4:$V$3183,0)),"")</f>
        <v/>
      </c>
      <c r="I2032" s="29">
        <f>IF($B2032="","",IFERROR(INDEX($U$4:$U$3183,MATCH(SMALL($V$4:$V$3183,2029),$V$4:$V$3183,0)),""))</f>
        <v/>
      </c>
      <c r="J2032">
        <f>IF($B2032="","",IF($D2032&gt;$F$2,"À venir",IF($E2032&lt;$D$2,"Passé","Dans la période")))</f>
        <v/>
      </c>
      <c r="K2032">
        <f>IF(OR($B2032="",NOT(ISNUMBER($D2032))),"",IF(AND($E2032&lt;$D$2,$G2032&lt;&gt;"X",$F2032&lt;&gt;"Réalisé",$F2032&lt;&gt;"Clôturé"),"RETARD",""))</f>
        <v/>
      </c>
      <c r="L2032">
        <f>IF(OR($B2032="",NOT(ISNUMBER($D2032))),"",IF(AND($D2032&gt;=$D$2,$D2032&lt;=$H$2,$G2032&lt;&gt;"X",$F2032&lt;&gt;"Réalisé",$F2032&lt;&gt;"Clôturé"),"≤ 7 j",""))</f>
        <v/>
      </c>
      <c r="M2032" s="29">
        <f>IF($B2032="","",IFERROR(INDEX($T$4:$T$3183,MATCH(SMALL($V$4:$V$3183,2029),$V$4:$V$3183,0)),""))</f>
        <v/>
      </c>
      <c r="O2032">
        <f>IF(INDEX(Suivi!$B:$B,2071)="","",INDEX(Suivi!$B:$B,2071))</f>
        <v/>
      </c>
      <c r="P2032">
        <f>IF($O2032="","",IF(INDEX(Suivi!$D:$D,2071)="",INDEX(Suivi!$C:$C,2071),INDEX(Suivi!$D:$D,2071)))</f>
        <v/>
      </c>
      <c r="Q2032">
        <f>IF($O2032="","",INDEX(Suivi!$E:$E,2071))</f>
        <v/>
      </c>
      <c r="R2032">
        <f>IF($O2032="","",INDEX(Suivi!$F:$F,2071))</f>
        <v/>
      </c>
      <c r="S2032">
        <f>IF($O2032="","",INDEX(Suivi!$G:$G,2071))</f>
        <v/>
      </c>
      <c r="T2032">
        <f>IF($O2032="","",IF(INDEX(Dossiers!$F$4:$F$63,39)="","",INDEX(Dossiers!$F$4:$F$63,39)))</f>
        <v/>
      </c>
      <c r="U2032">
        <f>IF($O2032="","",IF(INDEX(Dossiers!$G$4:$G$63,39)="","",INDEX(Dossiers!$G$4:$G$63,39)))</f>
        <v/>
      </c>
      <c r="V2032">
        <f>IF(OR($O2032="",NOT(ISNUMBER($Q2032))),"",$Q2032*1000000+2032)</f>
        <v/>
      </c>
      <c r="W2032" s="29">
        <f>IF($B2032="","",IFERROR(INDEX($U$4:$U$3183,MATCH(SMALL($V$4:$V$3183,2029),$V$4:$V$3183,0)),""))</f>
        <v/>
      </c>
    </row>
    <row r="2033">
      <c r="A2033">
        <f>IFERROR(INDEX($N$4:$N$3183,MATCH(SMALL($V$4:$V$3183,2030),$V$4:$V$3183,0)),"")</f>
        <v/>
      </c>
      <c r="B2033">
        <f>IFERROR(INDEX($O$4:$O$3183,MATCH(SMALL($V$4:$V$3183,2030),$V$4:$V$3183,0)),"")</f>
        <v/>
      </c>
      <c r="C2033">
        <f>IFERROR(INDEX($P$4:$P$3183,MATCH(SMALL($V$4:$V$3183,2030),$V$4:$V$3183,0)),"")</f>
        <v/>
      </c>
      <c r="D2033" s="29">
        <f>IFERROR(INDEX($Q$4:$Q$3183,MATCH(SMALL($V$4:$V$3183,2030),$V$4:$V$3183,0)),"")</f>
        <v/>
      </c>
      <c r="E2033" s="29">
        <f>IFERROR(INDEX($R$4:$R$3183,MATCH(SMALL($V$4:$V$3183,2030),$V$4:$V$3183,0)),"")</f>
        <v/>
      </c>
      <c r="F2033">
        <f>IFERROR(INDEX($S$4:$S$3183,MATCH(SMALL($V$4:$V$3183,2030),$V$4:$V$3183,0)),"")</f>
        <v/>
      </c>
      <c r="I2033" s="29">
        <f>IF($B2033="","",IFERROR(INDEX($U$4:$U$3183,MATCH(SMALL($V$4:$V$3183,2030),$V$4:$V$3183,0)),""))</f>
        <v/>
      </c>
      <c r="J2033">
        <f>IF($B2033="","",IF($D2033&gt;$F$2,"À venir",IF($E2033&lt;$D$2,"Passé","Dans la période")))</f>
        <v/>
      </c>
      <c r="K2033">
        <f>IF(OR($B2033="",NOT(ISNUMBER($D2033))),"",IF(AND($E2033&lt;$D$2,$G2033&lt;&gt;"X",$F2033&lt;&gt;"Réalisé",$F2033&lt;&gt;"Clôturé"),"RETARD",""))</f>
        <v/>
      </c>
      <c r="L2033">
        <f>IF(OR($B2033="",NOT(ISNUMBER($D2033))),"",IF(AND($D2033&gt;=$D$2,$D2033&lt;=$H$2,$G2033&lt;&gt;"X",$F2033&lt;&gt;"Réalisé",$F2033&lt;&gt;"Clôturé"),"≤ 7 j",""))</f>
        <v/>
      </c>
      <c r="M2033" s="29">
        <f>IF($B2033="","",IFERROR(INDEX($T$4:$T$3183,MATCH(SMALL($V$4:$V$3183,2030),$V$4:$V$3183,0)),""))</f>
        <v/>
      </c>
      <c r="O2033">
        <f>IF(INDEX(Suivi!$B:$B,2072)="","",INDEX(Suivi!$B:$B,2072))</f>
        <v/>
      </c>
      <c r="P2033">
        <f>IF($O2033="","",IF(INDEX(Suivi!$D:$D,2072)="",INDEX(Suivi!$C:$C,2072),INDEX(Suivi!$D:$D,2072)))</f>
        <v/>
      </c>
      <c r="Q2033">
        <f>IF($O2033="","",INDEX(Suivi!$E:$E,2072))</f>
        <v/>
      </c>
      <c r="R2033">
        <f>IF($O2033="","",INDEX(Suivi!$F:$F,2072))</f>
        <v/>
      </c>
      <c r="S2033">
        <f>IF($O2033="","",INDEX(Suivi!$G:$G,2072))</f>
        <v/>
      </c>
      <c r="T2033">
        <f>IF($O2033="","",IF(INDEX(Dossiers!$F$4:$F$63,39)="","",INDEX(Dossiers!$F$4:$F$63,39)))</f>
        <v/>
      </c>
      <c r="U2033">
        <f>IF($O2033="","",IF(INDEX(Dossiers!$G$4:$G$63,39)="","",INDEX(Dossiers!$G$4:$G$63,39)))</f>
        <v/>
      </c>
      <c r="V2033">
        <f>IF(OR($O2033="",NOT(ISNUMBER($Q2033))),"",$Q2033*1000000+2033)</f>
        <v/>
      </c>
      <c r="W2033" s="29">
        <f>IF($B2033="","",IFERROR(INDEX($U$4:$U$3183,MATCH(SMALL($V$4:$V$3183,2030),$V$4:$V$3183,0)),""))</f>
        <v/>
      </c>
    </row>
    <row r="2034">
      <c r="A2034">
        <f>IFERROR(INDEX($N$4:$N$3183,MATCH(SMALL($V$4:$V$3183,2031),$V$4:$V$3183,0)),"")</f>
        <v/>
      </c>
      <c r="B2034">
        <f>IFERROR(INDEX($O$4:$O$3183,MATCH(SMALL($V$4:$V$3183,2031),$V$4:$V$3183,0)),"")</f>
        <v/>
      </c>
      <c r="C2034">
        <f>IFERROR(INDEX($P$4:$P$3183,MATCH(SMALL($V$4:$V$3183,2031),$V$4:$V$3183,0)),"")</f>
        <v/>
      </c>
      <c r="D2034" s="29">
        <f>IFERROR(INDEX($Q$4:$Q$3183,MATCH(SMALL($V$4:$V$3183,2031),$V$4:$V$3183,0)),"")</f>
        <v/>
      </c>
      <c r="E2034" s="29">
        <f>IFERROR(INDEX($R$4:$R$3183,MATCH(SMALL($V$4:$V$3183,2031),$V$4:$V$3183,0)),"")</f>
        <v/>
      </c>
      <c r="F2034">
        <f>IFERROR(INDEX($S$4:$S$3183,MATCH(SMALL($V$4:$V$3183,2031),$V$4:$V$3183,0)),"")</f>
        <v/>
      </c>
      <c r="I2034" s="29">
        <f>IF($B2034="","",IFERROR(INDEX($U$4:$U$3183,MATCH(SMALL($V$4:$V$3183,2031),$V$4:$V$3183,0)),""))</f>
        <v/>
      </c>
      <c r="J2034">
        <f>IF($B2034="","",IF($D2034&gt;$F$2,"À venir",IF($E2034&lt;$D$2,"Passé","Dans la période")))</f>
        <v/>
      </c>
      <c r="K2034">
        <f>IF(OR($B2034="",NOT(ISNUMBER($D2034))),"",IF(AND($E2034&lt;$D$2,$G2034&lt;&gt;"X",$F2034&lt;&gt;"Réalisé",$F2034&lt;&gt;"Clôturé"),"RETARD",""))</f>
        <v/>
      </c>
      <c r="L2034">
        <f>IF(OR($B2034="",NOT(ISNUMBER($D2034))),"",IF(AND($D2034&gt;=$D$2,$D2034&lt;=$H$2,$G2034&lt;&gt;"X",$F2034&lt;&gt;"Réalisé",$F2034&lt;&gt;"Clôturé"),"≤ 7 j",""))</f>
        <v/>
      </c>
      <c r="M2034" s="29">
        <f>IF($B2034="","",IFERROR(INDEX($T$4:$T$3183,MATCH(SMALL($V$4:$V$3183,2031),$V$4:$V$3183,0)),""))</f>
        <v/>
      </c>
      <c r="O2034">
        <f>IF(INDEX(Suivi!$B:$B,2073)="","",INDEX(Suivi!$B:$B,2073))</f>
        <v/>
      </c>
      <c r="P2034">
        <f>IF($O2034="","",IF(INDEX(Suivi!$D:$D,2073)="",INDEX(Suivi!$C:$C,2073),INDEX(Suivi!$D:$D,2073)))</f>
        <v/>
      </c>
      <c r="Q2034">
        <f>IF($O2034="","",INDEX(Suivi!$E:$E,2073))</f>
        <v/>
      </c>
      <c r="R2034">
        <f>IF($O2034="","",INDEX(Suivi!$F:$F,2073))</f>
        <v/>
      </c>
      <c r="S2034">
        <f>IF($O2034="","",INDEX(Suivi!$G:$G,2073))</f>
        <v/>
      </c>
      <c r="T2034">
        <f>IF($O2034="","",IF(INDEX(Dossiers!$F$4:$F$63,39)="","",INDEX(Dossiers!$F$4:$F$63,39)))</f>
        <v/>
      </c>
      <c r="U2034">
        <f>IF($O2034="","",IF(INDEX(Dossiers!$G$4:$G$63,39)="","",INDEX(Dossiers!$G$4:$G$63,39)))</f>
        <v/>
      </c>
      <c r="V2034">
        <f>IF(OR($O2034="",NOT(ISNUMBER($Q2034))),"",$Q2034*1000000+2034)</f>
        <v/>
      </c>
      <c r="W2034" s="29">
        <f>IF($B2034="","",IFERROR(INDEX($U$4:$U$3183,MATCH(SMALL($V$4:$V$3183,2031),$V$4:$V$3183,0)),""))</f>
        <v/>
      </c>
    </row>
    <row r="2035">
      <c r="A2035">
        <f>IFERROR(INDEX($N$4:$N$3183,MATCH(SMALL($V$4:$V$3183,2032),$V$4:$V$3183,0)),"")</f>
        <v/>
      </c>
      <c r="B2035">
        <f>IFERROR(INDEX($O$4:$O$3183,MATCH(SMALL($V$4:$V$3183,2032),$V$4:$V$3183,0)),"")</f>
        <v/>
      </c>
      <c r="C2035">
        <f>IFERROR(INDEX($P$4:$P$3183,MATCH(SMALL($V$4:$V$3183,2032),$V$4:$V$3183,0)),"")</f>
        <v/>
      </c>
      <c r="D2035" s="29">
        <f>IFERROR(INDEX($Q$4:$Q$3183,MATCH(SMALL($V$4:$V$3183,2032),$V$4:$V$3183,0)),"")</f>
        <v/>
      </c>
      <c r="E2035" s="29">
        <f>IFERROR(INDEX($R$4:$R$3183,MATCH(SMALL($V$4:$V$3183,2032),$V$4:$V$3183,0)),"")</f>
        <v/>
      </c>
      <c r="F2035">
        <f>IFERROR(INDEX($S$4:$S$3183,MATCH(SMALL($V$4:$V$3183,2032),$V$4:$V$3183,0)),"")</f>
        <v/>
      </c>
      <c r="I2035" s="29">
        <f>IF($B2035="","",IFERROR(INDEX($U$4:$U$3183,MATCH(SMALL($V$4:$V$3183,2032),$V$4:$V$3183,0)),""))</f>
        <v/>
      </c>
      <c r="J2035">
        <f>IF($B2035="","",IF($D2035&gt;$F$2,"À venir",IF($E2035&lt;$D$2,"Passé","Dans la période")))</f>
        <v/>
      </c>
      <c r="K2035">
        <f>IF(OR($B2035="",NOT(ISNUMBER($D2035))),"",IF(AND($E2035&lt;$D$2,$G2035&lt;&gt;"X",$F2035&lt;&gt;"Réalisé",$F2035&lt;&gt;"Clôturé"),"RETARD",""))</f>
        <v/>
      </c>
      <c r="L2035">
        <f>IF(OR($B2035="",NOT(ISNUMBER($D2035))),"",IF(AND($D2035&gt;=$D$2,$D2035&lt;=$H$2,$G2035&lt;&gt;"X",$F2035&lt;&gt;"Réalisé",$F2035&lt;&gt;"Clôturé"),"≤ 7 j",""))</f>
        <v/>
      </c>
      <c r="M2035" s="29">
        <f>IF($B2035="","",IFERROR(INDEX($T$4:$T$3183,MATCH(SMALL($V$4:$V$3183,2032),$V$4:$V$3183,0)),""))</f>
        <v/>
      </c>
      <c r="O2035">
        <f>IF(INDEX(Suivi!$B:$B,2074)="","",INDEX(Suivi!$B:$B,2074))</f>
        <v/>
      </c>
      <c r="P2035">
        <f>IF($O2035="","",IF(INDEX(Suivi!$D:$D,2074)="",INDEX(Suivi!$C:$C,2074),INDEX(Suivi!$D:$D,2074)))</f>
        <v/>
      </c>
      <c r="Q2035">
        <f>IF($O2035="","",INDEX(Suivi!$E:$E,2074))</f>
        <v/>
      </c>
      <c r="R2035">
        <f>IF($O2035="","",INDEX(Suivi!$F:$F,2074))</f>
        <v/>
      </c>
      <c r="S2035">
        <f>IF($O2035="","",INDEX(Suivi!$G:$G,2074))</f>
        <v/>
      </c>
      <c r="T2035">
        <f>IF($O2035="","",IF(INDEX(Dossiers!$F$4:$F$63,39)="","",INDEX(Dossiers!$F$4:$F$63,39)))</f>
        <v/>
      </c>
      <c r="U2035">
        <f>IF($O2035="","",IF(INDEX(Dossiers!$G$4:$G$63,39)="","",INDEX(Dossiers!$G$4:$G$63,39)))</f>
        <v/>
      </c>
      <c r="V2035">
        <f>IF(OR($O2035="",NOT(ISNUMBER($Q2035))),"",$Q2035*1000000+2035)</f>
        <v/>
      </c>
      <c r="W2035" s="29">
        <f>IF($B2035="","",IFERROR(INDEX($U$4:$U$3183,MATCH(SMALL($V$4:$V$3183,2032),$V$4:$V$3183,0)),""))</f>
        <v/>
      </c>
    </row>
    <row r="2036">
      <c r="A2036">
        <f>IFERROR(INDEX($N$4:$N$3183,MATCH(SMALL($V$4:$V$3183,2033),$V$4:$V$3183,0)),"")</f>
        <v/>
      </c>
      <c r="B2036">
        <f>IFERROR(INDEX($O$4:$O$3183,MATCH(SMALL($V$4:$V$3183,2033),$V$4:$V$3183,0)),"")</f>
        <v/>
      </c>
      <c r="C2036">
        <f>IFERROR(INDEX($P$4:$P$3183,MATCH(SMALL($V$4:$V$3183,2033),$V$4:$V$3183,0)),"")</f>
        <v/>
      </c>
      <c r="D2036" s="29">
        <f>IFERROR(INDEX($Q$4:$Q$3183,MATCH(SMALL($V$4:$V$3183,2033),$V$4:$V$3183,0)),"")</f>
        <v/>
      </c>
      <c r="E2036" s="29">
        <f>IFERROR(INDEX($R$4:$R$3183,MATCH(SMALL($V$4:$V$3183,2033),$V$4:$V$3183,0)),"")</f>
        <v/>
      </c>
      <c r="F2036">
        <f>IFERROR(INDEX($S$4:$S$3183,MATCH(SMALL($V$4:$V$3183,2033),$V$4:$V$3183,0)),"")</f>
        <v/>
      </c>
      <c r="I2036" s="29">
        <f>IF($B2036="","",IFERROR(INDEX($U$4:$U$3183,MATCH(SMALL($V$4:$V$3183,2033),$V$4:$V$3183,0)),""))</f>
        <v/>
      </c>
      <c r="J2036">
        <f>IF($B2036="","",IF($D2036&gt;$F$2,"À venir",IF($E2036&lt;$D$2,"Passé","Dans la période")))</f>
        <v/>
      </c>
      <c r="K2036">
        <f>IF(OR($B2036="",NOT(ISNUMBER($D2036))),"",IF(AND($E2036&lt;$D$2,$G2036&lt;&gt;"X",$F2036&lt;&gt;"Réalisé",$F2036&lt;&gt;"Clôturé"),"RETARD",""))</f>
        <v/>
      </c>
      <c r="L2036">
        <f>IF(OR($B2036="",NOT(ISNUMBER($D2036))),"",IF(AND($D2036&gt;=$D$2,$D2036&lt;=$H$2,$G2036&lt;&gt;"X",$F2036&lt;&gt;"Réalisé",$F2036&lt;&gt;"Clôturé"),"≤ 7 j",""))</f>
        <v/>
      </c>
      <c r="M2036" s="29">
        <f>IF($B2036="","",IFERROR(INDEX($T$4:$T$3183,MATCH(SMALL($V$4:$V$3183,2033),$V$4:$V$3183,0)),""))</f>
        <v/>
      </c>
      <c r="O2036">
        <f>IF(INDEX(Suivi!$B:$B,2075)="","",INDEX(Suivi!$B:$B,2075))</f>
        <v/>
      </c>
      <c r="P2036">
        <f>IF($O2036="","",IF(INDEX(Suivi!$D:$D,2075)="",INDEX(Suivi!$C:$C,2075),INDEX(Suivi!$D:$D,2075)))</f>
        <v/>
      </c>
      <c r="Q2036">
        <f>IF($O2036="","",INDEX(Suivi!$E:$E,2075))</f>
        <v/>
      </c>
      <c r="R2036">
        <f>IF($O2036="","",INDEX(Suivi!$F:$F,2075))</f>
        <v/>
      </c>
      <c r="S2036">
        <f>IF($O2036="","",INDEX(Suivi!$G:$G,2075))</f>
        <v/>
      </c>
      <c r="T2036">
        <f>IF($O2036="","",IF(INDEX(Dossiers!$F$4:$F$63,39)="","",INDEX(Dossiers!$F$4:$F$63,39)))</f>
        <v/>
      </c>
      <c r="U2036">
        <f>IF($O2036="","",IF(INDEX(Dossiers!$G$4:$G$63,39)="","",INDEX(Dossiers!$G$4:$G$63,39)))</f>
        <v/>
      </c>
      <c r="V2036">
        <f>IF(OR($O2036="",NOT(ISNUMBER($Q2036))),"",$Q2036*1000000+2036)</f>
        <v/>
      </c>
      <c r="W2036" s="29">
        <f>IF($B2036="","",IFERROR(INDEX($U$4:$U$3183,MATCH(SMALL($V$4:$V$3183,2033),$V$4:$V$3183,0)),""))</f>
        <v/>
      </c>
    </row>
    <row r="2037">
      <c r="A2037">
        <f>IFERROR(INDEX($N$4:$N$3183,MATCH(SMALL($V$4:$V$3183,2034),$V$4:$V$3183,0)),"")</f>
        <v/>
      </c>
      <c r="B2037">
        <f>IFERROR(INDEX($O$4:$O$3183,MATCH(SMALL($V$4:$V$3183,2034),$V$4:$V$3183,0)),"")</f>
        <v/>
      </c>
      <c r="C2037">
        <f>IFERROR(INDEX($P$4:$P$3183,MATCH(SMALL($V$4:$V$3183,2034),$V$4:$V$3183,0)),"")</f>
        <v/>
      </c>
      <c r="D2037" s="29">
        <f>IFERROR(INDEX($Q$4:$Q$3183,MATCH(SMALL($V$4:$V$3183,2034),$V$4:$V$3183,0)),"")</f>
        <v/>
      </c>
      <c r="E2037" s="29">
        <f>IFERROR(INDEX($R$4:$R$3183,MATCH(SMALL($V$4:$V$3183,2034),$V$4:$V$3183,0)),"")</f>
        <v/>
      </c>
      <c r="F2037">
        <f>IFERROR(INDEX($S$4:$S$3183,MATCH(SMALL($V$4:$V$3183,2034),$V$4:$V$3183,0)),"")</f>
        <v/>
      </c>
      <c r="I2037" s="29">
        <f>IF($B2037="","",IFERROR(INDEX($U$4:$U$3183,MATCH(SMALL($V$4:$V$3183,2034),$V$4:$V$3183,0)),""))</f>
        <v/>
      </c>
      <c r="J2037">
        <f>IF($B2037="","",IF($D2037&gt;$F$2,"À venir",IF($E2037&lt;$D$2,"Passé","Dans la période")))</f>
        <v/>
      </c>
      <c r="K2037">
        <f>IF(OR($B2037="",NOT(ISNUMBER($D2037))),"",IF(AND($E2037&lt;$D$2,$G2037&lt;&gt;"X",$F2037&lt;&gt;"Réalisé",$F2037&lt;&gt;"Clôturé"),"RETARD",""))</f>
        <v/>
      </c>
      <c r="L2037">
        <f>IF(OR($B2037="",NOT(ISNUMBER($D2037))),"",IF(AND($D2037&gt;=$D$2,$D2037&lt;=$H$2,$G2037&lt;&gt;"X",$F2037&lt;&gt;"Réalisé",$F2037&lt;&gt;"Clôturé"),"≤ 7 j",""))</f>
        <v/>
      </c>
      <c r="M2037" s="29">
        <f>IF($B2037="","",IFERROR(INDEX($T$4:$T$3183,MATCH(SMALL($V$4:$V$3183,2034),$V$4:$V$3183,0)),""))</f>
        <v/>
      </c>
      <c r="O2037">
        <f>IF(INDEX(Suivi!$B:$B,2076)="","",INDEX(Suivi!$B:$B,2076))</f>
        <v/>
      </c>
      <c r="P2037">
        <f>IF($O2037="","",IF(INDEX(Suivi!$D:$D,2076)="",INDEX(Suivi!$C:$C,2076),INDEX(Suivi!$D:$D,2076)))</f>
        <v/>
      </c>
      <c r="Q2037">
        <f>IF($O2037="","",INDEX(Suivi!$E:$E,2076))</f>
        <v/>
      </c>
      <c r="R2037">
        <f>IF($O2037="","",INDEX(Suivi!$F:$F,2076))</f>
        <v/>
      </c>
      <c r="S2037">
        <f>IF($O2037="","",INDEX(Suivi!$G:$G,2076))</f>
        <v/>
      </c>
      <c r="T2037">
        <f>IF($O2037="","",IF(INDEX(Dossiers!$F$4:$F$63,39)="","",INDEX(Dossiers!$F$4:$F$63,39)))</f>
        <v/>
      </c>
      <c r="U2037">
        <f>IF($O2037="","",IF(INDEX(Dossiers!$G$4:$G$63,39)="","",INDEX(Dossiers!$G$4:$G$63,39)))</f>
        <v/>
      </c>
      <c r="V2037">
        <f>IF(OR($O2037="",NOT(ISNUMBER($Q2037))),"",$Q2037*1000000+2037)</f>
        <v/>
      </c>
      <c r="W2037" s="29">
        <f>IF($B2037="","",IFERROR(INDEX($U$4:$U$3183,MATCH(SMALL($V$4:$V$3183,2034),$V$4:$V$3183,0)),""))</f>
        <v/>
      </c>
    </row>
    <row r="2038">
      <c r="A2038">
        <f>IFERROR(INDEX($N$4:$N$3183,MATCH(SMALL($V$4:$V$3183,2035),$V$4:$V$3183,0)),"")</f>
        <v/>
      </c>
      <c r="B2038">
        <f>IFERROR(INDEX($O$4:$O$3183,MATCH(SMALL($V$4:$V$3183,2035),$V$4:$V$3183,0)),"")</f>
        <v/>
      </c>
      <c r="C2038">
        <f>IFERROR(INDEX($P$4:$P$3183,MATCH(SMALL($V$4:$V$3183,2035),$V$4:$V$3183,0)),"")</f>
        <v/>
      </c>
      <c r="D2038" s="29">
        <f>IFERROR(INDEX($Q$4:$Q$3183,MATCH(SMALL($V$4:$V$3183,2035),$V$4:$V$3183,0)),"")</f>
        <v/>
      </c>
      <c r="E2038" s="29">
        <f>IFERROR(INDEX($R$4:$R$3183,MATCH(SMALL($V$4:$V$3183,2035),$V$4:$V$3183,0)),"")</f>
        <v/>
      </c>
      <c r="F2038">
        <f>IFERROR(INDEX($S$4:$S$3183,MATCH(SMALL($V$4:$V$3183,2035),$V$4:$V$3183,0)),"")</f>
        <v/>
      </c>
      <c r="I2038" s="29">
        <f>IF($B2038="","",IFERROR(INDEX($U$4:$U$3183,MATCH(SMALL($V$4:$V$3183,2035),$V$4:$V$3183,0)),""))</f>
        <v/>
      </c>
      <c r="J2038">
        <f>IF($B2038="","",IF($D2038&gt;$F$2,"À venir",IF($E2038&lt;$D$2,"Passé","Dans la période")))</f>
        <v/>
      </c>
      <c r="K2038">
        <f>IF(OR($B2038="",NOT(ISNUMBER($D2038))),"",IF(AND($E2038&lt;$D$2,$G2038&lt;&gt;"X",$F2038&lt;&gt;"Réalisé",$F2038&lt;&gt;"Clôturé"),"RETARD",""))</f>
        <v/>
      </c>
      <c r="L2038">
        <f>IF(OR($B2038="",NOT(ISNUMBER($D2038))),"",IF(AND($D2038&gt;=$D$2,$D2038&lt;=$H$2,$G2038&lt;&gt;"X",$F2038&lt;&gt;"Réalisé",$F2038&lt;&gt;"Clôturé"),"≤ 7 j",""))</f>
        <v/>
      </c>
      <c r="M2038" s="29">
        <f>IF($B2038="","",IFERROR(INDEX($T$4:$T$3183,MATCH(SMALL($V$4:$V$3183,2035),$V$4:$V$3183,0)),""))</f>
        <v/>
      </c>
      <c r="O2038">
        <f>IF(INDEX(Suivi!$B:$B,2077)="","",INDEX(Suivi!$B:$B,2077))</f>
        <v/>
      </c>
      <c r="P2038">
        <f>IF($O2038="","",IF(INDEX(Suivi!$D:$D,2077)="",INDEX(Suivi!$C:$C,2077),INDEX(Suivi!$D:$D,2077)))</f>
        <v/>
      </c>
      <c r="Q2038">
        <f>IF($O2038="","",INDEX(Suivi!$E:$E,2077))</f>
        <v/>
      </c>
      <c r="R2038">
        <f>IF($O2038="","",INDEX(Suivi!$F:$F,2077))</f>
        <v/>
      </c>
      <c r="S2038">
        <f>IF($O2038="","",INDEX(Suivi!$G:$G,2077))</f>
        <v/>
      </c>
      <c r="T2038">
        <f>IF($O2038="","",IF(INDEX(Dossiers!$F$4:$F$63,39)="","",INDEX(Dossiers!$F$4:$F$63,39)))</f>
        <v/>
      </c>
      <c r="U2038">
        <f>IF($O2038="","",IF(INDEX(Dossiers!$G$4:$G$63,39)="","",INDEX(Dossiers!$G$4:$G$63,39)))</f>
        <v/>
      </c>
      <c r="V2038">
        <f>IF(OR($O2038="",NOT(ISNUMBER($Q2038))),"",$Q2038*1000000+2038)</f>
        <v/>
      </c>
      <c r="W2038" s="29">
        <f>IF($B2038="","",IFERROR(INDEX($U$4:$U$3183,MATCH(SMALL($V$4:$V$3183,2035),$V$4:$V$3183,0)),""))</f>
        <v/>
      </c>
    </row>
    <row r="2039">
      <c r="A2039">
        <f>IFERROR(INDEX($N$4:$N$3183,MATCH(SMALL($V$4:$V$3183,2036),$V$4:$V$3183,0)),"")</f>
        <v/>
      </c>
      <c r="B2039">
        <f>IFERROR(INDEX($O$4:$O$3183,MATCH(SMALL($V$4:$V$3183,2036),$V$4:$V$3183,0)),"")</f>
        <v/>
      </c>
      <c r="C2039">
        <f>IFERROR(INDEX($P$4:$P$3183,MATCH(SMALL($V$4:$V$3183,2036),$V$4:$V$3183,0)),"")</f>
        <v/>
      </c>
      <c r="D2039" s="29">
        <f>IFERROR(INDEX($Q$4:$Q$3183,MATCH(SMALL($V$4:$V$3183,2036),$V$4:$V$3183,0)),"")</f>
        <v/>
      </c>
      <c r="E2039" s="29">
        <f>IFERROR(INDEX($R$4:$R$3183,MATCH(SMALL($V$4:$V$3183,2036),$V$4:$V$3183,0)),"")</f>
        <v/>
      </c>
      <c r="F2039">
        <f>IFERROR(INDEX($S$4:$S$3183,MATCH(SMALL($V$4:$V$3183,2036),$V$4:$V$3183,0)),"")</f>
        <v/>
      </c>
      <c r="I2039" s="29">
        <f>IF($B2039="","",IFERROR(INDEX($U$4:$U$3183,MATCH(SMALL($V$4:$V$3183,2036),$V$4:$V$3183,0)),""))</f>
        <v/>
      </c>
      <c r="J2039">
        <f>IF($B2039="","",IF($D2039&gt;$F$2,"À venir",IF($E2039&lt;$D$2,"Passé","Dans la période")))</f>
        <v/>
      </c>
      <c r="K2039">
        <f>IF(OR($B2039="",NOT(ISNUMBER($D2039))),"",IF(AND($E2039&lt;$D$2,$G2039&lt;&gt;"X",$F2039&lt;&gt;"Réalisé",$F2039&lt;&gt;"Clôturé"),"RETARD",""))</f>
        <v/>
      </c>
      <c r="L2039">
        <f>IF(OR($B2039="",NOT(ISNUMBER($D2039))),"",IF(AND($D2039&gt;=$D$2,$D2039&lt;=$H$2,$G2039&lt;&gt;"X",$F2039&lt;&gt;"Réalisé",$F2039&lt;&gt;"Clôturé"),"≤ 7 j",""))</f>
        <v/>
      </c>
      <c r="M2039" s="29">
        <f>IF($B2039="","",IFERROR(INDEX($T$4:$T$3183,MATCH(SMALL($V$4:$V$3183,2036),$V$4:$V$3183,0)),""))</f>
        <v/>
      </c>
      <c r="O2039">
        <f>IF(INDEX(Suivi!$B:$B,2078)="","",INDEX(Suivi!$B:$B,2078))</f>
        <v/>
      </c>
      <c r="P2039">
        <f>IF($O2039="","",IF(INDEX(Suivi!$D:$D,2078)="",INDEX(Suivi!$C:$C,2078),INDEX(Suivi!$D:$D,2078)))</f>
        <v/>
      </c>
      <c r="Q2039">
        <f>IF($O2039="","",INDEX(Suivi!$E:$E,2078))</f>
        <v/>
      </c>
      <c r="R2039">
        <f>IF($O2039="","",INDEX(Suivi!$F:$F,2078))</f>
        <v/>
      </c>
      <c r="S2039">
        <f>IF($O2039="","",INDEX(Suivi!$G:$G,2078))</f>
        <v/>
      </c>
      <c r="T2039">
        <f>IF($O2039="","",IF(INDEX(Dossiers!$F$4:$F$63,39)="","",INDEX(Dossiers!$F$4:$F$63,39)))</f>
        <v/>
      </c>
      <c r="U2039">
        <f>IF($O2039="","",IF(INDEX(Dossiers!$G$4:$G$63,39)="","",INDEX(Dossiers!$G$4:$G$63,39)))</f>
        <v/>
      </c>
      <c r="V2039">
        <f>IF(OR($O2039="",NOT(ISNUMBER($Q2039))),"",$Q2039*1000000+2039)</f>
        <v/>
      </c>
      <c r="W2039" s="29">
        <f>IF($B2039="","",IFERROR(INDEX($U$4:$U$3183,MATCH(SMALL($V$4:$V$3183,2036),$V$4:$V$3183,0)),""))</f>
        <v/>
      </c>
    </row>
    <row r="2040">
      <c r="A2040">
        <f>IFERROR(INDEX($N$4:$N$3183,MATCH(SMALL($V$4:$V$3183,2037),$V$4:$V$3183,0)),"")</f>
        <v/>
      </c>
      <c r="B2040">
        <f>IFERROR(INDEX($O$4:$O$3183,MATCH(SMALL($V$4:$V$3183,2037),$V$4:$V$3183,0)),"")</f>
        <v/>
      </c>
      <c r="C2040">
        <f>IFERROR(INDEX($P$4:$P$3183,MATCH(SMALL($V$4:$V$3183,2037),$V$4:$V$3183,0)),"")</f>
        <v/>
      </c>
      <c r="D2040" s="29">
        <f>IFERROR(INDEX($Q$4:$Q$3183,MATCH(SMALL($V$4:$V$3183,2037),$V$4:$V$3183,0)),"")</f>
        <v/>
      </c>
      <c r="E2040" s="29">
        <f>IFERROR(INDEX($R$4:$R$3183,MATCH(SMALL($V$4:$V$3183,2037),$V$4:$V$3183,0)),"")</f>
        <v/>
      </c>
      <c r="F2040">
        <f>IFERROR(INDEX($S$4:$S$3183,MATCH(SMALL($V$4:$V$3183,2037),$V$4:$V$3183,0)),"")</f>
        <v/>
      </c>
      <c r="I2040" s="29">
        <f>IF($B2040="","",IFERROR(INDEX($U$4:$U$3183,MATCH(SMALL($V$4:$V$3183,2037),$V$4:$V$3183,0)),""))</f>
        <v/>
      </c>
      <c r="J2040">
        <f>IF($B2040="","",IF($D2040&gt;$F$2,"À venir",IF($E2040&lt;$D$2,"Passé","Dans la période")))</f>
        <v/>
      </c>
      <c r="K2040">
        <f>IF(OR($B2040="",NOT(ISNUMBER($D2040))),"",IF(AND($E2040&lt;$D$2,$G2040&lt;&gt;"X",$F2040&lt;&gt;"Réalisé",$F2040&lt;&gt;"Clôturé"),"RETARD",""))</f>
        <v/>
      </c>
      <c r="L2040">
        <f>IF(OR($B2040="",NOT(ISNUMBER($D2040))),"",IF(AND($D2040&gt;=$D$2,$D2040&lt;=$H$2,$G2040&lt;&gt;"X",$F2040&lt;&gt;"Réalisé",$F2040&lt;&gt;"Clôturé"),"≤ 7 j",""))</f>
        <v/>
      </c>
      <c r="M2040" s="29">
        <f>IF($B2040="","",IFERROR(INDEX($T$4:$T$3183,MATCH(SMALL($V$4:$V$3183,2037),$V$4:$V$3183,0)),""))</f>
        <v/>
      </c>
      <c r="O2040">
        <f>IF(INDEX(Suivi!$B:$B,2079)="","",INDEX(Suivi!$B:$B,2079))</f>
        <v/>
      </c>
      <c r="P2040">
        <f>IF($O2040="","",IF(INDEX(Suivi!$D:$D,2079)="",INDEX(Suivi!$C:$C,2079),INDEX(Suivi!$D:$D,2079)))</f>
        <v/>
      </c>
      <c r="Q2040">
        <f>IF($O2040="","",INDEX(Suivi!$E:$E,2079))</f>
        <v/>
      </c>
      <c r="R2040">
        <f>IF($O2040="","",INDEX(Suivi!$F:$F,2079))</f>
        <v/>
      </c>
      <c r="S2040">
        <f>IF($O2040="","",INDEX(Suivi!$G:$G,2079))</f>
        <v/>
      </c>
      <c r="T2040">
        <f>IF($O2040="","",IF(INDEX(Dossiers!$F$4:$F$63,39)="","",INDEX(Dossiers!$F$4:$F$63,39)))</f>
        <v/>
      </c>
      <c r="U2040">
        <f>IF($O2040="","",IF(INDEX(Dossiers!$G$4:$G$63,39)="","",INDEX(Dossiers!$G$4:$G$63,39)))</f>
        <v/>
      </c>
      <c r="V2040">
        <f>IF(OR($O2040="",NOT(ISNUMBER($Q2040))),"",$Q2040*1000000+2040)</f>
        <v/>
      </c>
      <c r="W2040" s="29">
        <f>IF($B2040="","",IFERROR(INDEX($U$4:$U$3183,MATCH(SMALL($V$4:$V$3183,2037),$V$4:$V$3183,0)),""))</f>
        <v/>
      </c>
    </row>
    <row r="2041">
      <c r="A2041">
        <f>IFERROR(INDEX($N$4:$N$3183,MATCH(SMALL($V$4:$V$3183,2038),$V$4:$V$3183,0)),"")</f>
        <v/>
      </c>
      <c r="B2041">
        <f>IFERROR(INDEX($O$4:$O$3183,MATCH(SMALL($V$4:$V$3183,2038),$V$4:$V$3183,0)),"")</f>
        <v/>
      </c>
      <c r="C2041">
        <f>IFERROR(INDEX($P$4:$P$3183,MATCH(SMALL($V$4:$V$3183,2038),$V$4:$V$3183,0)),"")</f>
        <v/>
      </c>
      <c r="D2041" s="29">
        <f>IFERROR(INDEX($Q$4:$Q$3183,MATCH(SMALL($V$4:$V$3183,2038),$V$4:$V$3183,0)),"")</f>
        <v/>
      </c>
      <c r="E2041" s="29">
        <f>IFERROR(INDEX($R$4:$R$3183,MATCH(SMALL($V$4:$V$3183,2038),$V$4:$V$3183,0)),"")</f>
        <v/>
      </c>
      <c r="F2041">
        <f>IFERROR(INDEX($S$4:$S$3183,MATCH(SMALL($V$4:$V$3183,2038),$V$4:$V$3183,0)),"")</f>
        <v/>
      </c>
      <c r="I2041" s="29">
        <f>IF($B2041="","",IFERROR(INDEX($U$4:$U$3183,MATCH(SMALL($V$4:$V$3183,2038),$V$4:$V$3183,0)),""))</f>
        <v/>
      </c>
      <c r="J2041">
        <f>IF($B2041="","",IF($D2041&gt;$F$2,"À venir",IF($E2041&lt;$D$2,"Passé","Dans la période")))</f>
        <v/>
      </c>
      <c r="K2041">
        <f>IF(OR($B2041="",NOT(ISNUMBER($D2041))),"",IF(AND($E2041&lt;$D$2,$G2041&lt;&gt;"X",$F2041&lt;&gt;"Réalisé",$F2041&lt;&gt;"Clôturé"),"RETARD",""))</f>
        <v/>
      </c>
      <c r="L2041">
        <f>IF(OR($B2041="",NOT(ISNUMBER($D2041))),"",IF(AND($D2041&gt;=$D$2,$D2041&lt;=$H$2,$G2041&lt;&gt;"X",$F2041&lt;&gt;"Réalisé",$F2041&lt;&gt;"Clôturé"),"≤ 7 j",""))</f>
        <v/>
      </c>
      <c r="M2041" s="29">
        <f>IF($B2041="","",IFERROR(INDEX($T$4:$T$3183,MATCH(SMALL($V$4:$V$3183,2038),$V$4:$V$3183,0)),""))</f>
        <v/>
      </c>
      <c r="O2041">
        <f>IF(INDEX(Suivi!$B:$B,2080)="","",INDEX(Suivi!$B:$B,2080))</f>
        <v/>
      </c>
      <c r="P2041">
        <f>IF($O2041="","",IF(INDEX(Suivi!$D:$D,2080)="",INDEX(Suivi!$C:$C,2080),INDEX(Suivi!$D:$D,2080)))</f>
        <v/>
      </c>
      <c r="Q2041">
        <f>IF($O2041="","",INDEX(Suivi!$E:$E,2080))</f>
        <v/>
      </c>
      <c r="R2041">
        <f>IF($O2041="","",INDEX(Suivi!$F:$F,2080))</f>
        <v/>
      </c>
      <c r="S2041">
        <f>IF($O2041="","",INDEX(Suivi!$G:$G,2080))</f>
        <v/>
      </c>
      <c r="T2041">
        <f>IF($O2041="","",IF(INDEX(Dossiers!$F$4:$F$63,39)="","",INDEX(Dossiers!$F$4:$F$63,39)))</f>
        <v/>
      </c>
      <c r="U2041">
        <f>IF($O2041="","",IF(INDEX(Dossiers!$G$4:$G$63,39)="","",INDEX(Dossiers!$G$4:$G$63,39)))</f>
        <v/>
      </c>
      <c r="V2041">
        <f>IF(OR($O2041="",NOT(ISNUMBER($Q2041))),"",$Q2041*1000000+2041)</f>
        <v/>
      </c>
      <c r="W2041" s="29">
        <f>IF($B2041="","",IFERROR(INDEX($U$4:$U$3183,MATCH(SMALL($V$4:$V$3183,2038),$V$4:$V$3183,0)),""))</f>
        <v/>
      </c>
    </row>
    <row r="2042">
      <c r="A2042">
        <f>IFERROR(INDEX($N$4:$N$3183,MATCH(SMALL($V$4:$V$3183,2039),$V$4:$V$3183,0)),"")</f>
        <v/>
      </c>
      <c r="B2042">
        <f>IFERROR(INDEX($O$4:$O$3183,MATCH(SMALL($V$4:$V$3183,2039),$V$4:$V$3183,0)),"")</f>
        <v/>
      </c>
      <c r="C2042">
        <f>IFERROR(INDEX($P$4:$P$3183,MATCH(SMALL($V$4:$V$3183,2039),$V$4:$V$3183,0)),"")</f>
        <v/>
      </c>
      <c r="D2042" s="29">
        <f>IFERROR(INDEX($Q$4:$Q$3183,MATCH(SMALL($V$4:$V$3183,2039),$V$4:$V$3183,0)),"")</f>
        <v/>
      </c>
      <c r="E2042" s="29">
        <f>IFERROR(INDEX($R$4:$R$3183,MATCH(SMALL($V$4:$V$3183,2039),$V$4:$V$3183,0)),"")</f>
        <v/>
      </c>
      <c r="F2042">
        <f>IFERROR(INDEX($S$4:$S$3183,MATCH(SMALL($V$4:$V$3183,2039),$V$4:$V$3183,0)),"")</f>
        <v/>
      </c>
      <c r="I2042" s="29">
        <f>IF($B2042="","",IFERROR(INDEX($U$4:$U$3183,MATCH(SMALL($V$4:$V$3183,2039),$V$4:$V$3183,0)),""))</f>
        <v/>
      </c>
      <c r="J2042">
        <f>IF($B2042="","",IF($D2042&gt;$F$2,"À venir",IF($E2042&lt;$D$2,"Passé","Dans la période")))</f>
        <v/>
      </c>
      <c r="K2042">
        <f>IF(OR($B2042="",NOT(ISNUMBER($D2042))),"",IF(AND($E2042&lt;$D$2,$G2042&lt;&gt;"X",$F2042&lt;&gt;"Réalisé",$F2042&lt;&gt;"Clôturé"),"RETARD",""))</f>
        <v/>
      </c>
      <c r="L2042">
        <f>IF(OR($B2042="",NOT(ISNUMBER($D2042))),"",IF(AND($D2042&gt;=$D$2,$D2042&lt;=$H$2,$G2042&lt;&gt;"X",$F2042&lt;&gt;"Réalisé",$F2042&lt;&gt;"Clôturé"),"≤ 7 j",""))</f>
        <v/>
      </c>
      <c r="M2042" s="29">
        <f>IF($B2042="","",IFERROR(INDEX($T$4:$T$3183,MATCH(SMALL($V$4:$V$3183,2039),$V$4:$V$3183,0)),""))</f>
        <v/>
      </c>
      <c r="O2042">
        <f>IF(INDEX(Suivi!$B:$B,2081)="","",INDEX(Suivi!$B:$B,2081))</f>
        <v/>
      </c>
      <c r="P2042">
        <f>IF($O2042="","",IF(INDEX(Suivi!$D:$D,2081)="",INDEX(Suivi!$C:$C,2081),INDEX(Suivi!$D:$D,2081)))</f>
        <v/>
      </c>
      <c r="Q2042">
        <f>IF($O2042="","",INDEX(Suivi!$E:$E,2081))</f>
        <v/>
      </c>
      <c r="R2042">
        <f>IF($O2042="","",INDEX(Suivi!$F:$F,2081))</f>
        <v/>
      </c>
      <c r="S2042">
        <f>IF($O2042="","",INDEX(Suivi!$G:$G,2081))</f>
        <v/>
      </c>
      <c r="T2042">
        <f>IF($O2042="","",IF(INDEX(Dossiers!$F$4:$F$63,39)="","",INDEX(Dossiers!$F$4:$F$63,39)))</f>
        <v/>
      </c>
      <c r="U2042">
        <f>IF($O2042="","",IF(INDEX(Dossiers!$G$4:$G$63,39)="","",INDEX(Dossiers!$G$4:$G$63,39)))</f>
        <v/>
      </c>
      <c r="V2042">
        <f>IF(OR($O2042="",NOT(ISNUMBER($Q2042))),"",$Q2042*1000000+2042)</f>
        <v/>
      </c>
      <c r="W2042" s="29">
        <f>IF($B2042="","",IFERROR(INDEX($U$4:$U$3183,MATCH(SMALL($V$4:$V$3183,2039),$V$4:$V$3183,0)),""))</f>
        <v/>
      </c>
    </row>
    <row r="2043">
      <c r="A2043">
        <f>IFERROR(INDEX($N$4:$N$3183,MATCH(SMALL($V$4:$V$3183,2040),$V$4:$V$3183,0)),"")</f>
        <v/>
      </c>
      <c r="B2043">
        <f>IFERROR(INDEX($O$4:$O$3183,MATCH(SMALL($V$4:$V$3183,2040),$V$4:$V$3183,0)),"")</f>
        <v/>
      </c>
      <c r="C2043">
        <f>IFERROR(INDEX($P$4:$P$3183,MATCH(SMALL($V$4:$V$3183,2040),$V$4:$V$3183,0)),"")</f>
        <v/>
      </c>
      <c r="D2043" s="29">
        <f>IFERROR(INDEX($Q$4:$Q$3183,MATCH(SMALL($V$4:$V$3183,2040),$V$4:$V$3183,0)),"")</f>
        <v/>
      </c>
      <c r="E2043" s="29">
        <f>IFERROR(INDEX($R$4:$R$3183,MATCH(SMALL($V$4:$V$3183,2040),$V$4:$V$3183,0)),"")</f>
        <v/>
      </c>
      <c r="F2043">
        <f>IFERROR(INDEX($S$4:$S$3183,MATCH(SMALL($V$4:$V$3183,2040),$V$4:$V$3183,0)),"")</f>
        <v/>
      </c>
      <c r="I2043" s="29">
        <f>IF($B2043="","",IFERROR(INDEX($U$4:$U$3183,MATCH(SMALL($V$4:$V$3183,2040),$V$4:$V$3183,0)),""))</f>
        <v/>
      </c>
      <c r="J2043">
        <f>IF($B2043="","",IF($D2043&gt;$F$2,"À venir",IF($E2043&lt;$D$2,"Passé","Dans la période")))</f>
        <v/>
      </c>
      <c r="K2043">
        <f>IF(OR($B2043="",NOT(ISNUMBER($D2043))),"",IF(AND($E2043&lt;$D$2,$G2043&lt;&gt;"X",$F2043&lt;&gt;"Réalisé",$F2043&lt;&gt;"Clôturé"),"RETARD",""))</f>
        <v/>
      </c>
      <c r="L2043">
        <f>IF(OR($B2043="",NOT(ISNUMBER($D2043))),"",IF(AND($D2043&gt;=$D$2,$D2043&lt;=$H$2,$G2043&lt;&gt;"X",$F2043&lt;&gt;"Réalisé",$F2043&lt;&gt;"Clôturé"),"≤ 7 j",""))</f>
        <v/>
      </c>
      <c r="M2043" s="29">
        <f>IF($B2043="","",IFERROR(INDEX($T$4:$T$3183,MATCH(SMALL($V$4:$V$3183,2040),$V$4:$V$3183,0)),""))</f>
        <v/>
      </c>
      <c r="O2043">
        <f>IF(INDEX(Suivi!$B:$B,2082)="","",INDEX(Suivi!$B:$B,2082))</f>
        <v/>
      </c>
      <c r="P2043">
        <f>IF($O2043="","",IF(INDEX(Suivi!$D:$D,2082)="",INDEX(Suivi!$C:$C,2082),INDEX(Suivi!$D:$D,2082)))</f>
        <v/>
      </c>
      <c r="Q2043">
        <f>IF($O2043="","",INDEX(Suivi!$E:$E,2082))</f>
        <v/>
      </c>
      <c r="R2043">
        <f>IF($O2043="","",INDEX(Suivi!$F:$F,2082))</f>
        <v/>
      </c>
      <c r="S2043">
        <f>IF($O2043="","",INDEX(Suivi!$G:$G,2082))</f>
        <v/>
      </c>
      <c r="T2043">
        <f>IF($O2043="","",IF(INDEX(Dossiers!$F$4:$F$63,39)="","",INDEX(Dossiers!$F$4:$F$63,39)))</f>
        <v/>
      </c>
      <c r="U2043">
        <f>IF($O2043="","",IF(INDEX(Dossiers!$G$4:$G$63,39)="","",INDEX(Dossiers!$G$4:$G$63,39)))</f>
        <v/>
      </c>
      <c r="V2043">
        <f>IF(OR($O2043="",NOT(ISNUMBER($Q2043))),"",$Q2043*1000000+2043)</f>
        <v/>
      </c>
      <c r="W2043" s="29">
        <f>IF($B2043="","",IFERROR(INDEX($U$4:$U$3183,MATCH(SMALL($V$4:$V$3183,2040),$V$4:$V$3183,0)),""))</f>
        <v/>
      </c>
    </row>
    <row r="2044">
      <c r="A2044">
        <f>IFERROR(INDEX($N$4:$N$3183,MATCH(SMALL($V$4:$V$3183,2041),$V$4:$V$3183,0)),"")</f>
        <v/>
      </c>
      <c r="B2044">
        <f>IFERROR(INDEX($O$4:$O$3183,MATCH(SMALL($V$4:$V$3183,2041),$V$4:$V$3183,0)),"")</f>
        <v/>
      </c>
      <c r="C2044">
        <f>IFERROR(INDEX($P$4:$P$3183,MATCH(SMALL($V$4:$V$3183,2041),$V$4:$V$3183,0)),"")</f>
        <v/>
      </c>
      <c r="D2044" s="29">
        <f>IFERROR(INDEX($Q$4:$Q$3183,MATCH(SMALL($V$4:$V$3183,2041),$V$4:$V$3183,0)),"")</f>
        <v/>
      </c>
      <c r="E2044" s="29">
        <f>IFERROR(INDEX($R$4:$R$3183,MATCH(SMALL($V$4:$V$3183,2041),$V$4:$V$3183,0)),"")</f>
        <v/>
      </c>
      <c r="F2044">
        <f>IFERROR(INDEX($S$4:$S$3183,MATCH(SMALL($V$4:$V$3183,2041),$V$4:$V$3183,0)),"")</f>
        <v/>
      </c>
      <c r="I2044" s="29">
        <f>IF($B2044="","",IFERROR(INDEX($U$4:$U$3183,MATCH(SMALL($V$4:$V$3183,2041),$V$4:$V$3183,0)),""))</f>
        <v/>
      </c>
      <c r="J2044">
        <f>IF($B2044="","",IF($D2044&gt;$F$2,"À venir",IF($E2044&lt;$D$2,"Passé","Dans la période")))</f>
        <v/>
      </c>
      <c r="K2044">
        <f>IF(OR($B2044="",NOT(ISNUMBER($D2044))),"",IF(AND($E2044&lt;$D$2,$G2044&lt;&gt;"X",$F2044&lt;&gt;"Réalisé",$F2044&lt;&gt;"Clôturé"),"RETARD",""))</f>
        <v/>
      </c>
      <c r="L2044">
        <f>IF(OR($B2044="",NOT(ISNUMBER($D2044))),"",IF(AND($D2044&gt;=$D$2,$D2044&lt;=$H$2,$G2044&lt;&gt;"X",$F2044&lt;&gt;"Réalisé",$F2044&lt;&gt;"Clôturé"),"≤ 7 j",""))</f>
        <v/>
      </c>
      <c r="M2044" s="29">
        <f>IF($B2044="","",IFERROR(INDEX($T$4:$T$3183,MATCH(SMALL($V$4:$V$3183,2041),$V$4:$V$3183,0)),""))</f>
        <v/>
      </c>
      <c r="O2044">
        <f>IF(INDEX(Suivi!$B:$B,2083)="","",INDEX(Suivi!$B:$B,2083))</f>
        <v/>
      </c>
      <c r="P2044">
        <f>IF($O2044="","",IF(INDEX(Suivi!$D:$D,2083)="",INDEX(Suivi!$C:$C,2083),INDEX(Suivi!$D:$D,2083)))</f>
        <v/>
      </c>
      <c r="Q2044">
        <f>IF($O2044="","",INDEX(Suivi!$E:$E,2083))</f>
        <v/>
      </c>
      <c r="R2044">
        <f>IF($O2044="","",INDEX(Suivi!$F:$F,2083))</f>
        <v/>
      </c>
      <c r="S2044">
        <f>IF($O2044="","",INDEX(Suivi!$G:$G,2083))</f>
        <v/>
      </c>
      <c r="T2044">
        <f>IF($O2044="","",IF(INDEX(Dossiers!$F$4:$F$63,39)="","",INDEX(Dossiers!$F$4:$F$63,39)))</f>
        <v/>
      </c>
      <c r="U2044">
        <f>IF($O2044="","",IF(INDEX(Dossiers!$G$4:$G$63,39)="","",INDEX(Dossiers!$G$4:$G$63,39)))</f>
        <v/>
      </c>
      <c r="V2044">
        <f>IF(OR($O2044="",NOT(ISNUMBER($Q2044))),"",$Q2044*1000000+2044)</f>
        <v/>
      </c>
      <c r="W2044" s="29">
        <f>IF($B2044="","",IFERROR(INDEX($U$4:$U$3183,MATCH(SMALL($V$4:$V$3183,2041),$V$4:$V$3183,0)),""))</f>
        <v/>
      </c>
    </row>
    <row r="2045">
      <c r="A2045">
        <f>IFERROR(INDEX($N$4:$N$3183,MATCH(SMALL($V$4:$V$3183,2042),$V$4:$V$3183,0)),"")</f>
        <v/>
      </c>
      <c r="B2045">
        <f>IFERROR(INDEX($O$4:$O$3183,MATCH(SMALL($V$4:$V$3183,2042),$V$4:$V$3183,0)),"")</f>
        <v/>
      </c>
      <c r="C2045">
        <f>IFERROR(INDEX($P$4:$P$3183,MATCH(SMALL($V$4:$V$3183,2042),$V$4:$V$3183,0)),"")</f>
        <v/>
      </c>
      <c r="D2045" s="29">
        <f>IFERROR(INDEX($Q$4:$Q$3183,MATCH(SMALL($V$4:$V$3183,2042),$V$4:$V$3183,0)),"")</f>
        <v/>
      </c>
      <c r="E2045" s="29">
        <f>IFERROR(INDEX($R$4:$R$3183,MATCH(SMALL($V$4:$V$3183,2042),$V$4:$V$3183,0)),"")</f>
        <v/>
      </c>
      <c r="F2045">
        <f>IFERROR(INDEX($S$4:$S$3183,MATCH(SMALL($V$4:$V$3183,2042),$V$4:$V$3183,0)),"")</f>
        <v/>
      </c>
      <c r="I2045" s="29">
        <f>IF($B2045="","",IFERROR(INDEX($U$4:$U$3183,MATCH(SMALL($V$4:$V$3183,2042),$V$4:$V$3183,0)),""))</f>
        <v/>
      </c>
      <c r="J2045">
        <f>IF($B2045="","",IF($D2045&gt;$F$2,"À venir",IF($E2045&lt;$D$2,"Passé","Dans la période")))</f>
        <v/>
      </c>
      <c r="K2045">
        <f>IF(OR($B2045="",NOT(ISNUMBER($D2045))),"",IF(AND($E2045&lt;$D$2,$G2045&lt;&gt;"X",$F2045&lt;&gt;"Réalisé",$F2045&lt;&gt;"Clôturé"),"RETARD",""))</f>
        <v/>
      </c>
      <c r="L2045">
        <f>IF(OR($B2045="",NOT(ISNUMBER($D2045))),"",IF(AND($D2045&gt;=$D$2,$D2045&lt;=$H$2,$G2045&lt;&gt;"X",$F2045&lt;&gt;"Réalisé",$F2045&lt;&gt;"Clôturé"),"≤ 7 j",""))</f>
        <v/>
      </c>
      <c r="M2045" s="29">
        <f>IF($B2045="","",IFERROR(INDEX($T$4:$T$3183,MATCH(SMALL($V$4:$V$3183,2042),$V$4:$V$3183,0)),""))</f>
        <v/>
      </c>
      <c r="O2045">
        <f>IF(INDEX(Suivi!$B:$B,2084)="","",INDEX(Suivi!$B:$B,2084))</f>
        <v/>
      </c>
      <c r="P2045">
        <f>IF($O2045="","",IF(INDEX(Suivi!$D:$D,2084)="",INDEX(Suivi!$C:$C,2084),INDEX(Suivi!$D:$D,2084)))</f>
        <v/>
      </c>
      <c r="Q2045">
        <f>IF($O2045="","",INDEX(Suivi!$E:$E,2084))</f>
        <v/>
      </c>
      <c r="R2045">
        <f>IF($O2045="","",INDEX(Suivi!$F:$F,2084))</f>
        <v/>
      </c>
      <c r="S2045">
        <f>IF($O2045="","",INDEX(Suivi!$G:$G,2084))</f>
        <v/>
      </c>
      <c r="T2045">
        <f>IF($O2045="","",IF(INDEX(Dossiers!$F$4:$F$63,39)="","",INDEX(Dossiers!$F$4:$F$63,39)))</f>
        <v/>
      </c>
      <c r="U2045">
        <f>IF($O2045="","",IF(INDEX(Dossiers!$G$4:$G$63,39)="","",INDEX(Dossiers!$G$4:$G$63,39)))</f>
        <v/>
      </c>
      <c r="V2045">
        <f>IF(OR($O2045="",NOT(ISNUMBER($Q2045))),"",$Q2045*1000000+2045)</f>
        <v/>
      </c>
      <c r="W2045" s="29">
        <f>IF($B2045="","",IFERROR(INDEX($U$4:$U$3183,MATCH(SMALL($V$4:$V$3183,2042),$V$4:$V$3183,0)),""))</f>
        <v/>
      </c>
    </row>
    <row r="2046">
      <c r="A2046">
        <f>IFERROR(INDEX($N$4:$N$3183,MATCH(SMALL($V$4:$V$3183,2043),$V$4:$V$3183,0)),"")</f>
        <v/>
      </c>
      <c r="B2046">
        <f>IFERROR(INDEX($O$4:$O$3183,MATCH(SMALL($V$4:$V$3183,2043),$V$4:$V$3183,0)),"")</f>
        <v/>
      </c>
      <c r="C2046">
        <f>IFERROR(INDEX($P$4:$P$3183,MATCH(SMALL($V$4:$V$3183,2043),$V$4:$V$3183,0)),"")</f>
        <v/>
      </c>
      <c r="D2046" s="29">
        <f>IFERROR(INDEX($Q$4:$Q$3183,MATCH(SMALL($V$4:$V$3183,2043),$V$4:$V$3183,0)),"")</f>
        <v/>
      </c>
      <c r="E2046" s="29">
        <f>IFERROR(INDEX($R$4:$R$3183,MATCH(SMALL($V$4:$V$3183,2043),$V$4:$V$3183,0)),"")</f>
        <v/>
      </c>
      <c r="F2046">
        <f>IFERROR(INDEX($S$4:$S$3183,MATCH(SMALL($V$4:$V$3183,2043),$V$4:$V$3183,0)),"")</f>
        <v/>
      </c>
      <c r="I2046" s="29">
        <f>IF($B2046="","",IFERROR(INDEX($U$4:$U$3183,MATCH(SMALL($V$4:$V$3183,2043),$V$4:$V$3183,0)),""))</f>
        <v/>
      </c>
      <c r="J2046">
        <f>IF($B2046="","",IF($D2046&gt;$F$2,"À venir",IF($E2046&lt;$D$2,"Passé","Dans la période")))</f>
        <v/>
      </c>
      <c r="K2046">
        <f>IF(OR($B2046="",NOT(ISNUMBER($D2046))),"",IF(AND($E2046&lt;$D$2,$G2046&lt;&gt;"X",$F2046&lt;&gt;"Réalisé",$F2046&lt;&gt;"Clôturé"),"RETARD",""))</f>
        <v/>
      </c>
      <c r="L2046">
        <f>IF(OR($B2046="",NOT(ISNUMBER($D2046))),"",IF(AND($D2046&gt;=$D$2,$D2046&lt;=$H$2,$G2046&lt;&gt;"X",$F2046&lt;&gt;"Réalisé",$F2046&lt;&gt;"Clôturé"),"≤ 7 j",""))</f>
        <v/>
      </c>
      <c r="M2046" s="29">
        <f>IF($B2046="","",IFERROR(INDEX($T$4:$T$3183,MATCH(SMALL($V$4:$V$3183,2043),$V$4:$V$3183,0)),""))</f>
        <v/>
      </c>
      <c r="O2046">
        <f>IF(INDEX(Suivi!$B:$B,2085)="","",INDEX(Suivi!$B:$B,2085))</f>
        <v/>
      </c>
      <c r="P2046">
        <f>IF($O2046="","",IF(INDEX(Suivi!$D:$D,2085)="",INDEX(Suivi!$C:$C,2085),INDEX(Suivi!$D:$D,2085)))</f>
        <v/>
      </c>
      <c r="Q2046">
        <f>IF($O2046="","",INDEX(Suivi!$E:$E,2085))</f>
        <v/>
      </c>
      <c r="R2046">
        <f>IF($O2046="","",INDEX(Suivi!$F:$F,2085))</f>
        <v/>
      </c>
      <c r="S2046">
        <f>IF($O2046="","",INDEX(Suivi!$G:$G,2085))</f>
        <v/>
      </c>
      <c r="T2046">
        <f>IF($O2046="","",IF(INDEX(Dossiers!$F$4:$F$63,39)="","",INDEX(Dossiers!$F$4:$F$63,39)))</f>
        <v/>
      </c>
      <c r="U2046">
        <f>IF($O2046="","",IF(INDEX(Dossiers!$G$4:$G$63,39)="","",INDEX(Dossiers!$G$4:$G$63,39)))</f>
        <v/>
      </c>
      <c r="V2046">
        <f>IF(OR($O2046="",NOT(ISNUMBER($Q2046))),"",$Q2046*1000000+2046)</f>
        <v/>
      </c>
      <c r="W2046" s="29">
        <f>IF($B2046="","",IFERROR(INDEX($U$4:$U$3183,MATCH(SMALL($V$4:$V$3183,2043),$V$4:$V$3183,0)),""))</f>
        <v/>
      </c>
    </row>
    <row r="2047">
      <c r="A2047">
        <f>IFERROR(INDEX($N$4:$N$3183,MATCH(SMALL($V$4:$V$3183,2044),$V$4:$V$3183,0)),"")</f>
        <v/>
      </c>
      <c r="B2047">
        <f>IFERROR(INDEX($O$4:$O$3183,MATCH(SMALL($V$4:$V$3183,2044),$V$4:$V$3183,0)),"")</f>
        <v/>
      </c>
      <c r="C2047">
        <f>IFERROR(INDEX($P$4:$P$3183,MATCH(SMALL($V$4:$V$3183,2044),$V$4:$V$3183,0)),"")</f>
        <v/>
      </c>
      <c r="D2047" s="29">
        <f>IFERROR(INDEX($Q$4:$Q$3183,MATCH(SMALL($V$4:$V$3183,2044),$V$4:$V$3183,0)),"")</f>
        <v/>
      </c>
      <c r="E2047" s="29">
        <f>IFERROR(INDEX($R$4:$R$3183,MATCH(SMALL($V$4:$V$3183,2044),$V$4:$V$3183,0)),"")</f>
        <v/>
      </c>
      <c r="F2047">
        <f>IFERROR(INDEX($S$4:$S$3183,MATCH(SMALL($V$4:$V$3183,2044),$V$4:$V$3183,0)),"")</f>
        <v/>
      </c>
      <c r="I2047" s="29">
        <f>IF($B2047="","",IFERROR(INDEX($U$4:$U$3183,MATCH(SMALL($V$4:$V$3183,2044),$V$4:$V$3183,0)),""))</f>
        <v/>
      </c>
      <c r="J2047">
        <f>IF($B2047="","",IF($D2047&gt;$F$2,"À venir",IF($E2047&lt;$D$2,"Passé","Dans la période")))</f>
        <v/>
      </c>
      <c r="K2047">
        <f>IF(OR($B2047="",NOT(ISNUMBER($D2047))),"",IF(AND($E2047&lt;$D$2,$G2047&lt;&gt;"X",$F2047&lt;&gt;"Réalisé",$F2047&lt;&gt;"Clôturé"),"RETARD",""))</f>
        <v/>
      </c>
      <c r="L2047">
        <f>IF(OR($B2047="",NOT(ISNUMBER($D2047))),"",IF(AND($D2047&gt;=$D$2,$D2047&lt;=$H$2,$G2047&lt;&gt;"X",$F2047&lt;&gt;"Réalisé",$F2047&lt;&gt;"Clôturé"),"≤ 7 j",""))</f>
        <v/>
      </c>
      <c r="M2047" s="29">
        <f>IF($B2047="","",IFERROR(INDEX($T$4:$T$3183,MATCH(SMALL($V$4:$V$3183,2044),$V$4:$V$3183,0)),""))</f>
        <v/>
      </c>
      <c r="O2047">
        <f>IF(INDEX(Suivi!$B:$B,2086)="","",INDEX(Suivi!$B:$B,2086))</f>
        <v/>
      </c>
      <c r="P2047">
        <f>IF($O2047="","",IF(INDEX(Suivi!$D:$D,2086)="",INDEX(Suivi!$C:$C,2086),INDEX(Suivi!$D:$D,2086)))</f>
        <v/>
      </c>
      <c r="Q2047">
        <f>IF($O2047="","",INDEX(Suivi!$E:$E,2086))</f>
        <v/>
      </c>
      <c r="R2047">
        <f>IF($O2047="","",INDEX(Suivi!$F:$F,2086))</f>
        <v/>
      </c>
      <c r="S2047">
        <f>IF($O2047="","",INDEX(Suivi!$G:$G,2086))</f>
        <v/>
      </c>
      <c r="T2047">
        <f>IF($O2047="","",IF(INDEX(Dossiers!$F$4:$F$63,39)="","",INDEX(Dossiers!$F$4:$F$63,39)))</f>
        <v/>
      </c>
      <c r="U2047">
        <f>IF($O2047="","",IF(INDEX(Dossiers!$G$4:$G$63,39)="","",INDEX(Dossiers!$G$4:$G$63,39)))</f>
        <v/>
      </c>
      <c r="V2047">
        <f>IF(OR($O2047="",NOT(ISNUMBER($Q2047))),"",$Q2047*1000000+2047)</f>
        <v/>
      </c>
      <c r="W2047" s="29">
        <f>IF($B2047="","",IFERROR(INDEX($U$4:$U$3183,MATCH(SMALL($V$4:$V$3183,2044),$V$4:$V$3183,0)),""))</f>
        <v/>
      </c>
    </row>
    <row r="2048">
      <c r="A2048">
        <f>IFERROR(INDEX($N$4:$N$3183,MATCH(SMALL($V$4:$V$3183,2045),$V$4:$V$3183,0)),"")</f>
        <v/>
      </c>
      <c r="B2048">
        <f>IFERROR(INDEX($O$4:$O$3183,MATCH(SMALL($V$4:$V$3183,2045),$V$4:$V$3183,0)),"")</f>
        <v/>
      </c>
      <c r="C2048">
        <f>IFERROR(INDEX($P$4:$P$3183,MATCH(SMALL($V$4:$V$3183,2045),$V$4:$V$3183,0)),"")</f>
        <v/>
      </c>
      <c r="D2048" s="29">
        <f>IFERROR(INDEX($Q$4:$Q$3183,MATCH(SMALL($V$4:$V$3183,2045),$V$4:$V$3183,0)),"")</f>
        <v/>
      </c>
      <c r="E2048" s="29">
        <f>IFERROR(INDEX($R$4:$R$3183,MATCH(SMALL($V$4:$V$3183,2045),$V$4:$V$3183,0)),"")</f>
        <v/>
      </c>
      <c r="F2048">
        <f>IFERROR(INDEX($S$4:$S$3183,MATCH(SMALL($V$4:$V$3183,2045),$V$4:$V$3183,0)),"")</f>
        <v/>
      </c>
      <c r="I2048" s="29">
        <f>IF($B2048="","",IFERROR(INDEX($U$4:$U$3183,MATCH(SMALL($V$4:$V$3183,2045),$V$4:$V$3183,0)),""))</f>
        <v/>
      </c>
      <c r="J2048">
        <f>IF($B2048="","",IF($D2048&gt;$F$2,"À venir",IF($E2048&lt;$D$2,"Passé","Dans la période")))</f>
        <v/>
      </c>
      <c r="K2048">
        <f>IF(OR($B2048="",NOT(ISNUMBER($D2048))),"",IF(AND($E2048&lt;$D$2,$G2048&lt;&gt;"X",$F2048&lt;&gt;"Réalisé",$F2048&lt;&gt;"Clôturé"),"RETARD",""))</f>
        <v/>
      </c>
      <c r="L2048">
        <f>IF(OR($B2048="",NOT(ISNUMBER($D2048))),"",IF(AND($D2048&gt;=$D$2,$D2048&lt;=$H$2,$G2048&lt;&gt;"X",$F2048&lt;&gt;"Réalisé",$F2048&lt;&gt;"Clôturé"),"≤ 7 j",""))</f>
        <v/>
      </c>
      <c r="M2048" s="29">
        <f>IF($B2048="","",IFERROR(INDEX($T$4:$T$3183,MATCH(SMALL($V$4:$V$3183,2045),$V$4:$V$3183,0)),""))</f>
        <v/>
      </c>
      <c r="O2048">
        <f>IF(INDEX(Suivi!$B:$B,2087)="","",INDEX(Suivi!$B:$B,2087))</f>
        <v/>
      </c>
      <c r="P2048">
        <f>IF($O2048="","",IF(INDEX(Suivi!$D:$D,2087)="",INDEX(Suivi!$C:$C,2087),INDEX(Suivi!$D:$D,2087)))</f>
        <v/>
      </c>
      <c r="Q2048">
        <f>IF($O2048="","",INDEX(Suivi!$E:$E,2087))</f>
        <v/>
      </c>
      <c r="R2048">
        <f>IF($O2048="","",INDEX(Suivi!$F:$F,2087))</f>
        <v/>
      </c>
      <c r="S2048">
        <f>IF($O2048="","",INDEX(Suivi!$G:$G,2087))</f>
        <v/>
      </c>
      <c r="T2048">
        <f>IF($O2048="","",IF(INDEX(Dossiers!$F$4:$F$63,39)="","",INDEX(Dossiers!$F$4:$F$63,39)))</f>
        <v/>
      </c>
      <c r="U2048">
        <f>IF($O2048="","",IF(INDEX(Dossiers!$G$4:$G$63,39)="","",INDEX(Dossiers!$G$4:$G$63,39)))</f>
        <v/>
      </c>
      <c r="V2048">
        <f>IF(OR($O2048="",NOT(ISNUMBER($Q2048))),"",$Q2048*1000000+2048)</f>
        <v/>
      </c>
      <c r="W2048" s="29">
        <f>IF($B2048="","",IFERROR(INDEX($U$4:$U$3183,MATCH(SMALL($V$4:$V$3183,2045),$V$4:$V$3183,0)),""))</f>
        <v/>
      </c>
    </row>
    <row r="2049">
      <c r="A2049">
        <f>IFERROR(INDEX($N$4:$N$3183,MATCH(SMALL($V$4:$V$3183,2046),$V$4:$V$3183,0)),"")</f>
        <v/>
      </c>
      <c r="B2049">
        <f>IFERROR(INDEX($O$4:$O$3183,MATCH(SMALL($V$4:$V$3183,2046),$V$4:$V$3183,0)),"")</f>
        <v/>
      </c>
      <c r="C2049">
        <f>IFERROR(INDEX($P$4:$P$3183,MATCH(SMALL($V$4:$V$3183,2046),$V$4:$V$3183,0)),"")</f>
        <v/>
      </c>
      <c r="D2049" s="29">
        <f>IFERROR(INDEX($Q$4:$Q$3183,MATCH(SMALL($V$4:$V$3183,2046),$V$4:$V$3183,0)),"")</f>
        <v/>
      </c>
      <c r="E2049" s="29">
        <f>IFERROR(INDEX($R$4:$R$3183,MATCH(SMALL($V$4:$V$3183,2046),$V$4:$V$3183,0)),"")</f>
        <v/>
      </c>
      <c r="F2049">
        <f>IFERROR(INDEX($S$4:$S$3183,MATCH(SMALL($V$4:$V$3183,2046),$V$4:$V$3183,0)),"")</f>
        <v/>
      </c>
      <c r="I2049" s="29">
        <f>IF($B2049="","",IFERROR(INDEX($U$4:$U$3183,MATCH(SMALL($V$4:$V$3183,2046),$V$4:$V$3183,0)),""))</f>
        <v/>
      </c>
      <c r="J2049">
        <f>IF($B2049="","",IF($D2049&gt;$F$2,"À venir",IF($E2049&lt;$D$2,"Passé","Dans la période")))</f>
        <v/>
      </c>
      <c r="K2049">
        <f>IF(OR($B2049="",NOT(ISNUMBER($D2049))),"",IF(AND($E2049&lt;$D$2,$G2049&lt;&gt;"X",$F2049&lt;&gt;"Réalisé",$F2049&lt;&gt;"Clôturé"),"RETARD",""))</f>
        <v/>
      </c>
      <c r="L2049">
        <f>IF(OR($B2049="",NOT(ISNUMBER($D2049))),"",IF(AND($D2049&gt;=$D$2,$D2049&lt;=$H$2,$G2049&lt;&gt;"X",$F2049&lt;&gt;"Réalisé",$F2049&lt;&gt;"Clôturé"),"≤ 7 j",""))</f>
        <v/>
      </c>
      <c r="M2049" s="29">
        <f>IF($B2049="","",IFERROR(INDEX($T$4:$T$3183,MATCH(SMALL($V$4:$V$3183,2046),$V$4:$V$3183,0)),""))</f>
        <v/>
      </c>
      <c r="O2049">
        <f>IF(INDEX(Suivi!$B:$B,2088)="","",INDEX(Suivi!$B:$B,2088))</f>
        <v/>
      </c>
      <c r="P2049">
        <f>IF($O2049="","",IF(INDEX(Suivi!$D:$D,2088)="",INDEX(Suivi!$C:$C,2088),INDEX(Suivi!$D:$D,2088)))</f>
        <v/>
      </c>
      <c r="Q2049">
        <f>IF($O2049="","",INDEX(Suivi!$E:$E,2088))</f>
        <v/>
      </c>
      <c r="R2049">
        <f>IF($O2049="","",INDEX(Suivi!$F:$F,2088))</f>
        <v/>
      </c>
      <c r="S2049">
        <f>IF($O2049="","",INDEX(Suivi!$G:$G,2088))</f>
        <v/>
      </c>
      <c r="T2049">
        <f>IF($O2049="","",IF(INDEX(Dossiers!$F$4:$F$63,39)="","",INDEX(Dossiers!$F$4:$F$63,39)))</f>
        <v/>
      </c>
      <c r="U2049">
        <f>IF($O2049="","",IF(INDEX(Dossiers!$G$4:$G$63,39)="","",INDEX(Dossiers!$G$4:$G$63,39)))</f>
        <v/>
      </c>
      <c r="V2049">
        <f>IF(OR($O2049="",NOT(ISNUMBER($Q2049))),"",$Q2049*1000000+2049)</f>
        <v/>
      </c>
      <c r="W2049" s="29">
        <f>IF($B2049="","",IFERROR(INDEX($U$4:$U$3183,MATCH(SMALL($V$4:$V$3183,2046),$V$4:$V$3183,0)),""))</f>
        <v/>
      </c>
    </row>
    <row r="2050">
      <c r="A2050">
        <f>IFERROR(INDEX($N$4:$N$3183,MATCH(SMALL($V$4:$V$3183,2047),$V$4:$V$3183,0)),"")</f>
        <v/>
      </c>
      <c r="B2050">
        <f>IFERROR(INDEX($O$4:$O$3183,MATCH(SMALL($V$4:$V$3183,2047),$V$4:$V$3183,0)),"")</f>
        <v/>
      </c>
      <c r="C2050">
        <f>IFERROR(INDEX($P$4:$P$3183,MATCH(SMALL($V$4:$V$3183,2047),$V$4:$V$3183,0)),"")</f>
        <v/>
      </c>
      <c r="D2050" s="29">
        <f>IFERROR(INDEX($Q$4:$Q$3183,MATCH(SMALL($V$4:$V$3183,2047),$V$4:$V$3183,0)),"")</f>
        <v/>
      </c>
      <c r="E2050" s="29">
        <f>IFERROR(INDEX($R$4:$R$3183,MATCH(SMALL($V$4:$V$3183,2047),$V$4:$V$3183,0)),"")</f>
        <v/>
      </c>
      <c r="F2050">
        <f>IFERROR(INDEX($S$4:$S$3183,MATCH(SMALL($V$4:$V$3183,2047),$V$4:$V$3183,0)),"")</f>
        <v/>
      </c>
      <c r="I2050" s="29">
        <f>IF($B2050="","",IFERROR(INDEX($U$4:$U$3183,MATCH(SMALL($V$4:$V$3183,2047),$V$4:$V$3183,0)),""))</f>
        <v/>
      </c>
      <c r="J2050">
        <f>IF($B2050="","",IF($D2050&gt;$F$2,"À venir",IF($E2050&lt;$D$2,"Passé","Dans la période")))</f>
        <v/>
      </c>
      <c r="K2050">
        <f>IF(OR($B2050="",NOT(ISNUMBER($D2050))),"",IF(AND($E2050&lt;$D$2,$G2050&lt;&gt;"X",$F2050&lt;&gt;"Réalisé",$F2050&lt;&gt;"Clôturé"),"RETARD",""))</f>
        <v/>
      </c>
      <c r="L2050">
        <f>IF(OR($B2050="",NOT(ISNUMBER($D2050))),"",IF(AND($D2050&gt;=$D$2,$D2050&lt;=$H$2,$G2050&lt;&gt;"X",$F2050&lt;&gt;"Réalisé",$F2050&lt;&gt;"Clôturé"),"≤ 7 j",""))</f>
        <v/>
      </c>
      <c r="M2050" s="29">
        <f>IF($B2050="","",IFERROR(INDEX($T$4:$T$3183,MATCH(SMALL($V$4:$V$3183,2047),$V$4:$V$3183,0)),""))</f>
        <v/>
      </c>
      <c r="O2050">
        <f>IF(INDEX(Suivi!$B:$B,2089)="","",INDEX(Suivi!$B:$B,2089))</f>
        <v/>
      </c>
      <c r="P2050">
        <f>IF($O2050="","",IF(INDEX(Suivi!$D:$D,2089)="",INDEX(Suivi!$C:$C,2089),INDEX(Suivi!$D:$D,2089)))</f>
        <v/>
      </c>
      <c r="Q2050">
        <f>IF($O2050="","",INDEX(Suivi!$E:$E,2089))</f>
        <v/>
      </c>
      <c r="R2050">
        <f>IF($O2050="","",INDEX(Suivi!$F:$F,2089))</f>
        <v/>
      </c>
      <c r="S2050">
        <f>IF($O2050="","",INDEX(Suivi!$G:$G,2089))</f>
        <v/>
      </c>
      <c r="T2050">
        <f>IF($O2050="","",IF(INDEX(Dossiers!$F$4:$F$63,39)="","",INDEX(Dossiers!$F$4:$F$63,39)))</f>
        <v/>
      </c>
      <c r="U2050">
        <f>IF($O2050="","",IF(INDEX(Dossiers!$G$4:$G$63,39)="","",INDEX(Dossiers!$G$4:$G$63,39)))</f>
        <v/>
      </c>
      <c r="V2050">
        <f>IF(OR($O2050="",NOT(ISNUMBER($Q2050))),"",$Q2050*1000000+2050)</f>
        <v/>
      </c>
      <c r="W2050" s="29">
        <f>IF($B2050="","",IFERROR(INDEX($U$4:$U$3183,MATCH(SMALL($V$4:$V$3183,2047),$V$4:$V$3183,0)),""))</f>
        <v/>
      </c>
    </row>
    <row r="2051">
      <c r="A2051">
        <f>IFERROR(INDEX($N$4:$N$3183,MATCH(SMALL($V$4:$V$3183,2048),$V$4:$V$3183,0)),"")</f>
        <v/>
      </c>
      <c r="B2051">
        <f>IFERROR(INDEX($O$4:$O$3183,MATCH(SMALL($V$4:$V$3183,2048),$V$4:$V$3183,0)),"")</f>
        <v/>
      </c>
      <c r="C2051">
        <f>IFERROR(INDEX($P$4:$P$3183,MATCH(SMALL($V$4:$V$3183,2048),$V$4:$V$3183,0)),"")</f>
        <v/>
      </c>
      <c r="D2051" s="29">
        <f>IFERROR(INDEX($Q$4:$Q$3183,MATCH(SMALL($V$4:$V$3183,2048),$V$4:$V$3183,0)),"")</f>
        <v/>
      </c>
      <c r="E2051" s="29">
        <f>IFERROR(INDEX($R$4:$R$3183,MATCH(SMALL($V$4:$V$3183,2048),$V$4:$V$3183,0)),"")</f>
        <v/>
      </c>
      <c r="F2051">
        <f>IFERROR(INDEX($S$4:$S$3183,MATCH(SMALL($V$4:$V$3183,2048),$V$4:$V$3183,0)),"")</f>
        <v/>
      </c>
      <c r="I2051" s="29">
        <f>IF($B2051="","",IFERROR(INDEX($U$4:$U$3183,MATCH(SMALL($V$4:$V$3183,2048),$V$4:$V$3183,0)),""))</f>
        <v/>
      </c>
      <c r="J2051">
        <f>IF($B2051="","",IF($D2051&gt;$F$2,"À venir",IF($E2051&lt;$D$2,"Passé","Dans la période")))</f>
        <v/>
      </c>
      <c r="K2051">
        <f>IF(OR($B2051="",NOT(ISNUMBER($D2051))),"",IF(AND($E2051&lt;$D$2,$G2051&lt;&gt;"X",$F2051&lt;&gt;"Réalisé",$F2051&lt;&gt;"Clôturé"),"RETARD",""))</f>
        <v/>
      </c>
      <c r="L2051">
        <f>IF(OR($B2051="",NOT(ISNUMBER($D2051))),"",IF(AND($D2051&gt;=$D$2,$D2051&lt;=$H$2,$G2051&lt;&gt;"X",$F2051&lt;&gt;"Réalisé",$F2051&lt;&gt;"Clôturé"),"≤ 7 j",""))</f>
        <v/>
      </c>
      <c r="M2051" s="29">
        <f>IF($B2051="","",IFERROR(INDEX($T$4:$T$3183,MATCH(SMALL($V$4:$V$3183,2048),$V$4:$V$3183,0)),""))</f>
        <v/>
      </c>
      <c r="O2051">
        <f>IF(INDEX(Suivi!$B:$B,2090)="","",INDEX(Suivi!$B:$B,2090))</f>
        <v/>
      </c>
      <c r="P2051">
        <f>IF($O2051="","",IF(INDEX(Suivi!$D:$D,2090)="",INDEX(Suivi!$C:$C,2090),INDEX(Suivi!$D:$D,2090)))</f>
        <v/>
      </c>
      <c r="Q2051">
        <f>IF($O2051="","",INDEX(Suivi!$E:$E,2090))</f>
        <v/>
      </c>
      <c r="R2051">
        <f>IF($O2051="","",INDEX(Suivi!$F:$F,2090))</f>
        <v/>
      </c>
      <c r="S2051">
        <f>IF($O2051="","",INDEX(Suivi!$G:$G,2090))</f>
        <v/>
      </c>
      <c r="T2051">
        <f>IF($O2051="","",IF(INDEX(Dossiers!$F$4:$F$63,39)="","",INDEX(Dossiers!$F$4:$F$63,39)))</f>
        <v/>
      </c>
      <c r="U2051">
        <f>IF($O2051="","",IF(INDEX(Dossiers!$G$4:$G$63,39)="","",INDEX(Dossiers!$G$4:$G$63,39)))</f>
        <v/>
      </c>
      <c r="V2051">
        <f>IF(OR($O2051="",NOT(ISNUMBER($Q2051))),"",$Q2051*1000000+2051)</f>
        <v/>
      </c>
      <c r="W2051" s="29">
        <f>IF($B2051="","",IFERROR(INDEX($U$4:$U$3183,MATCH(SMALL($V$4:$V$3183,2048),$V$4:$V$3183,0)),""))</f>
        <v/>
      </c>
    </row>
    <row r="2052">
      <c r="A2052">
        <f>IFERROR(INDEX($N$4:$N$3183,MATCH(SMALL($V$4:$V$3183,2049),$V$4:$V$3183,0)),"")</f>
        <v/>
      </c>
      <c r="B2052">
        <f>IFERROR(INDEX($O$4:$O$3183,MATCH(SMALL($V$4:$V$3183,2049),$V$4:$V$3183,0)),"")</f>
        <v/>
      </c>
      <c r="C2052">
        <f>IFERROR(INDEX($P$4:$P$3183,MATCH(SMALL($V$4:$V$3183,2049),$V$4:$V$3183,0)),"")</f>
        <v/>
      </c>
      <c r="D2052" s="29">
        <f>IFERROR(INDEX($Q$4:$Q$3183,MATCH(SMALL($V$4:$V$3183,2049),$V$4:$V$3183,0)),"")</f>
        <v/>
      </c>
      <c r="E2052" s="29">
        <f>IFERROR(INDEX($R$4:$R$3183,MATCH(SMALL($V$4:$V$3183,2049),$V$4:$V$3183,0)),"")</f>
        <v/>
      </c>
      <c r="F2052">
        <f>IFERROR(INDEX($S$4:$S$3183,MATCH(SMALL($V$4:$V$3183,2049),$V$4:$V$3183,0)),"")</f>
        <v/>
      </c>
      <c r="I2052" s="29">
        <f>IF($B2052="","",IFERROR(INDEX($U$4:$U$3183,MATCH(SMALL($V$4:$V$3183,2049),$V$4:$V$3183,0)),""))</f>
        <v/>
      </c>
      <c r="J2052">
        <f>IF($B2052="","",IF($D2052&gt;$F$2,"À venir",IF($E2052&lt;$D$2,"Passé","Dans la période")))</f>
        <v/>
      </c>
      <c r="K2052">
        <f>IF(OR($B2052="",NOT(ISNUMBER($D2052))),"",IF(AND($E2052&lt;$D$2,$G2052&lt;&gt;"X",$F2052&lt;&gt;"Réalisé",$F2052&lt;&gt;"Clôturé"),"RETARD",""))</f>
        <v/>
      </c>
      <c r="L2052">
        <f>IF(OR($B2052="",NOT(ISNUMBER($D2052))),"",IF(AND($D2052&gt;=$D$2,$D2052&lt;=$H$2,$G2052&lt;&gt;"X",$F2052&lt;&gt;"Réalisé",$F2052&lt;&gt;"Clôturé"),"≤ 7 j",""))</f>
        <v/>
      </c>
      <c r="M2052" s="29">
        <f>IF($B2052="","",IFERROR(INDEX($T$4:$T$3183,MATCH(SMALL($V$4:$V$3183,2049),$V$4:$V$3183,0)),""))</f>
        <v/>
      </c>
      <c r="O2052">
        <f>IF(INDEX(Suivi!$B:$B,2091)="","",INDEX(Suivi!$B:$B,2091))</f>
        <v/>
      </c>
      <c r="P2052">
        <f>IF($O2052="","",IF(INDEX(Suivi!$D:$D,2091)="",INDEX(Suivi!$C:$C,2091),INDEX(Suivi!$D:$D,2091)))</f>
        <v/>
      </c>
      <c r="Q2052">
        <f>IF($O2052="","",INDEX(Suivi!$E:$E,2091))</f>
        <v/>
      </c>
      <c r="R2052">
        <f>IF($O2052="","",INDEX(Suivi!$F:$F,2091))</f>
        <v/>
      </c>
      <c r="S2052">
        <f>IF($O2052="","",INDEX(Suivi!$G:$G,2091))</f>
        <v/>
      </c>
      <c r="T2052">
        <f>IF($O2052="","",IF(INDEX(Dossiers!$F$4:$F$63,39)="","",INDEX(Dossiers!$F$4:$F$63,39)))</f>
        <v/>
      </c>
      <c r="U2052">
        <f>IF($O2052="","",IF(INDEX(Dossiers!$G$4:$G$63,39)="","",INDEX(Dossiers!$G$4:$G$63,39)))</f>
        <v/>
      </c>
      <c r="V2052">
        <f>IF(OR($O2052="",NOT(ISNUMBER($Q2052))),"",$Q2052*1000000+2052)</f>
        <v/>
      </c>
      <c r="W2052" s="29">
        <f>IF($B2052="","",IFERROR(INDEX($U$4:$U$3183,MATCH(SMALL($V$4:$V$3183,2049),$V$4:$V$3183,0)),""))</f>
        <v/>
      </c>
    </row>
    <row r="2053">
      <c r="A2053">
        <f>IFERROR(INDEX($N$4:$N$3183,MATCH(SMALL($V$4:$V$3183,2050),$V$4:$V$3183,0)),"")</f>
        <v/>
      </c>
      <c r="B2053">
        <f>IFERROR(INDEX($O$4:$O$3183,MATCH(SMALL($V$4:$V$3183,2050),$V$4:$V$3183,0)),"")</f>
        <v/>
      </c>
      <c r="C2053">
        <f>IFERROR(INDEX($P$4:$P$3183,MATCH(SMALL($V$4:$V$3183,2050),$V$4:$V$3183,0)),"")</f>
        <v/>
      </c>
      <c r="D2053" s="29">
        <f>IFERROR(INDEX($Q$4:$Q$3183,MATCH(SMALL($V$4:$V$3183,2050),$V$4:$V$3183,0)),"")</f>
        <v/>
      </c>
      <c r="E2053" s="29">
        <f>IFERROR(INDEX($R$4:$R$3183,MATCH(SMALL($V$4:$V$3183,2050),$V$4:$V$3183,0)),"")</f>
        <v/>
      </c>
      <c r="F2053">
        <f>IFERROR(INDEX($S$4:$S$3183,MATCH(SMALL($V$4:$V$3183,2050),$V$4:$V$3183,0)),"")</f>
        <v/>
      </c>
      <c r="I2053" s="29">
        <f>IF($B2053="","",IFERROR(INDEX($U$4:$U$3183,MATCH(SMALL($V$4:$V$3183,2050),$V$4:$V$3183,0)),""))</f>
        <v/>
      </c>
      <c r="J2053">
        <f>IF($B2053="","",IF($D2053&gt;$F$2,"À venir",IF($E2053&lt;$D$2,"Passé","Dans la période")))</f>
        <v/>
      </c>
      <c r="K2053">
        <f>IF(OR($B2053="",NOT(ISNUMBER($D2053))),"",IF(AND($E2053&lt;$D$2,$G2053&lt;&gt;"X",$F2053&lt;&gt;"Réalisé",$F2053&lt;&gt;"Clôturé"),"RETARD",""))</f>
        <v/>
      </c>
      <c r="L2053">
        <f>IF(OR($B2053="",NOT(ISNUMBER($D2053))),"",IF(AND($D2053&gt;=$D$2,$D2053&lt;=$H$2,$G2053&lt;&gt;"X",$F2053&lt;&gt;"Réalisé",$F2053&lt;&gt;"Clôturé"),"≤ 7 j",""))</f>
        <v/>
      </c>
      <c r="M2053" s="29">
        <f>IF($B2053="","",IFERROR(INDEX($T$4:$T$3183,MATCH(SMALL($V$4:$V$3183,2050),$V$4:$V$3183,0)),""))</f>
        <v/>
      </c>
      <c r="O2053">
        <f>IF(INDEX(Suivi!$B:$B,2092)="","",INDEX(Suivi!$B:$B,2092))</f>
        <v/>
      </c>
      <c r="P2053">
        <f>IF($O2053="","",IF(INDEX(Suivi!$D:$D,2092)="",INDEX(Suivi!$C:$C,2092),INDEX(Suivi!$D:$D,2092)))</f>
        <v/>
      </c>
      <c r="Q2053">
        <f>IF($O2053="","",INDEX(Suivi!$E:$E,2092))</f>
        <v/>
      </c>
      <c r="R2053">
        <f>IF($O2053="","",INDEX(Suivi!$F:$F,2092))</f>
        <v/>
      </c>
      <c r="S2053">
        <f>IF($O2053="","",INDEX(Suivi!$G:$G,2092))</f>
        <v/>
      </c>
      <c r="T2053">
        <f>IF($O2053="","",IF(INDEX(Dossiers!$F$4:$F$63,39)="","",INDEX(Dossiers!$F$4:$F$63,39)))</f>
        <v/>
      </c>
      <c r="U2053">
        <f>IF($O2053="","",IF(INDEX(Dossiers!$G$4:$G$63,39)="","",INDEX(Dossiers!$G$4:$G$63,39)))</f>
        <v/>
      </c>
      <c r="V2053">
        <f>IF(OR($O2053="",NOT(ISNUMBER($Q2053))),"",$Q2053*1000000+2053)</f>
        <v/>
      </c>
      <c r="W2053" s="29">
        <f>IF($B2053="","",IFERROR(INDEX($U$4:$U$3183,MATCH(SMALL($V$4:$V$3183,2050),$V$4:$V$3183,0)),""))</f>
        <v/>
      </c>
    </row>
    <row r="2054">
      <c r="A2054">
        <f>IFERROR(INDEX($N$4:$N$3183,MATCH(SMALL($V$4:$V$3183,2051),$V$4:$V$3183,0)),"")</f>
        <v/>
      </c>
      <c r="B2054">
        <f>IFERROR(INDEX($O$4:$O$3183,MATCH(SMALL($V$4:$V$3183,2051),$V$4:$V$3183,0)),"")</f>
        <v/>
      </c>
      <c r="C2054">
        <f>IFERROR(INDEX($P$4:$P$3183,MATCH(SMALL($V$4:$V$3183,2051),$V$4:$V$3183,0)),"")</f>
        <v/>
      </c>
      <c r="D2054" s="29">
        <f>IFERROR(INDEX($Q$4:$Q$3183,MATCH(SMALL($V$4:$V$3183,2051),$V$4:$V$3183,0)),"")</f>
        <v/>
      </c>
      <c r="E2054" s="29">
        <f>IFERROR(INDEX($R$4:$R$3183,MATCH(SMALL($V$4:$V$3183,2051),$V$4:$V$3183,0)),"")</f>
        <v/>
      </c>
      <c r="F2054">
        <f>IFERROR(INDEX($S$4:$S$3183,MATCH(SMALL($V$4:$V$3183,2051),$V$4:$V$3183,0)),"")</f>
        <v/>
      </c>
      <c r="I2054" s="29">
        <f>IF($B2054="","",IFERROR(INDEX($U$4:$U$3183,MATCH(SMALL($V$4:$V$3183,2051),$V$4:$V$3183,0)),""))</f>
        <v/>
      </c>
      <c r="J2054">
        <f>IF($B2054="","",IF($D2054&gt;$F$2,"À venir",IF($E2054&lt;$D$2,"Passé","Dans la période")))</f>
        <v/>
      </c>
      <c r="K2054">
        <f>IF(OR($B2054="",NOT(ISNUMBER($D2054))),"",IF(AND($E2054&lt;$D$2,$G2054&lt;&gt;"X",$F2054&lt;&gt;"Réalisé",$F2054&lt;&gt;"Clôturé"),"RETARD",""))</f>
        <v/>
      </c>
      <c r="L2054">
        <f>IF(OR($B2054="",NOT(ISNUMBER($D2054))),"",IF(AND($D2054&gt;=$D$2,$D2054&lt;=$H$2,$G2054&lt;&gt;"X",$F2054&lt;&gt;"Réalisé",$F2054&lt;&gt;"Clôturé"),"≤ 7 j",""))</f>
        <v/>
      </c>
      <c r="M2054" s="29">
        <f>IF($B2054="","",IFERROR(INDEX($T$4:$T$3183,MATCH(SMALL($V$4:$V$3183,2051),$V$4:$V$3183,0)),""))</f>
        <v/>
      </c>
      <c r="O2054">
        <f>IF(INDEX(Suivi!$B:$B,2093)="","",INDEX(Suivi!$B:$B,2093))</f>
        <v/>
      </c>
      <c r="P2054">
        <f>IF($O2054="","",IF(INDEX(Suivi!$D:$D,2093)="",INDEX(Suivi!$C:$C,2093),INDEX(Suivi!$D:$D,2093)))</f>
        <v/>
      </c>
      <c r="Q2054">
        <f>IF($O2054="","",INDEX(Suivi!$E:$E,2093))</f>
        <v/>
      </c>
      <c r="R2054">
        <f>IF($O2054="","",INDEX(Suivi!$F:$F,2093))</f>
        <v/>
      </c>
      <c r="S2054">
        <f>IF($O2054="","",INDEX(Suivi!$G:$G,2093))</f>
        <v/>
      </c>
      <c r="T2054">
        <f>IF($O2054="","",IF(INDEX(Dossiers!$F$4:$F$63,39)="","",INDEX(Dossiers!$F$4:$F$63,39)))</f>
        <v/>
      </c>
      <c r="U2054">
        <f>IF($O2054="","",IF(INDEX(Dossiers!$G$4:$G$63,39)="","",INDEX(Dossiers!$G$4:$G$63,39)))</f>
        <v/>
      </c>
      <c r="V2054">
        <f>IF(OR($O2054="",NOT(ISNUMBER($Q2054))),"",$Q2054*1000000+2054)</f>
        <v/>
      </c>
      <c r="W2054" s="29">
        <f>IF($B2054="","",IFERROR(INDEX($U$4:$U$3183,MATCH(SMALL($V$4:$V$3183,2051),$V$4:$V$3183,0)),""))</f>
        <v/>
      </c>
    </row>
    <row r="2055">
      <c r="A2055">
        <f>IFERROR(INDEX($N$4:$N$3183,MATCH(SMALL($V$4:$V$3183,2052),$V$4:$V$3183,0)),"")</f>
        <v/>
      </c>
      <c r="B2055">
        <f>IFERROR(INDEX($O$4:$O$3183,MATCH(SMALL($V$4:$V$3183,2052),$V$4:$V$3183,0)),"")</f>
        <v/>
      </c>
      <c r="C2055">
        <f>IFERROR(INDEX($P$4:$P$3183,MATCH(SMALL($V$4:$V$3183,2052),$V$4:$V$3183,0)),"")</f>
        <v/>
      </c>
      <c r="D2055" s="29">
        <f>IFERROR(INDEX($Q$4:$Q$3183,MATCH(SMALL($V$4:$V$3183,2052),$V$4:$V$3183,0)),"")</f>
        <v/>
      </c>
      <c r="E2055" s="29">
        <f>IFERROR(INDEX($R$4:$R$3183,MATCH(SMALL($V$4:$V$3183,2052),$V$4:$V$3183,0)),"")</f>
        <v/>
      </c>
      <c r="F2055">
        <f>IFERROR(INDEX($S$4:$S$3183,MATCH(SMALL($V$4:$V$3183,2052),$V$4:$V$3183,0)),"")</f>
        <v/>
      </c>
      <c r="I2055" s="29">
        <f>IF($B2055="","",IFERROR(INDEX($U$4:$U$3183,MATCH(SMALL($V$4:$V$3183,2052),$V$4:$V$3183,0)),""))</f>
        <v/>
      </c>
      <c r="J2055">
        <f>IF($B2055="","",IF($D2055&gt;$F$2,"À venir",IF($E2055&lt;$D$2,"Passé","Dans la période")))</f>
        <v/>
      </c>
      <c r="K2055">
        <f>IF(OR($B2055="",NOT(ISNUMBER($D2055))),"",IF(AND($E2055&lt;$D$2,$G2055&lt;&gt;"X",$F2055&lt;&gt;"Réalisé",$F2055&lt;&gt;"Clôturé"),"RETARD",""))</f>
        <v/>
      </c>
      <c r="L2055">
        <f>IF(OR($B2055="",NOT(ISNUMBER($D2055))),"",IF(AND($D2055&gt;=$D$2,$D2055&lt;=$H$2,$G2055&lt;&gt;"X",$F2055&lt;&gt;"Réalisé",$F2055&lt;&gt;"Clôturé"),"≤ 7 j",""))</f>
        <v/>
      </c>
      <c r="M2055" s="29">
        <f>IF($B2055="","",IFERROR(INDEX($T$4:$T$3183,MATCH(SMALL($V$4:$V$3183,2052),$V$4:$V$3183,0)),""))</f>
        <v/>
      </c>
      <c r="O2055">
        <f>IF(INDEX(Suivi!$B:$B,2094)="","",INDEX(Suivi!$B:$B,2094))</f>
        <v/>
      </c>
      <c r="P2055">
        <f>IF($O2055="","",IF(INDEX(Suivi!$D:$D,2094)="",INDEX(Suivi!$C:$C,2094),INDEX(Suivi!$D:$D,2094)))</f>
        <v/>
      </c>
      <c r="Q2055">
        <f>IF($O2055="","",INDEX(Suivi!$E:$E,2094))</f>
        <v/>
      </c>
      <c r="R2055">
        <f>IF($O2055="","",INDEX(Suivi!$F:$F,2094))</f>
        <v/>
      </c>
      <c r="S2055">
        <f>IF($O2055="","",INDEX(Suivi!$G:$G,2094))</f>
        <v/>
      </c>
      <c r="T2055">
        <f>IF($O2055="","",IF(INDEX(Dossiers!$F$4:$F$63,39)="","",INDEX(Dossiers!$F$4:$F$63,39)))</f>
        <v/>
      </c>
      <c r="U2055">
        <f>IF($O2055="","",IF(INDEX(Dossiers!$G$4:$G$63,39)="","",INDEX(Dossiers!$G$4:$G$63,39)))</f>
        <v/>
      </c>
      <c r="V2055">
        <f>IF(OR($O2055="",NOT(ISNUMBER($Q2055))),"",$Q2055*1000000+2055)</f>
        <v/>
      </c>
      <c r="W2055" s="29">
        <f>IF($B2055="","",IFERROR(INDEX($U$4:$U$3183,MATCH(SMALL($V$4:$V$3183,2052),$V$4:$V$3183,0)),""))</f>
        <v/>
      </c>
    </row>
    <row r="2056">
      <c r="A2056">
        <f>IFERROR(INDEX($N$4:$N$3183,MATCH(SMALL($V$4:$V$3183,2053),$V$4:$V$3183,0)),"")</f>
        <v/>
      </c>
      <c r="B2056">
        <f>IFERROR(INDEX($O$4:$O$3183,MATCH(SMALL($V$4:$V$3183,2053),$V$4:$V$3183,0)),"")</f>
        <v/>
      </c>
      <c r="C2056">
        <f>IFERROR(INDEX($P$4:$P$3183,MATCH(SMALL($V$4:$V$3183,2053),$V$4:$V$3183,0)),"")</f>
        <v/>
      </c>
      <c r="D2056" s="29">
        <f>IFERROR(INDEX($Q$4:$Q$3183,MATCH(SMALL($V$4:$V$3183,2053),$V$4:$V$3183,0)),"")</f>
        <v/>
      </c>
      <c r="E2056" s="29">
        <f>IFERROR(INDEX($R$4:$R$3183,MATCH(SMALL($V$4:$V$3183,2053),$V$4:$V$3183,0)),"")</f>
        <v/>
      </c>
      <c r="F2056">
        <f>IFERROR(INDEX($S$4:$S$3183,MATCH(SMALL($V$4:$V$3183,2053),$V$4:$V$3183,0)),"")</f>
        <v/>
      </c>
      <c r="I2056" s="29">
        <f>IF($B2056="","",IFERROR(INDEX($U$4:$U$3183,MATCH(SMALL($V$4:$V$3183,2053),$V$4:$V$3183,0)),""))</f>
        <v/>
      </c>
      <c r="J2056">
        <f>IF($B2056="","",IF($D2056&gt;$F$2,"À venir",IF($E2056&lt;$D$2,"Passé","Dans la période")))</f>
        <v/>
      </c>
      <c r="K2056">
        <f>IF(OR($B2056="",NOT(ISNUMBER($D2056))),"",IF(AND($E2056&lt;$D$2,$G2056&lt;&gt;"X",$F2056&lt;&gt;"Réalisé",$F2056&lt;&gt;"Clôturé"),"RETARD",""))</f>
        <v/>
      </c>
      <c r="L2056">
        <f>IF(OR($B2056="",NOT(ISNUMBER($D2056))),"",IF(AND($D2056&gt;=$D$2,$D2056&lt;=$H$2,$G2056&lt;&gt;"X",$F2056&lt;&gt;"Réalisé",$F2056&lt;&gt;"Clôturé"),"≤ 7 j",""))</f>
        <v/>
      </c>
      <c r="M2056" s="29">
        <f>IF($B2056="","",IFERROR(INDEX($T$4:$T$3183,MATCH(SMALL($V$4:$V$3183,2053),$V$4:$V$3183,0)),""))</f>
        <v/>
      </c>
      <c r="O2056">
        <f>IF(INDEX(Suivi!$B:$B,2095)="","",INDEX(Suivi!$B:$B,2095))</f>
        <v/>
      </c>
      <c r="P2056">
        <f>IF($O2056="","",IF(INDEX(Suivi!$D:$D,2095)="",INDEX(Suivi!$C:$C,2095),INDEX(Suivi!$D:$D,2095)))</f>
        <v/>
      </c>
      <c r="Q2056">
        <f>IF($O2056="","",INDEX(Suivi!$E:$E,2095))</f>
        <v/>
      </c>
      <c r="R2056">
        <f>IF($O2056="","",INDEX(Suivi!$F:$F,2095))</f>
        <v/>
      </c>
      <c r="S2056">
        <f>IF($O2056="","",INDEX(Suivi!$G:$G,2095))</f>
        <v/>
      </c>
      <c r="T2056">
        <f>IF($O2056="","",IF(INDEX(Dossiers!$F$4:$F$63,39)="","",INDEX(Dossiers!$F$4:$F$63,39)))</f>
        <v/>
      </c>
      <c r="U2056">
        <f>IF($O2056="","",IF(INDEX(Dossiers!$G$4:$G$63,39)="","",INDEX(Dossiers!$G$4:$G$63,39)))</f>
        <v/>
      </c>
      <c r="V2056">
        <f>IF(OR($O2056="",NOT(ISNUMBER($Q2056))),"",$Q2056*1000000+2056)</f>
        <v/>
      </c>
      <c r="W2056" s="29">
        <f>IF($B2056="","",IFERROR(INDEX($U$4:$U$3183,MATCH(SMALL($V$4:$V$3183,2053),$V$4:$V$3183,0)),""))</f>
        <v/>
      </c>
    </row>
    <row r="2057">
      <c r="A2057">
        <f>IFERROR(INDEX($N$4:$N$3183,MATCH(SMALL($V$4:$V$3183,2054),$V$4:$V$3183,0)),"")</f>
        <v/>
      </c>
      <c r="B2057">
        <f>IFERROR(INDEX($O$4:$O$3183,MATCH(SMALL($V$4:$V$3183,2054),$V$4:$V$3183,0)),"")</f>
        <v/>
      </c>
      <c r="C2057">
        <f>IFERROR(INDEX($P$4:$P$3183,MATCH(SMALL($V$4:$V$3183,2054),$V$4:$V$3183,0)),"")</f>
        <v/>
      </c>
      <c r="D2057" s="29">
        <f>IFERROR(INDEX($Q$4:$Q$3183,MATCH(SMALL($V$4:$V$3183,2054),$V$4:$V$3183,0)),"")</f>
        <v/>
      </c>
      <c r="E2057" s="29">
        <f>IFERROR(INDEX($R$4:$R$3183,MATCH(SMALL($V$4:$V$3183,2054),$V$4:$V$3183,0)),"")</f>
        <v/>
      </c>
      <c r="F2057">
        <f>IFERROR(INDEX($S$4:$S$3183,MATCH(SMALL($V$4:$V$3183,2054),$V$4:$V$3183,0)),"")</f>
        <v/>
      </c>
      <c r="I2057" s="29">
        <f>IF($B2057="","",IFERROR(INDEX($U$4:$U$3183,MATCH(SMALL($V$4:$V$3183,2054),$V$4:$V$3183,0)),""))</f>
        <v/>
      </c>
      <c r="J2057">
        <f>IF($B2057="","",IF($D2057&gt;$F$2,"À venir",IF($E2057&lt;$D$2,"Passé","Dans la période")))</f>
        <v/>
      </c>
      <c r="K2057">
        <f>IF(OR($B2057="",NOT(ISNUMBER($D2057))),"",IF(AND($E2057&lt;$D$2,$G2057&lt;&gt;"X",$F2057&lt;&gt;"Réalisé",$F2057&lt;&gt;"Clôturé"),"RETARD",""))</f>
        <v/>
      </c>
      <c r="L2057">
        <f>IF(OR($B2057="",NOT(ISNUMBER($D2057))),"",IF(AND($D2057&gt;=$D$2,$D2057&lt;=$H$2,$G2057&lt;&gt;"X",$F2057&lt;&gt;"Réalisé",$F2057&lt;&gt;"Clôturé"),"≤ 7 j",""))</f>
        <v/>
      </c>
      <c r="M2057" s="29">
        <f>IF($B2057="","",IFERROR(INDEX($T$4:$T$3183,MATCH(SMALL($V$4:$V$3183,2054),$V$4:$V$3183,0)),""))</f>
        <v/>
      </c>
      <c r="O2057">
        <f>IF(INDEX(Suivi!$B:$B,2096)="","",INDEX(Suivi!$B:$B,2096))</f>
        <v/>
      </c>
      <c r="P2057">
        <f>IF($O2057="","",IF(INDEX(Suivi!$D:$D,2096)="",INDEX(Suivi!$C:$C,2096),INDEX(Suivi!$D:$D,2096)))</f>
        <v/>
      </c>
      <c r="Q2057">
        <f>IF($O2057="","",INDEX(Suivi!$E:$E,2096))</f>
        <v/>
      </c>
      <c r="R2057">
        <f>IF($O2057="","",INDEX(Suivi!$F:$F,2096))</f>
        <v/>
      </c>
      <c r="S2057">
        <f>IF($O2057="","",INDEX(Suivi!$G:$G,2096))</f>
        <v/>
      </c>
      <c r="T2057">
        <f>IF($O2057="","",IF(INDEX(Dossiers!$F$4:$F$63,39)="","",INDEX(Dossiers!$F$4:$F$63,39)))</f>
        <v/>
      </c>
      <c r="U2057">
        <f>IF($O2057="","",IF(INDEX(Dossiers!$G$4:$G$63,39)="","",INDEX(Dossiers!$G$4:$G$63,39)))</f>
        <v/>
      </c>
      <c r="V2057">
        <f>IF(OR($O2057="",NOT(ISNUMBER($Q2057))),"",$Q2057*1000000+2057)</f>
        <v/>
      </c>
      <c r="W2057" s="29">
        <f>IF($B2057="","",IFERROR(INDEX($U$4:$U$3183,MATCH(SMALL($V$4:$V$3183,2054),$V$4:$V$3183,0)),""))</f>
        <v/>
      </c>
    </row>
    <row r="2058">
      <c r="A2058">
        <f>IFERROR(INDEX($N$4:$N$3183,MATCH(SMALL($V$4:$V$3183,2055),$V$4:$V$3183,0)),"")</f>
        <v/>
      </c>
      <c r="B2058">
        <f>IFERROR(INDEX($O$4:$O$3183,MATCH(SMALL($V$4:$V$3183,2055),$V$4:$V$3183,0)),"")</f>
        <v/>
      </c>
      <c r="C2058">
        <f>IFERROR(INDEX($P$4:$P$3183,MATCH(SMALL($V$4:$V$3183,2055),$V$4:$V$3183,0)),"")</f>
        <v/>
      </c>
      <c r="D2058" s="29">
        <f>IFERROR(INDEX($Q$4:$Q$3183,MATCH(SMALL($V$4:$V$3183,2055),$V$4:$V$3183,0)),"")</f>
        <v/>
      </c>
      <c r="E2058" s="29">
        <f>IFERROR(INDEX($R$4:$R$3183,MATCH(SMALL($V$4:$V$3183,2055),$V$4:$V$3183,0)),"")</f>
        <v/>
      </c>
      <c r="F2058">
        <f>IFERROR(INDEX($S$4:$S$3183,MATCH(SMALL($V$4:$V$3183,2055),$V$4:$V$3183,0)),"")</f>
        <v/>
      </c>
      <c r="I2058" s="29">
        <f>IF($B2058="","",IFERROR(INDEX($U$4:$U$3183,MATCH(SMALL($V$4:$V$3183,2055),$V$4:$V$3183,0)),""))</f>
        <v/>
      </c>
      <c r="J2058">
        <f>IF($B2058="","",IF($D2058&gt;$F$2,"À venir",IF($E2058&lt;$D$2,"Passé","Dans la période")))</f>
        <v/>
      </c>
      <c r="K2058">
        <f>IF(OR($B2058="",NOT(ISNUMBER($D2058))),"",IF(AND($E2058&lt;$D$2,$G2058&lt;&gt;"X",$F2058&lt;&gt;"Réalisé",$F2058&lt;&gt;"Clôturé"),"RETARD",""))</f>
        <v/>
      </c>
      <c r="L2058">
        <f>IF(OR($B2058="",NOT(ISNUMBER($D2058))),"",IF(AND($D2058&gt;=$D$2,$D2058&lt;=$H$2,$G2058&lt;&gt;"X",$F2058&lt;&gt;"Réalisé",$F2058&lt;&gt;"Clôturé"),"≤ 7 j",""))</f>
        <v/>
      </c>
      <c r="M2058" s="29">
        <f>IF($B2058="","",IFERROR(INDEX($T$4:$T$3183,MATCH(SMALL($V$4:$V$3183,2055),$V$4:$V$3183,0)),""))</f>
        <v/>
      </c>
      <c r="O2058">
        <f>IF(INDEX(Suivi!$B:$B,2097)="","",INDEX(Suivi!$B:$B,2097))</f>
        <v/>
      </c>
      <c r="P2058">
        <f>IF($O2058="","",IF(INDEX(Suivi!$D:$D,2097)="",INDEX(Suivi!$C:$C,2097),INDEX(Suivi!$D:$D,2097)))</f>
        <v/>
      </c>
      <c r="Q2058">
        <f>IF($O2058="","",INDEX(Suivi!$E:$E,2097))</f>
        <v/>
      </c>
      <c r="R2058">
        <f>IF($O2058="","",INDEX(Suivi!$F:$F,2097))</f>
        <v/>
      </c>
      <c r="S2058">
        <f>IF($O2058="","",INDEX(Suivi!$G:$G,2097))</f>
        <v/>
      </c>
      <c r="T2058">
        <f>IF($O2058="","",IF(INDEX(Dossiers!$F$4:$F$63,39)="","",INDEX(Dossiers!$F$4:$F$63,39)))</f>
        <v/>
      </c>
      <c r="U2058">
        <f>IF($O2058="","",IF(INDEX(Dossiers!$G$4:$G$63,39)="","",INDEX(Dossiers!$G$4:$G$63,39)))</f>
        <v/>
      </c>
      <c r="V2058">
        <f>IF(OR($O2058="",NOT(ISNUMBER($Q2058))),"",$Q2058*1000000+2058)</f>
        <v/>
      </c>
      <c r="W2058" s="29">
        <f>IF($B2058="","",IFERROR(INDEX($U$4:$U$3183,MATCH(SMALL($V$4:$V$3183,2055),$V$4:$V$3183,0)),""))</f>
        <v/>
      </c>
    </row>
    <row r="2059">
      <c r="A2059">
        <f>IFERROR(INDEX($N$4:$N$3183,MATCH(SMALL($V$4:$V$3183,2056),$V$4:$V$3183,0)),"")</f>
        <v/>
      </c>
      <c r="B2059">
        <f>IFERROR(INDEX($O$4:$O$3183,MATCH(SMALL($V$4:$V$3183,2056),$V$4:$V$3183,0)),"")</f>
        <v/>
      </c>
      <c r="C2059">
        <f>IFERROR(INDEX($P$4:$P$3183,MATCH(SMALL($V$4:$V$3183,2056),$V$4:$V$3183,0)),"")</f>
        <v/>
      </c>
      <c r="D2059" s="29">
        <f>IFERROR(INDEX($Q$4:$Q$3183,MATCH(SMALL($V$4:$V$3183,2056),$V$4:$V$3183,0)),"")</f>
        <v/>
      </c>
      <c r="E2059" s="29">
        <f>IFERROR(INDEX($R$4:$R$3183,MATCH(SMALL($V$4:$V$3183,2056),$V$4:$V$3183,0)),"")</f>
        <v/>
      </c>
      <c r="F2059">
        <f>IFERROR(INDEX($S$4:$S$3183,MATCH(SMALL($V$4:$V$3183,2056),$V$4:$V$3183,0)),"")</f>
        <v/>
      </c>
      <c r="I2059" s="29">
        <f>IF($B2059="","",IFERROR(INDEX($U$4:$U$3183,MATCH(SMALL($V$4:$V$3183,2056),$V$4:$V$3183,0)),""))</f>
        <v/>
      </c>
      <c r="J2059">
        <f>IF($B2059="","",IF($D2059&gt;$F$2,"À venir",IF($E2059&lt;$D$2,"Passé","Dans la période")))</f>
        <v/>
      </c>
      <c r="K2059">
        <f>IF(OR($B2059="",NOT(ISNUMBER($D2059))),"",IF(AND($E2059&lt;$D$2,$G2059&lt;&gt;"X",$F2059&lt;&gt;"Réalisé",$F2059&lt;&gt;"Clôturé"),"RETARD",""))</f>
        <v/>
      </c>
      <c r="L2059">
        <f>IF(OR($B2059="",NOT(ISNUMBER($D2059))),"",IF(AND($D2059&gt;=$D$2,$D2059&lt;=$H$2,$G2059&lt;&gt;"X",$F2059&lt;&gt;"Réalisé",$F2059&lt;&gt;"Clôturé"),"≤ 7 j",""))</f>
        <v/>
      </c>
      <c r="M2059" s="29">
        <f>IF($B2059="","",IFERROR(INDEX($T$4:$T$3183,MATCH(SMALL($V$4:$V$3183,2056),$V$4:$V$3183,0)),""))</f>
        <v/>
      </c>
      <c r="O2059">
        <f>IF(INDEX(Suivi!$B:$B,2098)="","",INDEX(Suivi!$B:$B,2098))</f>
        <v/>
      </c>
      <c r="P2059">
        <f>IF($O2059="","",IF(INDEX(Suivi!$D:$D,2098)="",INDEX(Suivi!$C:$C,2098),INDEX(Suivi!$D:$D,2098)))</f>
        <v/>
      </c>
      <c r="Q2059">
        <f>IF($O2059="","",INDEX(Suivi!$E:$E,2098))</f>
        <v/>
      </c>
      <c r="R2059">
        <f>IF($O2059="","",INDEX(Suivi!$F:$F,2098))</f>
        <v/>
      </c>
      <c r="S2059">
        <f>IF($O2059="","",INDEX(Suivi!$G:$G,2098))</f>
        <v/>
      </c>
      <c r="T2059">
        <f>IF($O2059="","",IF(INDEX(Dossiers!$F$4:$F$63,39)="","",INDEX(Dossiers!$F$4:$F$63,39)))</f>
        <v/>
      </c>
      <c r="U2059">
        <f>IF($O2059="","",IF(INDEX(Dossiers!$G$4:$G$63,39)="","",INDEX(Dossiers!$G$4:$G$63,39)))</f>
        <v/>
      </c>
      <c r="V2059">
        <f>IF(OR($O2059="",NOT(ISNUMBER($Q2059))),"",$Q2059*1000000+2059)</f>
        <v/>
      </c>
      <c r="W2059" s="29">
        <f>IF($B2059="","",IFERROR(INDEX($U$4:$U$3183,MATCH(SMALL($V$4:$V$3183,2056),$V$4:$V$3183,0)),""))</f>
        <v/>
      </c>
    </row>
    <row r="2060">
      <c r="A2060">
        <f>IFERROR(INDEX($N$4:$N$3183,MATCH(SMALL($V$4:$V$3183,2057),$V$4:$V$3183,0)),"")</f>
        <v/>
      </c>
      <c r="B2060">
        <f>IFERROR(INDEX($O$4:$O$3183,MATCH(SMALL($V$4:$V$3183,2057),$V$4:$V$3183,0)),"")</f>
        <v/>
      </c>
      <c r="C2060">
        <f>IFERROR(INDEX($P$4:$P$3183,MATCH(SMALL($V$4:$V$3183,2057),$V$4:$V$3183,0)),"")</f>
        <v/>
      </c>
      <c r="D2060" s="29">
        <f>IFERROR(INDEX($Q$4:$Q$3183,MATCH(SMALL($V$4:$V$3183,2057),$V$4:$V$3183,0)),"")</f>
        <v/>
      </c>
      <c r="E2060" s="29">
        <f>IFERROR(INDEX($R$4:$R$3183,MATCH(SMALL($V$4:$V$3183,2057),$V$4:$V$3183,0)),"")</f>
        <v/>
      </c>
      <c r="F2060">
        <f>IFERROR(INDEX($S$4:$S$3183,MATCH(SMALL($V$4:$V$3183,2057),$V$4:$V$3183,0)),"")</f>
        <v/>
      </c>
      <c r="I2060" s="29">
        <f>IF($B2060="","",IFERROR(INDEX($U$4:$U$3183,MATCH(SMALL($V$4:$V$3183,2057),$V$4:$V$3183,0)),""))</f>
        <v/>
      </c>
      <c r="J2060">
        <f>IF($B2060="","",IF($D2060&gt;$F$2,"À venir",IF($E2060&lt;$D$2,"Passé","Dans la période")))</f>
        <v/>
      </c>
      <c r="K2060">
        <f>IF(OR($B2060="",NOT(ISNUMBER($D2060))),"",IF(AND($E2060&lt;$D$2,$G2060&lt;&gt;"X",$F2060&lt;&gt;"Réalisé",$F2060&lt;&gt;"Clôturé"),"RETARD",""))</f>
        <v/>
      </c>
      <c r="L2060">
        <f>IF(OR($B2060="",NOT(ISNUMBER($D2060))),"",IF(AND($D2060&gt;=$D$2,$D2060&lt;=$H$2,$G2060&lt;&gt;"X",$F2060&lt;&gt;"Réalisé",$F2060&lt;&gt;"Clôturé"),"≤ 7 j",""))</f>
        <v/>
      </c>
      <c r="M2060" s="29">
        <f>IF($B2060="","",IFERROR(INDEX($T$4:$T$3183,MATCH(SMALL($V$4:$V$3183,2057),$V$4:$V$3183,0)),""))</f>
        <v/>
      </c>
      <c r="O2060">
        <f>IF(INDEX(Suivi!$B:$B,2099)="","",INDEX(Suivi!$B:$B,2099))</f>
        <v/>
      </c>
      <c r="P2060">
        <f>IF($O2060="","",IF(INDEX(Suivi!$D:$D,2099)="",INDEX(Suivi!$C:$C,2099),INDEX(Suivi!$D:$D,2099)))</f>
        <v/>
      </c>
      <c r="Q2060">
        <f>IF($O2060="","",INDEX(Suivi!$E:$E,2099))</f>
        <v/>
      </c>
      <c r="R2060">
        <f>IF($O2060="","",INDEX(Suivi!$F:$F,2099))</f>
        <v/>
      </c>
      <c r="S2060">
        <f>IF($O2060="","",INDEX(Suivi!$G:$G,2099))</f>
        <v/>
      </c>
      <c r="T2060">
        <f>IF($O2060="","",IF(INDEX(Dossiers!$F$4:$F$63,39)="","",INDEX(Dossiers!$F$4:$F$63,39)))</f>
        <v/>
      </c>
      <c r="U2060">
        <f>IF($O2060="","",IF(INDEX(Dossiers!$G$4:$G$63,39)="","",INDEX(Dossiers!$G$4:$G$63,39)))</f>
        <v/>
      </c>
      <c r="V2060">
        <f>IF(OR($O2060="",NOT(ISNUMBER($Q2060))),"",$Q2060*1000000+2060)</f>
        <v/>
      </c>
      <c r="W2060" s="29">
        <f>IF($B2060="","",IFERROR(INDEX($U$4:$U$3183,MATCH(SMALL($V$4:$V$3183,2057),$V$4:$V$3183,0)),""))</f>
        <v/>
      </c>
    </row>
    <row r="2061">
      <c r="A2061">
        <f>IFERROR(INDEX($N$4:$N$3183,MATCH(SMALL($V$4:$V$3183,2058),$V$4:$V$3183,0)),"")</f>
        <v/>
      </c>
      <c r="B2061">
        <f>IFERROR(INDEX($O$4:$O$3183,MATCH(SMALL($V$4:$V$3183,2058),$V$4:$V$3183,0)),"")</f>
        <v/>
      </c>
      <c r="C2061">
        <f>IFERROR(INDEX($P$4:$P$3183,MATCH(SMALL($V$4:$V$3183,2058),$V$4:$V$3183,0)),"")</f>
        <v/>
      </c>
      <c r="D2061" s="29">
        <f>IFERROR(INDEX($Q$4:$Q$3183,MATCH(SMALL($V$4:$V$3183,2058),$V$4:$V$3183,0)),"")</f>
        <v/>
      </c>
      <c r="E2061" s="29">
        <f>IFERROR(INDEX($R$4:$R$3183,MATCH(SMALL($V$4:$V$3183,2058),$V$4:$V$3183,0)),"")</f>
        <v/>
      </c>
      <c r="F2061">
        <f>IFERROR(INDEX($S$4:$S$3183,MATCH(SMALL($V$4:$V$3183,2058),$V$4:$V$3183,0)),"")</f>
        <v/>
      </c>
      <c r="I2061" s="29">
        <f>IF($B2061="","",IFERROR(INDEX($U$4:$U$3183,MATCH(SMALL($V$4:$V$3183,2058),$V$4:$V$3183,0)),""))</f>
        <v/>
      </c>
      <c r="J2061">
        <f>IF($B2061="","",IF($D2061&gt;$F$2,"À venir",IF($E2061&lt;$D$2,"Passé","Dans la période")))</f>
        <v/>
      </c>
      <c r="K2061">
        <f>IF(OR($B2061="",NOT(ISNUMBER($D2061))),"",IF(AND($E2061&lt;$D$2,$G2061&lt;&gt;"X",$F2061&lt;&gt;"Réalisé",$F2061&lt;&gt;"Clôturé"),"RETARD",""))</f>
        <v/>
      </c>
      <c r="L2061">
        <f>IF(OR($B2061="",NOT(ISNUMBER($D2061))),"",IF(AND($D2061&gt;=$D$2,$D2061&lt;=$H$2,$G2061&lt;&gt;"X",$F2061&lt;&gt;"Réalisé",$F2061&lt;&gt;"Clôturé"),"≤ 7 j",""))</f>
        <v/>
      </c>
      <c r="M2061" s="29">
        <f>IF($B2061="","",IFERROR(INDEX($T$4:$T$3183,MATCH(SMALL($V$4:$V$3183,2058),$V$4:$V$3183,0)),""))</f>
        <v/>
      </c>
      <c r="O2061">
        <f>IF(INDEX(Suivi!$B:$B,2100)="","",INDEX(Suivi!$B:$B,2100))</f>
        <v/>
      </c>
      <c r="P2061">
        <f>IF($O2061="","",IF(INDEX(Suivi!$D:$D,2100)="",INDEX(Suivi!$C:$C,2100),INDEX(Suivi!$D:$D,2100)))</f>
        <v/>
      </c>
      <c r="Q2061">
        <f>IF($O2061="","",INDEX(Suivi!$E:$E,2100))</f>
        <v/>
      </c>
      <c r="R2061">
        <f>IF($O2061="","",INDEX(Suivi!$F:$F,2100))</f>
        <v/>
      </c>
      <c r="S2061">
        <f>IF($O2061="","",INDEX(Suivi!$G:$G,2100))</f>
        <v/>
      </c>
      <c r="T2061">
        <f>IF($O2061="","",IF(INDEX(Dossiers!$F$4:$F$63,39)="","",INDEX(Dossiers!$F$4:$F$63,39)))</f>
        <v/>
      </c>
      <c r="U2061">
        <f>IF($O2061="","",IF(INDEX(Dossiers!$G$4:$G$63,39)="","",INDEX(Dossiers!$G$4:$G$63,39)))</f>
        <v/>
      </c>
      <c r="V2061">
        <f>IF(OR($O2061="",NOT(ISNUMBER($Q2061))),"",$Q2061*1000000+2061)</f>
        <v/>
      </c>
      <c r="W2061" s="29">
        <f>IF($B2061="","",IFERROR(INDEX($U$4:$U$3183,MATCH(SMALL($V$4:$V$3183,2058),$V$4:$V$3183,0)),""))</f>
        <v/>
      </c>
    </row>
    <row r="2062">
      <c r="A2062">
        <f>IFERROR(INDEX($N$4:$N$3183,MATCH(SMALL($V$4:$V$3183,2059),$V$4:$V$3183,0)),"")</f>
        <v/>
      </c>
      <c r="B2062">
        <f>IFERROR(INDEX($O$4:$O$3183,MATCH(SMALL($V$4:$V$3183,2059),$V$4:$V$3183,0)),"")</f>
        <v/>
      </c>
      <c r="C2062">
        <f>IFERROR(INDEX($P$4:$P$3183,MATCH(SMALL($V$4:$V$3183,2059),$V$4:$V$3183,0)),"")</f>
        <v/>
      </c>
      <c r="D2062" s="29">
        <f>IFERROR(INDEX($Q$4:$Q$3183,MATCH(SMALL($V$4:$V$3183,2059),$V$4:$V$3183,0)),"")</f>
        <v/>
      </c>
      <c r="E2062" s="29">
        <f>IFERROR(INDEX($R$4:$R$3183,MATCH(SMALL($V$4:$V$3183,2059),$V$4:$V$3183,0)),"")</f>
        <v/>
      </c>
      <c r="F2062">
        <f>IFERROR(INDEX($S$4:$S$3183,MATCH(SMALL($V$4:$V$3183,2059),$V$4:$V$3183,0)),"")</f>
        <v/>
      </c>
      <c r="I2062" s="29">
        <f>IF($B2062="","",IFERROR(INDEX($U$4:$U$3183,MATCH(SMALL($V$4:$V$3183,2059),$V$4:$V$3183,0)),""))</f>
        <v/>
      </c>
      <c r="J2062">
        <f>IF($B2062="","",IF($D2062&gt;$F$2,"À venir",IF($E2062&lt;$D$2,"Passé","Dans la période")))</f>
        <v/>
      </c>
      <c r="K2062">
        <f>IF(OR($B2062="",NOT(ISNUMBER($D2062))),"",IF(AND($E2062&lt;$D$2,$G2062&lt;&gt;"X",$F2062&lt;&gt;"Réalisé",$F2062&lt;&gt;"Clôturé"),"RETARD",""))</f>
        <v/>
      </c>
      <c r="L2062">
        <f>IF(OR($B2062="",NOT(ISNUMBER($D2062))),"",IF(AND($D2062&gt;=$D$2,$D2062&lt;=$H$2,$G2062&lt;&gt;"X",$F2062&lt;&gt;"Réalisé",$F2062&lt;&gt;"Clôturé"),"≤ 7 j",""))</f>
        <v/>
      </c>
      <c r="M2062" s="29">
        <f>IF($B2062="","",IFERROR(INDEX($T$4:$T$3183,MATCH(SMALL($V$4:$V$3183,2059),$V$4:$V$3183,0)),""))</f>
        <v/>
      </c>
      <c r="O2062">
        <f>IF(INDEX(Suivi!$B:$B,2101)="","",INDEX(Suivi!$B:$B,2101))</f>
        <v/>
      </c>
      <c r="P2062">
        <f>IF($O2062="","",IF(INDEX(Suivi!$D:$D,2101)="",INDEX(Suivi!$C:$C,2101),INDEX(Suivi!$D:$D,2101)))</f>
        <v/>
      </c>
      <c r="Q2062">
        <f>IF($O2062="","",INDEX(Suivi!$E:$E,2101))</f>
        <v/>
      </c>
      <c r="R2062">
        <f>IF($O2062="","",INDEX(Suivi!$F:$F,2101))</f>
        <v/>
      </c>
      <c r="S2062">
        <f>IF($O2062="","",INDEX(Suivi!$G:$G,2101))</f>
        <v/>
      </c>
      <c r="T2062">
        <f>IF($O2062="","",IF(INDEX(Dossiers!$F$4:$F$63,39)="","",INDEX(Dossiers!$F$4:$F$63,39)))</f>
        <v/>
      </c>
      <c r="U2062">
        <f>IF($O2062="","",IF(INDEX(Dossiers!$G$4:$G$63,39)="","",INDEX(Dossiers!$G$4:$G$63,39)))</f>
        <v/>
      </c>
      <c r="V2062">
        <f>IF(OR($O2062="",NOT(ISNUMBER($Q2062))),"",$Q2062*1000000+2062)</f>
        <v/>
      </c>
      <c r="W2062" s="29">
        <f>IF($B2062="","",IFERROR(INDEX($U$4:$U$3183,MATCH(SMALL($V$4:$V$3183,2059),$V$4:$V$3183,0)),""))</f>
        <v/>
      </c>
    </row>
    <row r="2063">
      <c r="A2063">
        <f>IFERROR(INDEX($N$4:$N$3183,MATCH(SMALL($V$4:$V$3183,2060),$V$4:$V$3183,0)),"")</f>
        <v/>
      </c>
      <c r="B2063">
        <f>IFERROR(INDEX($O$4:$O$3183,MATCH(SMALL($V$4:$V$3183,2060),$V$4:$V$3183,0)),"")</f>
        <v/>
      </c>
      <c r="C2063">
        <f>IFERROR(INDEX($P$4:$P$3183,MATCH(SMALL($V$4:$V$3183,2060),$V$4:$V$3183,0)),"")</f>
        <v/>
      </c>
      <c r="D2063" s="29">
        <f>IFERROR(INDEX($Q$4:$Q$3183,MATCH(SMALL($V$4:$V$3183,2060),$V$4:$V$3183,0)),"")</f>
        <v/>
      </c>
      <c r="E2063" s="29">
        <f>IFERROR(INDEX($R$4:$R$3183,MATCH(SMALL($V$4:$V$3183,2060),$V$4:$V$3183,0)),"")</f>
        <v/>
      </c>
      <c r="F2063">
        <f>IFERROR(INDEX($S$4:$S$3183,MATCH(SMALL($V$4:$V$3183,2060),$V$4:$V$3183,0)),"")</f>
        <v/>
      </c>
      <c r="I2063" s="29">
        <f>IF($B2063="","",IFERROR(INDEX($U$4:$U$3183,MATCH(SMALL($V$4:$V$3183,2060),$V$4:$V$3183,0)),""))</f>
        <v/>
      </c>
      <c r="J2063">
        <f>IF($B2063="","",IF($D2063&gt;$F$2,"À venir",IF($E2063&lt;$D$2,"Passé","Dans la période")))</f>
        <v/>
      </c>
      <c r="K2063">
        <f>IF(OR($B2063="",NOT(ISNUMBER($D2063))),"",IF(AND($E2063&lt;$D$2,$G2063&lt;&gt;"X",$F2063&lt;&gt;"Réalisé",$F2063&lt;&gt;"Clôturé"),"RETARD",""))</f>
        <v/>
      </c>
      <c r="L2063">
        <f>IF(OR($B2063="",NOT(ISNUMBER($D2063))),"",IF(AND($D2063&gt;=$D$2,$D2063&lt;=$H$2,$G2063&lt;&gt;"X",$F2063&lt;&gt;"Réalisé",$F2063&lt;&gt;"Clôturé"),"≤ 7 j",""))</f>
        <v/>
      </c>
      <c r="M2063" s="29">
        <f>IF($B2063="","",IFERROR(INDEX($T$4:$T$3183,MATCH(SMALL($V$4:$V$3183,2060),$V$4:$V$3183,0)),""))</f>
        <v/>
      </c>
      <c r="O2063">
        <f>IF(INDEX(Suivi!$B:$B,2102)="","",INDEX(Suivi!$B:$B,2102))</f>
        <v/>
      </c>
      <c r="P2063">
        <f>IF($O2063="","",IF(INDEX(Suivi!$D:$D,2102)="",INDEX(Suivi!$C:$C,2102),INDEX(Suivi!$D:$D,2102)))</f>
        <v/>
      </c>
      <c r="Q2063">
        <f>IF($O2063="","",INDEX(Suivi!$E:$E,2102))</f>
        <v/>
      </c>
      <c r="R2063">
        <f>IF($O2063="","",INDEX(Suivi!$F:$F,2102))</f>
        <v/>
      </c>
      <c r="S2063">
        <f>IF($O2063="","",INDEX(Suivi!$G:$G,2102))</f>
        <v/>
      </c>
      <c r="T2063">
        <f>IF($O2063="","",IF(INDEX(Dossiers!$F$4:$F$63,39)="","",INDEX(Dossiers!$F$4:$F$63,39)))</f>
        <v/>
      </c>
      <c r="U2063">
        <f>IF($O2063="","",IF(INDEX(Dossiers!$G$4:$G$63,39)="","",INDEX(Dossiers!$G$4:$G$63,39)))</f>
        <v/>
      </c>
      <c r="V2063">
        <f>IF(OR($O2063="",NOT(ISNUMBER($Q2063))),"",$Q2063*1000000+2063)</f>
        <v/>
      </c>
      <c r="W2063" s="29">
        <f>IF($B2063="","",IFERROR(INDEX($U$4:$U$3183,MATCH(SMALL($V$4:$V$3183,2060),$V$4:$V$3183,0)),""))</f>
        <v/>
      </c>
    </row>
    <row r="2064">
      <c r="A2064">
        <f>IFERROR(INDEX($N$4:$N$3183,MATCH(SMALL($V$4:$V$3183,2061),$V$4:$V$3183,0)),"")</f>
        <v/>
      </c>
      <c r="B2064">
        <f>IFERROR(INDEX($O$4:$O$3183,MATCH(SMALL($V$4:$V$3183,2061),$V$4:$V$3183,0)),"")</f>
        <v/>
      </c>
      <c r="C2064">
        <f>IFERROR(INDEX($P$4:$P$3183,MATCH(SMALL($V$4:$V$3183,2061),$V$4:$V$3183,0)),"")</f>
        <v/>
      </c>
      <c r="D2064" s="29">
        <f>IFERROR(INDEX($Q$4:$Q$3183,MATCH(SMALL($V$4:$V$3183,2061),$V$4:$V$3183,0)),"")</f>
        <v/>
      </c>
      <c r="E2064" s="29">
        <f>IFERROR(INDEX($R$4:$R$3183,MATCH(SMALL($V$4:$V$3183,2061),$V$4:$V$3183,0)),"")</f>
        <v/>
      </c>
      <c r="F2064">
        <f>IFERROR(INDEX($S$4:$S$3183,MATCH(SMALL($V$4:$V$3183,2061),$V$4:$V$3183,0)),"")</f>
        <v/>
      </c>
      <c r="I2064" s="29">
        <f>IF($B2064="","",IFERROR(INDEX($U$4:$U$3183,MATCH(SMALL($V$4:$V$3183,2061),$V$4:$V$3183,0)),""))</f>
        <v/>
      </c>
      <c r="J2064">
        <f>IF($B2064="","",IF($D2064&gt;$F$2,"À venir",IF($E2064&lt;$D$2,"Passé","Dans la période")))</f>
        <v/>
      </c>
      <c r="K2064">
        <f>IF(OR($B2064="",NOT(ISNUMBER($D2064))),"",IF(AND($E2064&lt;$D$2,$G2064&lt;&gt;"X",$F2064&lt;&gt;"Réalisé",$F2064&lt;&gt;"Clôturé"),"RETARD",""))</f>
        <v/>
      </c>
      <c r="L2064">
        <f>IF(OR($B2064="",NOT(ISNUMBER($D2064))),"",IF(AND($D2064&gt;=$D$2,$D2064&lt;=$H$2,$G2064&lt;&gt;"X",$F2064&lt;&gt;"Réalisé",$F2064&lt;&gt;"Clôturé"),"≤ 7 j",""))</f>
        <v/>
      </c>
      <c r="M2064" s="29">
        <f>IF($B2064="","",IFERROR(INDEX($T$4:$T$3183,MATCH(SMALL($V$4:$V$3183,2061),$V$4:$V$3183,0)),""))</f>
        <v/>
      </c>
      <c r="O2064">
        <f>IF(INDEX(Suivi!$B:$B,2103)="","",INDEX(Suivi!$B:$B,2103))</f>
        <v/>
      </c>
      <c r="P2064">
        <f>IF($O2064="","",IF(INDEX(Suivi!$D:$D,2103)="",INDEX(Suivi!$C:$C,2103),INDEX(Suivi!$D:$D,2103)))</f>
        <v/>
      </c>
      <c r="Q2064">
        <f>IF($O2064="","",INDEX(Suivi!$E:$E,2103))</f>
        <v/>
      </c>
      <c r="R2064">
        <f>IF($O2064="","",INDEX(Suivi!$F:$F,2103))</f>
        <v/>
      </c>
      <c r="S2064">
        <f>IF($O2064="","",INDEX(Suivi!$G:$G,2103))</f>
        <v/>
      </c>
      <c r="T2064">
        <f>IF($O2064="","",IF(INDEX(Dossiers!$F$4:$F$63,39)="","",INDEX(Dossiers!$F$4:$F$63,39)))</f>
        <v/>
      </c>
      <c r="U2064">
        <f>IF($O2064="","",IF(INDEX(Dossiers!$G$4:$G$63,39)="","",INDEX(Dossiers!$G$4:$G$63,39)))</f>
        <v/>
      </c>
      <c r="V2064">
        <f>IF(OR($O2064="",NOT(ISNUMBER($Q2064))),"",$Q2064*1000000+2064)</f>
        <v/>
      </c>
      <c r="W2064" s="29">
        <f>IF($B2064="","",IFERROR(INDEX($U$4:$U$3183,MATCH(SMALL($V$4:$V$3183,2061),$V$4:$V$3183,0)),""))</f>
        <v/>
      </c>
    </row>
    <row r="2065">
      <c r="A2065">
        <f>IFERROR(INDEX($N$4:$N$3183,MATCH(SMALL($V$4:$V$3183,2062),$V$4:$V$3183,0)),"")</f>
        <v/>
      </c>
      <c r="B2065">
        <f>IFERROR(INDEX($O$4:$O$3183,MATCH(SMALL($V$4:$V$3183,2062),$V$4:$V$3183,0)),"")</f>
        <v/>
      </c>
      <c r="C2065">
        <f>IFERROR(INDEX($P$4:$P$3183,MATCH(SMALL($V$4:$V$3183,2062),$V$4:$V$3183,0)),"")</f>
        <v/>
      </c>
      <c r="D2065" s="29">
        <f>IFERROR(INDEX($Q$4:$Q$3183,MATCH(SMALL($V$4:$V$3183,2062),$V$4:$V$3183,0)),"")</f>
        <v/>
      </c>
      <c r="E2065" s="29">
        <f>IFERROR(INDEX($R$4:$R$3183,MATCH(SMALL($V$4:$V$3183,2062),$V$4:$V$3183,0)),"")</f>
        <v/>
      </c>
      <c r="F2065">
        <f>IFERROR(INDEX($S$4:$S$3183,MATCH(SMALL($V$4:$V$3183,2062),$V$4:$V$3183,0)),"")</f>
        <v/>
      </c>
      <c r="I2065" s="29">
        <f>IF($B2065="","",IFERROR(INDEX($U$4:$U$3183,MATCH(SMALL($V$4:$V$3183,2062),$V$4:$V$3183,0)),""))</f>
        <v/>
      </c>
      <c r="J2065">
        <f>IF($B2065="","",IF($D2065&gt;$F$2,"À venir",IF($E2065&lt;$D$2,"Passé","Dans la période")))</f>
        <v/>
      </c>
      <c r="K2065">
        <f>IF(OR($B2065="",NOT(ISNUMBER($D2065))),"",IF(AND($E2065&lt;$D$2,$G2065&lt;&gt;"X",$F2065&lt;&gt;"Réalisé",$F2065&lt;&gt;"Clôturé"),"RETARD",""))</f>
        <v/>
      </c>
      <c r="L2065">
        <f>IF(OR($B2065="",NOT(ISNUMBER($D2065))),"",IF(AND($D2065&gt;=$D$2,$D2065&lt;=$H$2,$G2065&lt;&gt;"X",$F2065&lt;&gt;"Réalisé",$F2065&lt;&gt;"Clôturé"),"≤ 7 j",""))</f>
        <v/>
      </c>
      <c r="M2065" s="29">
        <f>IF($B2065="","",IFERROR(INDEX($T$4:$T$3183,MATCH(SMALL($V$4:$V$3183,2062),$V$4:$V$3183,0)),""))</f>
        <v/>
      </c>
      <c r="O2065">
        <f>IF(INDEX(Suivi!$B:$B,2104)="","",INDEX(Suivi!$B:$B,2104))</f>
        <v/>
      </c>
      <c r="P2065">
        <f>IF($O2065="","",IF(INDEX(Suivi!$D:$D,2104)="",INDEX(Suivi!$C:$C,2104),INDEX(Suivi!$D:$D,2104)))</f>
        <v/>
      </c>
      <c r="Q2065">
        <f>IF($O2065="","",INDEX(Suivi!$E:$E,2104))</f>
        <v/>
      </c>
      <c r="R2065">
        <f>IF($O2065="","",INDEX(Suivi!$F:$F,2104))</f>
        <v/>
      </c>
      <c r="S2065">
        <f>IF($O2065="","",INDEX(Suivi!$G:$G,2104))</f>
        <v/>
      </c>
      <c r="T2065">
        <f>IF($O2065="","",IF(INDEX(Dossiers!$F$4:$F$63,39)="","",INDEX(Dossiers!$F$4:$F$63,39)))</f>
        <v/>
      </c>
      <c r="U2065">
        <f>IF($O2065="","",IF(INDEX(Dossiers!$G$4:$G$63,39)="","",INDEX(Dossiers!$G$4:$G$63,39)))</f>
        <v/>
      </c>
      <c r="V2065">
        <f>IF(OR($O2065="",NOT(ISNUMBER($Q2065))),"",$Q2065*1000000+2065)</f>
        <v/>
      </c>
      <c r="W2065" s="29">
        <f>IF($B2065="","",IFERROR(INDEX($U$4:$U$3183,MATCH(SMALL($V$4:$V$3183,2062),$V$4:$V$3183,0)),""))</f>
        <v/>
      </c>
    </row>
    <row r="2066">
      <c r="A2066">
        <f>IFERROR(INDEX($N$4:$N$3183,MATCH(SMALL($V$4:$V$3183,2063),$V$4:$V$3183,0)),"")</f>
        <v/>
      </c>
      <c r="B2066">
        <f>IFERROR(INDEX($O$4:$O$3183,MATCH(SMALL($V$4:$V$3183,2063),$V$4:$V$3183,0)),"")</f>
        <v/>
      </c>
      <c r="C2066">
        <f>IFERROR(INDEX($P$4:$P$3183,MATCH(SMALL($V$4:$V$3183,2063),$V$4:$V$3183,0)),"")</f>
        <v/>
      </c>
      <c r="D2066" s="29">
        <f>IFERROR(INDEX($Q$4:$Q$3183,MATCH(SMALL($V$4:$V$3183,2063),$V$4:$V$3183,0)),"")</f>
        <v/>
      </c>
      <c r="E2066" s="29">
        <f>IFERROR(INDEX($R$4:$R$3183,MATCH(SMALL($V$4:$V$3183,2063),$V$4:$V$3183,0)),"")</f>
        <v/>
      </c>
      <c r="F2066">
        <f>IFERROR(INDEX($S$4:$S$3183,MATCH(SMALL($V$4:$V$3183,2063),$V$4:$V$3183,0)),"")</f>
        <v/>
      </c>
      <c r="I2066" s="29">
        <f>IF($B2066="","",IFERROR(INDEX($U$4:$U$3183,MATCH(SMALL($V$4:$V$3183,2063),$V$4:$V$3183,0)),""))</f>
        <v/>
      </c>
      <c r="J2066">
        <f>IF($B2066="","",IF($D2066&gt;$F$2,"À venir",IF($E2066&lt;$D$2,"Passé","Dans la période")))</f>
        <v/>
      </c>
      <c r="K2066">
        <f>IF(OR($B2066="",NOT(ISNUMBER($D2066))),"",IF(AND($E2066&lt;$D$2,$G2066&lt;&gt;"X",$F2066&lt;&gt;"Réalisé",$F2066&lt;&gt;"Clôturé"),"RETARD",""))</f>
        <v/>
      </c>
      <c r="L2066">
        <f>IF(OR($B2066="",NOT(ISNUMBER($D2066))),"",IF(AND($D2066&gt;=$D$2,$D2066&lt;=$H$2,$G2066&lt;&gt;"X",$F2066&lt;&gt;"Réalisé",$F2066&lt;&gt;"Clôturé"),"≤ 7 j",""))</f>
        <v/>
      </c>
      <c r="M2066" s="29">
        <f>IF($B2066="","",IFERROR(INDEX($T$4:$T$3183,MATCH(SMALL($V$4:$V$3183,2063),$V$4:$V$3183,0)),""))</f>
        <v/>
      </c>
      <c r="O2066">
        <f>IF(INDEX(Suivi!$B:$B,2105)="","",INDEX(Suivi!$B:$B,2105))</f>
        <v/>
      </c>
      <c r="P2066">
        <f>IF($O2066="","",IF(INDEX(Suivi!$D:$D,2105)="",INDEX(Suivi!$C:$C,2105),INDEX(Suivi!$D:$D,2105)))</f>
        <v/>
      </c>
      <c r="Q2066">
        <f>IF($O2066="","",INDEX(Suivi!$E:$E,2105))</f>
        <v/>
      </c>
      <c r="R2066">
        <f>IF($O2066="","",INDEX(Suivi!$F:$F,2105))</f>
        <v/>
      </c>
      <c r="S2066">
        <f>IF($O2066="","",INDEX(Suivi!$G:$G,2105))</f>
        <v/>
      </c>
      <c r="T2066">
        <f>IF($O2066="","",IF(INDEX(Dossiers!$F$4:$F$63,39)="","",INDEX(Dossiers!$F$4:$F$63,39)))</f>
        <v/>
      </c>
      <c r="U2066">
        <f>IF($O2066="","",IF(INDEX(Dossiers!$G$4:$G$63,39)="","",INDEX(Dossiers!$G$4:$G$63,39)))</f>
        <v/>
      </c>
      <c r="V2066">
        <f>IF(OR($O2066="",NOT(ISNUMBER($Q2066))),"",$Q2066*1000000+2066)</f>
        <v/>
      </c>
      <c r="W2066" s="29">
        <f>IF($B2066="","",IFERROR(INDEX($U$4:$U$3183,MATCH(SMALL($V$4:$V$3183,2063),$V$4:$V$3183,0)),""))</f>
        <v/>
      </c>
    </row>
    <row r="2067">
      <c r="A2067">
        <f>IFERROR(INDEX($N$4:$N$3183,MATCH(SMALL($V$4:$V$3183,2064),$V$4:$V$3183,0)),"")</f>
        <v/>
      </c>
      <c r="B2067">
        <f>IFERROR(INDEX($O$4:$O$3183,MATCH(SMALL($V$4:$V$3183,2064),$V$4:$V$3183,0)),"")</f>
        <v/>
      </c>
      <c r="C2067">
        <f>IFERROR(INDEX($P$4:$P$3183,MATCH(SMALL($V$4:$V$3183,2064),$V$4:$V$3183,0)),"")</f>
        <v/>
      </c>
      <c r="D2067" s="29">
        <f>IFERROR(INDEX($Q$4:$Q$3183,MATCH(SMALL($V$4:$V$3183,2064),$V$4:$V$3183,0)),"")</f>
        <v/>
      </c>
      <c r="E2067" s="29">
        <f>IFERROR(INDEX($R$4:$R$3183,MATCH(SMALL($V$4:$V$3183,2064),$V$4:$V$3183,0)),"")</f>
        <v/>
      </c>
      <c r="F2067">
        <f>IFERROR(INDEX($S$4:$S$3183,MATCH(SMALL($V$4:$V$3183,2064),$V$4:$V$3183,0)),"")</f>
        <v/>
      </c>
      <c r="I2067" s="29">
        <f>IF($B2067="","",IFERROR(INDEX($U$4:$U$3183,MATCH(SMALL($V$4:$V$3183,2064),$V$4:$V$3183,0)),""))</f>
        <v/>
      </c>
      <c r="J2067">
        <f>IF($B2067="","",IF($D2067&gt;$F$2,"À venir",IF($E2067&lt;$D$2,"Passé","Dans la période")))</f>
        <v/>
      </c>
      <c r="K2067">
        <f>IF(OR($B2067="",NOT(ISNUMBER($D2067))),"",IF(AND($E2067&lt;$D$2,$G2067&lt;&gt;"X",$F2067&lt;&gt;"Réalisé",$F2067&lt;&gt;"Clôturé"),"RETARD",""))</f>
        <v/>
      </c>
      <c r="L2067">
        <f>IF(OR($B2067="",NOT(ISNUMBER($D2067))),"",IF(AND($D2067&gt;=$D$2,$D2067&lt;=$H$2,$G2067&lt;&gt;"X",$F2067&lt;&gt;"Réalisé",$F2067&lt;&gt;"Clôturé"),"≤ 7 j",""))</f>
        <v/>
      </c>
      <c r="M2067" s="29">
        <f>IF($B2067="","",IFERROR(INDEX($T$4:$T$3183,MATCH(SMALL($V$4:$V$3183,2064),$V$4:$V$3183,0)),""))</f>
        <v/>
      </c>
      <c r="O2067">
        <f>IF(INDEX(Suivi!$B:$B,2106)="","",INDEX(Suivi!$B:$B,2106))</f>
        <v/>
      </c>
      <c r="P2067">
        <f>IF($O2067="","",IF(INDEX(Suivi!$D:$D,2106)="",INDEX(Suivi!$C:$C,2106),INDEX(Suivi!$D:$D,2106)))</f>
        <v/>
      </c>
      <c r="Q2067">
        <f>IF($O2067="","",INDEX(Suivi!$E:$E,2106))</f>
        <v/>
      </c>
      <c r="R2067">
        <f>IF($O2067="","",INDEX(Suivi!$F:$F,2106))</f>
        <v/>
      </c>
      <c r="S2067">
        <f>IF($O2067="","",INDEX(Suivi!$G:$G,2106))</f>
        <v/>
      </c>
      <c r="T2067">
        <f>IF($O2067="","",IF(INDEX(Dossiers!$F$4:$F$63,39)="","",INDEX(Dossiers!$F$4:$F$63,39)))</f>
        <v/>
      </c>
      <c r="U2067">
        <f>IF($O2067="","",IF(INDEX(Dossiers!$G$4:$G$63,39)="","",INDEX(Dossiers!$G$4:$G$63,39)))</f>
        <v/>
      </c>
      <c r="V2067">
        <f>IF(OR($O2067="",NOT(ISNUMBER($Q2067))),"",$Q2067*1000000+2067)</f>
        <v/>
      </c>
      <c r="W2067" s="29">
        <f>IF($B2067="","",IFERROR(INDEX($U$4:$U$3183,MATCH(SMALL($V$4:$V$3183,2064),$V$4:$V$3183,0)),""))</f>
        <v/>
      </c>
    </row>
    <row r="2068">
      <c r="A2068">
        <f>IFERROR(INDEX($N$4:$N$3183,MATCH(SMALL($V$4:$V$3183,2065),$V$4:$V$3183,0)),"")</f>
        <v/>
      </c>
      <c r="B2068">
        <f>IFERROR(INDEX($O$4:$O$3183,MATCH(SMALL($V$4:$V$3183,2065),$V$4:$V$3183,0)),"")</f>
        <v/>
      </c>
      <c r="C2068">
        <f>IFERROR(INDEX($P$4:$P$3183,MATCH(SMALL($V$4:$V$3183,2065),$V$4:$V$3183,0)),"")</f>
        <v/>
      </c>
      <c r="D2068" s="29">
        <f>IFERROR(INDEX($Q$4:$Q$3183,MATCH(SMALL($V$4:$V$3183,2065),$V$4:$V$3183,0)),"")</f>
        <v/>
      </c>
      <c r="E2068" s="29">
        <f>IFERROR(INDEX($R$4:$R$3183,MATCH(SMALL($V$4:$V$3183,2065),$V$4:$V$3183,0)),"")</f>
        <v/>
      </c>
      <c r="F2068">
        <f>IFERROR(INDEX($S$4:$S$3183,MATCH(SMALL($V$4:$V$3183,2065),$V$4:$V$3183,0)),"")</f>
        <v/>
      </c>
      <c r="I2068" s="29">
        <f>IF($B2068="","",IFERROR(INDEX($U$4:$U$3183,MATCH(SMALL($V$4:$V$3183,2065),$V$4:$V$3183,0)),""))</f>
        <v/>
      </c>
      <c r="J2068">
        <f>IF($B2068="","",IF($D2068&gt;$F$2,"À venir",IF($E2068&lt;$D$2,"Passé","Dans la période")))</f>
        <v/>
      </c>
      <c r="K2068">
        <f>IF(OR($B2068="",NOT(ISNUMBER($D2068))),"",IF(AND($E2068&lt;$D$2,$G2068&lt;&gt;"X",$F2068&lt;&gt;"Réalisé",$F2068&lt;&gt;"Clôturé"),"RETARD",""))</f>
        <v/>
      </c>
      <c r="L2068">
        <f>IF(OR($B2068="",NOT(ISNUMBER($D2068))),"",IF(AND($D2068&gt;=$D$2,$D2068&lt;=$H$2,$G2068&lt;&gt;"X",$F2068&lt;&gt;"Réalisé",$F2068&lt;&gt;"Clôturé"),"≤ 7 j",""))</f>
        <v/>
      </c>
      <c r="M2068" s="29">
        <f>IF($B2068="","",IFERROR(INDEX($T$4:$T$3183,MATCH(SMALL($V$4:$V$3183,2065),$V$4:$V$3183,0)),""))</f>
        <v/>
      </c>
      <c r="O2068">
        <f>IF(INDEX(Suivi!$B:$B,2107)="","",INDEX(Suivi!$B:$B,2107))</f>
        <v/>
      </c>
      <c r="P2068">
        <f>IF($O2068="","",IF(INDEX(Suivi!$D:$D,2107)="",INDEX(Suivi!$C:$C,2107),INDEX(Suivi!$D:$D,2107)))</f>
        <v/>
      </c>
      <c r="Q2068">
        <f>IF($O2068="","",INDEX(Suivi!$E:$E,2107))</f>
        <v/>
      </c>
      <c r="R2068">
        <f>IF($O2068="","",INDEX(Suivi!$F:$F,2107))</f>
        <v/>
      </c>
      <c r="S2068">
        <f>IF($O2068="","",INDEX(Suivi!$G:$G,2107))</f>
        <v/>
      </c>
      <c r="T2068">
        <f>IF($O2068="","",IF(INDEX(Dossiers!$F$4:$F$63,39)="","",INDEX(Dossiers!$F$4:$F$63,39)))</f>
        <v/>
      </c>
      <c r="U2068">
        <f>IF($O2068="","",IF(INDEX(Dossiers!$G$4:$G$63,39)="","",INDEX(Dossiers!$G$4:$G$63,39)))</f>
        <v/>
      </c>
      <c r="V2068">
        <f>IF(OR($O2068="",NOT(ISNUMBER($Q2068))),"",$Q2068*1000000+2068)</f>
        <v/>
      </c>
      <c r="W2068" s="29">
        <f>IF($B2068="","",IFERROR(INDEX($U$4:$U$3183,MATCH(SMALL($V$4:$V$3183,2065),$V$4:$V$3183,0)),""))</f>
        <v/>
      </c>
    </row>
    <row r="2069">
      <c r="A2069">
        <f>IFERROR(INDEX($N$4:$N$3183,MATCH(SMALL($V$4:$V$3183,2066),$V$4:$V$3183,0)),"")</f>
        <v/>
      </c>
      <c r="B2069">
        <f>IFERROR(INDEX($O$4:$O$3183,MATCH(SMALL($V$4:$V$3183,2066),$V$4:$V$3183,0)),"")</f>
        <v/>
      </c>
      <c r="C2069">
        <f>IFERROR(INDEX($P$4:$P$3183,MATCH(SMALL($V$4:$V$3183,2066),$V$4:$V$3183,0)),"")</f>
        <v/>
      </c>
      <c r="D2069" s="29">
        <f>IFERROR(INDEX($Q$4:$Q$3183,MATCH(SMALL($V$4:$V$3183,2066),$V$4:$V$3183,0)),"")</f>
        <v/>
      </c>
      <c r="E2069" s="29">
        <f>IFERROR(INDEX($R$4:$R$3183,MATCH(SMALL($V$4:$V$3183,2066),$V$4:$V$3183,0)),"")</f>
        <v/>
      </c>
      <c r="F2069">
        <f>IFERROR(INDEX($S$4:$S$3183,MATCH(SMALL($V$4:$V$3183,2066),$V$4:$V$3183,0)),"")</f>
        <v/>
      </c>
      <c r="I2069" s="29">
        <f>IF($B2069="","",IFERROR(INDEX($U$4:$U$3183,MATCH(SMALL($V$4:$V$3183,2066),$V$4:$V$3183,0)),""))</f>
        <v/>
      </c>
      <c r="J2069">
        <f>IF($B2069="","",IF($D2069&gt;$F$2,"À venir",IF($E2069&lt;$D$2,"Passé","Dans la période")))</f>
        <v/>
      </c>
      <c r="K2069">
        <f>IF(OR($B2069="",NOT(ISNUMBER($D2069))),"",IF(AND($E2069&lt;$D$2,$G2069&lt;&gt;"X",$F2069&lt;&gt;"Réalisé",$F2069&lt;&gt;"Clôturé"),"RETARD",""))</f>
        <v/>
      </c>
      <c r="L2069">
        <f>IF(OR($B2069="",NOT(ISNUMBER($D2069))),"",IF(AND($D2069&gt;=$D$2,$D2069&lt;=$H$2,$G2069&lt;&gt;"X",$F2069&lt;&gt;"Réalisé",$F2069&lt;&gt;"Clôturé"),"≤ 7 j",""))</f>
        <v/>
      </c>
      <c r="M2069" s="29">
        <f>IF($B2069="","",IFERROR(INDEX($T$4:$T$3183,MATCH(SMALL($V$4:$V$3183,2066),$V$4:$V$3183,0)),""))</f>
        <v/>
      </c>
      <c r="O2069">
        <f>IF(INDEX(Suivi!$B:$B,2108)="","",INDEX(Suivi!$B:$B,2108))</f>
        <v/>
      </c>
      <c r="P2069">
        <f>IF($O2069="","",IF(INDEX(Suivi!$D:$D,2108)="",INDEX(Suivi!$C:$C,2108),INDEX(Suivi!$D:$D,2108)))</f>
        <v/>
      </c>
      <c r="Q2069">
        <f>IF($O2069="","",INDEX(Suivi!$E:$E,2108))</f>
        <v/>
      </c>
      <c r="R2069">
        <f>IF($O2069="","",INDEX(Suivi!$F:$F,2108))</f>
        <v/>
      </c>
      <c r="S2069">
        <f>IF($O2069="","",INDEX(Suivi!$G:$G,2108))</f>
        <v/>
      </c>
      <c r="T2069">
        <f>IF($O2069="","",IF(INDEX(Dossiers!$F$4:$F$63,39)="","",INDEX(Dossiers!$F$4:$F$63,39)))</f>
        <v/>
      </c>
      <c r="U2069">
        <f>IF($O2069="","",IF(INDEX(Dossiers!$G$4:$G$63,39)="","",INDEX(Dossiers!$G$4:$G$63,39)))</f>
        <v/>
      </c>
      <c r="V2069">
        <f>IF(OR($O2069="",NOT(ISNUMBER($Q2069))),"",$Q2069*1000000+2069)</f>
        <v/>
      </c>
      <c r="W2069" s="29">
        <f>IF($B2069="","",IFERROR(INDEX($U$4:$U$3183,MATCH(SMALL($V$4:$V$3183,2066),$V$4:$V$3183,0)),""))</f>
        <v/>
      </c>
    </row>
    <row r="2070">
      <c r="A2070">
        <f>IFERROR(INDEX($N$4:$N$3183,MATCH(SMALL($V$4:$V$3183,2067),$V$4:$V$3183,0)),"")</f>
        <v/>
      </c>
      <c r="B2070">
        <f>IFERROR(INDEX($O$4:$O$3183,MATCH(SMALL($V$4:$V$3183,2067),$V$4:$V$3183,0)),"")</f>
        <v/>
      </c>
      <c r="C2070">
        <f>IFERROR(INDEX($P$4:$P$3183,MATCH(SMALL($V$4:$V$3183,2067),$V$4:$V$3183,0)),"")</f>
        <v/>
      </c>
      <c r="D2070" s="29">
        <f>IFERROR(INDEX($Q$4:$Q$3183,MATCH(SMALL($V$4:$V$3183,2067),$V$4:$V$3183,0)),"")</f>
        <v/>
      </c>
      <c r="E2070" s="29">
        <f>IFERROR(INDEX($R$4:$R$3183,MATCH(SMALL($V$4:$V$3183,2067),$V$4:$V$3183,0)),"")</f>
        <v/>
      </c>
      <c r="F2070">
        <f>IFERROR(INDEX($S$4:$S$3183,MATCH(SMALL($V$4:$V$3183,2067),$V$4:$V$3183,0)),"")</f>
        <v/>
      </c>
      <c r="I2070" s="29">
        <f>IF($B2070="","",IFERROR(INDEX($U$4:$U$3183,MATCH(SMALL($V$4:$V$3183,2067),$V$4:$V$3183,0)),""))</f>
        <v/>
      </c>
      <c r="J2070">
        <f>IF($B2070="","",IF($D2070&gt;$F$2,"À venir",IF($E2070&lt;$D$2,"Passé","Dans la période")))</f>
        <v/>
      </c>
      <c r="K2070">
        <f>IF(OR($B2070="",NOT(ISNUMBER($D2070))),"",IF(AND($E2070&lt;$D$2,$G2070&lt;&gt;"X",$F2070&lt;&gt;"Réalisé",$F2070&lt;&gt;"Clôturé"),"RETARD",""))</f>
        <v/>
      </c>
      <c r="L2070">
        <f>IF(OR($B2070="",NOT(ISNUMBER($D2070))),"",IF(AND($D2070&gt;=$D$2,$D2070&lt;=$H$2,$G2070&lt;&gt;"X",$F2070&lt;&gt;"Réalisé",$F2070&lt;&gt;"Clôturé"),"≤ 7 j",""))</f>
        <v/>
      </c>
      <c r="M2070" s="29">
        <f>IF($B2070="","",IFERROR(INDEX($T$4:$T$3183,MATCH(SMALL($V$4:$V$3183,2067),$V$4:$V$3183,0)),""))</f>
        <v/>
      </c>
      <c r="O2070">
        <f>IF(INDEX(Suivi!$B:$B,2109)="","",INDEX(Suivi!$B:$B,2109))</f>
        <v/>
      </c>
      <c r="P2070">
        <f>IF($O2070="","",IF(INDEX(Suivi!$D:$D,2109)="",INDEX(Suivi!$C:$C,2109),INDEX(Suivi!$D:$D,2109)))</f>
        <v/>
      </c>
      <c r="Q2070">
        <f>IF($O2070="","",INDEX(Suivi!$E:$E,2109))</f>
        <v/>
      </c>
      <c r="R2070">
        <f>IF($O2070="","",INDEX(Suivi!$F:$F,2109))</f>
        <v/>
      </c>
      <c r="S2070">
        <f>IF($O2070="","",INDEX(Suivi!$G:$G,2109))</f>
        <v/>
      </c>
      <c r="T2070">
        <f>IF($O2070="","",IF(INDEX(Dossiers!$F$4:$F$63,39)="","",INDEX(Dossiers!$F$4:$F$63,39)))</f>
        <v/>
      </c>
      <c r="U2070">
        <f>IF($O2070="","",IF(INDEX(Dossiers!$G$4:$G$63,39)="","",INDEX(Dossiers!$G$4:$G$63,39)))</f>
        <v/>
      </c>
      <c r="V2070">
        <f>IF(OR($O2070="",NOT(ISNUMBER($Q2070))),"",$Q2070*1000000+2070)</f>
        <v/>
      </c>
      <c r="W2070" s="29">
        <f>IF($B2070="","",IFERROR(INDEX($U$4:$U$3183,MATCH(SMALL($V$4:$V$3183,2067),$V$4:$V$3183,0)),""))</f>
        <v/>
      </c>
    </row>
    <row r="2071">
      <c r="A2071">
        <f>IFERROR(INDEX($N$4:$N$3183,MATCH(SMALL($V$4:$V$3183,2068),$V$4:$V$3183,0)),"")</f>
        <v/>
      </c>
      <c r="B2071">
        <f>IFERROR(INDEX($O$4:$O$3183,MATCH(SMALL($V$4:$V$3183,2068),$V$4:$V$3183,0)),"")</f>
        <v/>
      </c>
      <c r="C2071">
        <f>IFERROR(INDEX($P$4:$P$3183,MATCH(SMALL($V$4:$V$3183,2068),$V$4:$V$3183,0)),"")</f>
        <v/>
      </c>
      <c r="D2071" s="29">
        <f>IFERROR(INDEX($Q$4:$Q$3183,MATCH(SMALL($V$4:$V$3183,2068),$V$4:$V$3183,0)),"")</f>
        <v/>
      </c>
      <c r="E2071" s="29">
        <f>IFERROR(INDEX($R$4:$R$3183,MATCH(SMALL($V$4:$V$3183,2068),$V$4:$V$3183,0)),"")</f>
        <v/>
      </c>
      <c r="F2071">
        <f>IFERROR(INDEX($S$4:$S$3183,MATCH(SMALL($V$4:$V$3183,2068),$V$4:$V$3183,0)),"")</f>
        <v/>
      </c>
      <c r="I2071" s="29">
        <f>IF($B2071="","",IFERROR(INDEX($U$4:$U$3183,MATCH(SMALL($V$4:$V$3183,2068),$V$4:$V$3183,0)),""))</f>
        <v/>
      </c>
      <c r="J2071">
        <f>IF($B2071="","",IF($D2071&gt;$F$2,"À venir",IF($E2071&lt;$D$2,"Passé","Dans la période")))</f>
        <v/>
      </c>
      <c r="K2071">
        <f>IF(OR($B2071="",NOT(ISNUMBER($D2071))),"",IF(AND($E2071&lt;$D$2,$G2071&lt;&gt;"X",$F2071&lt;&gt;"Réalisé",$F2071&lt;&gt;"Clôturé"),"RETARD",""))</f>
        <v/>
      </c>
      <c r="L2071">
        <f>IF(OR($B2071="",NOT(ISNUMBER($D2071))),"",IF(AND($D2071&gt;=$D$2,$D2071&lt;=$H$2,$G2071&lt;&gt;"X",$F2071&lt;&gt;"Réalisé",$F2071&lt;&gt;"Clôturé"),"≤ 7 j",""))</f>
        <v/>
      </c>
      <c r="M2071" s="29">
        <f>IF($B2071="","",IFERROR(INDEX($T$4:$T$3183,MATCH(SMALL($V$4:$V$3183,2068),$V$4:$V$3183,0)),""))</f>
        <v/>
      </c>
      <c r="O2071">
        <f>IF(INDEX(Suivi!$B:$B,2111)="","",INDEX(Suivi!$B:$B,2111))</f>
        <v/>
      </c>
      <c r="P2071">
        <f>IF($O2071="","",IF(INDEX(Suivi!$D:$D,2111)="",INDEX(Suivi!$C:$C,2111),INDEX(Suivi!$D:$D,2111)))</f>
        <v/>
      </c>
      <c r="Q2071">
        <f>IF($O2071="","",INDEX(Suivi!$E:$E,2111))</f>
        <v/>
      </c>
      <c r="R2071">
        <f>IF($O2071="","",INDEX(Suivi!$F:$F,2111))</f>
        <v/>
      </c>
      <c r="S2071">
        <f>IF($O2071="","",INDEX(Suivi!$G:$G,2111))</f>
        <v/>
      </c>
      <c r="T2071">
        <f>IF($O2071="","",IF(INDEX(Dossiers!$F$4:$F$63,40)="","",INDEX(Dossiers!$F$4:$F$63,40)))</f>
        <v/>
      </c>
      <c r="U2071">
        <f>IF($O2071="","",IF(INDEX(Dossiers!$G$4:$G$63,40)="","",INDEX(Dossiers!$G$4:$G$63,40)))</f>
        <v/>
      </c>
      <c r="V2071">
        <f>IF(OR($O2071="",NOT(ISNUMBER($Q2071))),"",$Q2071*1000000+2071)</f>
        <v/>
      </c>
      <c r="W2071" s="29">
        <f>IF($B2071="","",IFERROR(INDEX($U$4:$U$3183,MATCH(SMALL($V$4:$V$3183,2068),$V$4:$V$3183,0)),""))</f>
        <v/>
      </c>
    </row>
    <row r="2072">
      <c r="A2072">
        <f>IFERROR(INDEX($N$4:$N$3183,MATCH(SMALL($V$4:$V$3183,2069),$V$4:$V$3183,0)),"")</f>
        <v/>
      </c>
      <c r="B2072">
        <f>IFERROR(INDEX($O$4:$O$3183,MATCH(SMALL($V$4:$V$3183,2069),$V$4:$V$3183,0)),"")</f>
        <v/>
      </c>
      <c r="C2072">
        <f>IFERROR(INDEX($P$4:$P$3183,MATCH(SMALL($V$4:$V$3183,2069),$V$4:$V$3183,0)),"")</f>
        <v/>
      </c>
      <c r="D2072" s="29">
        <f>IFERROR(INDEX($Q$4:$Q$3183,MATCH(SMALL($V$4:$V$3183,2069),$V$4:$V$3183,0)),"")</f>
        <v/>
      </c>
      <c r="E2072" s="29">
        <f>IFERROR(INDEX($R$4:$R$3183,MATCH(SMALL($V$4:$V$3183,2069),$V$4:$V$3183,0)),"")</f>
        <v/>
      </c>
      <c r="F2072">
        <f>IFERROR(INDEX($S$4:$S$3183,MATCH(SMALL($V$4:$V$3183,2069),$V$4:$V$3183,0)),"")</f>
        <v/>
      </c>
      <c r="I2072" s="29">
        <f>IF($B2072="","",IFERROR(INDEX($U$4:$U$3183,MATCH(SMALL($V$4:$V$3183,2069),$V$4:$V$3183,0)),""))</f>
        <v/>
      </c>
      <c r="J2072">
        <f>IF($B2072="","",IF($D2072&gt;$F$2,"À venir",IF($E2072&lt;$D$2,"Passé","Dans la période")))</f>
        <v/>
      </c>
      <c r="K2072">
        <f>IF(OR($B2072="",NOT(ISNUMBER($D2072))),"",IF(AND($E2072&lt;$D$2,$G2072&lt;&gt;"X",$F2072&lt;&gt;"Réalisé",$F2072&lt;&gt;"Clôturé"),"RETARD",""))</f>
        <v/>
      </c>
      <c r="L2072">
        <f>IF(OR($B2072="",NOT(ISNUMBER($D2072))),"",IF(AND($D2072&gt;=$D$2,$D2072&lt;=$H$2,$G2072&lt;&gt;"X",$F2072&lt;&gt;"Réalisé",$F2072&lt;&gt;"Clôturé"),"≤ 7 j",""))</f>
        <v/>
      </c>
      <c r="M2072" s="29">
        <f>IF($B2072="","",IFERROR(INDEX($T$4:$T$3183,MATCH(SMALL($V$4:$V$3183,2069),$V$4:$V$3183,0)),""))</f>
        <v/>
      </c>
      <c r="O2072">
        <f>IF(INDEX(Suivi!$B:$B,2112)="","",INDEX(Suivi!$B:$B,2112))</f>
        <v/>
      </c>
      <c r="P2072">
        <f>IF($O2072="","",IF(INDEX(Suivi!$D:$D,2112)="",INDEX(Suivi!$C:$C,2112),INDEX(Suivi!$D:$D,2112)))</f>
        <v/>
      </c>
      <c r="Q2072">
        <f>IF($O2072="","",INDEX(Suivi!$E:$E,2112))</f>
        <v/>
      </c>
      <c r="R2072">
        <f>IF($O2072="","",INDEX(Suivi!$F:$F,2112))</f>
        <v/>
      </c>
      <c r="S2072">
        <f>IF($O2072="","",INDEX(Suivi!$G:$G,2112))</f>
        <v/>
      </c>
      <c r="T2072">
        <f>IF($O2072="","",IF(INDEX(Dossiers!$F$4:$F$63,40)="","",INDEX(Dossiers!$F$4:$F$63,40)))</f>
        <v/>
      </c>
      <c r="U2072">
        <f>IF($O2072="","",IF(INDEX(Dossiers!$G$4:$G$63,40)="","",INDEX(Dossiers!$G$4:$G$63,40)))</f>
        <v/>
      </c>
      <c r="V2072">
        <f>IF(OR($O2072="",NOT(ISNUMBER($Q2072))),"",$Q2072*1000000+2072)</f>
        <v/>
      </c>
      <c r="W2072" s="29">
        <f>IF($B2072="","",IFERROR(INDEX($U$4:$U$3183,MATCH(SMALL($V$4:$V$3183,2069),$V$4:$V$3183,0)),""))</f>
        <v/>
      </c>
    </row>
    <row r="2073">
      <c r="A2073">
        <f>IFERROR(INDEX($N$4:$N$3183,MATCH(SMALL($V$4:$V$3183,2070),$V$4:$V$3183,0)),"")</f>
        <v/>
      </c>
      <c r="B2073">
        <f>IFERROR(INDEX($O$4:$O$3183,MATCH(SMALL($V$4:$V$3183,2070),$V$4:$V$3183,0)),"")</f>
        <v/>
      </c>
      <c r="C2073">
        <f>IFERROR(INDEX($P$4:$P$3183,MATCH(SMALL($V$4:$V$3183,2070),$V$4:$V$3183,0)),"")</f>
        <v/>
      </c>
      <c r="D2073" s="29">
        <f>IFERROR(INDEX($Q$4:$Q$3183,MATCH(SMALL($V$4:$V$3183,2070),$V$4:$V$3183,0)),"")</f>
        <v/>
      </c>
      <c r="E2073" s="29">
        <f>IFERROR(INDEX($R$4:$R$3183,MATCH(SMALL($V$4:$V$3183,2070),$V$4:$V$3183,0)),"")</f>
        <v/>
      </c>
      <c r="F2073">
        <f>IFERROR(INDEX($S$4:$S$3183,MATCH(SMALL($V$4:$V$3183,2070),$V$4:$V$3183,0)),"")</f>
        <v/>
      </c>
      <c r="I2073" s="29">
        <f>IF($B2073="","",IFERROR(INDEX($U$4:$U$3183,MATCH(SMALL($V$4:$V$3183,2070),$V$4:$V$3183,0)),""))</f>
        <v/>
      </c>
      <c r="J2073">
        <f>IF($B2073="","",IF($D2073&gt;$F$2,"À venir",IF($E2073&lt;$D$2,"Passé","Dans la période")))</f>
        <v/>
      </c>
      <c r="K2073">
        <f>IF(OR($B2073="",NOT(ISNUMBER($D2073))),"",IF(AND($E2073&lt;$D$2,$G2073&lt;&gt;"X",$F2073&lt;&gt;"Réalisé",$F2073&lt;&gt;"Clôturé"),"RETARD",""))</f>
        <v/>
      </c>
      <c r="L2073">
        <f>IF(OR($B2073="",NOT(ISNUMBER($D2073))),"",IF(AND($D2073&gt;=$D$2,$D2073&lt;=$H$2,$G2073&lt;&gt;"X",$F2073&lt;&gt;"Réalisé",$F2073&lt;&gt;"Clôturé"),"≤ 7 j",""))</f>
        <v/>
      </c>
      <c r="M2073" s="29">
        <f>IF($B2073="","",IFERROR(INDEX($T$4:$T$3183,MATCH(SMALL($V$4:$V$3183,2070),$V$4:$V$3183,0)),""))</f>
        <v/>
      </c>
      <c r="O2073">
        <f>IF(INDEX(Suivi!$B:$B,2113)="","",INDEX(Suivi!$B:$B,2113))</f>
        <v/>
      </c>
      <c r="P2073">
        <f>IF($O2073="","",IF(INDEX(Suivi!$D:$D,2113)="",INDEX(Suivi!$C:$C,2113),INDEX(Suivi!$D:$D,2113)))</f>
        <v/>
      </c>
      <c r="Q2073">
        <f>IF($O2073="","",INDEX(Suivi!$E:$E,2113))</f>
        <v/>
      </c>
      <c r="R2073">
        <f>IF($O2073="","",INDEX(Suivi!$F:$F,2113))</f>
        <v/>
      </c>
      <c r="S2073">
        <f>IF($O2073="","",INDEX(Suivi!$G:$G,2113))</f>
        <v/>
      </c>
      <c r="T2073">
        <f>IF($O2073="","",IF(INDEX(Dossiers!$F$4:$F$63,40)="","",INDEX(Dossiers!$F$4:$F$63,40)))</f>
        <v/>
      </c>
      <c r="U2073">
        <f>IF($O2073="","",IF(INDEX(Dossiers!$G$4:$G$63,40)="","",INDEX(Dossiers!$G$4:$G$63,40)))</f>
        <v/>
      </c>
      <c r="V2073">
        <f>IF(OR($O2073="",NOT(ISNUMBER($Q2073))),"",$Q2073*1000000+2073)</f>
        <v/>
      </c>
      <c r="W2073" s="29">
        <f>IF($B2073="","",IFERROR(INDEX($U$4:$U$3183,MATCH(SMALL($V$4:$V$3183,2070),$V$4:$V$3183,0)),""))</f>
        <v/>
      </c>
    </row>
    <row r="2074">
      <c r="A2074">
        <f>IFERROR(INDEX($N$4:$N$3183,MATCH(SMALL($V$4:$V$3183,2071),$V$4:$V$3183,0)),"")</f>
        <v/>
      </c>
      <c r="B2074">
        <f>IFERROR(INDEX($O$4:$O$3183,MATCH(SMALL($V$4:$V$3183,2071),$V$4:$V$3183,0)),"")</f>
        <v/>
      </c>
      <c r="C2074">
        <f>IFERROR(INDEX($P$4:$P$3183,MATCH(SMALL($V$4:$V$3183,2071),$V$4:$V$3183,0)),"")</f>
        <v/>
      </c>
      <c r="D2074" s="29">
        <f>IFERROR(INDEX($Q$4:$Q$3183,MATCH(SMALL($V$4:$V$3183,2071),$V$4:$V$3183,0)),"")</f>
        <v/>
      </c>
      <c r="E2074" s="29">
        <f>IFERROR(INDEX($R$4:$R$3183,MATCH(SMALL($V$4:$V$3183,2071),$V$4:$V$3183,0)),"")</f>
        <v/>
      </c>
      <c r="F2074">
        <f>IFERROR(INDEX($S$4:$S$3183,MATCH(SMALL($V$4:$V$3183,2071),$V$4:$V$3183,0)),"")</f>
        <v/>
      </c>
      <c r="I2074" s="29">
        <f>IF($B2074="","",IFERROR(INDEX($U$4:$U$3183,MATCH(SMALL($V$4:$V$3183,2071),$V$4:$V$3183,0)),""))</f>
        <v/>
      </c>
      <c r="J2074">
        <f>IF($B2074="","",IF($D2074&gt;$F$2,"À venir",IF($E2074&lt;$D$2,"Passé","Dans la période")))</f>
        <v/>
      </c>
      <c r="K2074">
        <f>IF(OR($B2074="",NOT(ISNUMBER($D2074))),"",IF(AND($E2074&lt;$D$2,$G2074&lt;&gt;"X",$F2074&lt;&gt;"Réalisé",$F2074&lt;&gt;"Clôturé"),"RETARD",""))</f>
        <v/>
      </c>
      <c r="L2074">
        <f>IF(OR($B2074="",NOT(ISNUMBER($D2074))),"",IF(AND($D2074&gt;=$D$2,$D2074&lt;=$H$2,$G2074&lt;&gt;"X",$F2074&lt;&gt;"Réalisé",$F2074&lt;&gt;"Clôturé"),"≤ 7 j",""))</f>
        <v/>
      </c>
      <c r="M2074" s="29">
        <f>IF($B2074="","",IFERROR(INDEX($T$4:$T$3183,MATCH(SMALL($V$4:$V$3183,2071),$V$4:$V$3183,0)),""))</f>
        <v/>
      </c>
      <c r="O2074">
        <f>IF(INDEX(Suivi!$B:$B,2114)="","",INDEX(Suivi!$B:$B,2114))</f>
        <v/>
      </c>
      <c r="P2074">
        <f>IF($O2074="","",IF(INDEX(Suivi!$D:$D,2114)="",INDEX(Suivi!$C:$C,2114),INDEX(Suivi!$D:$D,2114)))</f>
        <v/>
      </c>
      <c r="Q2074">
        <f>IF($O2074="","",INDEX(Suivi!$E:$E,2114))</f>
        <v/>
      </c>
      <c r="R2074">
        <f>IF($O2074="","",INDEX(Suivi!$F:$F,2114))</f>
        <v/>
      </c>
      <c r="S2074">
        <f>IF($O2074="","",INDEX(Suivi!$G:$G,2114))</f>
        <v/>
      </c>
      <c r="T2074">
        <f>IF($O2074="","",IF(INDEX(Dossiers!$F$4:$F$63,40)="","",INDEX(Dossiers!$F$4:$F$63,40)))</f>
        <v/>
      </c>
      <c r="U2074">
        <f>IF($O2074="","",IF(INDEX(Dossiers!$G$4:$G$63,40)="","",INDEX(Dossiers!$G$4:$G$63,40)))</f>
        <v/>
      </c>
      <c r="V2074">
        <f>IF(OR($O2074="",NOT(ISNUMBER($Q2074))),"",$Q2074*1000000+2074)</f>
        <v/>
      </c>
      <c r="W2074" s="29">
        <f>IF($B2074="","",IFERROR(INDEX($U$4:$U$3183,MATCH(SMALL($V$4:$V$3183,2071),$V$4:$V$3183,0)),""))</f>
        <v/>
      </c>
    </row>
    <row r="2075">
      <c r="A2075">
        <f>IFERROR(INDEX($N$4:$N$3183,MATCH(SMALL($V$4:$V$3183,2072),$V$4:$V$3183,0)),"")</f>
        <v/>
      </c>
      <c r="B2075">
        <f>IFERROR(INDEX($O$4:$O$3183,MATCH(SMALL($V$4:$V$3183,2072),$V$4:$V$3183,0)),"")</f>
        <v/>
      </c>
      <c r="C2075">
        <f>IFERROR(INDEX($P$4:$P$3183,MATCH(SMALL($V$4:$V$3183,2072),$V$4:$V$3183,0)),"")</f>
        <v/>
      </c>
      <c r="D2075" s="29">
        <f>IFERROR(INDEX($Q$4:$Q$3183,MATCH(SMALL($V$4:$V$3183,2072),$V$4:$V$3183,0)),"")</f>
        <v/>
      </c>
      <c r="E2075" s="29">
        <f>IFERROR(INDEX($R$4:$R$3183,MATCH(SMALL($V$4:$V$3183,2072),$V$4:$V$3183,0)),"")</f>
        <v/>
      </c>
      <c r="F2075">
        <f>IFERROR(INDEX($S$4:$S$3183,MATCH(SMALL($V$4:$V$3183,2072),$V$4:$V$3183,0)),"")</f>
        <v/>
      </c>
      <c r="I2075" s="29">
        <f>IF($B2075="","",IFERROR(INDEX($U$4:$U$3183,MATCH(SMALL($V$4:$V$3183,2072),$V$4:$V$3183,0)),""))</f>
        <v/>
      </c>
      <c r="J2075">
        <f>IF($B2075="","",IF($D2075&gt;$F$2,"À venir",IF($E2075&lt;$D$2,"Passé","Dans la période")))</f>
        <v/>
      </c>
      <c r="K2075">
        <f>IF(OR($B2075="",NOT(ISNUMBER($D2075))),"",IF(AND($E2075&lt;$D$2,$G2075&lt;&gt;"X",$F2075&lt;&gt;"Réalisé",$F2075&lt;&gt;"Clôturé"),"RETARD",""))</f>
        <v/>
      </c>
      <c r="L2075">
        <f>IF(OR($B2075="",NOT(ISNUMBER($D2075))),"",IF(AND($D2075&gt;=$D$2,$D2075&lt;=$H$2,$G2075&lt;&gt;"X",$F2075&lt;&gt;"Réalisé",$F2075&lt;&gt;"Clôturé"),"≤ 7 j",""))</f>
        <v/>
      </c>
      <c r="M2075" s="29">
        <f>IF($B2075="","",IFERROR(INDEX($T$4:$T$3183,MATCH(SMALL($V$4:$V$3183,2072),$V$4:$V$3183,0)),""))</f>
        <v/>
      </c>
      <c r="O2075">
        <f>IF(INDEX(Suivi!$B:$B,2115)="","",INDEX(Suivi!$B:$B,2115))</f>
        <v/>
      </c>
      <c r="P2075">
        <f>IF($O2075="","",IF(INDEX(Suivi!$D:$D,2115)="",INDEX(Suivi!$C:$C,2115),INDEX(Suivi!$D:$D,2115)))</f>
        <v/>
      </c>
      <c r="Q2075">
        <f>IF($O2075="","",INDEX(Suivi!$E:$E,2115))</f>
        <v/>
      </c>
      <c r="R2075">
        <f>IF($O2075="","",INDEX(Suivi!$F:$F,2115))</f>
        <v/>
      </c>
      <c r="S2075">
        <f>IF($O2075="","",INDEX(Suivi!$G:$G,2115))</f>
        <v/>
      </c>
      <c r="T2075">
        <f>IF($O2075="","",IF(INDEX(Dossiers!$F$4:$F$63,40)="","",INDEX(Dossiers!$F$4:$F$63,40)))</f>
        <v/>
      </c>
      <c r="U2075">
        <f>IF($O2075="","",IF(INDEX(Dossiers!$G$4:$G$63,40)="","",INDEX(Dossiers!$G$4:$G$63,40)))</f>
        <v/>
      </c>
      <c r="V2075">
        <f>IF(OR($O2075="",NOT(ISNUMBER($Q2075))),"",$Q2075*1000000+2075)</f>
        <v/>
      </c>
      <c r="W2075" s="29">
        <f>IF($B2075="","",IFERROR(INDEX($U$4:$U$3183,MATCH(SMALL($V$4:$V$3183,2072),$V$4:$V$3183,0)),""))</f>
        <v/>
      </c>
    </row>
    <row r="2076">
      <c r="A2076">
        <f>IFERROR(INDEX($N$4:$N$3183,MATCH(SMALL($V$4:$V$3183,2073),$V$4:$V$3183,0)),"")</f>
        <v/>
      </c>
      <c r="B2076">
        <f>IFERROR(INDEX($O$4:$O$3183,MATCH(SMALL($V$4:$V$3183,2073),$V$4:$V$3183,0)),"")</f>
        <v/>
      </c>
      <c r="C2076">
        <f>IFERROR(INDEX($P$4:$P$3183,MATCH(SMALL($V$4:$V$3183,2073),$V$4:$V$3183,0)),"")</f>
        <v/>
      </c>
      <c r="D2076" s="29">
        <f>IFERROR(INDEX($Q$4:$Q$3183,MATCH(SMALL($V$4:$V$3183,2073),$V$4:$V$3183,0)),"")</f>
        <v/>
      </c>
      <c r="E2076" s="29">
        <f>IFERROR(INDEX($R$4:$R$3183,MATCH(SMALL($V$4:$V$3183,2073),$V$4:$V$3183,0)),"")</f>
        <v/>
      </c>
      <c r="F2076">
        <f>IFERROR(INDEX($S$4:$S$3183,MATCH(SMALL($V$4:$V$3183,2073),$V$4:$V$3183,0)),"")</f>
        <v/>
      </c>
      <c r="I2076" s="29">
        <f>IF($B2076="","",IFERROR(INDEX($U$4:$U$3183,MATCH(SMALL($V$4:$V$3183,2073),$V$4:$V$3183,0)),""))</f>
        <v/>
      </c>
      <c r="J2076">
        <f>IF($B2076="","",IF($D2076&gt;$F$2,"À venir",IF($E2076&lt;$D$2,"Passé","Dans la période")))</f>
        <v/>
      </c>
      <c r="K2076">
        <f>IF(OR($B2076="",NOT(ISNUMBER($D2076))),"",IF(AND($E2076&lt;$D$2,$G2076&lt;&gt;"X",$F2076&lt;&gt;"Réalisé",$F2076&lt;&gt;"Clôturé"),"RETARD",""))</f>
        <v/>
      </c>
      <c r="L2076">
        <f>IF(OR($B2076="",NOT(ISNUMBER($D2076))),"",IF(AND($D2076&gt;=$D$2,$D2076&lt;=$H$2,$G2076&lt;&gt;"X",$F2076&lt;&gt;"Réalisé",$F2076&lt;&gt;"Clôturé"),"≤ 7 j",""))</f>
        <v/>
      </c>
      <c r="M2076" s="29">
        <f>IF($B2076="","",IFERROR(INDEX($T$4:$T$3183,MATCH(SMALL($V$4:$V$3183,2073),$V$4:$V$3183,0)),""))</f>
        <v/>
      </c>
      <c r="O2076">
        <f>IF(INDEX(Suivi!$B:$B,2116)="","",INDEX(Suivi!$B:$B,2116))</f>
        <v/>
      </c>
      <c r="P2076">
        <f>IF($O2076="","",IF(INDEX(Suivi!$D:$D,2116)="",INDEX(Suivi!$C:$C,2116),INDEX(Suivi!$D:$D,2116)))</f>
        <v/>
      </c>
      <c r="Q2076">
        <f>IF($O2076="","",INDEX(Suivi!$E:$E,2116))</f>
        <v/>
      </c>
      <c r="R2076">
        <f>IF($O2076="","",INDEX(Suivi!$F:$F,2116))</f>
        <v/>
      </c>
      <c r="S2076">
        <f>IF($O2076="","",INDEX(Suivi!$G:$G,2116))</f>
        <v/>
      </c>
      <c r="T2076">
        <f>IF($O2076="","",IF(INDEX(Dossiers!$F$4:$F$63,40)="","",INDEX(Dossiers!$F$4:$F$63,40)))</f>
        <v/>
      </c>
      <c r="U2076">
        <f>IF($O2076="","",IF(INDEX(Dossiers!$G$4:$G$63,40)="","",INDEX(Dossiers!$G$4:$G$63,40)))</f>
        <v/>
      </c>
      <c r="V2076">
        <f>IF(OR($O2076="",NOT(ISNUMBER($Q2076))),"",$Q2076*1000000+2076)</f>
        <v/>
      </c>
      <c r="W2076" s="29">
        <f>IF($B2076="","",IFERROR(INDEX($U$4:$U$3183,MATCH(SMALL($V$4:$V$3183,2073),$V$4:$V$3183,0)),""))</f>
        <v/>
      </c>
    </row>
    <row r="2077">
      <c r="A2077">
        <f>IFERROR(INDEX($N$4:$N$3183,MATCH(SMALL($V$4:$V$3183,2074),$V$4:$V$3183,0)),"")</f>
        <v/>
      </c>
      <c r="B2077">
        <f>IFERROR(INDEX($O$4:$O$3183,MATCH(SMALL($V$4:$V$3183,2074),$V$4:$V$3183,0)),"")</f>
        <v/>
      </c>
      <c r="C2077">
        <f>IFERROR(INDEX($P$4:$P$3183,MATCH(SMALL($V$4:$V$3183,2074),$V$4:$V$3183,0)),"")</f>
        <v/>
      </c>
      <c r="D2077" s="29">
        <f>IFERROR(INDEX($Q$4:$Q$3183,MATCH(SMALL($V$4:$V$3183,2074),$V$4:$V$3183,0)),"")</f>
        <v/>
      </c>
      <c r="E2077" s="29">
        <f>IFERROR(INDEX($R$4:$R$3183,MATCH(SMALL($V$4:$V$3183,2074),$V$4:$V$3183,0)),"")</f>
        <v/>
      </c>
      <c r="F2077">
        <f>IFERROR(INDEX($S$4:$S$3183,MATCH(SMALL($V$4:$V$3183,2074),$V$4:$V$3183,0)),"")</f>
        <v/>
      </c>
      <c r="I2077" s="29">
        <f>IF($B2077="","",IFERROR(INDEX($U$4:$U$3183,MATCH(SMALL($V$4:$V$3183,2074),$V$4:$V$3183,0)),""))</f>
        <v/>
      </c>
      <c r="J2077">
        <f>IF($B2077="","",IF($D2077&gt;$F$2,"À venir",IF($E2077&lt;$D$2,"Passé","Dans la période")))</f>
        <v/>
      </c>
      <c r="K2077">
        <f>IF(OR($B2077="",NOT(ISNUMBER($D2077))),"",IF(AND($E2077&lt;$D$2,$G2077&lt;&gt;"X",$F2077&lt;&gt;"Réalisé",$F2077&lt;&gt;"Clôturé"),"RETARD",""))</f>
        <v/>
      </c>
      <c r="L2077">
        <f>IF(OR($B2077="",NOT(ISNUMBER($D2077))),"",IF(AND($D2077&gt;=$D$2,$D2077&lt;=$H$2,$G2077&lt;&gt;"X",$F2077&lt;&gt;"Réalisé",$F2077&lt;&gt;"Clôturé"),"≤ 7 j",""))</f>
        <v/>
      </c>
      <c r="M2077" s="29">
        <f>IF($B2077="","",IFERROR(INDEX($T$4:$T$3183,MATCH(SMALL($V$4:$V$3183,2074),$V$4:$V$3183,0)),""))</f>
        <v/>
      </c>
      <c r="O2077">
        <f>IF(INDEX(Suivi!$B:$B,2117)="","",INDEX(Suivi!$B:$B,2117))</f>
        <v/>
      </c>
      <c r="P2077">
        <f>IF($O2077="","",IF(INDEX(Suivi!$D:$D,2117)="",INDEX(Suivi!$C:$C,2117),INDEX(Suivi!$D:$D,2117)))</f>
        <v/>
      </c>
      <c r="Q2077">
        <f>IF($O2077="","",INDEX(Suivi!$E:$E,2117))</f>
        <v/>
      </c>
      <c r="R2077">
        <f>IF($O2077="","",INDEX(Suivi!$F:$F,2117))</f>
        <v/>
      </c>
      <c r="S2077">
        <f>IF($O2077="","",INDEX(Suivi!$G:$G,2117))</f>
        <v/>
      </c>
      <c r="T2077">
        <f>IF($O2077="","",IF(INDEX(Dossiers!$F$4:$F$63,40)="","",INDEX(Dossiers!$F$4:$F$63,40)))</f>
        <v/>
      </c>
      <c r="U2077">
        <f>IF($O2077="","",IF(INDEX(Dossiers!$G$4:$G$63,40)="","",INDEX(Dossiers!$G$4:$G$63,40)))</f>
        <v/>
      </c>
      <c r="V2077">
        <f>IF(OR($O2077="",NOT(ISNUMBER($Q2077))),"",$Q2077*1000000+2077)</f>
        <v/>
      </c>
      <c r="W2077" s="29">
        <f>IF($B2077="","",IFERROR(INDEX($U$4:$U$3183,MATCH(SMALL($V$4:$V$3183,2074),$V$4:$V$3183,0)),""))</f>
        <v/>
      </c>
    </row>
    <row r="2078">
      <c r="A2078">
        <f>IFERROR(INDEX($N$4:$N$3183,MATCH(SMALL($V$4:$V$3183,2075),$V$4:$V$3183,0)),"")</f>
        <v/>
      </c>
      <c r="B2078">
        <f>IFERROR(INDEX($O$4:$O$3183,MATCH(SMALL($V$4:$V$3183,2075),$V$4:$V$3183,0)),"")</f>
        <v/>
      </c>
      <c r="C2078">
        <f>IFERROR(INDEX($P$4:$P$3183,MATCH(SMALL($V$4:$V$3183,2075),$V$4:$V$3183,0)),"")</f>
        <v/>
      </c>
      <c r="D2078" s="29">
        <f>IFERROR(INDEX($Q$4:$Q$3183,MATCH(SMALL($V$4:$V$3183,2075),$V$4:$V$3183,0)),"")</f>
        <v/>
      </c>
      <c r="E2078" s="29">
        <f>IFERROR(INDEX($R$4:$R$3183,MATCH(SMALL($V$4:$V$3183,2075),$V$4:$V$3183,0)),"")</f>
        <v/>
      </c>
      <c r="F2078">
        <f>IFERROR(INDEX($S$4:$S$3183,MATCH(SMALL($V$4:$V$3183,2075),$V$4:$V$3183,0)),"")</f>
        <v/>
      </c>
      <c r="I2078" s="29">
        <f>IF($B2078="","",IFERROR(INDEX($U$4:$U$3183,MATCH(SMALL($V$4:$V$3183,2075),$V$4:$V$3183,0)),""))</f>
        <v/>
      </c>
      <c r="J2078">
        <f>IF($B2078="","",IF($D2078&gt;$F$2,"À venir",IF($E2078&lt;$D$2,"Passé","Dans la période")))</f>
        <v/>
      </c>
      <c r="K2078">
        <f>IF(OR($B2078="",NOT(ISNUMBER($D2078))),"",IF(AND($E2078&lt;$D$2,$G2078&lt;&gt;"X",$F2078&lt;&gt;"Réalisé",$F2078&lt;&gt;"Clôturé"),"RETARD",""))</f>
        <v/>
      </c>
      <c r="L2078">
        <f>IF(OR($B2078="",NOT(ISNUMBER($D2078))),"",IF(AND($D2078&gt;=$D$2,$D2078&lt;=$H$2,$G2078&lt;&gt;"X",$F2078&lt;&gt;"Réalisé",$F2078&lt;&gt;"Clôturé"),"≤ 7 j",""))</f>
        <v/>
      </c>
      <c r="M2078" s="29">
        <f>IF($B2078="","",IFERROR(INDEX($T$4:$T$3183,MATCH(SMALL($V$4:$V$3183,2075),$V$4:$V$3183,0)),""))</f>
        <v/>
      </c>
      <c r="O2078">
        <f>IF(INDEX(Suivi!$B:$B,2118)="","",INDEX(Suivi!$B:$B,2118))</f>
        <v/>
      </c>
      <c r="P2078">
        <f>IF($O2078="","",IF(INDEX(Suivi!$D:$D,2118)="",INDEX(Suivi!$C:$C,2118),INDEX(Suivi!$D:$D,2118)))</f>
        <v/>
      </c>
      <c r="Q2078">
        <f>IF($O2078="","",INDEX(Suivi!$E:$E,2118))</f>
        <v/>
      </c>
      <c r="R2078">
        <f>IF($O2078="","",INDEX(Suivi!$F:$F,2118))</f>
        <v/>
      </c>
      <c r="S2078">
        <f>IF($O2078="","",INDEX(Suivi!$G:$G,2118))</f>
        <v/>
      </c>
      <c r="T2078">
        <f>IF($O2078="","",IF(INDEX(Dossiers!$F$4:$F$63,40)="","",INDEX(Dossiers!$F$4:$F$63,40)))</f>
        <v/>
      </c>
      <c r="U2078">
        <f>IF($O2078="","",IF(INDEX(Dossiers!$G$4:$G$63,40)="","",INDEX(Dossiers!$G$4:$G$63,40)))</f>
        <v/>
      </c>
      <c r="V2078">
        <f>IF(OR($O2078="",NOT(ISNUMBER($Q2078))),"",$Q2078*1000000+2078)</f>
        <v/>
      </c>
      <c r="W2078" s="29">
        <f>IF($B2078="","",IFERROR(INDEX($U$4:$U$3183,MATCH(SMALL($V$4:$V$3183,2075),$V$4:$V$3183,0)),""))</f>
        <v/>
      </c>
    </row>
    <row r="2079">
      <c r="A2079">
        <f>IFERROR(INDEX($N$4:$N$3183,MATCH(SMALL($V$4:$V$3183,2076),$V$4:$V$3183,0)),"")</f>
        <v/>
      </c>
      <c r="B2079">
        <f>IFERROR(INDEX($O$4:$O$3183,MATCH(SMALL($V$4:$V$3183,2076),$V$4:$V$3183,0)),"")</f>
        <v/>
      </c>
      <c r="C2079">
        <f>IFERROR(INDEX($P$4:$P$3183,MATCH(SMALL($V$4:$V$3183,2076),$V$4:$V$3183,0)),"")</f>
        <v/>
      </c>
      <c r="D2079" s="29">
        <f>IFERROR(INDEX($Q$4:$Q$3183,MATCH(SMALL($V$4:$V$3183,2076),$V$4:$V$3183,0)),"")</f>
        <v/>
      </c>
      <c r="E2079" s="29">
        <f>IFERROR(INDEX($R$4:$R$3183,MATCH(SMALL($V$4:$V$3183,2076),$V$4:$V$3183,0)),"")</f>
        <v/>
      </c>
      <c r="F2079">
        <f>IFERROR(INDEX($S$4:$S$3183,MATCH(SMALL($V$4:$V$3183,2076),$V$4:$V$3183,0)),"")</f>
        <v/>
      </c>
      <c r="I2079" s="29">
        <f>IF($B2079="","",IFERROR(INDEX($U$4:$U$3183,MATCH(SMALL($V$4:$V$3183,2076),$V$4:$V$3183,0)),""))</f>
        <v/>
      </c>
      <c r="J2079">
        <f>IF($B2079="","",IF($D2079&gt;$F$2,"À venir",IF($E2079&lt;$D$2,"Passé","Dans la période")))</f>
        <v/>
      </c>
      <c r="K2079">
        <f>IF(OR($B2079="",NOT(ISNUMBER($D2079))),"",IF(AND($E2079&lt;$D$2,$G2079&lt;&gt;"X",$F2079&lt;&gt;"Réalisé",$F2079&lt;&gt;"Clôturé"),"RETARD",""))</f>
        <v/>
      </c>
      <c r="L2079">
        <f>IF(OR($B2079="",NOT(ISNUMBER($D2079))),"",IF(AND($D2079&gt;=$D$2,$D2079&lt;=$H$2,$G2079&lt;&gt;"X",$F2079&lt;&gt;"Réalisé",$F2079&lt;&gt;"Clôturé"),"≤ 7 j",""))</f>
        <v/>
      </c>
      <c r="M2079" s="29">
        <f>IF($B2079="","",IFERROR(INDEX($T$4:$T$3183,MATCH(SMALL($V$4:$V$3183,2076),$V$4:$V$3183,0)),""))</f>
        <v/>
      </c>
      <c r="O2079">
        <f>IF(INDEX(Suivi!$B:$B,2119)="","",INDEX(Suivi!$B:$B,2119))</f>
        <v/>
      </c>
      <c r="P2079">
        <f>IF($O2079="","",IF(INDEX(Suivi!$D:$D,2119)="",INDEX(Suivi!$C:$C,2119),INDEX(Suivi!$D:$D,2119)))</f>
        <v/>
      </c>
      <c r="Q2079">
        <f>IF($O2079="","",INDEX(Suivi!$E:$E,2119))</f>
        <v/>
      </c>
      <c r="R2079">
        <f>IF($O2079="","",INDEX(Suivi!$F:$F,2119))</f>
        <v/>
      </c>
      <c r="S2079">
        <f>IF($O2079="","",INDEX(Suivi!$G:$G,2119))</f>
        <v/>
      </c>
      <c r="T2079">
        <f>IF($O2079="","",IF(INDEX(Dossiers!$F$4:$F$63,40)="","",INDEX(Dossiers!$F$4:$F$63,40)))</f>
        <v/>
      </c>
      <c r="U2079">
        <f>IF($O2079="","",IF(INDEX(Dossiers!$G$4:$G$63,40)="","",INDEX(Dossiers!$G$4:$G$63,40)))</f>
        <v/>
      </c>
      <c r="V2079">
        <f>IF(OR($O2079="",NOT(ISNUMBER($Q2079))),"",$Q2079*1000000+2079)</f>
        <v/>
      </c>
      <c r="W2079" s="29">
        <f>IF($B2079="","",IFERROR(INDEX($U$4:$U$3183,MATCH(SMALL($V$4:$V$3183,2076),$V$4:$V$3183,0)),""))</f>
        <v/>
      </c>
    </row>
    <row r="2080">
      <c r="A2080">
        <f>IFERROR(INDEX($N$4:$N$3183,MATCH(SMALL($V$4:$V$3183,2077),$V$4:$V$3183,0)),"")</f>
        <v/>
      </c>
      <c r="B2080">
        <f>IFERROR(INDEX($O$4:$O$3183,MATCH(SMALL($V$4:$V$3183,2077),$V$4:$V$3183,0)),"")</f>
        <v/>
      </c>
      <c r="C2080">
        <f>IFERROR(INDEX($P$4:$P$3183,MATCH(SMALL($V$4:$V$3183,2077),$V$4:$V$3183,0)),"")</f>
        <v/>
      </c>
      <c r="D2080" s="29">
        <f>IFERROR(INDEX($Q$4:$Q$3183,MATCH(SMALL($V$4:$V$3183,2077),$V$4:$V$3183,0)),"")</f>
        <v/>
      </c>
      <c r="E2080" s="29">
        <f>IFERROR(INDEX($R$4:$R$3183,MATCH(SMALL($V$4:$V$3183,2077),$V$4:$V$3183,0)),"")</f>
        <v/>
      </c>
      <c r="F2080">
        <f>IFERROR(INDEX($S$4:$S$3183,MATCH(SMALL($V$4:$V$3183,2077),$V$4:$V$3183,0)),"")</f>
        <v/>
      </c>
      <c r="I2080" s="29">
        <f>IF($B2080="","",IFERROR(INDEX($U$4:$U$3183,MATCH(SMALL($V$4:$V$3183,2077),$V$4:$V$3183,0)),""))</f>
        <v/>
      </c>
      <c r="J2080">
        <f>IF($B2080="","",IF($D2080&gt;$F$2,"À venir",IF($E2080&lt;$D$2,"Passé","Dans la période")))</f>
        <v/>
      </c>
      <c r="K2080">
        <f>IF(OR($B2080="",NOT(ISNUMBER($D2080))),"",IF(AND($E2080&lt;$D$2,$G2080&lt;&gt;"X",$F2080&lt;&gt;"Réalisé",$F2080&lt;&gt;"Clôturé"),"RETARD",""))</f>
        <v/>
      </c>
      <c r="L2080">
        <f>IF(OR($B2080="",NOT(ISNUMBER($D2080))),"",IF(AND($D2080&gt;=$D$2,$D2080&lt;=$H$2,$G2080&lt;&gt;"X",$F2080&lt;&gt;"Réalisé",$F2080&lt;&gt;"Clôturé"),"≤ 7 j",""))</f>
        <v/>
      </c>
      <c r="M2080" s="29">
        <f>IF($B2080="","",IFERROR(INDEX($T$4:$T$3183,MATCH(SMALL($V$4:$V$3183,2077),$V$4:$V$3183,0)),""))</f>
        <v/>
      </c>
      <c r="O2080">
        <f>IF(INDEX(Suivi!$B:$B,2120)="","",INDEX(Suivi!$B:$B,2120))</f>
        <v/>
      </c>
      <c r="P2080">
        <f>IF($O2080="","",IF(INDEX(Suivi!$D:$D,2120)="",INDEX(Suivi!$C:$C,2120),INDEX(Suivi!$D:$D,2120)))</f>
        <v/>
      </c>
      <c r="Q2080">
        <f>IF($O2080="","",INDEX(Suivi!$E:$E,2120))</f>
        <v/>
      </c>
      <c r="R2080">
        <f>IF($O2080="","",INDEX(Suivi!$F:$F,2120))</f>
        <v/>
      </c>
      <c r="S2080">
        <f>IF($O2080="","",INDEX(Suivi!$G:$G,2120))</f>
        <v/>
      </c>
      <c r="T2080">
        <f>IF($O2080="","",IF(INDEX(Dossiers!$F$4:$F$63,40)="","",INDEX(Dossiers!$F$4:$F$63,40)))</f>
        <v/>
      </c>
      <c r="U2080">
        <f>IF($O2080="","",IF(INDEX(Dossiers!$G$4:$G$63,40)="","",INDEX(Dossiers!$G$4:$G$63,40)))</f>
        <v/>
      </c>
      <c r="V2080">
        <f>IF(OR($O2080="",NOT(ISNUMBER($Q2080))),"",$Q2080*1000000+2080)</f>
        <v/>
      </c>
      <c r="W2080" s="29">
        <f>IF($B2080="","",IFERROR(INDEX($U$4:$U$3183,MATCH(SMALL($V$4:$V$3183,2077),$V$4:$V$3183,0)),""))</f>
        <v/>
      </c>
    </row>
    <row r="2081">
      <c r="A2081">
        <f>IFERROR(INDEX($N$4:$N$3183,MATCH(SMALL($V$4:$V$3183,2078),$V$4:$V$3183,0)),"")</f>
        <v/>
      </c>
      <c r="B2081">
        <f>IFERROR(INDEX($O$4:$O$3183,MATCH(SMALL($V$4:$V$3183,2078),$V$4:$V$3183,0)),"")</f>
        <v/>
      </c>
      <c r="C2081">
        <f>IFERROR(INDEX($P$4:$P$3183,MATCH(SMALL($V$4:$V$3183,2078),$V$4:$V$3183,0)),"")</f>
        <v/>
      </c>
      <c r="D2081" s="29">
        <f>IFERROR(INDEX($Q$4:$Q$3183,MATCH(SMALL($V$4:$V$3183,2078),$V$4:$V$3183,0)),"")</f>
        <v/>
      </c>
      <c r="E2081" s="29">
        <f>IFERROR(INDEX($R$4:$R$3183,MATCH(SMALL($V$4:$V$3183,2078),$V$4:$V$3183,0)),"")</f>
        <v/>
      </c>
      <c r="F2081">
        <f>IFERROR(INDEX($S$4:$S$3183,MATCH(SMALL($V$4:$V$3183,2078),$V$4:$V$3183,0)),"")</f>
        <v/>
      </c>
      <c r="I2081" s="29">
        <f>IF($B2081="","",IFERROR(INDEX($U$4:$U$3183,MATCH(SMALL($V$4:$V$3183,2078),$V$4:$V$3183,0)),""))</f>
        <v/>
      </c>
      <c r="J2081">
        <f>IF($B2081="","",IF($D2081&gt;$F$2,"À venir",IF($E2081&lt;$D$2,"Passé","Dans la période")))</f>
        <v/>
      </c>
      <c r="K2081">
        <f>IF(OR($B2081="",NOT(ISNUMBER($D2081))),"",IF(AND($E2081&lt;$D$2,$G2081&lt;&gt;"X",$F2081&lt;&gt;"Réalisé",$F2081&lt;&gt;"Clôturé"),"RETARD",""))</f>
        <v/>
      </c>
      <c r="L2081">
        <f>IF(OR($B2081="",NOT(ISNUMBER($D2081))),"",IF(AND($D2081&gt;=$D$2,$D2081&lt;=$H$2,$G2081&lt;&gt;"X",$F2081&lt;&gt;"Réalisé",$F2081&lt;&gt;"Clôturé"),"≤ 7 j",""))</f>
        <v/>
      </c>
      <c r="M2081" s="29">
        <f>IF($B2081="","",IFERROR(INDEX($T$4:$T$3183,MATCH(SMALL($V$4:$V$3183,2078),$V$4:$V$3183,0)),""))</f>
        <v/>
      </c>
      <c r="O2081">
        <f>IF(INDEX(Suivi!$B:$B,2121)="","",INDEX(Suivi!$B:$B,2121))</f>
        <v/>
      </c>
      <c r="P2081">
        <f>IF($O2081="","",IF(INDEX(Suivi!$D:$D,2121)="",INDEX(Suivi!$C:$C,2121),INDEX(Suivi!$D:$D,2121)))</f>
        <v/>
      </c>
      <c r="Q2081">
        <f>IF($O2081="","",INDEX(Suivi!$E:$E,2121))</f>
        <v/>
      </c>
      <c r="R2081">
        <f>IF($O2081="","",INDEX(Suivi!$F:$F,2121))</f>
        <v/>
      </c>
      <c r="S2081">
        <f>IF($O2081="","",INDEX(Suivi!$G:$G,2121))</f>
        <v/>
      </c>
      <c r="T2081">
        <f>IF($O2081="","",IF(INDEX(Dossiers!$F$4:$F$63,40)="","",INDEX(Dossiers!$F$4:$F$63,40)))</f>
        <v/>
      </c>
      <c r="U2081">
        <f>IF($O2081="","",IF(INDEX(Dossiers!$G$4:$G$63,40)="","",INDEX(Dossiers!$G$4:$G$63,40)))</f>
        <v/>
      </c>
      <c r="V2081">
        <f>IF(OR($O2081="",NOT(ISNUMBER($Q2081))),"",$Q2081*1000000+2081)</f>
        <v/>
      </c>
      <c r="W2081" s="29">
        <f>IF($B2081="","",IFERROR(INDEX($U$4:$U$3183,MATCH(SMALL($V$4:$V$3183,2078),$V$4:$V$3183,0)),""))</f>
        <v/>
      </c>
    </row>
    <row r="2082">
      <c r="A2082">
        <f>IFERROR(INDEX($N$4:$N$3183,MATCH(SMALL($V$4:$V$3183,2079),$V$4:$V$3183,0)),"")</f>
        <v/>
      </c>
      <c r="B2082">
        <f>IFERROR(INDEX($O$4:$O$3183,MATCH(SMALL($V$4:$V$3183,2079),$V$4:$V$3183,0)),"")</f>
        <v/>
      </c>
      <c r="C2082">
        <f>IFERROR(INDEX($P$4:$P$3183,MATCH(SMALL($V$4:$V$3183,2079),$V$4:$V$3183,0)),"")</f>
        <v/>
      </c>
      <c r="D2082" s="29">
        <f>IFERROR(INDEX($Q$4:$Q$3183,MATCH(SMALL($V$4:$V$3183,2079),$V$4:$V$3183,0)),"")</f>
        <v/>
      </c>
      <c r="E2082" s="29">
        <f>IFERROR(INDEX($R$4:$R$3183,MATCH(SMALL($V$4:$V$3183,2079),$V$4:$V$3183,0)),"")</f>
        <v/>
      </c>
      <c r="F2082">
        <f>IFERROR(INDEX($S$4:$S$3183,MATCH(SMALL($V$4:$V$3183,2079),$V$4:$V$3183,0)),"")</f>
        <v/>
      </c>
      <c r="I2082" s="29">
        <f>IF($B2082="","",IFERROR(INDEX($U$4:$U$3183,MATCH(SMALL($V$4:$V$3183,2079),$V$4:$V$3183,0)),""))</f>
        <v/>
      </c>
      <c r="J2082">
        <f>IF($B2082="","",IF($D2082&gt;$F$2,"À venir",IF($E2082&lt;$D$2,"Passé","Dans la période")))</f>
        <v/>
      </c>
      <c r="K2082">
        <f>IF(OR($B2082="",NOT(ISNUMBER($D2082))),"",IF(AND($E2082&lt;$D$2,$G2082&lt;&gt;"X",$F2082&lt;&gt;"Réalisé",$F2082&lt;&gt;"Clôturé"),"RETARD",""))</f>
        <v/>
      </c>
      <c r="L2082">
        <f>IF(OR($B2082="",NOT(ISNUMBER($D2082))),"",IF(AND($D2082&gt;=$D$2,$D2082&lt;=$H$2,$G2082&lt;&gt;"X",$F2082&lt;&gt;"Réalisé",$F2082&lt;&gt;"Clôturé"),"≤ 7 j",""))</f>
        <v/>
      </c>
      <c r="M2082" s="29">
        <f>IF($B2082="","",IFERROR(INDEX($T$4:$T$3183,MATCH(SMALL($V$4:$V$3183,2079),$V$4:$V$3183,0)),""))</f>
        <v/>
      </c>
      <c r="O2082">
        <f>IF(INDEX(Suivi!$B:$B,2122)="","",INDEX(Suivi!$B:$B,2122))</f>
        <v/>
      </c>
      <c r="P2082">
        <f>IF($O2082="","",IF(INDEX(Suivi!$D:$D,2122)="",INDEX(Suivi!$C:$C,2122),INDEX(Suivi!$D:$D,2122)))</f>
        <v/>
      </c>
      <c r="Q2082">
        <f>IF($O2082="","",INDEX(Suivi!$E:$E,2122))</f>
        <v/>
      </c>
      <c r="R2082">
        <f>IF($O2082="","",INDEX(Suivi!$F:$F,2122))</f>
        <v/>
      </c>
      <c r="S2082">
        <f>IF($O2082="","",INDEX(Suivi!$G:$G,2122))</f>
        <v/>
      </c>
      <c r="T2082">
        <f>IF($O2082="","",IF(INDEX(Dossiers!$F$4:$F$63,40)="","",INDEX(Dossiers!$F$4:$F$63,40)))</f>
        <v/>
      </c>
      <c r="U2082">
        <f>IF($O2082="","",IF(INDEX(Dossiers!$G$4:$G$63,40)="","",INDEX(Dossiers!$G$4:$G$63,40)))</f>
        <v/>
      </c>
      <c r="V2082">
        <f>IF(OR($O2082="",NOT(ISNUMBER($Q2082))),"",$Q2082*1000000+2082)</f>
        <v/>
      </c>
      <c r="W2082" s="29">
        <f>IF($B2082="","",IFERROR(INDEX($U$4:$U$3183,MATCH(SMALL($V$4:$V$3183,2079),$V$4:$V$3183,0)),""))</f>
        <v/>
      </c>
    </row>
    <row r="2083">
      <c r="A2083">
        <f>IFERROR(INDEX($N$4:$N$3183,MATCH(SMALL($V$4:$V$3183,2080),$V$4:$V$3183,0)),"")</f>
        <v/>
      </c>
      <c r="B2083">
        <f>IFERROR(INDEX($O$4:$O$3183,MATCH(SMALL($V$4:$V$3183,2080),$V$4:$V$3183,0)),"")</f>
        <v/>
      </c>
      <c r="C2083">
        <f>IFERROR(INDEX($P$4:$P$3183,MATCH(SMALL($V$4:$V$3183,2080),$V$4:$V$3183,0)),"")</f>
        <v/>
      </c>
      <c r="D2083" s="29">
        <f>IFERROR(INDEX($Q$4:$Q$3183,MATCH(SMALL($V$4:$V$3183,2080),$V$4:$V$3183,0)),"")</f>
        <v/>
      </c>
      <c r="E2083" s="29">
        <f>IFERROR(INDEX($R$4:$R$3183,MATCH(SMALL($V$4:$V$3183,2080),$V$4:$V$3183,0)),"")</f>
        <v/>
      </c>
      <c r="F2083">
        <f>IFERROR(INDEX($S$4:$S$3183,MATCH(SMALL($V$4:$V$3183,2080),$V$4:$V$3183,0)),"")</f>
        <v/>
      </c>
      <c r="I2083" s="29">
        <f>IF($B2083="","",IFERROR(INDEX($U$4:$U$3183,MATCH(SMALL($V$4:$V$3183,2080),$V$4:$V$3183,0)),""))</f>
        <v/>
      </c>
      <c r="J2083">
        <f>IF($B2083="","",IF($D2083&gt;$F$2,"À venir",IF($E2083&lt;$D$2,"Passé","Dans la période")))</f>
        <v/>
      </c>
      <c r="K2083">
        <f>IF(OR($B2083="",NOT(ISNUMBER($D2083))),"",IF(AND($E2083&lt;$D$2,$G2083&lt;&gt;"X",$F2083&lt;&gt;"Réalisé",$F2083&lt;&gt;"Clôturé"),"RETARD",""))</f>
        <v/>
      </c>
      <c r="L2083">
        <f>IF(OR($B2083="",NOT(ISNUMBER($D2083))),"",IF(AND($D2083&gt;=$D$2,$D2083&lt;=$H$2,$G2083&lt;&gt;"X",$F2083&lt;&gt;"Réalisé",$F2083&lt;&gt;"Clôturé"),"≤ 7 j",""))</f>
        <v/>
      </c>
      <c r="M2083" s="29">
        <f>IF($B2083="","",IFERROR(INDEX($T$4:$T$3183,MATCH(SMALL($V$4:$V$3183,2080),$V$4:$V$3183,0)),""))</f>
        <v/>
      </c>
      <c r="O2083">
        <f>IF(INDEX(Suivi!$B:$B,2123)="","",INDEX(Suivi!$B:$B,2123))</f>
        <v/>
      </c>
      <c r="P2083">
        <f>IF($O2083="","",IF(INDEX(Suivi!$D:$D,2123)="",INDEX(Suivi!$C:$C,2123),INDEX(Suivi!$D:$D,2123)))</f>
        <v/>
      </c>
      <c r="Q2083">
        <f>IF($O2083="","",INDEX(Suivi!$E:$E,2123))</f>
        <v/>
      </c>
      <c r="R2083">
        <f>IF($O2083="","",INDEX(Suivi!$F:$F,2123))</f>
        <v/>
      </c>
      <c r="S2083">
        <f>IF($O2083="","",INDEX(Suivi!$G:$G,2123))</f>
        <v/>
      </c>
      <c r="T2083">
        <f>IF($O2083="","",IF(INDEX(Dossiers!$F$4:$F$63,40)="","",INDEX(Dossiers!$F$4:$F$63,40)))</f>
        <v/>
      </c>
      <c r="U2083">
        <f>IF($O2083="","",IF(INDEX(Dossiers!$G$4:$G$63,40)="","",INDEX(Dossiers!$G$4:$G$63,40)))</f>
        <v/>
      </c>
      <c r="V2083">
        <f>IF(OR($O2083="",NOT(ISNUMBER($Q2083))),"",$Q2083*1000000+2083)</f>
        <v/>
      </c>
      <c r="W2083" s="29">
        <f>IF($B2083="","",IFERROR(INDEX($U$4:$U$3183,MATCH(SMALL($V$4:$V$3183,2080),$V$4:$V$3183,0)),""))</f>
        <v/>
      </c>
    </row>
    <row r="2084">
      <c r="A2084">
        <f>IFERROR(INDEX($N$4:$N$3183,MATCH(SMALL($V$4:$V$3183,2081),$V$4:$V$3183,0)),"")</f>
        <v/>
      </c>
      <c r="B2084">
        <f>IFERROR(INDEX($O$4:$O$3183,MATCH(SMALL($V$4:$V$3183,2081),$V$4:$V$3183,0)),"")</f>
        <v/>
      </c>
      <c r="C2084">
        <f>IFERROR(INDEX($P$4:$P$3183,MATCH(SMALL($V$4:$V$3183,2081),$V$4:$V$3183,0)),"")</f>
        <v/>
      </c>
      <c r="D2084" s="29">
        <f>IFERROR(INDEX($Q$4:$Q$3183,MATCH(SMALL($V$4:$V$3183,2081),$V$4:$V$3183,0)),"")</f>
        <v/>
      </c>
      <c r="E2084" s="29">
        <f>IFERROR(INDEX($R$4:$R$3183,MATCH(SMALL($V$4:$V$3183,2081),$V$4:$V$3183,0)),"")</f>
        <v/>
      </c>
      <c r="F2084">
        <f>IFERROR(INDEX($S$4:$S$3183,MATCH(SMALL($V$4:$V$3183,2081),$V$4:$V$3183,0)),"")</f>
        <v/>
      </c>
      <c r="I2084" s="29">
        <f>IF($B2084="","",IFERROR(INDEX($U$4:$U$3183,MATCH(SMALL($V$4:$V$3183,2081),$V$4:$V$3183,0)),""))</f>
        <v/>
      </c>
      <c r="J2084">
        <f>IF($B2084="","",IF($D2084&gt;$F$2,"À venir",IF($E2084&lt;$D$2,"Passé","Dans la période")))</f>
        <v/>
      </c>
      <c r="K2084">
        <f>IF(OR($B2084="",NOT(ISNUMBER($D2084))),"",IF(AND($E2084&lt;$D$2,$G2084&lt;&gt;"X",$F2084&lt;&gt;"Réalisé",$F2084&lt;&gt;"Clôturé"),"RETARD",""))</f>
        <v/>
      </c>
      <c r="L2084">
        <f>IF(OR($B2084="",NOT(ISNUMBER($D2084))),"",IF(AND($D2084&gt;=$D$2,$D2084&lt;=$H$2,$G2084&lt;&gt;"X",$F2084&lt;&gt;"Réalisé",$F2084&lt;&gt;"Clôturé"),"≤ 7 j",""))</f>
        <v/>
      </c>
      <c r="M2084" s="29">
        <f>IF($B2084="","",IFERROR(INDEX($T$4:$T$3183,MATCH(SMALL($V$4:$V$3183,2081),$V$4:$V$3183,0)),""))</f>
        <v/>
      </c>
      <c r="O2084">
        <f>IF(INDEX(Suivi!$B:$B,2124)="","",INDEX(Suivi!$B:$B,2124))</f>
        <v/>
      </c>
      <c r="P2084">
        <f>IF($O2084="","",IF(INDEX(Suivi!$D:$D,2124)="",INDEX(Suivi!$C:$C,2124),INDEX(Suivi!$D:$D,2124)))</f>
        <v/>
      </c>
      <c r="Q2084">
        <f>IF($O2084="","",INDEX(Suivi!$E:$E,2124))</f>
        <v/>
      </c>
      <c r="R2084">
        <f>IF($O2084="","",INDEX(Suivi!$F:$F,2124))</f>
        <v/>
      </c>
      <c r="S2084">
        <f>IF($O2084="","",INDEX(Suivi!$G:$G,2124))</f>
        <v/>
      </c>
      <c r="T2084">
        <f>IF($O2084="","",IF(INDEX(Dossiers!$F$4:$F$63,40)="","",INDEX(Dossiers!$F$4:$F$63,40)))</f>
        <v/>
      </c>
      <c r="U2084">
        <f>IF($O2084="","",IF(INDEX(Dossiers!$G$4:$G$63,40)="","",INDEX(Dossiers!$G$4:$G$63,40)))</f>
        <v/>
      </c>
      <c r="V2084">
        <f>IF(OR($O2084="",NOT(ISNUMBER($Q2084))),"",$Q2084*1000000+2084)</f>
        <v/>
      </c>
      <c r="W2084" s="29">
        <f>IF($B2084="","",IFERROR(INDEX($U$4:$U$3183,MATCH(SMALL($V$4:$V$3183,2081),$V$4:$V$3183,0)),""))</f>
        <v/>
      </c>
    </row>
    <row r="2085">
      <c r="A2085">
        <f>IFERROR(INDEX($N$4:$N$3183,MATCH(SMALL($V$4:$V$3183,2082),$V$4:$V$3183,0)),"")</f>
        <v/>
      </c>
      <c r="B2085">
        <f>IFERROR(INDEX($O$4:$O$3183,MATCH(SMALL($V$4:$V$3183,2082),$V$4:$V$3183,0)),"")</f>
        <v/>
      </c>
      <c r="C2085">
        <f>IFERROR(INDEX($P$4:$P$3183,MATCH(SMALL($V$4:$V$3183,2082),$V$4:$V$3183,0)),"")</f>
        <v/>
      </c>
      <c r="D2085" s="29">
        <f>IFERROR(INDEX($Q$4:$Q$3183,MATCH(SMALL($V$4:$V$3183,2082),$V$4:$V$3183,0)),"")</f>
        <v/>
      </c>
      <c r="E2085" s="29">
        <f>IFERROR(INDEX($R$4:$R$3183,MATCH(SMALL($V$4:$V$3183,2082),$V$4:$V$3183,0)),"")</f>
        <v/>
      </c>
      <c r="F2085">
        <f>IFERROR(INDEX($S$4:$S$3183,MATCH(SMALL($V$4:$V$3183,2082),$V$4:$V$3183,0)),"")</f>
        <v/>
      </c>
      <c r="I2085" s="29">
        <f>IF($B2085="","",IFERROR(INDEX($U$4:$U$3183,MATCH(SMALL($V$4:$V$3183,2082),$V$4:$V$3183,0)),""))</f>
        <v/>
      </c>
      <c r="J2085">
        <f>IF($B2085="","",IF($D2085&gt;$F$2,"À venir",IF($E2085&lt;$D$2,"Passé","Dans la période")))</f>
        <v/>
      </c>
      <c r="K2085">
        <f>IF(OR($B2085="",NOT(ISNUMBER($D2085))),"",IF(AND($E2085&lt;$D$2,$G2085&lt;&gt;"X",$F2085&lt;&gt;"Réalisé",$F2085&lt;&gt;"Clôturé"),"RETARD",""))</f>
        <v/>
      </c>
      <c r="L2085">
        <f>IF(OR($B2085="",NOT(ISNUMBER($D2085))),"",IF(AND($D2085&gt;=$D$2,$D2085&lt;=$H$2,$G2085&lt;&gt;"X",$F2085&lt;&gt;"Réalisé",$F2085&lt;&gt;"Clôturé"),"≤ 7 j",""))</f>
        <v/>
      </c>
      <c r="M2085" s="29">
        <f>IF($B2085="","",IFERROR(INDEX($T$4:$T$3183,MATCH(SMALL($V$4:$V$3183,2082),$V$4:$V$3183,0)),""))</f>
        <v/>
      </c>
      <c r="O2085">
        <f>IF(INDEX(Suivi!$B:$B,2125)="","",INDEX(Suivi!$B:$B,2125))</f>
        <v/>
      </c>
      <c r="P2085">
        <f>IF($O2085="","",IF(INDEX(Suivi!$D:$D,2125)="",INDEX(Suivi!$C:$C,2125),INDEX(Suivi!$D:$D,2125)))</f>
        <v/>
      </c>
      <c r="Q2085">
        <f>IF($O2085="","",INDEX(Suivi!$E:$E,2125))</f>
        <v/>
      </c>
      <c r="R2085">
        <f>IF($O2085="","",INDEX(Suivi!$F:$F,2125))</f>
        <v/>
      </c>
      <c r="S2085">
        <f>IF($O2085="","",INDEX(Suivi!$G:$G,2125))</f>
        <v/>
      </c>
      <c r="T2085">
        <f>IF($O2085="","",IF(INDEX(Dossiers!$F$4:$F$63,40)="","",INDEX(Dossiers!$F$4:$F$63,40)))</f>
        <v/>
      </c>
      <c r="U2085">
        <f>IF($O2085="","",IF(INDEX(Dossiers!$G$4:$G$63,40)="","",INDEX(Dossiers!$G$4:$G$63,40)))</f>
        <v/>
      </c>
      <c r="V2085">
        <f>IF(OR($O2085="",NOT(ISNUMBER($Q2085))),"",$Q2085*1000000+2085)</f>
        <v/>
      </c>
      <c r="W2085" s="29">
        <f>IF($B2085="","",IFERROR(INDEX($U$4:$U$3183,MATCH(SMALL($V$4:$V$3183,2082),$V$4:$V$3183,0)),""))</f>
        <v/>
      </c>
    </row>
    <row r="2086">
      <c r="A2086">
        <f>IFERROR(INDEX($N$4:$N$3183,MATCH(SMALL($V$4:$V$3183,2083),$V$4:$V$3183,0)),"")</f>
        <v/>
      </c>
      <c r="B2086">
        <f>IFERROR(INDEX($O$4:$O$3183,MATCH(SMALL($V$4:$V$3183,2083),$V$4:$V$3183,0)),"")</f>
        <v/>
      </c>
      <c r="C2086">
        <f>IFERROR(INDEX($P$4:$P$3183,MATCH(SMALL($V$4:$V$3183,2083),$V$4:$V$3183,0)),"")</f>
        <v/>
      </c>
      <c r="D2086" s="29">
        <f>IFERROR(INDEX($Q$4:$Q$3183,MATCH(SMALL($V$4:$V$3183,2083),$V$4:$V$3183,0)),"")</f>
        <v/>
      </c>
      <c r="E2086" s="29">
        <f>IFERROR(INDEX($R$4:$R$3183,MATCH(SMALL($V$4:$V$3183,2083),$V$4:$V$3183,0)),"")</f>
        <v/>
      </c>
      <c r="F2086">
        <f>IFERROR(INDEX($S$4:$S$3183,MATCH(SMALL($V$4:$V$3183,2083),$V$4:$V$3183,0)),"")</f>
        <v/>
      </c>
      <c r="I2086" s="29">
        <f>IF($B2086="","",IFERROR(INDEX($U$4:$U$3183,MATCH(SMALL($V$4:$V$3183,2083),$V$4:$V$3183,0)),""))</f>
        <v/>
      </c>
      <c r="J2086">
        <f>IF($B2086="","",IF($D2086&gt;$F$2,"À venir",IF($E2086&lt;$D$2,"Passé","Dans la période")))</f>
        <v/>
      </c>
      <c r="K2086">
        <f>IF(OR($B2086="",NOT(ISNUMBER($D2086))),"",IF(AND($E2086&lt;$D$2,$G2086&lt;&gt;"X",$F2086&lt;&gt;"Réalisé",$F2086&lt;&gt;"Clôturé"),"RETARD",""))</f>
        <v/>
      </c>
      <c r="L2086">
        <f>IF(OR($B2086="",NOT(ISNUMBER($D2086))),"",IF(AND($D2086&gt;=$D$2,$D2086&lt;=$H$2,$G2086&lt;&gt;"X",$F2086&lt;&gt;"Réalisé",$F2086&lt;&gt;"Clôturé"),"≤ 7 j",""))</f>
        <v/>
      </c>
      <c r="M2086" s="29">
        <f>IF($B2086="","",IFERROR(INDEX($T$4:$T$3183,MATCH(SMALL($V$4:$V$3183,2083),$V$4:$V$3183,0)),""))</f>
        <v/>
      </c>
      <c r="O2086">
        <f>IF(INDEX(Suivi!$B:$B,2126)="","",INDEX(Suivi!$B:$B,2126))</f>
        <v/>
      </c>
      <c r="P2086">
        <f>IF($O2086="","",IF(INDEX(Suivi!$D:$D,2126)="",INDEX(Suivi!$C:$C,2126),INDEX(Suivi!$D:$D,2126)))</f>
        <v/>
      </c>
      <c r="Q2086">
        <f>IF($O2086="","",INDEX(Suivi!$E:$E,2126))</f>
        <v/>
      </c>
      <c r="R2086">
        <f>IF($O2086="","",INDEX(Suivi!$F:$F,2126))</f>
        <v/>
      </c>
      <c r="S2086">
        <f>IF($O2086="","",INDEX(Suivi!$G:$G,2126))</f>
        <v/>
      </c>
      <c r="T2086">
        <f>IF($O2086="","",IF(INDEX(Dossiers!$F$4:$F$63,40)="","",INDEX(Dossiers!$F$4:$F$63,40)))</f>
        <v/>
      </c>
      <c r="U2086">
        <f>IF($O2086="","",IF(INDEX(Dossiers!$G$4:$G$63,40)="","",INDEX(Dossiers!$G$4:$G$63,40)))</f>
        <v/>
      </c>
      <c r="V2086">
        <f>IF(OR($O2086="",NOT(ISNUMBER($Q2086))),"",$Q2086*1000000+2086)</f>
        <v/>
      </c>
      <c r="W2086" s="29">
        <f>IF($B2086="","",IFERROR(INDEX($U$4:$U$3183,MATCH(SMALL($V$4:$V$3183,2083),$V$4:$V$3183,0)),""))</f>
        <v/>
      </c>
    </row>
    <row r="2087">
      <c r="A2087">
        <f>IFERROR(INDEX($N$4:$N$3183,MATCH(SMALL($V$4:$V$3183,2084),$V$4:$V$3183,0)),"")</f>
        <v/>
      </c>
      <c r="B2087">
        <f>IFERROR(INDEX($O$4:$O$3183,MATCH(SMALL($V$4:$V$3183,2084),$V$4:$V$3183,0)),"")</f>
        <v/>
      </c>
      <c r="C2087">
        <f>IFERROR(INDEX($P$4:$P$3183,MATCH(SMALL($V$4:$V$3183,2084),$V$4:$V$3183,0)),"")</f>
        <v/>
      </c>
      <c r="D2087" s="29">
        <f>IFERROR(INDEX($Q$4:$Q$3183,MATCH(SMALL($V$4:$V$3183,2084),$V$4:$V$3183,0)),"")</f>
        <v/>
      </c>
      <c r="E2087" s="29">
        <f>IFERROR(INDEX($R$4:$R$3183,MATCH(SMALL($V$4:$V$3183,2084),$V$4:$V$3183,0)),"")</f>
        <v/>
      </c>
      <c r="F2087">
        <f>IFERROR(INDEX($S$4:$S$3183,MATCH(SMALL($V$4:$V$3183,2084),$V$4:$V$3183,0)),"")</f>
        <v/>
      </c>
      <c r="I2087" s="29">
        <f>IF($B2087="","",IFERROR(INDEX($U$4:$U$3183,MATCH(SMALL($V$4:$V$3183,2084),$V$4:$V$3183,0)),""))</f>
        <v/>
      </c>
      <c r="J2087">
        <f>IF($B2087="","",IF($D2087&gt;$F$2,"À venir",IF($E2087&lt;$D$2,"Passé","Dans la période")))</f>
        <v/>
      </c>
      <c r="K2087">
        <f>IF(OR($B2087="",NOT(ISNUMBER($D2087))),"",IF(AND($E2087&lt;$D$2,$G2087&lt;&gt;"X",$F2087&lt;&gt;"Réalisé",$F2087&lt;&gt;"Clôturé"),"RETARD",""))</f>
        <v/>
      </c>
      <c r="L2087">
        <f>IF(OR($B2087="",NOT(ISNUMBER($D2087))),"",IF(AND($D2087&gt;=$D$2,$D2087&lt;=$H$2,$G2087&lt;&gt;"X",$F2087&lt;&gt;"Réalisé",$F2087&lt;&gt;"Clôturé"),"≤ 7 j",""))</f>
        <v/>
      </c>
      <c r="M2087" s="29">
        <f>IF($B2087="","",IFERROR(INDEX($T$4:$T$3183,MATCH(SMALL($V$4:$V$3183,2084),$V$4:$V$3183,0)),""))</f>
        <v/>
      </c>
      <c r="O2087">
        <f>IF(INDEX(Suivi!$B:$B,2127)="","",INDEX(Suivi!$B:$B,2127))</f>
        <v/>
      </c>
      <c r="P2087">
        <f>IF($O2087="","",IF(INDEX(Suivi!$D:$D,2127)="",INDEX(Suivi!$C:$C,2127),INDEX(Suivi!$D:$D,2127)))</f>
        <v/>
      </c>
      <c r="Q2087">
        <f>IF($O2087="","",INDEX(Suivi!$E:$E,2127))</f>
        <v/>
      </c>
      <c r="R2087">
        <f>IF($O2087="","",INDEX(Suivi!$F:$F,2127))</f>
        <v/>
      </c>
      <c r="S2087">
        <f>IF($O2087="","",INDEX(Suivi!$G:$G,2127))</f>
        <v/>
      </c>
      <c r="T2087">
        <f>IF($O2087="","",IF(INDEX(Dossiers!$F$4:$F$63,40)="","",INDEX(Dossiers!$F$4:$F$63,40)))</f>
        <v/>
      </c>
      <c r="U2087">
        <f>IF($O2087="","",IF(INDEX(Dossiers!$G$4:$G$63,40)="","",INDEX(Dossiers!$G$4:$G$63,40)))</f>
        <v/>
      </c>
      <c r="V2087">
        <f>IF(OR($O2087="",NOT(ISNUMBER($Q2087))),"",$Q2087*1000000+2087)</f>
        <v/>
      </c>
      <c r="W2087" s="29">
        <f>IF($B2087="","",IFERROR(INDEX($U$4:$U$3183,MATCH(SMALL($V$4:$V$3183,2084),$V$4:$V$3183,0)),""))</f>
        <v/>
      </c>
    </row>
    <row r="2088">
      <c r="A2088">
        <f>IFERROR(INDEX($N$4:$N$3183,MATCH(SMALL($V$4:$V$3183,2085),$V$4:$V$3183,0)),"")</f>
        <v/>
      </c>
      <c r="B2088">
        <f>IFERROR(INDEX($O$4:$O$3183,MATCH(SMALL($V$4:$V$3183,2085),$V$4:$V$3183,0)),"")</f>
        <v/>
      </c>
      <c r="C2088">
        <f>IFERROR(INDEX($P$4:$P$3183,MATCH(SMALL($V$4:$V$3183,2085),$V$4:$V$3183,0)),"")</f>
        <v/>
      </c>
      <c r="D2088" s="29">
        <f>IFERROR(INDEX($Q$4:$Q$3183,MATCH(SMALL($V$4:$V$3183,2085),$V$4:$V$3183,0)),"")</f>
        <v/>
      </c>
      <c r="E2088" s="29">
        <f>IFERROR(INDEX($R$4:$R$3183,MATCH(SMALL($V$4:$V$3183,2085),$V$4:$V$3183,0)),"")</f>
        <v/>
      </c>
      <c r="F2088">
        <f>IFERROR(INDEX($S$4:$S$3183,MATCH(SMALL($V$4:$V$3183,2085),$V$4:$V$3183,0)),"")</f>
        <v/>
      </c>
      <c r="I2088" s="29">
        <f>IF($B2088="","",IFERROR(INDEX($U$4:$U$3183,MATCH(SMALL($V$4:$V$3183,2085),$V$4:$V$3183,0)),""))</f>
        <v/>
      </c>
      <c r="J2088">
        <f>IF($B2088="","",IF($D2088&gt;$F$2,"À venir",IF($E2088&lt;$D$2,"Passé","Dans la période")))</f>
        <v/>
      </c>
      <c r="K2088">
        <f>IF(OR($B2088="",NOT(ISNUMBER($D2088))),"",IF(AND($E2088&lt;$D$2,$G2088&lt;&gt;"X",$F2088&lt;&gt;"Réalisé",$F2088&lt;&gt;"Clôturé"),"RETARD",""))</f>
        <v/>
      </c>
      <c r="L2088">
        <f>IF(OR($B2088="",NOT(ISNUMBER($D2088))),"",IF(AND($D2088&gt;=$D$2,$D2088&lt;=$H$2,$G2088&lt;&gt;"X",$F2088&lt;&gt;"Réalisé",$F2088&lt;&gt;"Clôturé"),"≤ 7 j",""))</f>
        <v/>
      </c>
      <c r="M2088" s="29">
        <f>IF($B2088="","",IFERROR(INDEX($T$4:$T$3183,MATCH(SMALL($V$4:$V$3183,2085),$V$4:$V$3183,0)),""))</f>
        <v/>
      </c>
      <c r="O2088">
        <f>IF(INDEX(Suivi!$B:$B,2128)="","",INDEX(Suivi!$B:$B,2128))</f>
        <v/>
      </c>
      <c r="P2088">
        <f>IF($O2088="","",IF(INDEX(Suivi!$D:$D,2128)="",INDEX(Suivi!$C:$C,2128),INDEX(Suivi!$D:$D,2128)))</f>
        <v/>
      </c>
      <c r="Q2088">
        <f>IF($O2088="","",INDEX(Suivi!$E:$E,2128))</f>
        <v/>
      </c>
      <c r="R2088">
        <f>IF($O2088="","",INDEX(Suivi!$F:$F,2128))</f>
        <v/>
      </c>
      <c r="S2088">
        <f>IF($O2088="","",INDEX(Suivi!$G:$G,2128))</f>
        <v/>
      </c>
      <c r="T2088">
        <f>IF($O2088="","",IF(INDEX(Dossiers!$F$4:$F$63,40)="","",INDEX(Dossiers!$F$4:$F$63,40)))</f>
        <v/>
      </c>
      <c r="U2088">
        <f>IF($O2088="","",IF(INDEX(Dossiers!$G$4:$G$63,40)="","",INDEX(Dossiers!$G$4:$G$63,40)))</f>
        <v/>
      </c>
      <c r="V2088">
        <f>IF(OR($O2088="",NOT(ISNUMBER($Q2088))),"",$Q2088*1000000+2088)</f>
        <v/>
      </c>
      <c r="W2088" s="29">
        <f>IF($B2088="","",IFERROR(INDEX($U$4:$U$3183,MATCH(SMALL($V$4:$V$3183,2085),$V$4:$V$3183,0)),""))</f>
        <v/>
      </c>
    </row>
    <row r="2089">
      <c r="A2089">
        <f>IFERROR(INDEX($N$4:$N$3183,MATCH(SMALL($V$4:$V$3183,2086),$V$4:$V$3183,0)),"")</f>
        <v/>
      </c>
      <c r="B2089">
        <f>IFERROR(INDEX($O$4:$O$3183,MATCH(SMALL($V$4:$V$3183,2086),$V$4:$V$3183,0)),"")</f>
        <v/>
      </c>
      <c r="C2089">
        <f>IFERROR(INDEX($P$4:$P$3183,MATCH(SMALL($V$4:$V$3183,2086),$V$4:$V$3183,0)),"")</f>
        <v/>
      </c>
      <c r="D2089" s="29">
        <f>IFERROR(INDEX($Q$4:$Q$3183,MATCH(SMALL($V$4:$V$3183,2086),$V$4:$V$3183,0)),"")</f>
        <v/>
      </c>
      <c r="E2089" s="29">
        <f>IFERROR(INDEX($R$4:$R$3183,MATCH(SMALL($V$4:$V$3183,2086),$V$4:$V$3183,0)),"")</f>
        <v/>
      </c>
      <c r="F2089">
        <f>IFERROR(INDEX($S$4:$S$3183,MATCH(SMALL($V$4:$V$3183,2086),$V$4:$V$3183,0)),"")</f>
        <v/>
      </c>
      <c r="I2089" s="29">
        <f>IF($B2089="","",IFERROR(INDEX($U$4:$U$3183,MATCH(SMALL($V$4:$V$3183,2086),$V$4:$V$3183,0)),""))</f>
        <v/>
      </c>
      <c r="J2089">
        <f>IF($B2089="","",IF($D2089&gt;$F$2,"À venir",IF($E2089&lt;$D$2,"Passé","Dans la période")))</f>
        <v/>
      </c>
      <c r="K2089">
        <f>IF(OR($B2089="",NOT(ISNUMBER($D2089))),"",IF(AND($E2089&lt;$D$2,$G2089&lt;&gt;"X",$F2089&lt;&gt;"Réalisé",$F2089&lt;&gt;"Clôturé"),"RETARD",""))</f>
        <v/>
      </c>
      <c r="L2089">
        <f>IF(OR($B2089="",NOT(ISNUMBER($D2089))),"",IF(AND($D2089&gt;=$D$2,$D2089&lt;=$H$2,$G2089&lt;&gt;"X",$F2089&lt;&gt;"Réalisé",$F2089&lt;&gt;"Clôturé"),"≤ 7 j",""))</f>
        <v/>
      </c>
      <c r="M2089" s="29">
        <f>IF($B2089="","",IFERROR(INDEX($T$4:$T$3183,MATCH(SMALL($V$4:$V$3183,2086),$V$4:$V$3183,0)),""))</f>
        <v/>
      </c>
      <c r="O2089">
        <f>IF(INDEX(Suivi!$B:$B,2129)="","",INDEX(Suivi!$B:$B,2129))</f>
        <v/>
      </c>
      <c r="P2089">
        <f>IF($O2089="","",IF(INDEX(Suivi!$D:$D,2129)="",INDEX(Suivi!$C:$C,2129),INDEX(Suivi!$D:$D,2129)))</f>
        <v/>
      </c>
      <c r="Q2089">
        <f>IF($O2089="","",INDEX(Suivi!$E:$E,2129))</f>
        <v/>
      </c>
      <c r="R2089">
        <f>IF($O2089="","",INDEX(Suivi!$F:$F,2129))</f>
        <v/>
      </c>
      <c r="S2089">
        <f>IF($O2089="","",INDEX(Suivi!$G:$G,2129))</f>
        <v/>
      </c>
      <c r="T2089">
        <f>IF($O2089="","",IF(INDEX(Dossiers!$F$4:$F$63,40)="","",INDEX(Dossiers!$F$4:$F$63,40)))</f>
        <v/>
      </c>
      <c r="U2089">
        <f>IF($O2089="","",IF(INDEX(Dossiers!$G$4:$G$63,40)="","",INDEX(Dossiers!$G$4:$G$63,40)))</f>
        <v/>
      </c>
      <c r="V2089">
        <f>IF(OR($O2089="",NOT(ISNUMBER($Q2089))),"",$Q2089*1000000+2089)</f>
        <v/>
      </c>
      <c r="W2089" s="29">
        <f>IF($B2089="","",IFERROR(INDEX($U$4:$U$3183,MATCH(SMALL($V$4:$V$3183,2086),$V$4:$V$3183,0)),""))</f>
        <v/>
      </c>
    </row>
    <row r="2090">
      <c r="A2090">
        <f>IFERROR(INDEX($N$4:$N$3183,MATCH(SMALL($V$4:$V$3183,2087),$V$4:$V$3183,0)),"")</f>
        <v/>
      </c>
      <c r="B2090">
        <f>IFERROR(INDEX($O$4:$O$3183,MATCH(SMALL($V$4:$V$3183,2087),$V$4:$V$3183,0)),"")</f>
        <v/>
      </c>
      <c r="C2090">
        <f>IFERROR(INDEX($P$4:$P$3183,MATCH(SMALL($V$4:$V$3183,2087),$V$4:$V$3183,0)),"")</f>
        <v/>
      </c>
      <c r="D2090" s="29">
        <f>IFERROR(INDEX($Q$4:$Q$3183,MATCH(SMALL($V$4:$V$3183,2087),$V$4:$V$3183,0)),"")</f>
        <v/>
      </c>
      <c r="E2090" s="29">
        <f>IFERROR(INDEX($R$4:$R$3183,MATCH(SMALL($V$4:$V$3183,2087),$V$4:$V$3183,0)),"")</f>
        <v/>
      </c>
      <c r="F2090">
        <f>IFERROR(INDEX($S$4:$S$3183,MATCH(SMALL($V$4:$V$3183,2087),$V$4:$V$3183,0)),"")</f>
        <v/>
      </c>
      <c r="I2090" s="29">
        <f>IF($B2090="","",IFERROR(INDEX($U$4:$U$3183,MATCH(SMALL($V$4:$V$3183,2087),$V$4:$V$3183,0)),""))</f>
        <v/>
      </c>
      <c r="J2090">
        <f>IF($B2090="","",IF($D2090&gt;$F$2,"À venir",IF($E2090&lt;$D$2,"Passé","Dans la période")))</f>
        <v/>
      </c>
      <c r="K2090">
        <f>IF(OR($B2090="",NOT(ISNUMBER($D2090))),"",IF(AND($E2090&lt;$D$2,$G2090&lt;&gt;"X",$F2090&lt;&gt;"Réalisé",$F2090&lt;&gt;"Clôturé"),"RETARD",""))</f>
        <v/>
      </c>
      <c r="L2090">
        <f>IF(OR($B2090="",NOT(ISNUMBER($D2090))),"",IF(AND($D2090&gt;=$D$2,$D2090&lt;=$H$2,$G2090&lt;&gt;"X",$F2090&lt;&gt;"Réalisé",$F2090&lt;&gt;"Clôturé"),"≤ 7 j",""))</f>
        <v/>
      </c>
      <c r="M2090" s="29">
        <f>IF($B2090="","",IFERROR(INDEX($T$4:$T$3183,MATCH(SMALL($V$4:$V$3183,2087),$V$4:$V$3183,0)),""))</f>
        <v/>
      </c>
      <c r="O2090">
        <f>IF(INDEX(Suivi!$B:$B,2130)="","",INDEX(Suivi!$B:$B,2130))</f>
        <v/>
      </c>
      <c r="P2090">
        <f>IF($O2090="","",IF(INDEX(Suivi!$D:$D,2130)="",INDEX(Suivi!$C:$C,2130),INDEX(Suivi!$D:$D,2130)))</f>
        <v/>
      </c>
      <c r="Q2090">
        <f>IF($O2090="","",INDEX(Suivi!$E:$E,2130))</f>
        <v/>
      </c>
      <c r="R2090">
        <f>IF($O2090="","",INDEX(Suivi!$F:$F,2130))</f>
        <v/>
      </c>
      <c r="S2090">
        <f>IF($O2090="","",INDEX(Suivi!$G:$G,2130))</f>
        <v/>
      </c>
      <c r="T2090">
        <f>IF($O2090="","",IF(INDEX(Dossiers!$F$4:$F$63,40)="","",INDEX(Dossiers!$F$4:$F$63,40)))</f>
        <v/>
      </c>
      <c r="U2090">
        <f>IF($O2090="","",IF(INDEX(Dossiers!$G$4:$G$63,40)="","",INDEX(Dossiers!$G$4:$G$63,40)))</f>
        <v/>
      </c>
      <c r="V2090">
        <f>IF(OR($O2090="",NOT(ISNUMBER($Q2090))),"",$Q2090*1000000+2090)</f>
        <v/>
      </c>
      <c r="W2090" s="29">
        <f>IF($B2090="","",IFERROR(INDEX($U$4:$U$3183,MATCH(SMALL($V$4:$V$3183,2087),$V$4:$V$3183,0)),""))</f>
        <v/>
      </c>
    </row>
    <row r="2091">
      <c r="A2091">
        <f>IFERROR(INDEX($N$4:$N$3183,MATCH(SMALL($V$4:$V$3183,2088),$V$4:$V$3183,0)),"")</f>
        <v/>
      </c>
      <c r="B2091">
        <f>IFERROR(INDEX($O$4:$O$3183,MATCH(SMALL($V$4:$V$3183,2088),$V$4:$V$3183,0)),"")</f>
        <v/>
      </c>
      <c r="C2091">
        <f>IFERROR(INDEX($P$4:$P$3183,MATCH(SMALL($V$4:$V$3183,2088),$V$4:$V$3183,0)),"")</f>
        <v/>
      </c>
      <c r="D2091" s="29">
        <f>IFERROR(INDEX($Q$4:$Q$3183,MATCH(SMALL($V$4:$V$3183,2088),$V$4:$V$3183,0)),"")</f>
        <v/>
      </c>
      <c r="E2091" s="29">
        <f>IFERROR(INDEX($R$4:$R$3183,MATCH(SMALL($V$4:$V$3183,2088),$V$4:$V$3183,0)),"")</f>
        <v/>
      </c>
      <c r="F2091">
        <f>IFERROR(INDEX($S$4:$S$3183,MATCH(SMALL($V$4:$V$3183,2088),$V$4:$V$3183,0)),"")</f>
        <v/>
      </c>
      <c r="I2091" s="29">
        <f>IF($B2091="","",IFERROR(INDEX($U$4:$U$3183,MATCH(SMALL($V$4:$V$3183,2088),$V$4:$V$3183,0)),""))</f>
        <v/>
      </c>
      <c r="J2091">
        <f>IF($B2091="","",IF($D2091&gt;$F$2,"À venir",IF($E2091&lt;$D$2,"Passé","Dans la période")))</f>
        <v/>
      </c>
      <c r="K2091">
        <f>IF(OR($B2091="",NOT(ISNUMBER($D2091))),"",IF(AND($E2091&lt;$D$2,$G2091&lt;&gt;"X",$F2091&lt;&gt;"Réalisé",$F2091&lt;&gt;"Clôturé"),"RETARD",""))</f>
        <v/>
      </c>
      <c r="L2091">
        <f>IF(OR($B2091="",NOT(ISNUMBER($D2091))),"",IF(AND($D2091&gt;=$D$2,$D2091&lt;=$H$2,$G2091&lt;&gt;"X",$F2091&lt;&gt;"Réalisé",$F2091&lt;&gt;"Clôturé"),"≤ 7 j",""))</f>
        <v/>
      </c>
      <c r="M2091" s="29">
        <f>IF($B2091="","",IFERROR(INDEX($T$4:$T$3183,MATCH(SMALL($V$4:$V$3183,2088),$V$4:$V$3183,0)),""))</f>
        <v/>
      </c>
      <c r="O2091">
        <f>IF(INDEX(Suivi!$B:$B,2131)="","",INDEX(Suivi!$B:$B,2131))</f>
        <v/>
      </c>
      <c r="P2091">
        <f>IF($O2091="","",IF(INDEX(Suivi!$D:$D,2131)="",INDEX(Suivi!$C:$C,2131),INDEX(Suivi!$D:$D,2131)))</f>
        <v/>
      </c>
      <c r="Q2091">
        <f>IF($O2091="","",INDEX(Suivi!$E:$E,2131))</f>
        <v/>
      </c>
      <c r="R2091">
        <f>IF($O2091="","",INDEX(Suivi!$F:$F,2131))</f>
        <v/>
      </c>
      <c r="S2091">
        <f>IF($O2091="","",INDEX(Suivi!$G:$G,2131))</f>
        <v/>
      </c>
      <c r="T2091">
        <f>IF($O2091="","",IF(INDEX(Dossiers!$F$4:$F$63,40)="","",INDEX(Dossiers!$F$4:$F$63,40)))</f>
        <v/>
      </c>
      <c r="U2091">
        <f>IF($O2091="","",IF(INDEX(Dossiers!$G$4:$G$63,40)="","",INDEX(Dossiers!$G$4:$G$63,40)))</f>
        <v/>
      </c>
      <c r="V2091">
        <f>IF(OR($O2091="",NOT(ISNUMBER($Q2091))),"",$Q2091*1000000+2091)</f>
        <v/>
      </c>
      <c r="W2091" s="29">
        <f>IF($B2091="","",IFERROR(INDEX($U$4:$U$3183,MATCH(SMALL($V$4:$V$3183,2088),$V$4:$V$3183,0)),""))</f>
        <v/>
      </c>
    </row>
    <row r="2092">
      <c r="A2092">
        <f>IFERROR(INDEX($N$4:$N$3183,MATCH(SMALL($V$4:$V$3183,2089),$V$4:$V$3183,0)),"")</f>
        <v/>
      </c>
      <c r="B2092">
        <f>IFERROR(INDEX($O$4:$O$3183,MATCH(SMALL($V$4:$V$3183,2089),$V$4:$V$3183,0)),"")</f>
        <v/>
      </c>
      <c r="C2092">
        <f>IFERROR(INDEX($P$4:$P$3183,MATCH(SMALL($V$4:$V$3183,2089),$V$4:$V$3183,0)),"")</f>
        <v/>
      </c>
      <c r="D2092" s="29">
        <f>IFERROR(INDEX($Q$4:$Q$3183,MATCH(SMALL($V$4:$V$3183,2089),$V$4:$V$3183,0)),"")</f>
        <v/>
      </c>
      <c r="E2092" s="29">
        <f>IFERROR(INDEX($R$4:$R$3183,MATCH(SMALL($V$4:$V$3183,2089),$V$4:$V$3183,0)),"")</f>
        <v/>
      </c>
      <c r="F2092">
        <f>IFERROR(INDEX($S$4:$S$3183,MATCH(SMALL($V$4:$V$3183,2089),$V$4:$V$3183,0)),"")</f>
        <v/>
      </c>
      <c r="I2092" s="29">
        <f>IF($B2092="","",IFERROR(INDEX($U$4:$U$3183,MATCH(SMALL($V$4:$V$3183,2089),$V$4:$V$3183,0)),""))</f>
        <v/>
      </c>
      <c r="J2092">
        <f>IF($B2092="","",IF($D2092&gt;$F$2,"À venir",IF($E2092&lt;$D$2,"Passé","Dans la période")))</f>
        <v/>
      </c>
      <c r="K2092">
        <f>IF(OR($B2092="",NOT(ISNUMBER($D2092))),"",IF(AND($E2092&lt;$D$2,$G2092&lt;&gt;"X",$F2092&lt;&gt;"Réalisé",$F2092&lt;&gt;"Clôturé"),"RETARD",""))</f>
        <v/>
      </c>
      <c r="L2092">
        <f>IF(OR($B2092="",NOT(ISNUMBER($D2092))),"",IF(AND($D2092&gt;=$D$2,$D2092&lt;=$H$2,$G2092&lt;&gt;"X",$F2092&lt;&gt;"Réalisé",$F2092&lt;&gt;"Clôturé"),"≤ 7 j",""))</f>
        <v/>
      </c>
      <c r="M2092" s="29">
        <f>IF($B2092="","",IFERROR(INDEX($T$4:$T$3183,MATCH(SMALL($V$4:$V$3183,2089),$V$4:$V$3183,0)),""))</f>
        <v/>
      </c>
      <c r="O2092">
        <f>IF(INDEX(Suivi!$B:$B,2132)="","",INDEX(Suivi!$B:$B,2132))</f>
        <v/>
      </c>
      <c r="P2092">
        <f>IF($O2092="","",IF(INDEX(Suivi!$D:$D,2132)="",INDEX(Suivi!$C:$C,2132),INDEX(Suivi!$D:$D,2132)))</f>
        <v/>
      </c>
      <c r="Q2092">
        <f>IF($O2092="","",INDEX(Suivi!$E:$E,2132))</f>
        <v/>
      </c>
      <c r="R2092">
        <f>IF($O2092="","",INDEX(Suivi!$F:$F,2132))</f>
        <v/>
      </c>
      <c r="S2092">
        <f>IF($O2092="","",INDEX(Suivi!$G:$G,2132))</f>
        <v/>
      </c>
      <c r="T2092">
        <f>IF($O2092="","",IF(INDEX(Dossiers!$F$4:$F$63,40)="","",INDEX(Dossiers!$F$4:$F$63,40)))</f>
        <v/>
      </c>
      <c r="U2092">
        <f>IF($O2092="","",IF(INDEX(Dossiers!$G$4:$G$63,40)="","",INDEX(Dossiers!$G$4:$G$63,40)))</f>
        <v/>
      </c>
      <c r="V2092">
        <f>IF(OR($O2092="",NOT(ISNUMBER($Q2092))),"",$Q2092*1000000+2092)</f>
        <v/>
      </c>
      <c r="W2092" s="29">
        <f>IF($B2092="","",IFERROR(INDEX($U$4:$U$3183,MATCH(SMALL($V$4:$V$3183,2089),$V$4:$V$3183,0)),""))</f>
        <v/>
      </c>
    </row>
    <row r="2093">
      <c r="A2093">
        <f>IFERROR(INDEX($N$4:$N$3183,MATCH(SMALL($V$4:$V$3183,2090),$V$4:$V$3183,0)),"")</f>
        <v/>
      </c>
      <c r="B2093">
        <f>IFERROR(INDEX($O$4:$O$3183,MATCH(SMALL($V$4:$V$3183,2090),$V$4:$V$3183,0)),"")</f>
        <v/>
      </c>
      <c r="C2093">
        <f>IFERROR(INDEX($P$4:$P$3183,MATCH(SMALL($V$4:$V$3183,2090),$V$4:$V$3183,0)),"")</f>
        <v/>
      </c>
      <c r="D2093" s="29">
        <f>IFERROR(INDEX($Q$4:$Q$3183,MATCH(SMALL($V$4:$V$3183,2090),$V$4:$V$3183,0)),"")</f>
        <v/>
      </c>
      <c r="E2093" s="29">
        <f>IFERROR(INDEX($R$4:$R$3183,MATCH(SMALL($V$4:$V$3183,2090),$V$4:$V$3183,0)),"")</f>
        <v/>
      </c>
      <c r="F2093">
        <f>IFERROR(INDEX($S$4:$S$3183,MATCH(SMALL($V$4:$V$3183,2090),$V$4:$V$3183,0)),"")</f>
        <v/>
      </c>
      <c r="I2093" s="29">
        <f>IF($B2093="","",IFERROR(INDEX($U$4:$U$3183,MATCH(SMALL($V$4:$V$3183,2090),$V$4:$V$3183,0)),""))</f>
        <v/>
      </c>
      <c r="J2093">
        <f>IF($B2093="","",IF($D2093&gt;$F$2,"À venir",IF($E2093&lt;$D$2,"Passé","Dans la période")))</f>
        <v/>
      </c>
      <c r="K2093">
        <f>IF(OR($B2093="",NOT(ISNUMBER($D2093))),"",IF(AND($E2093&lt;$D$2,$G2093&lt;&gt;"X",$F2093&lt;&gt;"Réalisé",$F2093&lt;&gt;"Clôturé"),"RETARD",""))</f>
        <v/>
      </c>
      <c r="L2093">
        <f>IF(OR($B2093="",NOT(ISNUMBER($D2093))),"",IF(AND($D2093&gt;=$D$2,$D2093&lt;=$H$2,$G2093&lt;&gt;"X",$F2093&lt;&gt;"Réalisé",$F2093&lt;&gt;"Clôturé"),"≤ 7 j",""))</f>
        <v/>
      </c>
      <c r="M2093" s="29">
        <f>IF($B2093="","",IFERROR(INDEX($T$4:$T$3183,MATCH(SMALL($V$4:$V$3183,2090),$V$4:$V$3183,0)),""))</f>
        <v/>
      </c>
      <c r="O2093">
        <f>IF(INDEX(Suivi!$B:$B,2133)="","",INDEX(Suivi!$B:$B,2133))</f>
        <v/>
      </c>
      <c r="P2093">
        <f>IF($O2093="","",IF(INDEX(Suivi!$D:$D,2133)="",INDEX(Suivi!$C:$C,2133),INDEX(Suivi!$D:$D,2133)))</f>
        <v/>
      </c>
      <c r="Q2093">
        <f>IF($O2093="","",INDEX(Suivi!$E:$E,2133))</f>
        <v/>
      </c>
      <c r="R2093">
        <f>IF($O2093="","",INDEX(Suivi!$F:$F,2133))</f>
        <v/>
      </c>
      <c r="S2093">
        <f>IF($O2093="","",INDEX(Suivi!$G:$G,2133))</f>
        <v/>
      </c>
      <c r="T2093">
        <f>IF($O2093="","",IF(INDEX(Dossiers!$F$4:$F$63,40)="","",INDEX(Dossiers!$F$4:$F$63,40)))</f>
        <v/>
      </c>
      <c r="U2093">
        <f>IF($O2093="","",IF(INDEX(Dossiers!$G$4:$G$63,40)="","",INDEX(Dossiers!$G$4:$G$63,40)))</f>
        <v/>
      </c>
      <c r="V2093">
        <f>IF(OR($O2093="",NOT(ISNUMBER($Q2093))),"",$Q2093*1000000+2093)</f>
        <v/>
      </c>
      <c r="W2093" s="29">
        <f>IF($B2093="","",IFERROR(INDEX($U$4:$U$3183,MATCH(SMALL($V$4:$V$3183,2090),$V$4:$V$3183,0)),""))</f>
        <v/>
      </c>
    </row>
    <row r="2094">
      <c r="A2094">
        <f>IFERROR(INDEX($N$4:$N$3183,MATCH(SMALL($V$4:$V$3183,2091),$V$4:$V$3183,0)),"")</f>
        <v/>
      </c>
      <c r="B2094">
        <f>IFERROR(INDEX($O$4:$O$3183,MATCH(SMALL($V$4:$V$3183,2091),$V$4:$V$3183,0)),"")</f>
        <v/>
      </c>
      <c r="C2094">
        <f>IFERROR(INDEX($P$4:$P$3183,MATCH(SMALL($V$4:$V$3183,2091),$V$4:$V$3183,0)),"")</f>
        <v/>
      </c>
      <c r="D2094" s="29">
        <f>IFERROR(INDEX($Q$4:$Q$3183,MATCH(SMALL($V$4:$V$3183,2091),$V$4:$V$3183,0)),"")</f>
        <v/>
      </c>
      <c r="E2094" s="29">
        <f>IFERROR(INDEX($R$4:$R$3183,MATCH(SMALL($V$4:$V$3183,2091),$V$4:$V$3183,0)),"")</f>
        <v/>
      </c>
      <c r="F2094">
        <f>IFERROR(INDEX($S$4:$S$3183,MATCH(SMALL($V$4:$V$3183,2091),$V$4:$V$3183,0)),"")</f>
        <v/>
      </c>
      <c r="I2094" s="29">
        <f>IF($B2094="","",IFERROR(INDEX($U$4:$U$3183,MATCH(SMALL($V$4:$V$3183,2091),$V$4:$V$3183,0)),""))</f>
        <v/>
      </c>
      <c r="J2094">
        <f>IF($B2094="","",IF($D2094&gt;$F$2,"À venir",IF($E2094&lt;$D$2,"Passé","Dans la période")))</f>
        <v/>
      </c>
      <c r="K2094">
        <f>IF(OR($B2094="",NOT(ISNUMBER($D2094))),"",IF(AND($E2094&lt;$D$2,$G2094&lt;&gt;"X",$F2094&lt;&gt;"Réalisé",$F2094&lt;&gt;"Clôturé"),"RETARD",""))</f>
        <v/>
      </c>
      <c r="L2094">
        <f>IF(OR($B2094="",NOT(ISNUMBER($D2094))),"",IF(AND($D2094&gt;=$D$2,$D2094&lt;=$H$2,$G2094&lt;&gt;"X",$F2094&lt;&gt;"Réalisé",$F2094&lt;&gt;"Clôturé"),"≤ 7 j",""))</f>
        <v/>
      </c>
      <c r="M2094" s="29">
        <f>IF($B2094="","",IFERROR(INDEX($T$4:$T$3183,MATCH(SMALL($V$4:$V$3183,2091),$V$4:$V$3183,0)),""))</f>
        <v/>
      </c>
      <c r="O2094">
        <f>IF(INDEX(Suivi!$B:$B,2134)="","",INDEX(Suivi!$B:$B,2134))</f>
        <v/>
      </c>
      <c r="P2094">
        <f>IF($O2094="","",IF(INDEX(Suivi!$D:$D,2134)="",INDEX(Suivi!$C:$C,2134),INDEX(Suivi!$D:$D,2134)))</f>
        <v/>
      </c>
      <c r="Q2094">
        <f>IF($O2094="","",INDEX(Suivi!$E:$E,2134))</f>
        <v/>
      </c>
      <c r="R2094">
        <f>IF($O2094="","",INDEX(Suivi!$F:$F,2134))</f>
        <v/>
      </c>
      <c r="S2094">
        <f>IF($O2094="","",INDEX(Suivi!$G:$G,2134))</f>
        <v/>
      </c>
      <c r="T2094">
        <f>IF($O2094="","",IF(INDEX(Dossiers!$F$4:$F$63,40)="","",INDEX(Dossiers!$F$4:$F$63,40)))</f>
        <v/>
      </c>
      <c r="U2094">
        <f>IF($O2094="","",IF(INDEX(Dossiers!$G$4:$G$63,40)="","",INDEX(Dossiers!$G$4:$G$63,40)))</f>
        <v/>
      </c>
      <c r="V2094">
        <f>IF(OR($O2094="",NOT(ISNUMBER($Q2094))),"",$Q2094*1000000+2094)</f>
        <v/>
      </c>
      <c r="W2094" s="29">
        <f>IF($B2094="","",IFERROR(INDEX($U$4:$U$3183,MATCH(SMALL($V$4:$V$3183,2091),$V$4:$V$3183,0)),""))</f>
        <v/>
      </c>
    </row>
    <row r="2095">
      <c r="A2095">
        <f>IFERROR(INDEX($N$4:$N$3183,MATCH(SMALL($V$4:$V$3183,2092),$V$4:$V$3183,0)),"")</f>
        <v/>
      </c>
      <c r="B2095">
        <f>IFERROR(INDEX($O$4:$O$3183,MATCH(SMALL($V$4:$V$3183,2092),$V$4:$V$3183,0)),"")</f>
        <v/>
      </c>
      <c r="C2095">
        <f>IFERROR(INDEX($P$4:$P$3183,MATCH(SMALL($V$4:$V$3183,2092),$V$4:$V$3183,0)),"")</f>
        <v/>
      </c>
      <c r="D2095" s="29">
        <f>IFERROR(INDEX($Q$4:$Q$3183,MATCH(SMALL($V$4:$V$3183,2092),$V$4:$V$3183,0)),"")</f>
        <v/>
      </c>
      <c r="E2095" s="29">
        <f>IFERROR(INDEX($R$4:$R$3183,MATCH(SMALL($V$4:$V$3183,2092),$V$4:$V$3183,0)),"")</f>
        <v/>
      </c>
      <c r="F2095">
        <f>IFERROR(INDEX($S$4:$S$3183,MATCH(SMALL($V$4:$V$3183,2092),$V$4:$V$3183,0)),"")</f>
        <v/>
      </c>
      <c r="I2095" s="29">
        <f>IF($B2095="","",IFERROR(INDEX($U$4:$U$3183,MATCH(SMALL($V$4:$V$3183,2092),$V$4:$V$3183,0)),""))</f>
        <v/>
      </c>
      <c r="J2095">
        <f>IF($B2095="","",IF($D2095&gt;$F$2,"À venir",IF($E2095&lt;$D$2,"Passé","Dans la période")))</f>
        <v/>
      </c>
      <c r="K2095">
        <f>IF(OR($B2095="",NOT(ISNUMBER($D2095))),"",IF(AND($E2095&lt;$D$2,$G2095&lt;&gt;"X",$F2095&lt;&gt;"Réalisé",$F2095&lt;&gt;"Clôturé"),"RETARD",""))</f>
        <v/>
      </c>
      <c r="L2095">
        <f>IF(OR($B2095="",NOT(ISNUMBER($D2095))),"",IF(AND($D2095&gt;=$D$2,$D2095&lt;=$H$2,$G2095&lt;&gt;"X",$F2095&lt;&gt;"Réalisé",$F2095&lt;&gt;"Clôturé"),"≤ 7 j",""))</f>
        <v/>
      </c>
      <c r="M2095" s="29">
        <f>IF($B2095="","",IFERROR(INDEX($T$4:$T$3183,MATCH(SMALL($V$4:$V$3183,2092),$V$4:$V$3183,0)),""))</f>
        <v/>
      </c>
      <c r="O2095">
        <f>IF(INDEX(Suivi!$B:$B,2135)="","",INDEX(Suivi!$B:$B,2135))</f>
        <v/>
      </c>
      <c r="P2095">
        <f>IF($O2095="","",IF(INDEX(Suivi!$D:$D,2135)="",INDEX(Suivi!$C:$C,2135),INDEX(Suivi!$D:$D,2135)))</f>
        <v/>
      </c>
      <c r="Q2095">
        <f>IF($O2095="","",INDEX(Suivi!$E:$E,2135))</f>
        <v/>
      </c>
      <c r="R2095">
        <f>IF($O2095="","",INDEX(Suivi!$F:$F,2135))</f>
        <v/>
      </c>
      <c r="S2095">
        <f>IF($O2095="","",INDEX(Suivi!$G:$G,2135))</f>
        <v/>
      </c>
      <c r="T2095">
        <f>IF($O2095="","",IF(INDEX(Dossiers!$F$4:$F$63,40)="","",INDEX(Dossiers!$F$4:$F$63,40)))</f>
        <v/>
      </c>
      <c r="U2095">
        <f>IF($O2095="","",IF(INDEX(Dossiers!$G$4:$G$63,40)="","",INDEX(Dossiers!$G$4:$G$63,40)))</f>
        <v/>
      </c>
      <c r="V2095">
        <f>IF(OR($O2095="",NOT(ISNUMBER($Q2095))),"",$Q2095*1000000+2095)</f>
        <v/>
      </c>
      <c r="W2095" s="29">
        <f>IF($B2095="","",IFERROR(INDEX($U$4:$U$3183,MATCH(SMALL($V$4:$V$3183,2092),$V$4:$V$3183,0)),""))</f>
        <v/>
      </c>
    </row>
    <row r="2096">
      <c r="A2096">
        <f>IFERROR(INDEX($N$4:$N$3183,MATCH(SMALL($V$4:$V$3183,2093),$V$4:$V$3183,0)),"")</f>
        <v/>
      </c>
      <c r="B2096">
        <f>IFERROR(INDEX($O$4:$O$3183,MATCH(SMALL($V$4:$V$3183,2093),$V$4:$V$3183,0)),"")</f>
        <v/>
      </c>
      <c r="C2096">
        <f>IFERROR(INDEX($P$4:$P$3183,MATCH(SMALL($V$4:$V$3183,2093),$V$4:$V$3183,0)),"")</f>
        <v/>
      </c>
      <c r="D2096" s="29">
        <f>IFERROR(INDEX($Q$4:$Q$3183,MATCH(SMALL($V$4:$V$3183,2093),$V$4:$V$3183,0)),"")</f>
        <v/>
      </c>
      <c r="E2096" s="29">
        <f>IFERROR(INDEX($R$4:$R$3183,MATCH(SMALL($V$4:$V$3183,2093),$V$4:$V$3183,0)),"")</f>
        <v/>
      </c>
      <c r="F2096">
        <f>IFERROR(INDEX($S$4:$S$3183,MATCH(SMALL($V$4:$V$3183,2093),$V$4:$V$3183,0)),"")</f>
        <v/>
      </c>
      <c r="I2096" s="29">
        <f>IF($B2096="","",IFERROR(INDEX($U$4:$U$3183,MATCH(SMALL($V$4:$V$3183,2093),$V$4:$V$3183,0)),""))</f>
        <v/>
      </c>
      <c r="J2096">
        <f>IF($B2096="","",IF($D2096&gt;$F$2,"À venir",IF($E2096&lt;$D$2,"Passé","Dans la période")))</f>
        <v/>
      </c>
      <c r="K2096">
        <f>IF(OR($B2096="",NOT(ISNUMBER($D2096))),"",IF(AND($E2096&lt;$D$2,$G2096&lt;&gt;"X",$F2096&lt;&gt;"Réalisé",$F2096&lt;&gt;"Clôturé"),"RETARD",""))</f>
        <v/>
      </c>
      <c r="L2096">
        <f>IF(OR($B2096="",NOT(ISNUMBER($D2096))),"",IF(AND($D2096&gt;=$D$2,$D2096&lt;=$H$2,$G2096&lt;&gt;"X",$F2096&lt;&gt;"Réalisé",$F2096&lt;&gt;"Clôturé"),"≤ 7 j",""))</f>
        <v/>
      </c>
      <c r="M2096" s="29">
        <f>IF($B2096="","",IFERROR(INDEX($T$4:$T$3183,MATCH(SMALL($V$4:$V$3183,2093),$V$4:$V$3183,0)),""))</f>
        <v/>
      </c>
      <c r="O2096">
        <f>IF(INDEX(Suivi!$B:$B,2136)="","",INDEX(Suivi!$B:$B,2136))</f>
        <v/>
      </c>
      <c r="P2096">
        <f>IF($O2096="","",IF(INDEX(Suivi!$D:$D,2136)="",INDEX(Suivi!$C:$C,2136),INDEX(Suivi!$D:$D,2136)))</f>
        <v/>
      </c>
      <c r="Q2096">
        <f>IF($O2096="","",INDEX(Suivi!$E:$E,2136))</f>
        <v/>
      </c>
      <c r="R2096">
        <f>IF($O2096="","",INDEX(Suivi!$F:$F,2136))</f>
        <v/>
      </c>
      <c r="S2096">
        <f>IF($O2096="","",INDEX(Suivi!$G:$G,2136))</f>
        <v/>
      </c>
      <c r="T2096">
        <f>IF($O2096="","",IF(INDEX(Dossiers!$F$4:$F$63,40)="","",INDEX(Dossiers!$F$4:$F$63,40)))</f>
        <v/>
      </c>
      <c r="U2096">
        <f>IF($O2096="","",IF(INDEX(Dossiers!$G$4:$G$63,40)="","",INDEX(Dossiers!$G$4:$G$63,40)))</f>
        <v/>
      </c>
      <c r="V2096">
        <f>IF(OR($O2096="",NOT(ISNUMBER($Q2096))),"",$Q2096*1000000+2096)</f>
        <v/>
      </c>
      <c r="W2096" s="29">
        <f>IF($B2096="","",IFERROR(INDEX($U$4:$U$3183,MATCH(SMALL($V$4:$V$3183,2093),$V$4:$V$3183,0)),""))</f>
        <v/>
      </c>
    </row>
    <row r="2097">
      <c r="A2097">
        <f>IFERROR(INDEX($N$4:$N$3183,MATCH(SMALL($V$4:$V$3183,2094),$V$4:$V$3183,0)),"")</f>
        <v/>
      </c>
      <c r="B2097">
        <f>IFERROR(INDEX($O$4:$O$3183,MATCH(SMALL($V$4:$V$3183,2094),$V$4:$V$3183,0)),"")</f>
        <v/>
      </c>
      <c r="C2097">
        <f>IFERROR(INDEX($P$4:$P$3183,MATCH(SMALL($V$4:$V$3183,2094),$V$4:$V$3183,0)),"")</f>
        <v/>
      </c>
      <c r="D2097" s="29">
        <f>IFERROR(INDEX($Q$4:$Q$3183,MATCH(SMALL($V$4:$V$3183,2094),$V$4:$V$3183,0)),"")</f>
        <v/>
      </c>
      <c r="E2097" s="29">
        <f>IFERROR(INDEX($R$4:$R$3183,MATCH(SMALL($V$4:$V$3183,2094),$V$4:$V$3183,0)),"")</f>
        <v/>
      </c>
      <c r="F2097">
        <f>IFERROR(INDEX($S$4:$S$3183,MATCH(SMALL($V$4:$V$3183,2094),$V$4:$V$3183,0)),"")</f>
        <v/>
      </c>
      <c r="I2097" s="29">
        <f>IF($B2097="","",IFERROR(INDEX($U$4:$U$3183,MATCH(SMALL($V$4:$V$3183,2094),$V$4:$V$3183,0)),""))</f>
        <v/>
      </c>
      <c r="J2097">
        <f>IF($B2097="","",IF($D2097&gt;$F$2,"À venir",IF($E2097&lt;$D$2,"Passé","Dans la période")))</f>
        <v/>
      </c>
      <c r="K2097">
        <f>IF(OR($B2097="",NOT(ISNUMBER($D2097))),"",IF(AND($E2097&lt;$D$2,$G2097&lt;&gt;"X",$F2097&lt;&gt;"Réalisé",$F2097&lt;&gt;"Clôturé"),"RETARD",""))</f>
        <v/>
      </c>
      <c r="L2097">
        <f>IF(OR($B2097="",NOT(ISNUMBER($D2097))),"",IF(AND($D2097&gt;=$D$2,$D2097&lt;=$H$2,$G2097&lt;&gt;"X",$F2097&lt;&gt;"Réalisé",$F2097&lt;&gt;"Clôturé"),"≤ 7 j",""))</f>
        <v/>
      </c>
      <c r="M2097" s="29">
        <f>IF($B2097="","",IFERROR(INDEX($T$4:$T$3183,MATCH(SMALL($V$4:$V$3183,2094),$V$4:$V$3183,0)),""))</f>
        <v/>
      </c>
      <c r="O2097">
        <f>IF(INDEX(Suivi!$B:$B,2137)="","",INDEX(Suivi!$B:$B,2137))</f>
        <v/>
      </c>
      <c r="P2097">
        <f>IF($O2097="","",IF(INDEX(Suivi!$D:$D,2137)="",INDEX(Suivi!$C:$C,2137),INDEX(Suivi!$D:$D,2137)))</f>
        <v/>
      </c>
      <c r="Q2097">
        <f>IF($O2097="","",INDEX(Suivi!$E:$E,2137))</f>
        <v/>
      </c>
      <c r="R2097">
        <f>IF($O2097="","",INDEX(Suivi!$F:$F,2137))</f>
        <v/>
      </c>
      <c r="S2097">
        <f>IF($O2097="","",INDEX(Suivi!$G:$G,2137))</f>
        <v/>
      </c>
      <c r="T2097">
        <f>IF($O2097="","",IF(INDEX(Dossiers!$F$4:$F$63,40)="","",INDEX(Dossiers!$F$4:$F$63,40)))</f>
        <v/>
      </c>
      <c r="U2097">
        <f>IF($O2097="","",IF(INDEX(Dossiers!$G$4:$G$63,40)="","",INDEX(Dossiers!$G$4:$G$63,40)))</f>
        <v/>
      </c>
      <c r="V2097">
        <f>IF(OR($O2097="",NOT(ISNUMBER($Q2097))),"",$Q2097*1000000+2097)</f>
        <v/>
      </c>
      <c r="W2097" s="29">
        <f>IF($B2097="","",IFERROR(INDEX($U$4:$U$3183,MATCH(SMALL($V$4:$V$3183,2094),$V$4:$V$3183,0)),""))</f>
        <v/>
      </c>
    </row>
    <row r="2098">
      <c r="A2098">
        <f>IFERROR(INDEX($N$4:$N$3183,MATCH(SMALL($V$4:$V$3183,2095),$V$4:$V$3183,0)),"")</f>
        <v/>
      </c>
      <c r="B2098">
        <f>IFERROR(INDEX($O$4:$O$3183,MATCH(SMALL($V$4:$V$3183,2095),$V$4:$V$3183,0)),"")</f>
        <v/>
      </c>
      <c r="C2098">
        <f>IFERROR(INDEX($P$4:$P$3183,MATCH(SMALL($V$4:$V$3183,2095),$V$4:$V$3183,0)),"")</f>
        <v/>
      </c>
      <c r="D2098" s="29">
        <f>IFERROR(INDEX($Q$4:$Q$3183,MATCH(SMALL($V$4:$V$3183,2095),$V$4:$V$3183,0)),"")</f>
        <v/>
      </c>
      <c r="E2098" s="29">
        <f>IFERROR(INDEX($R$4:$R$3183,MATCH(SMALL($V$4:$V$3183,2095),$V$4:$V$3183,0)),"")</f>
        <v/>
      </c>
      <c r="F2098">
        <f>IFERROR(INDEX($S$4:$S$3183,MATCH(SMALL($V$4:$V$3183,2095),$V$4:$V$3183,0)),"")</f>
        <v/>
      </c>
      <c r="I2098" s="29">
        <f>IF($B2098="","",IFERROR(INDEX($U$4:$U$3183,MATCH(SMALL($V$4:$V$3183,2095),$V$4:$V$3183,0)),""))</f>
        <v/>
      </c>
      <c r="J2098">
        <f>IF($B2098="","",IF($D2098&gt;$F$2,"À venir",IF($E2098&lt;$D$2,"Passé","Dans la période")))</f>
        <v/>
      </c>
      <c r="K2098">
        <f>IF(OR($B2098="",NOT(ISNUMBER($D2098))),"",IF(AND($E2098&lt;$D$2,$G2098&lt;&gt;"X",$F2098&lt;&gt;"Réalisé",$F2098&lt;&gt;"Clôturé"),"RETARD",""))</f>
        <v/>
      </c>
      <c r="L2098">
        <f>IF(OR($B2098="",NOT(ISNUMBER($D2098))),"",IF(AND($D2098&gt;=$D$2,$D2098&lt;=$H$2,$G2098&lt;&gt;"X",$F2098&lt;&gt;"Réalisé",$F2098&lt;&gt;"Clôturé"),"≤ 7 j",""))</f>
        <v/>
      </c>
      <c r="M2098" s="29">
        <f>IF($B2098="","",IFERROR(INDEX($T$4:$T$3183,MATCH(SMALL($V$4:$V$3183,2095),$V$4:$V$3183,0)),""))</f>
        <v/>
      </c>
      <c r="O2098">
        <f>IF(INDEX(Suivi!$B:$B,2138)="","",INDEX(Suivi!$B:$B,2138))</f>
        <v/>
      </c>
      <c r="P2098">
        <f>IF($O2098="","",IF(INDEX(Suivi!$D:$D,2138)="",INDEX(Suivi!$C:$C,2138),INDEX(Suivi!$D:$D,2138)))</f>
        <v/>
      </c>
      <c r="Q2098">
        <f>IF($O2098="","",INDEX(Suivi!$E:$E,2138))</f>
        <v/>
      </c>
      <c r="R2098">
        <f>IF($O2098="","",INDEX(Suivi!$F:$F,2138))</f>
        <v/>
      </c>
      <c r="S2098">
        <f>IF($O2098="","",INDEX(Suivi!$G:$G,2138))</f>
        <v/>
      </c>
      <c r="T2098">
        <f>IF($O2098="","",IF(INDEX(Dossiers!$F$4:$F$63,40)="","",INDEX(Dossiers!$F$4:$F$63,40)))</f>
        <v/>
      </c>
      <c r="U2098">
        <f>IF($O2098="","",IF(INDEX(Dossiers!$G$4:$G$63,40)="","",INDEX(Dossiers!$G$4:$G$63,40)))</f>
        <v/>
      </c>
      <c r="V2098">
        <f>IF(OR($O2098="",NOT(ISNUMBER($Q2098))),"",$Q2098*1000000+2098)</f>
        <v/>
      </c>
      <c r="W2098" s="29">
        <f>IF($B2098="","",IFERROR(INDEX($U$4:$U$3183,MATCH(SMALL($V$4:$V$3183,2095),$V$4:$V$3183,0)),""))</f>
        <v/>
      </c>
    </row>
    <row r="2099">
      <c r="A2099">
        <f>IFERROR(INDEX($N$4:$N$3183,MATCH(SMALL($V$4:$V$3183,2096),$V$4:$V$3183,0)),"")</f>
        <v/>
      </c>
      <c r="B2099">
        <f>IFERROR(INDEX($O$4:$O$3183,MATCH(SMALL($V$4:$V$3183,2096),$V$4:$V$3183,0)),"")</f>
        <v/>
      </c>
      <c r="C2099">
        <f>IFERROR(INDEX($P$4:$P$3183,MATCH(SMALL($V$4:$V$3183,2096),$V$4:$V$3183,0)),"")</f>
        <v/>
      </c>
      <c r="D2099" s="29">
        <f>IFERROR(INDEX($Q$4:$Q$3183,MATCH(SMALL($V$4:$V$3183,2096),$V$4:$V$3183,0)),"")</f>
        <v/>
      </c>
      <c r="E2099" s="29">
        <f>IFERROR(INDEX($R$4:$R$3183,MATCH(SMALL($V$4:$V$3183,2096),$V$4:$V$3183,0)),"")</f>
        <v/>
      </c>
      <c r="F2099">
        <f>IFERROR(INDEX($S$4:$S$3183,MATCH(SMALL($V$4:$V$3183,2096),$V$4:$V$3183,0)),"")</f>
        <v/>
      </c>
      <c r="I2099" s="29">
        <f>IF($B2099="","",IFERROR(INDEX($U$4:$U$3183,MATCH(SMALL($V$4:$V$3183,2096),$V$4:$V$3183,0)),""))</f>
        <v/>
      </c>
      <c r="J2099">
        <f>IF($B2099="","",IF($D2099&gt;$F$2,"À venir",IF($E2099&lt;$D$2,"Passé","Dans la période")))</f>
        <v/>
      </c>
      <c r="K2099">
        <f>IF(OR($B2099="",NOT(ISNUMBER($D2099))),"",IF(AND($E2099&lt;$D$2,$G2099&lt;&gt;"X",$F2099&lt;&gt;"Réalisé",$F2099&lt;&gt;"Clôturé"),"RETARD",""))</f>
        <v/>
      </c>
      <c r="L2099">
        <f>IF(OR($B2099="",NOT(ISNUMBER($D2099))),"",IF(AND($D2099&gt;=$D$2,$D2099&lt;=$H$2,$G2099&lt;&gt;"X",$F2099&lt;&gt;"Réalisé",$F2099&lt;&gt;"Clôturé"),"≤ 7 j",""))</f>
        <v/>
      </c>
      <c r="M2099" s="29">
        <f>IF($B2099="","",IFERROR(INDEX($T$4:$T$3183,MATCH(SMALL($V$4:$V$3183,2096),$V$4:$V$3183,0)),""))</f>
        <v/>
      </c>
      <c r="O2099">
        <f>IF(INDEX(Suivi!$B:$B,2139)="","",INDEX(Suivi!$B:$B,2139))</f>
        <v/>
      </c>
      <c r="P2099">
        <f>IF($O2099="","",IF(INDEX(Suivi!$D:$D,2139)="",INDEX(Suivi!$C:$C,2139),INDEX(Suivi!$D:$D,2139)))</f>
        <v/>
      </c>
      <c r="Q2099">
        <f>IF($O2099="","",INDEX(Suivi!$E:$E,2139))</f>
        <v/>
      </c>
      <c r="R2099">
        <f>IF($O2099="","",INDEX(Suivi!$F:$F,2139))</f>
        <v/>
      </c>
      <c r="S2099">
        <f>IF($O2099="","",INDEX(Suivi!$G:$G,2139))</f>
        <v/>
      </c>
      <c r="T2099">
        <f>IF($O2099="","",IF(INDEX(Dossiers!$F$4:$F$63,40)="","",INDEX(Dossiers!$F$4:$F$63,40)))</f>
        <v/>
      </c>
      <c r="U2099">
        <f>IF($O2099="","",IF(INDEX(Dossiers!$G$4:$G$63,40)="","",INDEX(Dossiers!$G$4:$G$63,40)))</f>
        <v/>
      </c>
      <c r="V2099">
        <f>IF(OR($O2099="",NOT(ISNUMBER($Q2099))),"",$Q2099*1000000+2099)</f>
        <v/>
      </c>
      <c r="W2099" s="29">
        <f>IF($B2099="","",IFERROR(INDEX($U$4:$U$3183,MATCH(SMALL($V$4:$V$3183,2096),$V$4:$V$3183,0)),""))</f>
        <v/>
      </c>
    </row>
    <row r="2100">
      <c r="A2100">
        <f>IFERROR(INDEX($N$4:$N$3183,MATCH(SMALL($V$4:$V$3183,2097),$V$4:$V$3183,0)),"")</f>
        <v/>
      </c>
      <c r="B2100">
        <f>IFERROR(INDEX($O$4:$O$3183,MATCH(SMALL($V$4:$V$3183,2097),$V$4:$V$3183,0)),"")</f>
        <v/>
      </c>
      <c r="C2100">
        <f>IFERROR(INDEX($P$4:$P$3183,MATCH(SMALL($V$4:$V$3183,2097),$V$4:$V$3183,0)),"")</f>
        <v/>
      </c>
      <c r="D2100" s="29">
        <f>IFERROR(INDEX($Q$4:$Q$3183,MATCH(SMALL($V$4:$V$3183,2097),$V$4:$V$3183,0)),"")</f>
        <v/>
      </c>
      <c r="E2100" s="29">
        <f>IFERROR(INDEX($R$4:$R$3183,MATCH(SMALL($V$4:$V$3183,2097),$V$4:$V$3183,0)),"")</f>
        <v/>
      </c>
      <c r="F2100">
        <f>IFERROR(INDEX($S$4:$S$3183,MATCH(SMALL($V$4:$V$3183,2097),$V$4:$V$3183,0)),"")</f>
        <v/>
      </c>
      <c r="I2100" s="29">
        <f>IF($B2100="","",IFERROR(INDEX($U$4:$U$3183,MATCH(SMALL($V$4:$V$3183,2097),$V$4:$V$3183,0)),""))</f>
        <v/>
      </c>
      <c r="J2100">
        <f>IF($B2100="","",IF($D2100&gt;$F$2,"À venir",IF($E2100&lt;$D$2,"Passé","Dans la période")))</f>
        <v/>
      </c>
      <c r="K2100">
        <f>IF(OR($B2100="",NOT(ISNUMBER($D2100))),"",IF(AND($E2100&lt;$D$2,$G2100&lt;&gt;"X",$F2100&lt;&gt;"Réalisé",$F2100&lt;&gt;"Clôturé"),"RETARD",""))</f>
        <v/>
      </c>
      <c r="L2100">
        <f>IF(OR($B2100="",NOT(ISNUMBER($D2100))),"",IF(AND($D2100&gt;=$D$2,$D2100&lt;=$H$2,$G2100&lt;&gt;"X",$F2100&lt;&gt;"Réalisé",$F2100&lt;&gt;"Clôturé"),"≤ 7 j",""))</f>
        <v/>
      </c>
      <c r="M2100" s="29">
        <f>IF($B2100="","",IFERROR(INDEX($T$4:$T$3183,MATCH(SMALL($V$4:$V$3183,2097),$V$4:$V$3183,0)),""))</f>
        <v/>
      </c>
      <c r="O2100">
        <f>IF(INDEX(Suivi!$B:$B,2140)="","",INDEX(Suivi!$B:$B,2140))</f>
        <v/>
      </c>
      <c r="P2100">
        <f>IF($O2100="","",IF(INDEX(Suivi!$D:$D,2140)="",INDEX(Suivi!$C:$C,2140),INDEX(Suivi!$D:$D,2140)))</f>
        <v/>
      </c>
      <c r="Q2100">
        <f>IF($O2100="","",INDEX(Suivi!$E:$E,2140))</f>
        <v/>
      </c>
      <c r="R2100">
        <f>IF($O2100="","",INDEX(Suivi!$F:$F,2140))</f>
        <v/>
      </c>
      <c r="S2100">
        <f>IF($O2100="","",INDEX(Suivi!$G:$G,2140))</f>
        <v/>
      </c>
      <c r="T2100">
        <f>IF($O2100="","",IF(INDEX(Dossiers!$F$4:$F$63,40)="","",INDEX(Dossiers!$F$4:$F$63,40)))</f>
        <v/>
      </c>
      <c r="U2100">
        <f>IF($O2100="","",IF(INDEX(Dossiers!$G$4:$G$63,40)="","",INDEX(Dossiers!$G$4:$G$63,40)))</f>
        <v/>
      </c>
      <c r="V2100">
        <f>IF(OR($O2100="",NOT(ISNUMBER($Q2100))),"",$Q2100*1000000+2100)</f>
        <v/>
      </c>
      <c r="W2100" s="29">
        <f>IF($B2100="","",IFERROR(INDEX($U$4:$U$3183,MATCH(SMALL($V$4:$V$3183,2097),$V$4:$V$3183,0)),""))</f>
        <v/>
      </c>
    </row>
    <row r="2101">
      <c r="A2101">
        <f>IFERROR(INDEX($N$4:$N$3183,MATCH(SMALL($V$4:$V$3183,2098),$V$4:$V$3183,0)),"")</f>
        <v/>
      </c>
      <c r="B2101">
        <f>IFERROR(INDEX($O$4:$O$3183,MATCH(SMALL($V$4:$V$3183,2098),$V$4:$V$3183,0)),"")</f>
        <v/>
      </c>
      <c r="C2101">
        <f>IFERROR(INDEX($P$4:$P$3183,MATCH(SMALL($V$4:$V$3183,2098),$V$4:$V$3183,0)),"")</f>
        <v/>
      </c>
      <c r="D2101" s="29">
        <f>IFERROR(INDEX($Q$4:$Q$3183,MATCH(SMALL($V$4:$V$3183,2098),$V$4:$V$3183,0)),"")</f>
        <v/>
      </c>
      <c r="E2101" s="29">
        <f>IFERROR(INDEX($R$4:$R$3183,MATCH(SMALL($V$4:$V$3183,2098),$V$4:$V$3183,0)),"")</f>
        <v/>
      </c>
      <c r="F2101">
        <f>IFERROR(INDEX($S$4:$S$3183,MATCH(SMALL($V$4:$V$3183,2098),$V$4:$V$3183,0)),"")</f>
        <v/>
      </c>
      <c r="I2101" s="29">
        <f>IF($B2101="","",IFERROR(INDEX($U$4:$U$3183,MATCH(SMALL($V$4:$V$3183,2098),$V$4:$V$3183,0)),""))</f>
        <v/>
      </c>
      <c r="J2101">
        <f>IF($B2101="","",IF($D2101&gt;$F$2,"À venir",IF($E2101&lt;$D$2,"Passé","Dans la période")))</f>
        <v/>
      </c>
      <c r="K2101">
        <f>IF(OR($B2101="",NOT(ISNUMBER($D2101))),"",IF(AND($E2101&lt;$D$2,$G2101&lt;&gt;"X",$F2101&lt;&gt;"Réalisé",$F2101&lt;&gt;"Clôturé"),"RETARD",""))</f>
        <v/>
      </c>
      <c r="L2101">
        <f>IF(OR($B2101="",NOT(ISNUMBER($D2101))),"",IF(AND($D2101&gt;=$D$2,$D2101&lt;=$H$2,$G2101&lt;&gt;"X",$F2101&lt;&gt;"Réalisé",$F2101&lt;&gt;"Clôturé"),"≤ 7 j",""))</f>
        <v/>
      </c>
      <c r="M2101" s="29">
        <f>IF($B2101="","",IFERROR(INDEX($T$4:$T$3183,MATCH(SMALL($V$4:$V$3183,2098),$V$4:$V$3183,0)),""))</f>
        <v/>
      </c>
      <c r="O2101">
        <f>IF(INDEX(Suivi!$B:$B,2141)="","",INDEX(Suivi!$B:$B,2141))</f>
        <v/>
      </c>
      <c r="P2101">
        <f>IF($O2101="","",IF(INDEX(Suivi!$D:$D,2141)="",INDEX(Suivi!$C:$C,2141),INDEX(Suivi!$D:$D,2141)))</f>
        <v/>
      </c>
      <c r="Q2101">
        <f>IF($O2101="","",INDEX(Suivi!$E:$E,2141))</f>
        <v/>
      </c>
      <c r="R2101">
        <f>IF($O2101="","",INDEX(Suivi!$F:$F,2141))</f>
        <v/>
      </c>
      <c r="S2101">
        <f>IF($O2101="","",INDEX(Suivi!$G:$G,2141))</f>
        <v/>
      </c>
      <c r="T2101">
        <f>IF($O2101="","",IF(INDEX(Dossiers!$F$4:$F$63,40)="","",INDEX(Dossiers!$F$4:$F$63,40)))</f>
        <v/>
      </c>
      <c r="U2101">
        <f>IF($O2101="","",IF(INDEX(Dossiers!$G$4:$G$63,40)="","",INDEX(Dossiers!$G$4:$G$63,40)))</f>
        <v/>
      </c>
      <c r="V2101">
        <f>IF(OR($O2101="",NOT(ISNUMBER($Q2101))),"",$Q2101*1000000+2101)</f>
        <v/>
      </c>
      <c r="W2101" s="29">
        <f>IF($B2101="","",IFERROR(INDEX($U$4:$U$3183,MATCH(SMALL($V$4:$V$3183,2098),$V$4:$V$3183,0)),""))</f>
        <v/>
      </c>
    </row>
    <row r="2102">
      <c r="A2102">
        <f>IFERROR(INDEX($N$4:$N$3183,MATCH(SMALL($V$4:$V$3183,2099),$V$4:$V$3183,0)),"")</f>
        <v/>
      </c>
      <c r="B2102">
        <f>IFERROR(INDEX($O$4:$O$3183,MATCH(SMALL($V$4:$V$3183,2099),$V$4:$V$3183,0)),"")</f>
        <v/>
      </c>
      <c r="C2102">
        <f>IFERROR(INDEX($P$4:$P$3183,MATCH(SMALL($V$4:$V$3183,2099),$V$4:$V$3183,0)),"")</f>
        <v/>
      </c>
      <c r="D2102" s="29">
        <f>IFERROR(INDEX($Q$4:$Q$3183,MATCH(SMALL($V$4:$V$3183,2099),$V$4:$V$3183,0)),"")</f>
        <v/>
      </c>
      <c r="E2102" s="29">
        <f>IFERROR(INDEX($R$4:$R$3183,MATCH(SMALL($V$4:$V$3183,2099),$V$4:$V$3183,0)),"")</f>
        <v/>
      </c>
      <c r="F2102">
        <f>IFERROR(INDEX($S$4:$S$3183,MATCH(SMALL($V$4:$V$3183,2099),$V$4:$V$3183,0)),"")</f>
        <v/>
      </c>
      <c r="I2102" s="29">
        <f>IF($B2102="","",IFERROR(INDEX($U$4:$U$3183,MATCH(SMALL($V$4:$V$3183,2099),$V$4:$V$3183,0)),""))</f>
        <v/>
      </c>
      <c r="J2102">
        <f>IF($B2102="","",IF($D2102&gt;$F$2,"À venir",IF($E2102&lt;$D$2,"Passé","Dans la période")))</f>
        <v/>
      </c>
      <c r="K2102">
        <f>IF(OR($B2102="",NOT(ISNUMBER($D2102))),"",IF(AND($E2102&lt;$D$2,$G2102&lt;&gt;"X",$F2102&lt;&gt;"Réalisé",$F2102&lt;&gt;"Clôturé"),"RETARD",""))</f>
        <v/>
      </c>
      <c r="L2102">
        <f>IF(OR($B2102="",NOT(ISNUMBER($D2102))),"",IF(AND($D2102&gt;=$D$2,$D2102&lt;=$H$2,$G2102&lt;&gt;"X",$F2102&lt;&gt;"Réalisé",$F2102&lt;&gt;"Clôturé"),"≤ 7 j",""))</f>
        <v/>
      </c>
      <c r="M2102" s="29">
        <f>IF($B2102="","",IFERROR(INDEX($T$4:$T$3183,MATCH(SMALL($V$4:$V$3183,2099),$V$4:$V$3183,0)),""))</f>
        <v/>
      </c>
      <c r="O2102">
        <f>IF(INDEX(Suivi!$B:$B,2142)="","",INDEX(Suivi!$B:$B,2142))</f>
        <v/>
      </c>
      <c r="P2102">
        <f>IF($O2102="","",IF(INDEX(Suivi!$D:$D,2142)="",INDEX(Suivi!$C:$C,2142),INDEX(Suivi!$D:$D,2142)))</f>
        <v/>
      </c>
      <c r="Q2102">
        <f>IF($O2102="","",INDEX(Suivi!$E:$E,2142))</f>
        <v/>
      </c>
      <c r="R2102">
        <f>IF($O2102="","",INDEX(Suivi!$F:$F,2142))</f>
        <v/>
      </c>
      <c r="S2102">
        <f>IF($O2102="","",INDEX(Suivi!$G:$G,2142))</f>
        <v/>
      </c>
      <c r="T2102">
        <f>IF($O2102="","",IF(INDEX(Dossiers!$F$4:$F$63,40)="","",INDEX(Dossiers!$F$4:$F$63,40)))</f>
        <v/>
      </c>
      <c r="U2102">
        <f>IF($O2102="","",IF(INDEX(Dossiers!$G$4:$G$63,40)="","",INDEX(Dossiers!$G$4:$G$63,40)))</f>
        <v/>
      </c>
      <c r="V2102">
        <f>IF(OR($O2102="",NOT(ISNUMBER($Q2102))),"",$Q2102*1000000+2102)</f>
        <v/>
      </c>
      <c r="W2102" s="29">
        <f>IF($B2102="","",IFERROR(INDEX($U$4:$U$3183,MATCH(SMALL($V$4:$V$3183,2099),$V$4:$V$3183,0)),""))</f>
        <v/>
      </c>
    </row>
    <row r="2103">
      <c r="A2103">
        <f>IFERROR(INDEX($N$4:$N$3183,MATCH(SMALL($V$4:$V$3183,2100),$V$4:$V$3183,0)),"")</f>
        <v/>
      </c>
      <c r="B2103">
        <f>IFERROR(INDEX($O$4:$O$3183,MATCH(SMALL($V$4:$V$3183,2100),$V$4:$V$3183,0)),"")</f>
        <v/>
      </c>
      <c r="C2103">
        <f>IFERROR(INDEX($P$4:$P$3183,MATCH(SMALL($V$4:$V$3183,2100),$V$4:$V$3183,0)),"")</f>
        <v/>
      </c>
      <c r="D2103" s="29">
        <f>IFERROR(INDEX($Q$4:$Q$3183,MATCH(SMALL($V$4:$V$3183,2100),$V$4:$V$3183,0)),"")</f>
        <v/>
      </c>
      <c r="E2103" s="29">
        <f>IFERROR(INDEX($R$4:$R$3183,MATCH(SMALL($V$4:$V$3183,2100),$V$4:$V$3183,0)),"")</f>
        <v/>
      </c>
      <c r="F2103">
        <f>IFERROR(INDEX($S$4:$S$3183,MATCH(SMALL($V$4:$V$3183,2100),$V$4:$V$3183,0)),"")</f>
        <v/>
      </c>
      <c r="I2103" s="29">
        <f>IF($B2103="","",IFERROR(INDEX($U$4:$U$3183,MATCH(SMALL($V$4:$V$3183,2100),$V$4:$V$3183,0)),""))</f>
        <v/>
      </c>
      <c r="J2103">
        <f>IF($B2103="","",IF($D2103&gt;$F$2,"À venir",IF($E2103&lt;$D$2,"Passé","Dans la période")))</f>
        <v/>
      </c>
      <c r="K2103">
        <f>IF(OR($B2103="",NOT(ISNUMBER($D2103))),"",IF(AND($E2103&lt;$D$2,$G2103&lt;&gt;"X",$F2103&lt;&gt;"Réalisé",$F2103&lt;&gt;"Clôturé"),"RETARD",""))</f>
        <v/>
      </c>
      <c r="L2103">
        <f>IF(OR($B2103="",NOT(ISNUMBER($D2103))),"",IF(AND($D2103&gt;=$D$2,$D2103&lt;=$H$2,$G2103&lt;&gt;"X",$F2103&lt;&gt;"Réalisé",$F2103&lt;&gt;"Clôturé"),"≤ 7 j",""))</f>
        <v/>
      </c>
      <c r="M2103" s="29">
        <f>IF($B2103="","",IFERROR(INDEX($T$4:$T$3183,MATCH(SMALL($V$4:$V$3183,2100),$V$4:$V$3183,0)),""))</f>
        <v/>
      </c>
      <c r="O2103">
        <f>IF(INDEX(Suivi!$B:$B,2143)="","",INDEX(Suivi!$B:$B,2143))</f>
        <v/>
      </c>
      <c r="P2103">
        <f>IF($O2103="","",IF(INDEX(Suivi!$D:$D,2143)="",INDEX(Suivi!$C:$C,2143),INDEX(Suivi!$D:$D,2143)))</f>
        <v/>
      </c>
      <c r="Q2103">
        <f>IF($O2103="","",INDEX(Suivi!$E:$E,2143))</f>
        <v/>
      </c>
      <c r="R2103">
        <f>IF($O2103="","",INDEX(Suivi!$F:$F,2143))</f>
        <v/>
      </c>
      <c r="S2103">
        <f>IF($O2103="","",INDEX(Suivi!$G:$G,2143))</f>
        <v/>
      </c>
      <c r="T2103">
        <f>IF($O2103="","",IF(INDEX(Dossiers!$F$4:$F$63,40)="","",INDEX(Dossiers!$F$4:$F$63,40)))</f>
        <v/>
      </c>
      <c r="U2103">
        <f>IF($O2103="","",IF(INDEX(Dossiers!$G$4:$G$63,40)="","",INDEX(Dossiers!$G$4:$G$63,40)))</f>
        <v/>
      </c>
      <c r="V2103">
        <f>IF(OR($O2103="",NOT(ISNUMBER($Q2103))),"",$Q2103*1000000+2103)</f>
        <v/>
      </c>
      <c r="W2103" s="29">
        <f>IF($B2103="","",IFERROR(INDEX($U$4:$U$3183,MATCH(SMALL($V$4:$V$3183,2100),$V$4:$V$3183,0)),""))</f>
        <v/>
      </c>
    </row>
    <row r="2104">
      <c r="A2104">
        <f>IFERROR(INDEX($N$4:$N$3183,MATCH(SMALL($V$4:$V$3183,2101),$V$4:$V$3183,0)),"")</f>
        <v/>
      </c>
      <c r="B2104">
        <f>IFERROR(INDEX($O$4:$O$3183,MATCH(SMALL($V$4:$V$3183,2101),$V$4:$V$3183,0)),"")</f>
        <v/>
      </c>
      <c r="C2104">
        <f>IFERROR(INDEX($P$4:$P$3183,MATCH(SMALL($V$4:$V$3183,2101),$V$4:$V$3183,0)),"")</f>
        <v/>
      </c>
      <c r="D2104" s="29">
        <f>IFERROR(INDEX($Q$4:$Q$3183,MATCH(SMALL($V$4:$V$3183,2101),$V$4:$V$3183,0)),"")</f>
        <v/>
      </c>
      <c r="E2104" s="29">
        <f>IFERROR(INDEX($R$4:$R$3183,MATCH(SMALL($V$4:$V$3183,2101),$V$4:$V$3183,0)),"")</f>
        <v/>
      </c>
      <c r="F2104">
        <f>IFERROR(INDEX($S$4:$S$3183,MATCH(SMALL($V$4:$V$3183,2101),$V$4:$V$3183,0)),"")</f>
        <v/>
      </c>
      <c r="I2104" s="29">
        <f>IF($B2104="","",IFERROR(INDEX($U$4:$U$3183,MATCH(SMALL($V$4:$V$3183,2101),$V$4:$V$3183,0)),""))</f>
        <v/>
      </c>
      <c r="J2104">
        <f>IF($B2104="","",IF($D2104&gt;$F$2,"À venir",IF($E2104&lt;$D$2,"Passé","Dans la période")))</f>
        <v/>
      </c>
      <c r="K2104">
        <f>IF(OR($B2104="",NOT(ISNUMBER($D2104))),"",IF(AND($E2104&lt;$D$2,$G2104&lt;&gt;"X",$F2104&lt;&gt;"Réalisé",$F2104&lt;&gt;"Clôturé"),"RETARD",""))</f>
        <v/>
      </c>
      <c r="L2104">
        <f>IF(OR($B2104="",NOT(ISNUMBER($D2104))),"",IF(AND($D2104&gt;=$D$2,$D2104&lt;=$H$2,$G2104&lt;&gt;"X",$F2104&lt;&gt;"Réalisé",$F2104&lt;&gt;"Clôturé"),"≤ 7 j",""))</f>
        <v/>
      </c>
      <c r="M2104" s="29">
        <f>IF($B2104="","",IFERROR(INDEX($T$4:$T$3183,MATCH(SMALL($V$4:$V$3183,2101),$V$4:$V$3183,0)),""))</f>
        <v/>
      </c>
      <c r="O2104">
        <f>IF(INDEX(Suivi!$B:$B,2144)="","",INDEX(Suivi!$B:$B,2144))</f>
        <v/>
      </c>
      <c r="P2104">
        <f>IF($O2104="","",IF(INDEX(Suivi!$D:$D,2144)="",INDEX(Suivi!$C:$C,2144),INDEX(Suivi!$D:$D,2144)))</f>
        <v/>
      </c>
      <c r="Q2104">
        <f>IF($O2104="","",INDEX(Suivi!$E:$E,2144))</f>
        <v/>
      </c>
      <c r="R2104">
        <f>IF($O2104="","",INDEX(Suivi!$F:$F,2144))</f>
        <v/>
      </c>
      <c r="S2104">
        <f>IF($O2104="","",INDEX(Suivi!$G:$G,2144))</f>
        <v/>
      </c>
      <c r="T2104">
        <f>IF($O2104="","",IF(INDEX(Dossiers!$F$4:$F$63,40)="","",INDEX(Dossiers!$F$4:$F$63,40)))</f>
        <v/>
      </c>
      <c r="U2104">
        <f>IF($O2104="","",IF(INDEX(Dossiers!$G$4:$G$63,40)="","",INDEX(Dossiers!$G$4:$G$63,40)))</f>
        <v/>
      </c>
      <c r="V2104">
        <f>IF(OR($O2104="",NOT(ISNUMBER($Q2104))),"",$Q2104*1000000+2104)</f>
        <v/>
      </c>
      <c r="W2104" s="29">
        <f>IF($B2104="","",IFERROR(INDEX($U$4:$U$3183,MATCH(SMALL($V$4:$V$3183,2101),$V$4:$V$3183,0)),""))</f>
        <v/>
      </c>
    </row>
    <row r="2105">
      <c r="A2105">
        <f>IFERROR(INDEX($N$4:$N$3183,MATCH(SMALL($V$4:$V$3183,2102),$V$4:$V$3183,0)),"")</f>
        <v/>
      </c>
      <c r="B2105">
        <f>IFERROR(INDEX($O$4:$O$3183,MATCH(SMALL($V$4:$V$3183,2102),$V$4:$V$3183,0)),"")</f>
        <v/>
      </c>
      <c r="C2105">
        <f>IFERROR(INDEX($P$4:$P$3183,MATCH(SMALL($V$4:$V$3183,2102),$V$4:$V$3183,0)),"")</f>
        <v/>
      </c>
      <c r="D2105" s="29">
        <f>IFERROR(INDEX($Q$4:$Q$3183,MATCH(SMALL($V$4:$V$3183,2102),$V$4:$V$3183,0)),"")</f>
        <v/>
      </c>
      <c r="E2105" s="29">
        <f>IFERROR(INDEX($R$4:$R$3183,MATCH(SMALL($V$4:$V$3183,2102),$V$4:$V$3183,0)),"")</f>
        <v/>
      </c>
      <c r="F2105">
        <f>IFERROR(INDEX($S$4:$S$3183,MATCH(SMALL($V$4:$V$3183,2102),$V$4:$V$3183,0)),"")</f>
        <v/>
      </c>
      <c r="I2105" s="29">
        <f>IF($B2105="","",IFERROR(INDEX($U$4:$U$3183,MATCH(SMALL($V$4:$V$3183,2102),$V$4:$V$3183,0)),""))</f>
        <v/>
      </c>
      <c r="J2105">
        <f>IF($B2105="","",IF($D2105&gt;$F$2,"À venir",IF($E2105&lt;$D$2,"Passé","Dans la période")))</f>
        <v/>
      </c>
      <c r="K2105">
        <f>IF(OR($B2105="",NOT(ISNUMBER($D2105))),"",IF(AND($E2105&lt;$D$2,$G2105&lt;&gt;"X",$F2105&lt;&gt;"Réalisé",$F2105&lt;&gt;"Clôturé"),"RETARD",""))</f>
        <v/>
      </c>
      <c r="L2105">
        <f>IF(OR($B2105="",NOT(ISNUMBER($D2105))),"",IF(AND($D2105&gt;=$D$2,$D2105&lt;=$H$2,$G2105&lt;&gt;"X",$F2105&lt;&gt;"Réalisé",$F2105&lt;&gt;"Clôturé"),"≤ 7 j",""))</f>
        <v/>
      </c>
      <c r="M2105" s="29">
        <f>IF($B2105="","",IFERROR(INDEX($T$4:$T$3183,MATCH(SMALL($V$4:$V$3183,2102),$V$4:$V$3183,0)),""))</f>
        <v/>
      </c>
      <c r="O2105">
        <f>IF(INDEX(Suivi!$B:$B,2145)="","",INDEX(Suivi!$B:$B,2145))</f>
        <v/>
      </c>
      <c r="P2105">
        <f>IF($O2105="","",IF(INDEX(Suivi!$D:$D,2145)="",INDEX(Suivi!$C:$C,2145),INDEX(Suivi!$D:$D,2145)))</f>
        <v/>
      </c>
      <c r="Q2105">
        <f>IF($O2105="","",INDEX(Suivi!$E:$E,2145))</f>
        <v/>
      </c>
      <c r="R2105">
        <f>IF($O2105="","",INDEX(Suivi!$F:$F,2145))</f>
        <v/>
      </c>
      <c r="S2105">
        <f>IF($O2105="","",INDEX(Suivi!$G:$G,2145))</f>
        <v/>
      </c>
      <c r="T2105">
        <f>IF($O2105="","",IF(INDEX(Dossiers!$F$4:$F$63,40)="","",INDEX(Dossiers!$F$4:$F$63,40)))</f>
        <v/>
      </c>
      <c r="U2105">
        <f>IF($O2105="","",IF(INDEX(Dossiers!$G$4:$G$63,40)="","",INDEX(Dossiers!$G$4:$G$63,40)))</f>
        <v/>
      </c>
      <c r="V2105">
        <f>IF(OR($O2105="",NOT(ISNUMBER($Q2105))),"",$Q2105*1000000+2105)</f>
        <v/>
      </c>
      <c r="W2105" s="29">
        <f>IF($B2105="","",IFERROR(INDEX($U$4:$U$3183,MATCH(SMALL($V$4:$V$3183,2102),$V$4:$V$3183,0)),""))</f>
        <v/>
      </c>
    </row>
    <row r="2106">
      <c r="A2106">
        <f>IFERROR(INDEX($N$4:$N$3183,MATCH(SMALL($V$4:$V$3183,2103),$V$4:$V$3183,0)),"")</f>
        <v/>
      </c>
      <c r="B2106">
        <f>IFERROR(INDEX($O$4:$O$3183,MATCH(SMALL($V$4:$V$3183,2103),$V$4:$V$3183,0)),"")</f>
        <v/>
      </c>
      <c r="C2106">
        <f>IFERROR(INDEX($P$4:$P$3183,MATCH(SMALL($V$4:$V$3183,2103),$V$4:$V$3183,0)),"")</f>
        <v/>
      </c>
      <c r="D2106" s="29">
        <f>IFERROR(INDEX($Q$4:$Q$3183,MATCH(SMALL($V$4:$V$3183,2103),$V$4:$V$3183,0)),"")</f>
        <v/>
      </c>
      <c r="E2106" s="29">
        <f>IFERROR(INDEX($R$4:$R$3183,MATCH(SMALL($V$4:$V$3183,2103),$V$4:$V$3183,0)),"")</f>
        <v/>
      </c>
      <c r="F2106">
        <f>IFERROR(INDEX($S$4:$S$3183,MATCH(SMALL($V$4:$V$3183,2103),$V$4:$V$3183,0)),"")</f>
        <v/>
      </c>
      <c r="I2106" s="29">
        <f>IF($B2106="","",IFERROR(INDEX($U$4:$U$3183,MATCH(SMALL($V$4:$V$3183,2103),$V$4:$V$3183,0)),""))</f>
        <v/>
      </c>
      <c r="J2106">
        <f>IF($B2106="","",IF($D2106&gt;$F$2,"À venir",IF($E2106&lt;$D$2,"Passé","Dans la période")))</f>
        <v/>
      </c>
      <c r="K2106">
        <f>IF(OR($B2106="",NOT(ISNUMBER($D2106))),"",IF(AND($E2106&lt;$D$2,$G2106&lt;&gt;"X",$F2106&lt;&gt;"Réalisé",$F2106&lt;&gt;"Clôturé"),"RETARD",""))</f>
        <v/>
      </c>
      <c r="L2106">
        <f>IF(OR($B2106="",NOT(ISNUMBER($D2106))),"",IF(AND($D2106&gt;=$D$2,$D2106&lt;=$H$2,$G2106&lt;&gt;"X",$F2106&lt;&gt;"Réalisé",$F2106&lt;&gt;"Clôturé"),"≤ 7 j",""))</f>
        <v/>
      </c>
      <c r="M2106" s="29">
        <f>IF($B2106="","",IFERROR(INDEX($T$4:$T$3183,MATCH(SMALL($V$4:$V$3183,2103),$V$4:$V$3183,0)),""))</f>
        <v/>
      </c>
      <c r="O2106">
        <f>IF(INDEX(Suivi!$B:$B,2146)="","",INDEX(Suivi!$B:$B,2146))</f>
        <v/>
      </c>
      <c r="P2106">
        <f>IF($O2106="","",IF(INDEX(Suivi!$D:$D,2146)="",INDEX(Suivi!$C:$C,2146),INDEX(Suivi!$D:$D,2146)))</f>
        <v/>
      </c>
      <c r="Q2106">
        <f>IF($O2106="","",INDEX(Suivi!$E:$E,2146))</f>
        <v/>
      </c>
      <c r="R2106">
        <f>IF($O2106="","",INDEX(Suivi!$F:$F,2146))</f>
        <v/>
      </c>
      <c r="S2106">
        <f>IF($O2106="","",INDEX(Suivi!$G:$G,2146))</f>
        <v/>
      </c>
      <c r="T2106">
        <f>IF($O2106="","",IF(INDEX(Dossiers!$F$4:$F$63,40)="","",INDEX(Dossiers!$F$4:$F$63,40)))</f>
        <v/>
      </c>
      <c r="U2106">
        <f>IF($O2106="","",IF(INDEX(Dossiers!$G$4:$G$63,40)="","",INDEX(Dossiers!$G$4:$G$63,40)))</f>
        <v/>
      </c>
      <c r="V2106">
        <f>IF(OR($O2106="",NOT(ISNUMBER($Q2106))),"",$Q2106*1000000+2106)</f>
        <v/>
      </c>
      <c r="W2106" s="29">
        <f>IF($B2106="","",IFERROR(INDEX($U$4:$U$3183,MATCH(SMALL($V$4:$V$3183,2103),$V$4:$V$3183,0)),""))</f>
        <v/>
      </c>
    </row>
    <row r="2107">
      <c r="A2107">
        <f>IFERROR(INDEX($N$4:$N$3183,MATCH(SMALL($V$4:$V$3183,2104),$V$4:$V$3183,0)),"")</f>
        <v/>
      </c>
      <c r="B2107">
        <f>IFERROR(INDEX($O$4:$O$3183,MATCH(SMALL($V$4:$V$3183,2104),$V$4:$V$3183,0)),"")</f>
        <v/>
      </c>
      <c r="C2107">
        <f>IFERROR(INDEX($P$4:$P$3183,MATCH(SMALL($V$4:$V$3183,2104),$V$4:$V$3183,0)),"")</f>
        <v/>
      </c>
      <c r="D2107" s="29">
        <f>IFERROR(INDEX($Q$4:$Q$3183,MATCH(SMALL($V$4:$V$3183,2104),$V$4:$V$3183,0)),"")</f>
        <v/>
      </c>
      <c r="E2107" s="29">
        <f>IFERROR(INDEX($R$4:$R$3183,MATCH(SMALL($V$4:$V$3183,2104),$V$4:$V$3183,0)),"")</f>
        <v/>
      </c>
      <c r="F2107">
        <f>IFERROR(INDEX($S$4:$S$3183,MATCH(SMALL($V$4:$V$3183,2104),$V$4:$V$3183,0)),"")</f>
        <v/>
      </c>
      <c r="I2107" s="29">
        <f>IF($B2107="","",IFERROR(INDEX($U$4:$U$3183,MATCH(SMALL($V$4:$V$3183,2104),$V$4:$V$3183,0)),""))</f>
        <v/>
      </c>
      <c r="J2107">
        <f>IF($B2107="","",IF($D2107&gt;$F$2,"À venir",IF($E2107&lt;$D$2,"Passé","Dans la période")))</f>
        <v/>
      </c>
      <c r="K2107">
        <f>IF(OR($B2107="",NOT(ISNUMBER($D2107))),"",IF(AND($E2107&lt;$D$2,$G2107&lt;&gt;"X",$F2107&lt;&gt;"Réalisé",$F2107&lt;&gt;"Clôturé"),"RETARD",""))</f>
        <v/>
      </c>
      <c r="L2107">
        <f>IF(OR($B2107="",NOT(ISNUMBER($D2107))),"",IF(AND($D2107&gt;=$D$2,$D2107&lt;=$H$2,$G2107&lt;&gt;"X",$F2107&lt;&gt;"Réalisé",$F2107&lt;&gt;"Clôturé"),"≤ 7 j",""))</f>
        <v/>
      </c>
      <c r="M2107" s="29">
        <f>IF($B2107="","",IFERROR(INDEX($T$4:$T$3183,MATCH(SMALL($V$4:$V$3183,2104),$V$4:$V$3183,0)),""))</f>
        <v/>
      </c>
      <c r="O2107">
        <f>IF(INDEX(Suivi!$B:$B,2147)="","",INDEX(Suivi!$B:$B,2147))</f>
        <v/>
      </c>
      <c r="P2107">
        <f>IF($O2107="","",IF(INDEX(Suivi!$D:$D,2147)="",INDEX(Suivi!$C:$C,2147),INDEX(Suivi!$D:$D,2147)))</f>
        <v/>
      </c>
      <c r="Q2107">
        <f>IF($O2107="","",INDEX(Suivi!$E:$E,2147))</f>
        <v/>
      </c>
      <c r="R2107">
        <f>IF($O2107="","",INDEX(Suivi!$F:$F,2147))</f>
        <v/>
      </c>
      <c r="S2107">
        <f>IF($O2107="","",INDEX(Suivi!$G:$G,2147))</f>
        <v/>
      </c>
      <c r="T2107">
        <f>IF($O2107="","",IF(INDEX(Dossiers!$F$4:$F$63,40)="","",INDEX(Dossiers!$F$4:$F$63,40)))</f>
        <v/>
      </c>
      <c r="U2107">
        <f>IF($O2107="","",IF(INDEX(Dossiers!$G$4:$G$63,40)="","",INDEX(Dossiers!$G$4:$G$63,40)))</f>
        <v/>
      </c>
      <c r="V2107">
        <f>IF(OR($O2107="",NOT(ISNUMBER($Q2107))),"",$Q2107*1000000+2107)</f>
        <v/>
      </c>
      <c r="W2107" s="29">
        <f>IF($B2107="","",IFERROR(INDEX($U$4:$U$3183,MATCH(SMALL($V$4:$V$3183,2104),$V$4:$V$3183,0)),""))</f>
        <v/>
      </c>
    </row>
    <row r="2108">
      <c r="A2108">
        <f>IFERROR(INDEX($N$4:$N$3183,MATCH(SMALL($V$4:$V$3183,2105),$V$4:$V$3183,0)),"")</f>
        <v/>
      </c>
      <c r="B2108">
        <f>IFERROR(INDEX($O$4:$O$3183,MATCH(SMALL($V$4:$V$3183,2105),$V$4:$V$3183,0)),"")</f>
        <v/>
      </c>
      <c r="C2108">
        <f>IFERROR(INDEX($P$4:$P$3183,MATCH(SMALL($V$4:$V$3183,2105),$V$4:$V$3183,0)),"")</f>
        <v/>
      </c>
      <c r="D2108" s="29">
        <f>IFERROR(INDEX($Q$4:$Q$3183,MATCH(SMALL($V$4:$V$3183,2105),$V$4:$V$3183,0)),"")</f>
        <v/>
      </c>
      <c r="E2108" s="29">
        <f>IFERROR(INDEX($R$4:$R$3183,MATCH(SMALL($V$4:$V$3183,2105),$V$4:$V$3183,0)),"")</f>
        <v/>
      </c>
      <c r="F2108">
        <f>IFERROR(INDEX($S$4:$S$3183,MATCH(SMALL($V$4:$V$3183,2105),$V$4:$V$3183,0)),"")</f>
        <v/>
      </c>
      <c r="I2108" s="29">
        <f>IF($B2108="","",IFERROR(INDEX($U$4:$U$3183,MATCH(SMALL($V$4:$V$3183,2105),$V$4:$V$3183,0)),""))</f>
        <v/>
      </c>
      <c r="J2108">
        <f>IF($B2108="","",IF($D2108&gt;$F$2,"À venir",IF($E2108&lt;$D$2,"Passé","Dans la période")))</f>
        <v/>
      </c>
      <c r="K2108">
        <f>IF(OR($B2108="",NOT(ISNUMBER($D2108))),"",IF(AND($E2108&lt;$D$2,$G2108&lt;&gt;"X",$F2108&lt;&gt;"Réalisé",$F2108&lt;&gt;"Clôturé"),"RETARD",""))</f>
        <v/>
      </c>
      <c r="L2108">
        <f>IF(OR($B2108="",NOT(ISNUMBER($D2108))),"",IF(AND($D2108&gt;=$D$2,$D2108&lt;=$H$2,$G2108&lt;&gt;"X",$F2108&lt;&gt;"Réalisé",$F2108&lt;&gt;"Clôturé"),"≤ 7 j",""))</f>
        <v/>
      </c>
      <c r="M2108" s="29">
        <f>IF($B2108="","",IFERROR(INDEX($T$4:$T$3183,MATCH(SMALL($V$4:$V$3183,2105),$V$4:$V$3183,0)),""))</f>
        <v/>
      </c>
      <c r="O2108">
        <f>IF(INDEX(Suivi!$B:$B,2148)="","",INDEX(Suivi!$B:$B,2148))</f>
        <v/>
      </c>
      <c r="P2108">
        <f>IF($O2108="","",IF(INDEX(Suivi!$D:$D,2148)="",INDEX(Suivi!$C:$C,2148),INDEX(Suivi!$D:$D,2148)))</f>
        <v/>
      </c>
      <c r="Q2108">
        <f>IF($O2108="","",INDEX(Suivi!$E:$E,2148))</f>
        <v/>
      </c>
      <c r="R2108">
        <f>IF($O2108="","",INDEX(Suivi!$F:$F,2148))</f>
        <v/>
      </c>
      <c r="S2108">
        <f>IF($O2108="","",INDEX(Suivi!$G:$G,2148))</f>
        <v/>
      </c>
      <c r="T2108">
        <f>IF($O2108="","",IF(INDEX(Dossiers!$F$4:$F$63,40)="","",INDEX(Dossiers!$F$4:$F$63,40)))</f>
        <v/>
      </c>
      <c r="U2108">
        <f>IF($O2108="","",IF(INDEX(Dossiers!$G$4:$G$63,40)="","",INDEX(Dossiers!$G$4:$G$63,40)))</f>
        <v/>
      </c>
      <c r="V2108">
        <f>IF(OR($O2108="",NOT(ISNUMBER($Q2108))),"",$Q2108*1000000+2108)</f>
        <v/>
      </c>
      <c r="W2108" s="29">
        <f>IF($B2108="","",IFERROR(INDEX($U$4:$U$3183,MATCH(SMALL($V$4:$V$3183,2105),$V$4:$V$3183,0)),""))</f>
        <v/>
      </c>
    </row>
    <row r="2109">
      <c r="A2109">
        <f>IFERROR(INDEX($N$4:$N$3183,MATCH(SMALL($V$4:$V$3183,2106),$V$4:$V$3183,0)),"")</f>
        <v/>
      </c>
      <c r="B2109">
        <f>IFERROR(INDEX($O$4:$O$3183,MATCH(SMALL($V$4:$V$3183,2106),$V$4:$V$3183,0)),"")</f>
        <v/>
      </c>
      <c r="C2109">
        <f>IFERROR(INDEX($P$4:$P$3183,MATCH(SMALL($V$4:$V$3183,2106),$V$4:$V$3183,0)),"")</f>
        <v/>
      </c>
      <c r="D2109" s="29">
        <f>IFERROR(INDEX($Q$4:$Q$3183,MATCH(SMALL($V$4:$V$3183,2106),$V$4:$V$3183,0)),"")</f>
        <v/>
      </c>
      <c r="E2109" s="29">
        <f>IFERROR(INDEX($R$4:$R$3183,MATCH(SMALL($V$4:$V$3183,2106),$V$4:$V$3183,0)),"")</f>
        <v/>
      </c>
      <c r="F2109">
        <f>IFERROR(INDEX($S$4:$S$3183,MATCH(SMALL($V$4:$V$3183,2106),$V$4:$V$3183,0)),"")</f>
        <v/>
      </c>
      <c r="I2109" s="29">
        <f>IF($B2109="","",IFERROR(INDEX($U$4:$U$3183,MATCH(SMALL($V$4:$V$3183,2106),$V$4:$V$3183,0)),""))</f>
        <v/>
      </c>
      <c r="J2109">
        <f>IF($B2109="","",IF($D2109&gt;$F$2,"À venir",IF($E2109&lt;$D$2,"Passé","Dans la période")))</f>
        <v/>
      </c>
      <c r="K2109">
        <f>IF(OR($B2109="",NOT(ISNUMBER($D2109))),"",IF(AND($E2109&lt;$D$2,$G2109&lt;&gt;"X",$F2109&lt;&gt;"Réalisé",$F2109&lt;&gt;"Clôturé"),"RETARD",""))</f>
        <v/>
      </c>
      <c r="L2109">
        <f>IF(OR($B2109="",NOT(ISNUMBER($D2109))),"",IF(AND($D2109&gt;=$D$2,$D2109&lt;=$H$2,$G2109&lt;&gt;"X",$F2109&lt;&gt;"Réalisé",$F2109&lt;&gt;"Clôturé"),"≤ 7 j",""))</f>
        <v/>
      </c>
      <c r="M2109" s="29">
        <f>IF($B2109="","",IFERROR(INDEX($T$4:$T$3183,MATCH(SMALL($V$4:$V$3183,2106),$V$4:$V$3183,0)),""))</f>
        <v/>
      </c>
      <c r="O2109">
        <f>IF(INDEX(Suivi!$B:$B,2149)="","",INDEX(Suivi!$B:$B,2149))</f>
        <v/>
      </c>
      <c r="P2109">
        <f>IF($O2109="","",IF(INDEX(Suivi!$D:$D,2149)="",INDEX(Suivi!$C:$C,2149),INDEX(Suivi!$D:$D,2149)))</f>
        <v/>
      </c>
      <c r="Q2109">
        <f>IF($O2109="","",INDEX(Suivi!$E:$E,2149))</f>
        <v/>
      </c>
      <c r="R2109">
        <f>IF($O2109="","",INDEX(Suivi!$F:$F,2149))</f>
        <v/>
      </c>
      <c r="S2109">
        <f>IF($O2109="","",INDEX(Suivi!$G:$G,2149))</f>
        <v/>
      </c>
      <c r="T2109">
        <f>IF($O2109="","",IF(INDEX(Dossiers!$F$4:$F$63,40)="","",INDEX(Dossiers!$F$4:$F$63,40)))</f>
        <v/>
      </c>
      <c r="U2109">
        <f>IF($O2109="","",IF(INDEX(Dossiers!$G$4:$G$63,40)="","",INDEX(Dossiers!$G$4:$G$63,40)))</f>
        <v/>
      </c>
      <c r="V2109">
        <f>IF(OR($O2109="",NOT(ISNUMBER($Q2109))),"",$Q2109*1000000+2109)</f>
        <v/>
      </c>
      <c r="W2109" s="29">
        <f>IF($B2109="","",IFERROR(INDEX($U$4:$U$3183,MATCH(SMALL($V$4:$V$3183,2106),$V$4:$V$3183,0)),""))</f>
        <v/>
      </c>
    </row>
    <row r="2110">
      <c r="A2110">
        <f>IFERROR(INDEX($N$4:$N$3183,MATCH(SMALL($V$4:$V$3183,2107),$V$4:$V$3183,0)),"")</f>
        <v/>
      </c>
      <c r="B2110">
        <f>IFERROR(INDEX($O$4:$O$3183,MATCH(SMALL($V$4:$V$3183,2107),$V$4:$V$3183,0)),"")</f>
        <v/>
      </c>
      <c r="C2110">
        <f>IFERROR(INDEX($P$4:$P$3183,MATCH(SMALL($V$4:$V$3183,2107),$V$4:$V$3183,0)),"")</f>
        <v/>
      </c>
      <c r="D2110" s="29">
        <f>IFERROR(INDEX($Q$4:$Q$3183,MATCH(SMALL($V$4:$V$3183,2107),$V$4:$V$3183,0)),"")</f>
        <v/>
      </c>
      <c r="E2110" s="29">
        <f>IFERROR(INDEX($R$4:$R$3183,MATCH(SMALL($V$4:$V$3183,2107),$V$4:$V$3183,0)),"")</f>
        <v/>
      </c>
      <c r="F2110">
        <f>IFERROR(INDEX($S$4:$S$3183,MATCH(SMALL($V$4:$V$3183,2107),$V$4:$V$3183,0)),"")</f>
        <v/>
      </c>
      <c r="I2110" s="29">
        <f>IF($B2110="","",IFERROR(INDEX($U$4:$U$3183,MATCH(SMALL($V$4:$V$3183,2107),$V$4:$V$3183,0)),""))</f>
        <v/>
      </c>
      <c r="J2110">
        <f>IF($B2110="","",IF($D2110&gt;$F$2,"À venir",IF($E2110&lt;$D$2,"Passé","Dans la période")))</f>
        <v/>
      </c>
      <c r="K2110">
        <f>IF(OR($B2110="",NOT(ISNUMBER($D2110))),"",IF(AND($E2110&lt;$D$2,$G2110&lt;&gt;"X",$F2110&lt;&gt;"Réalisé",$F2110&lt;&gt;"Clôturé"),"RETARD",""))</f>
        <v/>
      </c>
      <c r="L2110">
        <f>IF(OR($B2110="",NOT(ISNUMBER($D2110))),"",IF(AND($D2110&gt;=$D$2,$D2110&lt;=$H$2,$G2110&lt;&gt;"X",$F2110&lt;&gt;"Réalisé",$F2110&lt;&gt;"Clôturé"),"≤ 7 j",""))</f>
        <v/>
      </c>
      <c r="M2110" s="29">
        <f>IF($B2110="","",IFERROR(INDEX($T$4:$T$3183,MATCH(SMALL($V$4:$V$3183,2107),$V$4:$V$3183,0)),""))</f>
        <v/>
      </c>
      <c r="O2110">
        <f>IF(INDEX(Suivi!$B:$B,2150)="","",INDEX(Suivi!$B:$B,2150))</f>
        <v/>
      </c>
      <c r="P2110">
        <f>IF($O2110="","",IF(INDEX(Suivi!$D:$D,2150)="",INDEX(Suivi!$C:$C,2150),INDEX(Suivi!$D:$D,2150)))</f>
        <v/>
      </c>
      <c r="Q2110">
        <f>IF($O2110="","",INDEX(Suivi!$E:$E,2150))</f>
        <v/>
      </c>
      <c r="R2110">
        <f>IF($O2110="","",INDEX(Suivi!$F:$F,2150))</f>
        <v/>
      </c>
      <c r="S2110">
        <f>IF($O2110="","",INDEX(Suivi!$G:$G,2150))</f>
        <v/>
      </c>
      <c r="T2110">
        <f>IF($O2110="","",IF(INDEX(Dossiers!$F$4:$F$63,40)="","",INDEX(Dossiers!$F$4:$F$63,40)))</f>
        <v/>
      </c>
      <c r="U2110">
        <f>IF($O2110="","",IF(INDEX(Dossiers!$G$4:$G$63,40)="","",INDEX(Dossiers!$G$4:$G$63,40)))</f>
        <v/>
      </c>
      <c r="V2110">
        <f>IF(OR($O2110="",NOT(ISNUMBER($Q2110))),"",$Q2110*1000000+2110)</f>
        <v/>
      </c>
      <c r="W2110" s="29">
        <f>IF($B2110="","",IFERROR(INDEX($U$4:$U$3183,MATCH(SMALL($V$4:$V$3183,2107),$V$4:$V$3183,0)),""))</f>
        <v/>
      </c>
    </row>
    <row r="2111">
      <c r="A2111">
        <f>IFERROR(INDEX($N$4:$N$3183,MATCH(SMALL($V$4:$V$3183,2108),$V$4:$V$3183,0)),"")</f>
        <v/>
      </c>
      <c r="B2111">
        <f>IFERROR(INDEX($O$4:$O$3183,MATCH(SMALL($V$4:$V$3183,2108),$V$4:$V$3183,0)),"")</f>
        <v/>
      </c>
      <c r="C2111">
        <f>IFERROR(INDEX($P$4:$P$3183,MATCH(SMALL($V$4:$V$3183,2108),$V$4:$V$3183,0)),"")</f>
        <v/>
      </c>
      <c r="D2111" s="29">
        <f>IFERROR(INDEX($Q$4:$Q$3183,MATCH(SMALL($V$4:$V$3183,2108),$V$4:$V$3183,0)),"")</f>
        <v/>
      </c>
      <c r="E2111" s="29">
        <f>IFERROR(INDEX($R$4:$R$3183,MATCH(SMALL($V$4:$V$3183,2108),$V$4:$V$3183,0)),"")</f>
        <v/>
      </c>
      <c r="F2111">
        <f>IFERROR(INDEX($S$4:$S$3183,MATCH(SMALL($V$4:$V$3183,2108),$V$4:$V$3183,0)),"")</f>
        <v/>
      </c>
      <c r="I2111" s="29">
        <f>IF($B2111="","",IFERROR(INDEX($U$4:$U$3183,MATCH(SMALL($V$4:$V$3183,2108),$V$4:$V$3183,0)),""))</f>
        <v/>
      </c>
      <c r="J2111">
        <f>IF($B2111="","",IF($D2111&gt;$F$2,"À venir",IF($E2111&lt;$D$2,"Passé","Dans la période")))</f>
        <v/>
      </c>
      <c r="K2111">
        <f>IF(OR($B2111="",NOT(ISNUMBER($D2111))),"",IF(AND($E2111&lt;$D$2,$G2111&lt;&gt;"X",$F2111&lt;&gt;"Réalisé",$F2111&lt;&gt;"Clôturé"),"RETARD",""))</f>
        <v/>
      </c>
      <c r="L2111">
        <f>IF(OR($B2111="",NOT(ISNUMBER($D2111))),"",IF(AND($D2111&gt;=$D$2,$D2111&lt;=$H$2,$G2111&lt;&gt;"X",$F2111&lt;&gt;"Réalisé",$F2111&lt;&gt;"Clôturé"),"≤ 7 j",""))</f>
        <v/>
      </c>
      <c r="M2111" s="29">
        <f>IF($B2111="","",IFERROR(INDEX($T$4:$T$3183,MATCH(SMALL($V$4:$V$3183,2108),$V$4:$V$3183,0)),""))</f>
        <v/>
      </c>
      <c r="O2111">
        <f>IF(INDEX(Suivi!$B:$B,2151)="","",INDEX(Suivi!$B:$B,2151))</f>
        <v/>
      </c>
      <c r="P2111">
        <f>IF($O2111="","",IF(INDEX(Suivi!$D:$D,2151)="",INDEX(Suivi!$C:$C,2151),INDEX(Suivi!$D:$D,2151)))</f>
        <v/>
      </c>
      <c r="Q2111">
        <f>IF($O2111="","",INDEX(Suivi!$E:$E,2151))</f>
        <v/>
      </c>
      <c r="R2111">
        <f>IF($O2111="","",INDEX(Suivi!$F:$F,2151))</f>
        <v/>
      </c>
      <c r="S2111">
        <f>IF($O2111="","",INDEX(Suivi!$G:$G,2151))</f>
        <v/>
      </c>
      <c r="T2111">
        <f>IF($O2111="","",IF(INDEX(Dossiers!$F$4:$F$63,40)="","",INDEX(Dossiers!$F$4:$F$63,40)))</f>
        <v/>
      </c>
      <c r="U2111">
        <f>IF($O2111="","",IF(INDEX(Dossiers!$G$4:$G$63,40)="","",INDEX(Dossiers!$G$4:$G$63,40)))</f>
        <v/>
      </c>
      <c r="V2111">
        <f>IF(OR($O2111="",NOT(ISNUMBER($Q2111))),"",$Q2111*1000000+2111)</f>
        <v/>
      </c>
      <c r="W2111" s="29">
        <f>IF($B2111="","",IFERROR(INDEX($U$4:$U$3183,MATCH(SMALL($V$4:$V$3183,2108),$V$4:$V$3183,0)),""))</f>
        <v/>
      </c>
    </row>
    <row r="2112">
      <c r="A2112">
        <f>IFERROR(INDEX($N$4:$N$3183,MATCH(SMALL($V$4:$V$3183,2109),$V$4:$V$3183,0)),"")</f>
        <v/>
      </c>
      <c r="B2112">
        <f>IFERROR(INDEX($O$4:$O$3183,MATCH(SMALL($V$4:$V$3183,2109),$V$4:$V$3183,0)),"")</f>
        <v/>
      </c>
      <c r="C2112">
        <f>IFERROR(INDEX($P$4:$P$3183,MATCH(SMALL($V$4:$V$3183,2109),$V$4:$V$3183,0)),"")</f>
        <v/>
      </c>
      <c r="D2112" s="29">
        <f>IFERROR(INDEX($Q$4:$Q$3183,MATCH(SMALL($V$4:$V$3183,2109),$V$4:$V$3183,0)),"")</f>
        <v/>
      </c>
      <c r="E2112" s="29">
        <f>IFERROR(INDEX($R$4:$R$3183,MATCH(SMALL($V$4:$V$3183,2109),$V$4:$V$3183,0)),"")</f>
        <v/>
      </c>
      <c r="F2112">
        <f>IFERROR(INDEX($S$4:$S$3183,MATCH(SMALL($V$4:$V$3183,2109),$V$4:$V$3183,0)),"")</f>
        <v/>
      </c>
      <c r="I2112" s="29">
        <f>IF($B2112="","",IFERROR(INDEX($U$4:$U$3183,MATCH(SMALL($V$4:$V$3183,2109),$V$4:$V$3183,0)),""))</f>
        <v/>
      </c>
      <c r="J2112">
        <f>IF($B2112="","",IF($D2112&gt;$F$2,"À venir",IF($E2112&lt;$D$2,"Passé","Dans la période")))</f>
        <v/>
      </c>
      <c r="K2112">
        <f>IF(OR($B2112="",NOT(ISNUMBER($D2112))),"",IF(AND($E2112&lt;$D$2,$G2112&lt;&gt;"X",$F2112&lt;&gt;"Réalisé",$F2112&lt;&gt;"Clôturé"),"RETARD",""))</f>
        <v/>
      </c>
      <c r="L2112">
        <f>IF(OR($B2112="",NOT(ISNUMBER($D2112))),"",IF(AND($D2112&gt;=$D$2,$D2112&lt;=$H$2,$G2112&lt;&gt;"X",$F2112&lt;&gt;"Réalisé",$F2112&lt;&gt;"Clôturé"),"≤ 7 j",""))</f>
        <v/>
      </c>
      <c r="M2112" s="29">
        <f>IF($B2112="","",IFERROR(INDEX($T$4:$T$3183,MATCH(SMALL($V$4:$V$3183,2109),$V$4:$V$3183,0)),""))</f>
        <v/>
      </c>
      <c r="O2112">
        <f>IF(INDEX(Suivi!$B:$B,2152)="","",INDEX(Suivi!$B:$B,2152))</f>
        <v/>
      </c>
      <c r="P2112">
        <f>IF($O2112="","",IF(INDEX(Suivi!$D:$D,2152)="",INDEX(Suivi!$C:$C,2152),INDEX(Suivi!$D:$D,2152)))</f>
        <v/>
      </c>
      <c r="Q2112">
        <f>IF($O2112="","",INDEX(Suivi!$E:$E,2152))</f>
        <v/>
      </c>
      <c r="R2112">
        <f>IF($O2112="","",INDEX(Suivi!$F:$F,2152))</f>
        <v/>
      </c>
      <c r="S2112">
        <f>IF($O2112="","",INDEX(Suivi!$G:$G,2152))</f>
        <v/>
      </c>
      <c r="T2112">
        <f>IF($O2112="","",IF(INDEX(Dossiers!$F$4:$F$63,40)="","",INDEX(Dossiers!$F$4:$F$63,40)))</f>
        <v/>
      </c>
      <c r="U2112">
        <f>IF($O2112="","",IF(INDEX(Dossiers!$G$4:$G$63,40)="","",INDEX(Dossiers!$G$4:$G$63,40)))</f>
        <v/>
      </c>
      <c r="V2112">
        <f>IF(OR($O2112="",NOT(ISNUMBER($Q2112))),"",$Q2112*1000000+2112)</f>
        <v/>
      </c>
      <c r="W2112" s="29">
        <f>IF($B2112="","",IFERROR(INDEX($U$4:$U$3183,MATCH(SMALL($V$4:$V$3183,2109),$V$4:$V$3183,0)),""))</f>
        <v/>
      </c>
    </row>
    <row r="2113">
      <c r="A2113">
        <f>IFERROR(INDEX($N$4:$N$3183,MATCH(SMALL($V$4:$V$3183,2110),$V$4:$V$3183,0)),"")</f>
        <v/>
      </c>
      <c r="B2113">
        <f>IFERROR(INDEX($O$4:$O$3183,MATCH(SMALL($V$4:$V$3183,2110),$V$4:$V$3183,0)),"")</f>
        <v/>
      </c>
      <c r="C2113">
        <f>IFERROR(INDEX($P$4:$P$3183,MATCH(SMALL($V$4:$V$3183,2110),$V$4:$V$3183,0)),"")</f>
        <v/>
      </c>
      <c r="D2113" s="29">
        <f>IFERROR(INDEX($Q$4:$Q$3183,MATCH(SMALL($V$4:$V$3183,2110),$V$4:$V$3183,0)),"")</f>
        <v/>
      </c>
      <c r="E2113" s="29">
        <f>IFERROR(INDEX($R$4:$R$3183,MATCH(SMALL($V$4:$V$3183,2110),$V$4:$V$3183,0)),"")</f>
        <v/>
      </c>
      <c r="F2113">
        <f>IFERROR(INDEX($S$4:$S$3183,MATCH(SMALL($V$4:$V$3183,2110),$V$4:$V$3183,0)),"")</f>
        <v/>
      </c>
      <c r="I2113" s="29">
        <f>IF($B2113="","",IFERROR(INDEX($U$4:$U$3183,MATCH(SMALL($V$4:$V$3183,2110),$V$4:$V$3183,0)),""))</f>
        <v/>
      </c>
      <c r="J2113">
        <f>IF($B2113="","",IF($D2113&gt;$F$2,"À venir",IF($E2113&lt;$D$2,"Passé","Dans la période")))</f>
        <v/>
      </c>
      <c r="K2113">
        <f>IF(OR($B2113="",NOT(ISNUMBER($D2113))),"",IF(AND($E2113&lt;$D$2,$G2113&lt;&gt;"X",$F2113&lt;&gt;"Réalisé",$F2113&lt;&gt;"Clôturé"),"RETARD",""))</f>
        <v/>
      </c>
      <c r="L2113">
        <f>IF(OR($B2113="",NOT(ISNUMBER($D2113))),"",IF(AND($D2113&gt;=$D$2,$D2113&lt;=$H$2,$G2113&lt;&gt;"X",$F2113&lt;&gt;"Réalisé",$F2113&lt;&gt;"Clôturé"),"≤ 7 j",""))</f>
        <v/>
      </c>
      <c r="M2113" s="29">
        <f>IF($B2113="","",IFERROR(INDEX($T$4:$T$3183,MATCH(SMALL($V$4:$V$3183,2110),$V$4:$V$3183,0)),""))</f>
        <v/>
      </c>
      <c r="O2113">
        <f>IF(INDEX(Suivi!$B:$B,2153)="","",INDEX(Suivi!$B:$B,2153))</f>
        <v/>
      </c>
      <c r="P2113">
        <f>IF($O2113="","",IF(INDEX(Suivi!$D:$D,2153)="",INDEX(Suivi!$C:$C,2153),INDEX(Suivi!$D:$D,2153)))</f>
        <v/>
      </c>
      <c r="Q2113">
        <f>IF($O2113="","",INDEX(Suivi!$E:$E,2153))</f>
        <v/>
      </c>
      <c r="R2113">
        <f>IF($O2113="","",INDEX(Suivi!$F:$F,2153))</f>
        <v/>
      </c>
      <c r="S2113">
        <f>IF($O2113="","",INDEX(Suivi!$G:$G,2153))</f>
        <v/>
      </c>
      <c r="T2113">
        <f>IF($O2113="","",IF(INDEX(Dossiers!$F$4:$F$63,40)="","",INDEX(Dossiers!$F$4:$F$63,40)))</f>
        <v/>
      </c>
      <c r="U2113">
        <f>IF($O2113="","",IF(INDEX(Dossiers!$G$4:$G$63,40)="","",INDEX(Dossiers!$G$4:$G$63,40)))</f>
        <v/>
      </c>
      <c r="V2113">
        <f>IF(OR($O2113="",NOT(ISNUMBER($Q2113))),"",$Q2113*1000000+2113)</f>
        <v/>
      </c>
      <c r="W2113" s="29">
        <f>IF($B2113="","",IFERROR(INDEX($U$4:$U$3183,MATCH(SMALL($V$4:$V$3183,2110),$V$4:$V$3183,0)),""))</f>
        <v/>
      </c>
    </row>
    <row r="2114">
      <c r="A2114">
        <f>IFERROR(INDEX($N$4:$N$3183,MATCH(SMALL($V$4:$V$3183,2111),$V$4:$V$3183,0)),"")</f>
        <v/>
      </c>
      <c r="B2114">
        <f>IFERROR(INDEX($O$4:$O$3183,MATCH(SMALL($V$4:$V$3183,2111),$V$4:$V$3183,0)),"")</f>
        <v/>
      </c>
      <c r="C2114">
        <f>IFERROR(INDEX($P$4:$P$3183,MATCH(SMALL($V$4:$V$3183,2111),$V$4:$V$3183,0)),"")</f>
        <v/>
      </c>
      <c r="D2114" s="29">
        <f>IFERROR(INDEX($Q$4:$Q$3183,MATCH(SMALL($V$4:$V$3183,2111),$V$4:$V$3183,0)),"")</f>
        <v/>
      </c>
      <c r="E2114" s="29">
        <f>IFERROR(INDEX($R$4:$R$3183,MATCH(SMALL($V$4:$V$3183,2111),$V$4:$V$3183,0)),"")</f>
        <v/>
      </c>
      <c r="F2114">
        <f>IFERROR(INDEX($S$4:$S$3183,MATCH(SMALL($V$4:$V$3183,2111),$V$4:$V$3183,0)),"")</f>
        <v/>
      </c>
      <c r="I2114" s="29">
        <f>IF($B2114="","",IFERROR(INDEX($U$4:$U$3183,MATCH(SMALL($V$4:$V$3183,2111),$V$4:$V$3183,0)),""))</f>
        <v/>
      </c>
      <c r="J2114">
        <f>IF($B2114="","",IF($D2114&gt;$F$2,"À venir",IF($E2114&lt;$D$2,"Passé","Dans la période")))</f>
        <v/>
      </c>
      <c r="K2114">
        <f>IF(OR($B2114="",NOT(ISNUMBER($D2114))),"",IF(AND($E2114&lt;$D$2,$G2114&lt;&gt;"X",$F2114&lt;&gt;"Réalisé",$F2114&lt;&gt;"Clôturé"),"RETARD",""))</f>
        <v/>
      </c>
      <c r="L2114">
        <f>IF(OR($B2114="",NOT(ISNUMBER($D2114))),"",IF(AND($D2114&gt;=$D$2,$D2114&lt;=$H$2,$G2114&lt;&gt;"X",$F2114&lt;&gt;"Réalisé",$F2114&lt;&gt;"Clôturé"),"≤ 7 j",""))</f>
        <v/>
      </c>
      <c r="M2114" s="29">
        <f>IF($B2114="","",IFERROR(INDEX($T$4:$T$3183,MATCH(SMALL($V$4:$V$3183,2111),$V$4:$V$3183,0)),""))</f>
        <v/>
      </c>
      <c r="O2114">
        <f>IF(INDEX(Suivi!$B:$B,2154)="","",INDEX(Suivi!$B:$B,2154))</f>
        <v/>
      </c>
      <c r="P2114">
        <f>IF($O2114="","",IF(INDEX(Suivi!$D:$D,2154)="",INDEX(Suivi!$C:$C,2154),INDEX(Suivi!$D:$D,2154)))</f>
        <v/>
      </c>
      <c r="Q2114">
        <f>IF($O2114="","",INDEX(Suivi!$E:$E,2154))</f>
        <v/>
      </c>
      <c r="R2114">
        <f>IF($O2114="","",INDEX(Suivi!$F:$F,2154))</f>
        <v/>
      </c>
      <c r="S2114">
        <f>IF($O2114="","",INDEX(Suivi!$G:$G,2154))</f>
        <v/>
      </c>
      <c r="T2114">
        <f>IF($O2114="","",IF(INDEX(Dossiers!$F$4:$F$63,40)="","",INDEX(Dossiers!$F$4:$F$63,40)))</f>
        <v/>
      </c>
      <c r="U2114">
        <f>IF($O2114="","",IF(INDEX(Dossiers!$G$4:$G$63,40)="","",INDEX(Dossiers!$G$4:$G$63,40)))</f>
        <v/>
      </c>
      <c r="V2114">
        <f>IF(OR($O2114="",NOT(ISNUMBER($Q2114))),"",$Q2114*1000000+2114)</f>
        <v/>
      </c>
      <c r="W2114" s="29">
        <f>IF($B2114="","",IFERROR(INDEX($U$4:$U$3183,MATCH(SMALL($V$4:$V$3183,2111),$V$4:$V$3183,0)),""))</f>
        <v/>
      </c>
    </row>
    <row r="2115">
      <c r="A2115">
        <f>IFERROR(INDEX($N$4:$N$3183,MATCH(SMALL($V$4:$V$3183,2112),$V$4:$V$3183,0)),"")</f>
        <v/>
      </c>
      <c r="B2115">
        <f>IFERROR(INDEX($O$4:$O$3183,MATCH(SMALL($V$4:$V$3183,2112),$V$4:$V$3183,0)),"")</f>
        <v/>
      </c>
      <c r="C2115">
        <f>IFERROR(INDEX($P$4:$P$3183,MATCH(SMALL($V$4:$V$3183,2112),$V$4:$V$3183,0)),"")</f>
        <v/>
      </c>
      <c r="D2115" s="29">
        <f>IFERROR(INDEX($Q$4:$Q$3183,MATCH(SMALL($V$4:$V$3183,2112),$V$4:$V$3183,0)),"")</f>
        <v/>
      </c>
      <c r="E2115" s="29">
        <f>IFERROR(INDEX($R$4:$R$3183,MATCH(SMALL($V$4:$V$3183,2112),$V$4:$V$3183,0)),"")</f>
        <v/>
      </c>
      <c r="F2115">
        <f>IFERROR(INDEX($S$4:$S$3183,MATCH(SMALL($V$4:$V$3183,2112),$V$4:$V$3183,0)),"")</f>
        <v/>
      </c>
      <c r="I2115" s="29">
        <f>IF($B2115="","",IFERROR(INDEX($U$4:$U$3183,MATCH(SMALL($V$4:$V$3183,2112),$V$4:$V$3183,0)),""))</f>
        <v/>
      </c>
      <c r="J2115">
        <f>IF($B2115="","",IF($D2115&gt;$F$2,"À venir",IF($E2115&lt;$D$2,"Passé","Dans la période")))</f>
        <v/>
      </c>
      <c r="K2115">
        <f>IF(OR($B2115="",NOT(ISNUMBER($D2115))),"",IF(AND($E2115&lt;$D$2,$G2115&lt;&gt;"X",$F2115&lt;&gt;"Réalisé",$F2115&lt;&gt;"Clôturé"),"RETARD",""))</f>
        <v/>
      </c>
      <c r="L2115">
        <f>IF(OR($B2115="",NOT(ISNUMBER($D2115))),"",IF(AND($D2115&gt;=$D$2,$D2115&lt;=$H$2,$G2115&lt;&gt;"X",$F2115&lt;&gt;"Réalisé",$F2115&lt;&gt;"Clôturé"),"≤ 7 j",""))</f>
        <v/>
      </c>
      <c r="M2115" s="29">
        <f>IF($B2115="","",IFERROR(INDEX($T$4:$T$3183,MATCH(SMALL($V$4:$V$3183,2112),$V$4:$V$3183,0)),""))</f>
        <v/>
      </c>
      <c r="O2115">
        <f>IF(INDEX(Suivi!$B:$B,2155)="","",INDEX(Suivi!$B:$B,2155))</f>
        <v/>
      </c>
      <c r="P2115">
        <f>IF($O2115="","",IF(INDEX(Suivi!$D:$D,2155)="",INDEX(Suivi!$C:$C,2155),INDEX(Suivi!$D:$D,2155)))</f>
        <v/>
      </c>
      <c r="Q2115">
        <f>IF($O2115="","",INDEX(Suivi!$E:$E,2155))</f>
        <v/>
      </c>
      <c r="R2115">
        <f>IF($O2115="","",INDEX(Suivi!$F:$F,2155))</f>
        <v/>
      </c>
      <c r="S2115">
        <f>IF($O2115="","",INDEX(Suivi!$G:$G,2155))</f>
        <v/>
      </c>
      <c r="T2115">
        <f>IF($O2115="","",IF(INDEX(Dossiers!$F$4:$F$63,40)="","",INDEX(Dossiers!$F$4:$F$63,40)))</f>
        <v/>
      </c>
      <c r="U2115">
        <f>IF($O2115="","",IF(INDEX(Dossiers!$G$4:$G$63,40)="","",INDEX(Dossiers!$G$4:$G$63,40)))</f>
        <v/>
      </c>
      <c r="V2115">
        <f>IF(OR($O2115="",NOT(ISNUMBER($Q2115))),"",$Q2115*1000000+2115)</f>
        <v/>
      </c>
      <c r="W2115" s="29">
        <f>IF($B2115="","",IFERROR(INDEX($U$4:$U$3183,MATCH(SMALL($V$4:$V$3183,2112),$V$4:$V$3183,0)),""))</f>
        <v/>
      </c>
    </row>
    <row r="2116">
      <c r="A2116">
        <f>IFERROR(INDEX($N$4:$N$3183,MATCH(SMALL($V$4:$V$3183,2113),$V$4:$V$3183,0)),"")</f>
        <v/>
      </c>
      <c r="B2116">
        <f>IFERROR(INDEX($O$4:$O$3183,MATCH(SMALL($V$4:$V$3183,2113),$V$4:$V$3183,0)),"")</f>
        <v/>
      </c>
      <c r="C2116">
        <f>IFERROR(INDEX($P$4:$P$3183,MATCH(SMALL($V$4:$V$3183,2113),$V$4:$V$3183,0)),"")</f>
        <v/>
      </c>
      <c r="D2116" s="29">
        <f>IFERROR(INDEX($Q$4:$Q$3183,MATCH(SMALL($V$4:$V$3183,2113),$V$4:$V$3183,0)),"")</f>
        <v/>
      </c>
      <c r="E2116" s="29">
        <f>IFERROR(INDEX($R$4:$R$3183,MATCH(SMALL($V$4:$V$3183,2113),$V$4:$V$3183,0)),"")</f>
        <v/>
      </c>
      <c r="F2116">
        <f>IFERROR(INDEX($S$4:$S$3183,MATCH(SMALL($V$4:$V$3183,2113),$V$4:$V$3183,0)),"")</f>
        <v/>
      </c>
      <c r="I2116" s="29">
        <f>IF($B2116="","",IFERROR(INDEX($U$4:$U$3183,MATCH(SMALL($V$4:$V$3183,2113),$V$4:$V$3183,0)),""))</f>
        <v/>
      </c>
      <c r="J2116">
        <f>IF($B2116="","",IF($D2116&gt;$F$2,"À venir",IF($E2116&lt;$D$2,"Passé","Dans la période")))</f>
        <v/>
      </c>
      <c r="K2116">
        <f>IF(OR($B2116="",NOT(ISNUMBER($D2116))),"",IF(AND($E2116&lt;$D$2,$G2116&lt;&gt;"X",$F2116&lt;&gt;"Réalisé",$F2116&lt;&gt;"Clôturé"),"RETARD",""))</f>
        <v/>
      </c>
      <c r="L2116">
        <f>IF(OR($B2116="",NOT(ISNUMBER($D2116))),"",IF(AND($D2116&gt;=$D$2,$D2116&lt;=$H$2,$G2116&lt;&gt;"X",$F2116&lt;&gt;"Réalisé",$F2116&lt;&gt;"Clôturé"),"≤ 7 j",""))</f>
        <v/>
      </c>
      <c r="M2116" s="29">
        <f>IF($B2116="","",IFERROR(INDEX($T$4:$T$3183,MATCH(SMALL($V$4:$V$3183,2113),$V$4:$V$3183,0)),""))</f>
        <v/>
      </c>
      <c r="O2116">
        <f>IF(INDEX(Suivi!$B:$B,2156)="","",INDEX(Suivi!$B:$B,2156))</f>
        <v/>
      </c>
      <c r="P2116">
        <f>IF($O2116="","",IF(INDEX(Suivi!$D:$D,2156)="",INDEX(Suivi!$C:$C,2156),INDEX(Suivi!$D:$D,2156)))</f>
        <v/>
      </c>
      <c r="Q2116">
        <f>IF($O2116="","",INDEX(Suivi!$E:$E,2156))</f>
        <v/>
      </c>
      <c r="R2116">
        <f>IF($O2116="","",INDEX(Suivi!$F:$F,2156))</f>
        <v/>
      </c>
      <c r="S2116">
        <f>IF($O2116="","",INDEX(Suivi!$G:$G,2156))</f>
        <v/>
      </c>
      <c r="T2116">
        <f>IF($O2116="","",IF(INDEX(Dossiers!$F$4:$F$63,40)="","",INDEX(Dossiers!$F$4:$F$63,40)))</f>
        <v/>
      </c>
      <c r="U2116">
        <f>IF($O2116="","",IF(INDEX(Dossiers!$G$4:$G$63,40)="","",INDEX(Dossiers!$G$4:$G$63,40)))</f>
        <v/>
      </c>
      <c r="V2116">
        <f>IF(OR($O2116="",NOT(ISNUMBER($Q2116))),"",$Q2116*1000000+2116)</f>
        <v/>
      </c>
      <c r="W2116" s="29">
        <f>IF($B2116="","",IFERROR(INDEX($U$4:$U$3183,MATCH(SMALL($V$4:$V$3183,2113),$V$4:$V$3183,0)),""))</f>
        <v/>
      </c>
    </row>
    <row r="2117">
      <c r="A2117">
        <f>IFERROR(INDEX($N$4:$N$3183,MATCH(SMALL($V$4:$V$3183,2114),$V$4:$V$3183,0)),"")</f>
        <v/>
      </c>
      <c r="B2117">
        <f>IFERROR(INDEX($O$4:$O$3183,MATCH(SMALL($V$4:$V$3183,2114),$V$4:$V$3183,0)),"")</f>
        <v/>
      </c>
      <c r="C2117">
        <f>IFERROR(INDEX($P$4:$P$3183,MATCH(SMALL($V$4:$V$3183,2114),$V$4:$V$3183,0)),"")</f>
        <v/>
      </c>
      <c r="D2117" s="29">
        <f>IFERROR(INDEX($Q$4:$Q$3183,MATCH(SMALL($V$4:$V$3183,2114),$V$4:$V$3183,0)),"")</f>
        <v/>
      </c>
      <c r="E2117" s="29">
        <f>IFERROR(INDEX($R$4:$R$3183,MATCH(SMALL($V$4:$V$3183,2114),$V$4:$V$3183,0)),"")</f>
        <v/>
      </c>
      <c r="F2117">
        <f>IFERROR(INDEX($S$4:$S$3183,MATCH(SMALL($V$4:$V$3183,2114),$V$4:$V$3183,0)),"")</f>
        <v/>
      </c>
      <c r="I2117" s="29">
        <f>IF($B2117="","",IFERROR(INDEX($U$4:$U$3183,MATCH(SMALL($V$4:$V$3183,2114),$V$4:$V$3183,0)),""))</f>
        <v/>
      </c>
      <c r="J2117">
        <f>IF($B2117="","",IF($D2117&gt;$F$2,"À venir",IF($E2117&lt;$D$2,"Passé","Dans la période")))</f>
        <v/>
      </c>
      <c r="K2117">
        <f>IF(OR($B2117="",NOT(ISNUMBER($D2117))),"",IF(AND($E2117&lt;$D$2,$G2117&lt;&gt;"X",$F2117&lt;&gt;"Réalisé",$F2117&lt;&gt;"Clôturé"),"RETARD",""))</f>
        <v/>
      </c>
      <c r="L2117">
        <f>IF(OR($B2117="",NOT(ISNUMBER($D2117))),"",IF(AND($D2117&gt;=$D$2,$D2117&lt;=$H$2,$G2117&lt;&gt;"X",$F2117&lt;&gt;"Réalisé",$F2117&lt;&gt;"Clôturé"),"≤ 7 j",""))</f>
        <v/>
      </c>
      <c r="M2117" s="29">
        <f>IF($B2117="","",IFERROR(INDEX($T$4:$T$3183,MATCH(SMALL($V$4:$V$3183,2114),$V$4:$V$3183,0)),""))</f>
        <v/>
      </c>
      <c r="O2117">
        <f>IF(INDEX(Suivi!$B:$B,2157)="","",INDEX(Suivi!$B:$B,2157))</f>
        <v/>
      </c>
      <c r="P2117">
        <f>IF($O2117="","",IF(INDEX(Suivi!$D:$D,2157)="",INDEX(Suivi!$C:$C,2157),INDEX(Suivi!$D:$D,2157)))</f>
        <v/>
      </c>
      <c r="Q2117">
        <f>IF($O2117="","",INDEX(Suivi!$E:$E,2157))</f>
        <v/>
      </c>
      <c r="R2117">
        <f>IF($O2117="","",INDEX(Suivi!$F:$F,2157))</f>
        <v/>
      </c>
      <c r="S2117">
        <f>IF($O2117="","",INDEX(Suivi!$G:$G,2157))</f>
        <v/>
      </c>
      <c r="T2117">
        <f>IF($O2117="","",IF(INDEX(Dossiers!$F$4:$F$63,40)="","",INDEX(Dossiers!$F$4:$F$63,40)))</f>
        <v/>
      </c>
      <c r="U2117">
        <f>IF($O2117="","",IF(INDEX(Dossiers!$G$4:$G$63,40)="","",INDEX(Dossiers!$G$4:$G$63,40)))</f>
        <v/>
      </c>
      <c r="V2117">
        <f>IF(OR($O2117="",NOT(ISNUMBER($Q2117))),"",$Q2117*1000000+2117)</f>
        <v/>
      </c>
      <c r="W2117" s="29">
        <f>IF($B2117="","",IFERROR(INDEX($U$4:$U$3183,MATCH(SMALL($V$4:$V$3183,2114),$V$4:$V$3183,0)),""))</f>
        <v/>
      </c>
    </row>
    <row r="2118">
      <c r="A2118">
        <f>IFERROR(INDEX($N$4:$N$3183,MATCH(SMALL($V$4:$V$3183,2115),$V$4:$V$3183,0)),"")</f>
        <v/>
      </c>
      <c r="B2118">
        <f>IFERROR(INDEX($O$4:$O$3183,MATCH(SMALL($V$4:$V$3183,2115),$V$4:$V$3183,0)),"")</f>
        <v/>
      </c>
      <c r="C2118">
        <f>IFERROR(INDEX($P$4:$P$3183,MATCH(SMALL($V$4:$V$3183,2115),$V$4:$V$3183,0)),"")</f>
        <v/>
      </c>
      <c r="D2118" s="29">
        <f>IFERROR(INDEX($Q$4:$Q$3183,MATCH(SMALL($V$4:$V$3183,2115),$V$4:$V$3183,0)),"")</f>
        <v/>
      </c>
      <c r="E2118" s="29">
        <f>IFERROR(INDEX($R$4:$R$3183,MATCH(SMALL($V$4:$V$3183,2115),$V$4:$V$3183,0)),"")</f>
        <v/>
      </c>
      <c r="F2118">
        <f>IFERROR(INDEX($S$4:$S$3183,MATCH(SMALL($V$4:$V$3183,2115),$V$4:$V$3183,0)),"")</f>
        <v/>
      </c>
      <c r="I2118" s="29">
        <f>IF($B2118="","",IFERROR(INDEX($U$4:$U$3183,MATCH(SMALL($V$4:$V$3183,2115),$V$4:$V$3183,0)),""))</f>
        <v/>
      </c>
      <c r="J2118">
        <f>IF($B2118="","",IF($D2118&gt;$F$2,"À venir",IF($E2118&lt;$D$2,"Passé","Dans la période")))</f>
        <v/>
      </c>
      <c r="K2118">
        <f>IF(OR($B2118="",NOT(ISNUMBER($D2118))),"",IF(AND($E2118&lt;$D$2,$G2118&lt;&gt;"X",$F2118&lt;&gt;"Réalisé",$F2118&lt;&gt;"Clôturé"),"RETARD",""))</f>
        <v/>
      </c>
      <c r="L2118">
        <f>IF(OR($B2118="",NOT(ISNUMBER($D2118))),"",IF(AND($D2118&gt;=$D$2,$D2118&lt;=$H$2,$G2118&lt;&gt;"X",$F2118&lt;&gt;"Réalisé",$F2118&lt;&gt;"Clôturé"),"≤ 7 j",""))</f>
        <v/>
      </c>
      <c r="M2118" s="29">
        <f>IF($B2118="","",IFERROR(INDEX($T$4:$T$3183,MATCH(SMALL($V$4:$V$3183,2115),$V$4:$V$3183,0)),""))</f>
        <v/>
      </c>
      <c r="O2118">
        <f>IF(INDEX(Suivi!$B:$B,2158)="","",INDEX(Suivi!$B:$B,2158))</f>
        <v/>
      </c>
      <c r="P2118">
        <f>IF($O2118="","",IF(INDEX(Suivi!$D:$D,2158)="",INDEX(Suivi!$C:$C,2158),INDEX(Suivi!$D:$D,2158)))</f>
        <v/>
      </c>
      <c r="Q2118">
        <f>IF($O2118="","",INDEX(Suivi!$E:$E,2158))</f>
        <v/>
      </c>
      <c r="R2118">
        <f>IF($O2118="","",INDEX(Suivi!$F:$F,2158))</f>
        <v/>
      </c>
      <c r="S2118">
        <f>IF($O2118="","",INDEX(Suivi!$G:$G,2158))</f>
        <v/>
      </c>
      <c r="T2118">
        <f>IF($O2118="","",IF(INDEX(Dossiers!$F$4:$F$63,40)="","",INDEX(Dossiers!$F$4:$F$63,40)))</f>
        <v/>
      </c>
      <c r="U2118">
        <f>IF($O2118="","",IF(INDEX(Dossiers!$G$4:$G$63,40)="","",INDEX(Dossiers!$G$4:$G$63,40)))</f>
        <v/>
      </c>
      <c r="V2118">
        <f>IF(OR($O2118="",NOT(ISNUMBER($Q2118))),"",$Q2118*1000000+2118)</f>
        <v/>
      </c>
      <c r="W2118" s="29">
        <f>IF($B2118="","",IFERROR(INDEX($U$4:$U$3183,MATCH(SMALL($V$4:$V$3183,2115),$V$4:$V$3183,0)),""))</f>
        <v/>
      </c>
    </row>
    <row r="2119">
      <c r="A2119">
        <f>IFERROR(INDEX($N$4:$N$3183,MATCH(SMALL($V$4:$V$3183,2116),$V$4:$V$3183,0)),"")</f>
        <v/>
      </c>
      <c r="B2119">
        <f>IFERROR(INDEX($O$4:$O$3183,MATCH(SMALL($V$4:$V$3183,2116),$V$4:$V$3183,0)),"")</f>
        <v/>
      </c>
      <c r="C2119">
        <f>IFERROR(INDEX($P$4:$P$3183,MATCH(SMALL($V$4:$V$3183,2116),$V$4:$V$3183,0)),"")</f>
        <v/>
      </c>
      <c r="D2119" s="29">
        <f>IFERROR(INDEX($Q$4:$Q$3183,MATCH(SMALL($V$4:$V$3183,2116),$V$4:$V$3183,0)),"")</f>
        <v/>
      </c>
      <c r="E2119" s="29">
        <f>IFERROR(INDEX($R$4:$R$3183,MATCH(SMALL($V$4:$V$3183,2116),$V$4:$V$3183,0)),"")</f>
        <v/>
      </c>
      <c r="F2119">
        <f>IFERROR(INDEX($S$4:$S$3183,MATCH(SMALL($V$4:$V$3183,2116),$V$4:$V$3183,0)),"")</f>
        <v/>
      </c>
      <c r="I2119" s="29">
        <f>IF($B2119="","",IFERROR(INDEX($U$4:$U$3183,MATCH(SMALL($V$4:$V$3183,2116),$V$4:$V$3183,0)),""))</f>
        <v/>
      </c>
      <c r="J2119">
        <f>IF($B2119="","",IF($D2119&gt;$F$2,"À venir",IF($E2119&lt;$D$2,"Passé","Dans la période")))</f>
        <v/>
      </c>
      <c r="K2119">
        <f>IF(OR($B2119="",NOT(ISNUMBER($D2119))),"",IF(AND($E2119&lt;$D$2,$G2119&lt;&gt;"X",$F2119&lt;&gt;"Réalisé",$F2119&lt;&gt;"Clôturé"),"RETARD",""))</f>
        <v/>
      </c>
      <c r="L2119">
        <f>IF(OR($B2119="",NOT(ISNUMBER($D2119))),"",IF(AND($D2119&gt;=$D$2,$D2119&lt;=$H$2,$G2119&lt;&gt;"X",$F2119&lt;&gt;"Réalisé",$F2119&lt;&gt;"Clôturé"),"≤ 7 j",""))</f>
        <v/>
      </c>
      <c r="M2119" s="29">
        <f>IF($B2119="","",IFERROR(INDEX($T$4:$T$3183,MATCH(SMALL($V$4:$V$3183,2116),$V$4:$V$3183,0)),""))</f>
        <v/>
      </c>
      <c r="O2119">
        <f>IF(INDEX(Suivi!$B:$B,2159)="","",INDEX(Suivi!$B:$B,2159))</f>
        <v/>
      </c>
      <c r="P2119">
        <f>IF($O2119="","",IF(INDEX(Suivi!$D:$D,2159)="",INDEX(Suivi!$C:$C,2159),INDEX(Suivi!$D:$D,2159)))</f>
        <v/>
      </c>
      <c r="Q2119">
        <f>IF($O2119="","",INDEX(Suivi!$E:$E,2159))</f>
        <v/>
      </c>
      <c r="R2119">
        <f>IF($O2119="","",INDEX(Suivi!$F:$F,2159))</f>
        <v/>
      </c>
      <c r="S2119">
        <f>IF($O2119="","",INDEX(Suivi!$G:$G,2159))</f>
        <v/>
      </c>
      <c r="T2119">
        <f>IF($O2119="","",IF(INDEX(Dossiers!$F$4:$F$63,40)="","",INDEX(Dossiers!$F$4:$F$63,40)))</f>
        <v/>
      </c>
      <c r="U2119">
        <f>IF($O2119="","",IF(INDEX(Dossiers!$G$4:$G$63,40)="","",INDEX(Dossiers!$G$4:$G$63,40)))</f>
        <v/>
      </c>
      <c r="V2119">
        <f>IF(OR($O2119="",NOT(ISNUMBER($Q2119))),"",$Q2119*1000000+2119)</f>
        <v/>
      </c>
      <c r="W2119" s="29">
        <f>IF($B2119="","",IFERROR(INDEX($U$4:$U$3183,MATCH(SMALL($V$4:$V$3183,2116),$V$4:$V$3183,0)),""))</f>
        <v/>
      </c>
    </row>
    <row r="2120">
      <c r="A2120">
        <f>IFERROR(INDEX($N$4:$N$3183,MATCH(SMALL($V$4:$V$3183,2117),$V$4:$V$3183,0)),"")</f>
        <v/>
      </c>
      <c r="B2120">
        <f>IFERROR(INDEX($O$4:$O$3183,MATCH(SMALL($V$4:$V$3183,2117),$V$4:$V$3183,0)),"")</f>
        <v/>
      </c>
      <c r="C2120">
        <f>IFERROR(INDEX($P$4:$P$3183,MATCH(SMALL($V$4:$V$3183,2117),$V$4:$V$3183,0)),"")</f>
        <v/>
      </c>
      <c r="D2120" s="29">
        <f>IFERROR(INDEX($Q$4:$Q$3183,MATCH(SMALL($V$4:$V$3183,2117),$V$4:$V$3183,0)),"")</f>
        <v/>
      </c>
      <c r="E2120" s="29">
        <f>IFERROR(INDEX($R$4:$R$3183,MATCH(SMALL($V$4:$V$3183,2117),$V$4:$V$3183,0)),"")</f>
        <v/>
      </c>
      <c r="F2120">
        <f>IFERROR(INDEX($S$4:$S$3183,MATCH(SMALL($V$4:$V$3183,2117),$V$4:$V$3183,0)),"")</f>
        <v/>
      </c>
      <c r="I2120" s="29">
        <f>IF($B2120="","",IFERROR(INDEX($U$4:$U$3183,MATCH(SMALL($V$4:$V$3183,2117),$V$4:$V$3183,0)),""))</f>
        <v/>
      </c>
      <c r="J2120">
        <f>IF($B2120="","",IF($D2120&gt;$F$2,"À venir",IF($E2120&lt;$D$2,"Passé","Dans la période")))</f>
        <v/>
      </c>
      <c r="K2120">
        <f>IF(OR($B2120="",NOT(ISNUMBER($D2120))),"",IF(AND($E2120&lt;$D$2,$G2120&lt;&gt;"X",$F2120&lt;&gt;"Réalisé",$F2120&lt;&gt;"Clôturé"),"RETARD",""))</f>
        <v/>
      </c>
      <c r="L2120">
        <f>IF(OR($B2120="",NOT(ISNUMBER($D2120))),"",IF(AND($D2120&gt;=$D$2,$D2120&lt;=$H$2,$G2120&lt;&gt;"X",$F2120&lt;&gt;"Réalisé",$F2120&lt;&gt;"Clôturé"),"≤ 7 j",""))</f>
        <v/>
      </c>
      <c r="M2120" s="29">
        <f>IF($B2120="","",IFERROR(INDEX($T$4:$T$3183,MATCH(SMALL($V$4:$V$3183,2117),$V$4:$V$3183,0)),""))</f>
        <v/>
      </c>
      <c r="O2120">
        <f>IF(INDEX(Suivi!$B:$B,2160)="","",INDEX(Suivi!$B:$B,2160))</f>
        <v/>
      </c>
      <c r="P2120">
        <f>IF($O2120="","",IF(INDEX(Suivi!$D:$D,2160)="",INDEX(Suivi!$C:$C,2160),INDEX(Suivi!$D:$D,2160)))</f>
        <v/>
      </c>
      <c r="Q2120">
        <f>IF($O2120="","",INDEX(Suivi!$E:$E,2160))</f>
        <v/>
      </c>
      <c r="R2120">
        <f>IF($O2120="","",INDEX(Suivi!$F:$F,2160))</f>
        <v/>
      </c>
      <c r="S2120">
        <f>IF($O2120="","",INDEX(Suivi!$G:$G,2160))</f>
        <v/>
      </c>
      <c r="T2120">
        <f>IF($O2120="","",IF(INDEX(Dossiers!$F$4:$F$63,40)="","",INDEX(Dossiers!$F$4:$F$63,40)))</f>
        <v/>
      </c>
      <c r="U2120">
        <f>IF($O2120="","",IF(INDEX(Dossiers!$G$4:$G$63,40)="","",INDEX(Dossiers!$G$4:$G$63,40)))</f>
        <v/>
      </c>
      <c r="V2120">
        <f>IF(OR($O2120="",NOT(ISNUMBER($Q2120))),"",$Q2120*1000000+2120)</f>
        <v/>
      </c>
      <c r="W2120" s="29">
        <f>IF($B2120="","",IFERROR(INDEX($U$4:$U$3183,MATCH(SMALL($V$4:$V$3183,2117),$V$4:$V$3183,0)),""))</f>
        <v/>
      </c>
    </row>
    <row r="2121">
      <c r="A2121">
        <f>IFERROR(INDEX($N$4:$N$3183,MATCH(SMALL($V$4:$V$3183,2118),$V$4:$V$3183,0)),"")</f>
        <v/>
      </c>
      <c r="B2121">
        <f>IFERROR(INDEX($O$4:$O$3183,MATCH(SMALL($V$4:$V$3183,2118),$V$4:$V$3183,0)),"")</f>
        <v/>
      </c>
      <c r="C2121">
        <f>IFERROR(INDEX($P$4:$P$3183,MATCH(SMALL($V$4:$V$3183,2118),$V$4:$V$3183,0)),"")</f>
        <v/>
      </c>
      <c r="D2121" s="29">
        <f>IFERROR(INDEX($Q$4:$Q$3183,MATCH(SMALL($V$4:$V$3183,2118),$V$4:$V$3183,0)),"")</f>
        <v/>
      </c>
      <c r="E2121" s="29">
        <f>IFERROR(INDEX($R$4:$R$3183,MATCH(SMALL($V$4:$V$3183,2118),$V$4:$V$3183,0)),"")</f>
        <v/>
      </c>
      <c r="F2121">
        <f>IFERROR(INDEX($S$4:$S$3183,MATCH(SMALL($V$4:$V$3183,2118),$V$4:$V$3183,0)),"")</f>
        <v/>
      </c>
      <c r="I2121" s="29">
        <f>IF($B2121="","",IFERROR(INDEX($U$4:$U$3183,MATCH(SMALL($V$4:$V$3183,2118),$V$4:$V$3183,0)),""))</f>
        <v/>
      </c>
      <c r="J2121">
        <f>IF($B2121="","",IF($D2121&gt;$F$2,"À venir",IF($E2121&lt;$D$2,"Passé","Dans la période")))</f>
        <v/>
      </c>
      <c r="K2121">
        <f>IF(OR($B2121="",NOT(ISNUMBER($D2121))),"",IF(AND($E2121&lt;$D$2,$G2121&lt;&gt;"X",$F2121&lt;&gt;"Réalisé",$F2121&lt;&gt;"Clôturé"),"RETARD",""))</f>
        <v/>
      </c>
      <c r="L2121">
        <f>IF(OR($B2121="",NOT(ISNUMBER($D2121))),"",IF(AND($D2121&gt;=$D$2,$D2121&lt;=$H$2,$G2121&lt;&gt;"X",$F2121&lt;&gt;"Réalisé",$F2121&lt;&gt;"Clôturé"),"≤ 7 j",""))</f>
        <v/>
      </c>
      <c r="M2121" s="29">
        <f>IF($B2121="","",IFERROR(INDEX($T$4:$T$3183,MATCH(SMALL($V$4:$V$3183,2118),$V$4:$V$3183,0)),""))</f>
        <v/>
      </c>
      <c r="O2121">
        <f>IF(INDEX(Suivi!$B:$B,2161)="","",INDEX(Suivi!$B:$B,2161))</f>
        <v/>
      </c>
      <c r="P2121">
        <f>IF($O2121="","",IF(INDEX(Suivi!$D:$D,2161)="",INDEX(Suivi!$C:$C,2161),INDEX(Suivi!$D:$D,2161)))</f>
        <v/>
      </c>
      <c r="Q2121">
        <f>IF($O2121="","",INDEX(Suivi!$E:$E,2161))</f>
        <v/>
      </c>
      <c r="R2121">
        <f>IF($O2121="","",INDEX(Suivi!$F:$F,2161))</f>
        <v/>
      </c>
      <c r="S2121">
        <f>IF($O2121="","",INDEX(Suivi!$G:$G,2161))</f>
        <v/>
      </c>
      <c r="T2121">
        <f>IF($O2121="","",IF(INDEX(Dossiers!$F$4:$F$63,40)="","",INDEX(Dossiers!$F$4:$F$63,40)))</f>
        <v/>
      </c>
      <c r="U2121">
        <f>IF($O2121="","",IF(INDEX(Dossiers!$G$4:$G$63,40)="","",INDEX(Dossiers!$G$4:$G$63,40)))</f>
        <v/>
      </c>
      <c r="V2121">
        <f>IF(OR($O2121="",NOT(ISNUMBER($Q2121))),"",$Q2121*1000000+2121)</f>
        <v/>
      </c>
      <c r="W2121" s="29">
        <f>IF($B2121="","",IFERROR(INDEX($U$4:$U$3183,MATCH(SMALL($V$4:$V$3183,2118),$V$4:$V$3183,0)),""))</f>
        <v/>
      </c>
    </row>
    <row r="2122">
      <c r="A2122">
        <f>IFERROR(INDEX($N$4:$N$3183,MATCH(SMALL($V$4:$V$3183,2119),$V$4:$V$3183,0)),"")</f>
        <v/>
      </c>
      <c r="B2122">
        <f>IFERROR(INDEX($O$4:$O$3183,MATCH(SMALL($V$4:$V$3183,2119),$V$4:$V$3183,0)),"")</f>
        <v/>
      </c>
      <c r="C2122">
        <f>IFERROR(INDEX($P$4:$P$3183,MATCH(SMALL($V$4:$V$3183,2119),$V$4:$V$3183,0)),"")</f>
        <v/>
      </c>
      <c r="D2122" s="29">
        <f>IFERROR(INDEX($Q$4:$Q$3183,MATCH(SMALL($V$4:$V$3183,2119),$V$4:$V$3183,0)),"")</f>
        <v/>
      </c>
      <c r="E2122" s="29">
        <f>IFERROR(INDEX($R$4:$R$3183,MATCH(SMALL($V$4:$V$3183,2119),$V$4:$V$3183,0)),"")</f>
        <v/>
      </c>
      <c r="F2122">
        <f>IFERROR(INDEX($S$4:$S$3183,MATCH(SMALL($V$4:$V$3183,2119),$V$4:$V$3183,0)),"")</f>
        <v/>
      </c>
      <c r="I2122" s="29">
        <f>IF($B2122="","",IFERROR(INDEX($U$4:$U$3183,MATCH(SMALL($V$4:$V$3183,2119),$V$4:$V$3183,0)),""))</f>
        <v/>
      </c>
      <c r="J2122">
        <f>IF($B2122="","",IF($D2122&gt;$F$2,"À venir",IF($E2122&lt;$D$2,"Passé","Dans la période")))</f>
        <v/>
      </c>
      <c r="K2122">
        <f>IF(OR($B2122="",NOT(ISNUMBER($D2122))),"",IF(AND($E2122&lt;$D$2,$G2122&lt;&gt;"X",$F2122&lt;&gt;"Réalisé",$F2122&lt;&gt;"Clôturé"),"RETARD",""))</f>
        <v/>
      </c>
      <c r="L2122">
        <f>IF(OR($B2122="",NOT(ISNUMBER($D2122))),"",IF(AND($D2122&gt;=$D$2,$D2122&lt;=$H$2,$G2122&lt;&gt;"X",$F2122&lt;&gt;"Réalisé",$F2122&lt;&gt;"Clôturé"),"≤ 7 j",""))</f>
        <v/>
      </c>
      <c r="M2122" s="29">
        <f>IF($B2122="","",IFERROR(INDEX($T$4:$T$3183,MATCH(SMALL($V$4:$V$3183,2119),$V$4:$V$3183,0)),""))</f>
        <v/>
      </c>
      <c r="O2122">
        <f>IF(INDEX(Suivi!$B:$B,2162)="","",INDEX(Suivi!$B:$B,2162))</f>
        <v/>
      </c>
      <c r="P2122">
        <f>IF($O2122="","",IF(INDEX(Suivi!$D:$D,2162)="",INDEX(Suivi!$C:$C,2162),INDEX(Suivi!$D:$D,2162)))</f>
        <v/>
      </c>
      <c r="Q2122">
        <f>IF($O2122="","",INDEX(Suivi!$E:$E,2162))</f>
        <v/>
      </c>
      <c r="R2122">
        <f>IF($O2122="","",INDEX(Suivi!$F:$F,2162))</f>
        <v/>
      </c>
      <c r="S2122">
        <f>IF($O2122="","",INDEX(Suivi!$G:$G,2162))</f>
        <v/>
      </c>
      <c r="T2122">
        <f>IF($O2122="","",IF(INDEX(Dossiers!$F$4:$F$63,40)="","",INDEX(Dossiers!$F$4:$F$63,40)))</f>
        <v/>
      </c>
      <c r="U2122">
        <f>IF($O2122="","",IF(INDEX(Dossiers!$G$4:$G$63,40)="","",INDEX(Dossiers!$G$4:$G$63,40)))</f>
        <v/>
      </c>
      <c r="V2122">
        <f>IF(OR($O2122="",NOT(ISNUMBER($Q2122))),"",$Q2122*1000000+2122)</f>
        <v/>
      </c>
      <c r="W2122" s="29">
        <f>IF($B2122="","",IFERROR(INDEX($U$4:$U$3183,MATCH(SMALL($V$4:$V$3183,2119),$V$4:$V$3183,0)),""))</f>
        <v/>
      </c>
    </row>
    <row r="2123">
      <c r="A2123">
        <f>IFERROR(INDEX($N$4:$N$3183,MATCH(SMALL($V$4:$V$3183,2120),$V$4:$V$3183,0)),"")</f>
        <v/>
      </c>
      <c r="B2123">
        <f>IFERROR(INDEX($O$4:$O$3183,MATCH(SMALL($V$4:$V$3183,2120),$V$4:$V$3183,0)),"")</f>
        <v/>
      </c>
      <c r="C2123">
        <f>IFERROR(INDEX($P$4:$P$3183,MATCH(SMALL($V$4:$V$3183,2120),$V$4:$V$3183,0)),"")</f>
        <v/>
      </c>
      <c r="D2123" s="29">
        <f>IFERROR(INDEX($Q$4:$Q$3183,MATCH(SMALL($V$4:$V$3183,2120),$V$4:$V$3183,0)),"")</f>
        <v/>
      </c>
      <c r="E2123" s="29">
        <f>IFERROR(INDEX($R$4:$R$3183,MATCH(SMALL($V$4:$V$3183,2120),$V$4:$V$3183,0)),"")</f>
        <v/>
      </c>
      <c r="F2123">
        <f>IFERROR(INDEX($S$4:$S$3183,MATCH(SMALL($V$4:$V$3183,2120),$V$4:$V$3183,0)),"")</f>
        <v/>
      </c>
      <c r="I2123" s="29">
        <f>IF($B2123="","",IFERROR(INDEX($U$4:$U$3183,MATCH(SMALL($V$4:$V$3183,2120),$V$4:$V$3183,0)),""))</f>
        <v/>
      </c>
      <c r="J2123">
        <f>IF($B2123="","",IF($D2123&gt;$F$2,"À venir",IF($E2123&lt;$D$2,"Passé","Dans la période")))</f>
        <v/>
      </c>
      <c r="K2123">
        <f>IF(OR($B2123="",NOT(ISNUMBER($D2123))),"",IF(AND($E2123&lt;$D$2,$G2123&lt;&gt;"X",$F2123&lt;&gt;"Réalisé",$F2123&lt;&gt;"Clôturé"),"RETARD",""))</f>
        <v/>
      </c>
      <c r="L2123">
        <f>IF(OR($B2123="",NOT(ISNUMBER($D2123))),"",IF(AND($D2123&gt;=$D$2,$D2123&lt;=$H$2,$G2123&lt;&gt;"X",$F2123&lt;&gt;"Réalisé",$F2123&lt;&gt;"Clôturé"),"≤ 7 j",""))</f>
        <v/>
      </c>
      <c r="M2123" s="29">
        <f>IF($B2123="","",IFERROR(INDEX($T$4:$T$3183,MATCH(SMALL($V$4:$V$3183,2120),$V$4:$V$3183,0)),""))</f>
        <v/>
      </c>
      <c r="O2123">
        <f>IF(INDEX(Suivi!$B:$B,2163)="","",INDEX(Suivi!$B:$B,2163))</f>
        <v/>
      </c>
      <c r="P2123">
        <f>IF($O2123="","",IF(INDEX(Suivi!$D:$D,2163)="",INDEX(Suivi!$C:$C,2163),INDEX(Suivi!$D:$D,2163)))</f>
        <v/>
      </c>
      <c r="Q2123">
        <f>IF($O2123="","",INDEX(Suivi!$E:$E,2163))</f>
        <v/>
      </c>
      <c r="R2123">
        <f>IF($O2123="","",INDEX(Suivi!$F:$F,2163))</f>
        <v/>
      </c>
      <c r="S2123">
        <f>IF($O2123="","",INDEX(Suivi!$G:$G,2163))</f>
        <v/>
      </c>
      <c r="T2123">
        <f>IF($O2123="","",IF(INDEX(Dossiers!$F$4:$F$63,40)="","",INDEX(Dossiers!$F$4:$F$63,40)))</f>
        <v/>
      </c>
      <c r="U2123">
        <f>IF($O2123="","",IF(INDEX(Dossiers!$G$4:$G$63,40)="","",INDEX(Dossiers!$G$4:$G$63,40)))</f>
        <v/>
      </c>
      <c r="V2123">
        <f>IF(OR($O2123="",NOT(ISNUMBER($Q2123))),"",$Q2123*1000000+2123)</f>
        <v/>
      </c>
      <c r="W2123" s="29">
        <f>IF($B2123="","",IFERROR(INDEX($U$4:$U$3183,MATCH(SMALL($V$4:$V$3183,2120),$V$4:$V$3183,0)),""))</f>
        <v/>
      </c>
    </row>
    <row r="2124">
      <c r="A2124">
        <f>IFERROR(INDEX($N$4:$N$3183,MATCH(SMALL($V$4:$V$3183,2121),$V$4:$V$3183,0)),"")</f>
        <v/>
      </c>
      <c r="B2124">
        <f>IFERROR(INDEX($O$4:$O$3183,MATCH(SMALL($V$4:$V$3183,2121),$V$4:$V$3183,0)),"")</f>
        <v/>
      </c>
      <c r="C2124">
        <f>IFERROR(INDEX($P$4:$P$3183,MATCH(SMALL($V$4:$V$3183,2121),$V$4:$V$3183,0)),"")</f>
        <v/>
      </c>
      <c r="D2124" s="29">
        <f>IFERROR(INDEX($Q$4:$Q$3183,MATCH(SMALL($V$4:$V$3183,2121),$V$4:$V$3183,0)),"")</f>
        <v/>
      </c>
      <c r="E2124" s="29">
        <f>IFERROR(INDEX($R$4:$R$3183,MATCH(SMALL($V$4:$V$3183,2121),$V$4:$V$3183,0)),"")</f>
        <v/>
      </c>
      <c r="F2124">
        <f>IFERROR(INDEX($S$4:$S$3183,MATCH(SMALL($V$4:$V$3183,2121),$V$4:$V$3183,0)),"")</f>
        <v/>
      </c>
      <c r="I2124" s="29">
        <f>IF($B2124="","",IFERROR(INDEX($U$4:$U$3183,MATCH(SMALL($V$4:$V$3183,2121),$V$4:$V$3183,0)),""))</f>
        <v/>
      </c>
      <c r="J2124">
        <f>IF($B2124="","",IF($D2124&gt;$F$2,"À venir",IF($E2124&lt;$D$2,"Passé","Dans la période")))</f>
        <v/>
      </c>
      <c r="K2124">
        <f>IF(OR($B2124="",NOT(ISNUMBER($D2124))),"",IF(AND($E2124&lt;$D$2,$G2124&lt;&gt;"X",$F2124&lt;&gt;"Réalisé",$F2124&lt;&gt;"Clôturé"),"RETARD",""))</f>
        <v/>
      </c>
      <c r="L2124">
        <f>IF(OR($B2124="",NOT(ISNUMBER($D2124))),"",IF(AND($D2124&gt;=$D$2,$D2124&lt;=$H$2,$G2124&lt;&gt;"X",$F2124&lt;&gt;"Réalisé",$F2124&lt;&gt;"Clôturé"),"≤ 7 j",""))</f>
        <v/>
      </c>
      <c r="M2124" s="29">
        <f>IF($B2124="","",IFERROR(INDEX($T$4:$T$3183,MATCH(SMALL($V$4:$V$3183,2121),$V$4:$V$3183,0)),""))</f>
        <v/>
      </c>
      <c r="O2124">
        <f>IF(INDEX(Suivi!$B:$B,2165)="","",INDEX(Suivi!$B:$B,2165))</f>
        <v/>
      </c>
      <c r="P2124">
        <f>IF($O2124="","",IF(INDEX(Suivi!$D:$D,2165)="",INDEX(Suivi!$C:$C,2165),INDEX(Suivi!$D:$D,2165)))</f>
        <v/>
      </c>
      <c r="Q2124">
        <f>IF($O2124="","",INDEX(Suivi!$E:$E,2165))</f>
        <v/>
      </c>
      <c r="R2124">
        <f>IF($O2124="","",INDEX(Suivi!$F:$F,2165))</f>
        <v/>
      </c>
      <c r="S2124">
        <f>IF($O2124="","",INDEX(Suivi!$G:$G,2165))</f>
        <v/>
      </c>
      <c r="T2124">
        <f>IF($O2124="","",IF(INDEX(Dossiers!$F$4:$F$63,41)="","",INDEX(Dossiers!$F$4:$F$63,41)))</f>
        <v/>
      </c>
      <c r="U2124">
        <f>IF($O2124="","",IF(INDEX(Dossiers!$G$4:$G$63,41)="","",INDEX(Dossiers!$G$4:$G$63,41)))</f>
        <v/>
      </c>
      <c r="V2124">
        <f>IF(OR($O2124="",NOT(ISNUMBER($Q2124))),"",$Q2124*1000000+2124)</f>
        <v/>
      </c>
      <c r="W2124" s="29">
        <f>IF($B2124="","",IFERROR(INDEX($U$4:$U$3183,MATCH(SMALL($V$4:$V$3183,2121),$V$4:$V$3183,0)),""))</f>
        <v/>
      </c>
    </row>
    <row r="2125">
      <c r="A2125">
        <f>IFERROR(INDEX($N$4:$N$3183,MATCH(SMALL($V$4:$V$3183,2122),$V$4:$V$3183,0)),"")</f>
        <v/>
      </c>
      <c r="B2125">
        <f>IFERROR(INDEX($O$4:$O$3183,MATCH(SMALL($V$4:$V$3183,2122),$V$4:$V$3183,0)),"")</f>
        <v/>
      </c>
      <c r="C2125">
        <f>IFERROR(INDEX($P$4:$P$3183,MATCH(SMALL($V$4:$V$3183,2122),$V$4:$V$3183,0)),"")</f>
        <v/>
      </c>
      <c r="D2125" s="29">
        <f>IFERROR(INDEX($Q$4:$Q$3183,MATCH(SMALL($V$4:$V$3183,2122),$V$4:$V$3183,0)),"")</f>
        <v/>
      </c>
      <c r="E2125" s="29">
        <f>IFERROR(INDEX($R$4:$R$3183,MATCH(SMALL($V$4:$V$3183,2122),$V$4:$V$3183,0)),"")</f>
        <v/>
      </c>
      <c r="F2125">
        <f>IFERROR(INDEX($S$4:$S$3183,MATCH(SMALL($V$4:$V$3183,2122),$V$4:$V$3183,0)),"")</f>
        <v/>
      </c>
      <c r="I2125" s="29">
        <f>IF($B2125="","",IFERROR(INDEX($U$4:$U$3183,MATCH(SMALL($V$4:$V$3183,2122),$V$4:$V$3183,0)),""))</f>
        <v/>
      </c>
      <c r="J2125">
        <f>IF($B2125="","",IF($D2125&gt;$F$2,"À venir",IF($E2125&lt;$D$2,"Passé","Dans la période")))</f>
        <v/>
      </c>
      <c r="K2125">
        <f>IF(OR($B2125="",NOT(ISNUMBER($D2125))),"",IF(AND($E2125&lt;$D$2,$G2125&lt;&gt;"X",$F2125&lt;&gt;"Réalisé",$F2125&lt;&gt;"Clôturé"),"RETARD",""))</f>
        <v/>
      </c>
      <c r="L2125">
        <f>IF(OR($B2125="",NOT(ISNUMBER($D2125))),"",IF(AND($D2125&gt;=$D$2,$D2125&lt;=$H$2,$G2125&lt;&gt;"X",$F2125&lt;&gt;"Réalisé",$F2125&lt;&gt;"Clôturé"),"≤ 7 j",""))</f>
        <v/>
      </c>
      <c r="M2125" s="29">
        <f>IF($B2125="","",IFERROR(INDEX($T$4:$T$3183,MATCH(SMALL($V$4:$V$3183,2122),$V$4:$V$3183,0)),""))</f>
        <v/>
      </c>
      <c r="O2125">
        <f>IF(INDEX(Suivi!$B:$B,2166)="","",INDEX(Suivi!$B:$B,2166))</f>
        <v/>
      </c>
      <c r="P2125">
        <f>IF($O2125="","",IF(INDEX(Suivi!$D:$D,2166)="",INDEX(Suivi!$C:$C,2166),INDEX(Suivi!$D:$D,2166)))</f>
        <v/>
      </c>
      <c r="Q2125">
        <f>IF($O2125="","",INDEX(Suivi!$E:$E,2166))</f>
        <v/>
      </c>
      <c r="R2125">
        <f>IF($O2125="","",INDEX(Suivi!$F:$F,2166))</f>
        <v/>
      </c>
      <c r="S2125">
        <f>IF($O2125="","",INDEX(Suivi!$G:$G,2166))</f>
        <v/>
      </c>
      <c r="T2125">
        <f>IF($O2125="","",IF(INDEX(Dossiers!$F$4:$F$63,41)="","",INDEX(Dossiers!$F$4:$F$63,41)))</f>
        <v/>
      </c>
      <c r="U2125">
        <f>IF($O2125="","",IF(INDEX(Dossiers!$G$4:$G$63,41)="","",INDEX(Dossiers!$G$4:$G$63,41)))</f>
        <v/>
      </c>
      <c r="V2125">
        <f>IF(OR($O2125="",NOT(ISNUMBER($Q2125))),"",$Q2125*1000000+2125)</f>
        <v/>
      </c>
      <c r="W2125" s="29">
        <f>IF($B2125="","",IFERROR(INDEX($U$4:$U$3183,MATCH(SMALL($V$4:$V$3183,2122),$V$4:$V$3183,0)),""))</f>
        <v/>
      </c>
    </row>
    <row r="2126">
      <c r="A2126">
        <f>IFERROR(INDEX($N$4:$N$3183,MATCH(SMALL($V$4:$V$3183,2123),$V$4:$V$3183,0)),"")</f>
        <v/>
      </c>
      <c r="B2126">
        <f>IFERROR(INDEX($O$4:$O$3183,MATCH(SMALL($V$4:$V$3183,2123),$V$4:$V$3183,0)),"")</f>
        <v/>
      </c>
      <c r="C2126">
        <f>IFERROR(INDEX($P$4:$P$3183,MATCH(SMALL($V$4:$V$3183,2123),$V$4:$V$3183,0)),"")</f>
        <v/>
      </c>
      <c r="D2126" s="29">
        <f>IFERROR(INDEX($Q$4:$Q$3183,MATCH(SMALL($V$4:$V$3183,2123),$V$4:$V$3183,0)),"")</f>
        <v/>
      </c>
      <c r="E2126" s="29">
        <f>IFERROR(INDEX($R$4:$R$3183,MATCH(SMALL($V$4:$V$3183,2123),$V$4:$V$3183,0)),"")</f>
        <v/>
      </c>
      <c r="F2126">
        <f>IFERROR(INDEX($S$4:$S$3183,MATCH(SMALL($V$4:$V$3183,2123),$V$4:$V$3183,0)),"")</f>
        <v/>
      </c>
      <c r="I2126" s="29">
        <f>IF($B2126="","",IFERROR(INDEX($U$4:$U$3183,MATCH(SMALL($V$4:$V$3183,2123),$V$4:$V$3183,0)),""))</f>
        <v/>
      </c>
      <c r="J2126">
        <f>IF($B2126="","",IF($D2126&gt;$F$2,"À venir",IF($E2126&lt;$D$2,"Passé","Dans la période")))</f>
        <v/>
      </c>
      <c r="K2126">
        <f>IF(OR($B2126="",NOT(ISNUMBER($D2126))),"",IF(AND($E2126&lt;$D$2,$G2126&lt;&gt;"X",$F2126&lt;&gt;"Réalisé",$F2126&lt;&gt;"Clôturé"),"RETARD",""))</f>
        <v/>
      </c>
      <c r="L2126">
        <f>IF(OR($B2126="",NOT(ISNUMBER($D2126))),"",IF(AND($D2126&gt;=$D$2,$D2126&lt;=$H$2,$G2126&lt;&gt;"X",$F2126&lt;&gt;"Réalisé",$F2126&lt;&gt;"Clôturé"),"≤ 7 j",""))</f>
        <v/>
      </c>
      <c r="M2126" s="29">
        <f>IF($B2126="","",IFERROR(INDEX($T$4:$T$3183,MATCH(SMALL($V$4:$V$3183,2123),$V$4:$V$3183,0)),""))</f>
        <v/>
      </c>
      <c r="O2126">
        <f>IF(INDEX(Suivi!$B:$B,2167)="","",INDEX(Suivi!$B:$B,2167))</f>
        <v/>
      </c>
      <c r="P2126">
        <f>IF($O2126="","",IF(INDEX(Suivi!$D:$D,2167)="",INDEX(Suivi!$C:$C,2167),INDEX(Suivi!$D:$D,2167)))</f>
        <v/>
      </c>
      <c r="Q2126">
        <f>IF($O2126="","",INDEX(Suivi!$E:$E,2167))</f>
        <v/>
      </c>
      <c r="R2126">
        <f>IF($O2126="","",INDEX(Suivi!$F:$F,2167))</f>
        <v/>
      </c>
      <c r="S2126">
        <f>IF($O2126="","",INDEX(Suivi!$G:$G,2167))</f>
        <v/>
      </c>
      <c r="T2126">
        <f>IF($O2126="","",IF(INDEX(Dossiers!$F$4:$F$63,41)="","",INDEX(Dossiers!$F$4:$F$63,41)))</f>
        <v/>
      </c>
      <c r="U2126">
        <f>IF($O2126="","",IF(INDEX(Dossiers!$G$4:$G$63,41)="","",INDEX(Dossiers!$G$4:$G$63,41)))</f>
        <v/>
      </c>
      <c r="V2126">
        <f>IF(OR($O2126="",NOT(ISNUMBER($Q2126))),"",$Q2126*1000000+2126)</f>
        <v/>
      </c>
      <c r="W2126" s="29">
        <f>IF($B2126="","",IFERROR(INDEX($U$4:$U$3183,MATCH(SMALL($V$4:$V$3183,2123),$V$4:$V$3183,0)),""))</f>
        <v/>
      </c>
    </row>
    <row r="2127">
      <c r="A2127">
        <f>IFERROR(INDEX($N$4:$N$3183,MATCH(SMALL($V$4:$V$3183,2124),$V$4:$V$3183,0)),"")</f>
        <v/>
      </c>
      <c r="B2127">
        <f>IFERROR(INDEX($O$4:$O$3183,MATCH(SMALL($V$4:$V$3183,2124),$V$4:$V$3183,0)),"")</f>
        <v/>
      </c>
      <c r="C2127">
        <f>IFERROR(INDEX($P$4:$P$3183,MATCH(SMALL($V$4:$V$3183,2124),$V$4:$V$3183,0)),"")</f>
        <v/>
      </c>
      <c r="D2127" s="29">
        <f>IFERROR(INDEX($Q$4:$Q$3183,MATCH(SMALL($V$4:$V$3183,2124),$V$4:$V$3183,0)),"")</f>
        <v/>
      </c>
      <c r="E2127" s="29">
        <f>IFERROR(INDEX($R$4:$R$3183,MATCH(SMALL($V$4:$V$3183,2124),$V$4:$V$3183,0)),"")</f>
        <v/>
      </c>
      <c r="F2127">
        <f>IFERROR(INDEX($S$4:$S$3183,MATCH(SMALL($V$4:$V$3183,2124),$V$4:$V$3183,0)),"")</f>
        <v/>
      </c>
      <c r="I2127" s="29">
        <f>IF($B2127="","",IFERROR(INDEX($U$4:$U$3183,MATCH(SMALL($V$4:$V$3183,2124),$V$4:$V$3183,0)),""))</f>
        <v/>
      </c>
      <c r="J2127">
        <f>IF($B2127="","",IF($D2127&gt;$F$2,"À venir",IF($E2127&lt;$D$2,"Passé","Dans la période")))</f>
        <v/>
      </c>
      <c r="K2127">
        <f>IF(OR($B2127="",NOT(ISNUMBER($D2127))),"",IF(AND($E2127&lt;$D$2,$G2127&lt;&gt;"X",$F2127&lt;&gt;"Réalisé",$F2127&lt;&gt;"Clôturé"),"RETARD",""))</f>
        <v/>
      </c>
      <c r="L2127">
        <f>IF(OR($B2127="",NOT(ISNUMBER($D2127))),"",IF(AND($D2127&gt;=$D$2,$D2127&lt;=$H$2,$G2127&lt;&gt;"X",$F2127&lt;&gt;"Réalisé",$F2127&lt;&gt;"Clôturé"),"≤ 7 j",""))</f>
        <v/>
      </c>
      <c r="M2127" s="29">
        <f>IF($B2127="","",IFERROR(INDEX($T$4:$T$3183,MATCH(SMALL($V$4:$V$3183,2124),$V$4:$V$3183,0)),""))</f>
        <v/>
      </c>
      <c r="O2127">
        <f>IF(INDEX(Suivi!$B:$B,2168)="","",INDEX(Suivi!$B:$B,2168))</f>
        <v/>
      </c>
      <c r="P2127">
        <f>IF($O2127="","",IF(INDEX(Suivi!$D:$D,2168)="",INDEX(Suivi!$C:$C,2168),INDEX(Suivi!$D:$D,2168)))</f>
        <v/>
      </c>
      <c r="Q2127">
        <f>IF($O2127="","",INDEX(Suivi!$E:$E,2168))</f>
        <v/>
      </c>
      <c r="R2127">
        <f>IF($O2127="","",INDEX(Suivi!$F:$F,2168))</f>
        <v/>
      </c>
      <c r="S2127">
        <f>IF($O2127="","",INDEX(Suivi!$G:$G,2168))</f>
        <v/>
      </c>
      <c r="T2127">
        <f>IF($O2127="","",IF(INDEX(Dossiers!$F$4:$F$63,41)="","",INDEX(Dossiers!$F$4:$F$63,41)))</f>
        <v/>
      </c>
      <c r="U2127">
        <f>IF($O2127="","",IF(INDEX(Dossiers!$G$4:$G$63,41)="","",INDEX(Dossiers!$G$4:$G$63,41)))</f>
        <v/>
      </c>
      <c r="V2127">
        <f>IF(OR($O2127="",NOT(ISNUMBER($Q2127))),"",$Q2127*1000000+2127)</f>
        <v/>
      </c>
      <c r="W2127" s="29">
        <f>IF($B2127="","",IFERROR(INDEX($U$4:$U$3183,MATCH(SMALL($V$4:$V$3183,2124),$V$4:$V$3183,0)),""))</f>
        <v/>
      </c>
    </row>
    <row r="2128">
      <c r="A2128">
        <f>IFERROR(INDEX($N$4:$N$3183,MATCH(SMALL($V$4:$V$3183,2125),$V$4:$V$3183,0)),"")</f>
        <v/>
      </c>
      <c r="B2128">
        <f>IFERROR(INDEX($O$4:$O$3183,MATCH(SMALL($V$4:$V$3183,2125),$V$4:$V$3183,0)),"")</f>
        <v/>
      </c>
      <c r="C2128">
        <f>IFERROR(INDEX($P$4:$P$3183,MATCH(SMALL($V$4:$V$3183,2125),$V$4:$V$3183,0)),"")</f>
        <v/>
      </c>
      <c r="D2128" s="29">
        <f>IFERROR(INDEX($Q$4:$Q$3183,MATCH(SMALL($V$4:$V$3183,2125),$V$4:$V$3183,0)),"")</f>
        <v/>
      </c>
      <c r="E2128" s="29">
        <f>IFERROR(INDEX($R$4:$R$3183,MATCH(SMALL($V$4:$V$3183,2125),$V$4:$V$3183,0)),"")</f>
        <v/>
      </c>
      <c r="F2128">
        <f>IFERROR(INDEX($S$4:$S$3183,MATCH(SMALL($V$4:$V$3183,2125),$V$4:$V$3183,0)),"")</f>
        <v/>
      </c>
      <c r="I2128" s="29">
        <f>IF($B2128="","",IFERROR(INDEX($U$4:$U$3183,MATCH(SMALL($V$4:$V$3183,2125),$V$4:$V$3183,0)),""))</f>
        <v/>
      </c>
      <c r="J2128">
        <f>IF($B2128="","",IF($D2128&gt;$F$2,"À venir",IF($E2128&lt;$D$2,"Passé","Dans la période")))</f>
        <v/>
      </c>
      <c r="K2128">
        <f>IF(OR($B2128="",NOT(ISNUMBER($D2128))),"",IF(AND($E2128&lt;$D$2,$G2128&lt;&gt;"X",$F2128&lt;&gt;"Réalisé",$F2128&lt;&gt;"Clôturé"),"RETARD",""))</f>
        <v/>
      </c>
      <c r="L2128">
        <f>IF(OR($B2128="",NOT(ISNUMBER($D2128))),"",IF(AND($D2128&gt;=$D$2,$D2128&lt;=$H$2,$G2128&lt;&gt;"X",$F2128&lt;&gt;"Réalisé",$F2128&lt;&gt;"Clôturé"),"≤ 7 j",""))</f>
        <v/>
      </c>
      <c r="M2128" s="29">
        <f>IF($B2128="","",IFERROR(INDEX($T$4:$T$3183,MATCH(SMALL($V$4:$V$3183,2125),$V$4:$V$3183,0)),""))</f>
        <v/>
      </c>
      <c r="O2128">
        <f>IF(INDEX(Suivi!$B:$B,2169)="","",INDEX(Suivi!$B:$B,2169))</f>
        <v/>
      </c>
      <c r="P2128">
        <f>IF($O2128="","",IF(INDEX(Suivi!$D:$D,2169)="",INDEX(Suivi!$C:$C,2169),INDEX(Suivi!$D:$D,2169)))</f>
        <v/>
      </c>
      <c r="Q2128">
        <f>IF($O2128="","",INDEX(Suivi!$E:$E,2169))</f>
        <v/>
      </c>
      <c r="R2128">
        <f>IF($O2128="","",INDEX(Suivi!$F:$F,2169))</f>
        <v/>
      </c>
      <c r="S2128">
        <f>IF($O2128="","",INDEX(Suivi!$G:$G,2169))</f>
        <v/>
      </c>
      <c r="T2128">
        <f>IF($O2128="","",IF(INDEX(Dossiers!$F$4:$F$63,41)="","",INDEX(Dossiers!$F$4:$F$63,41)))</f>
        <v/>
      </c>
      <c r="U2128">
        <f>IF($O2128="","",IF(INDEX(Dossiers!$G$4:$G$63,41)="","",INDEX(Dossiers!$G$4:$G$63,41)))</f>
        <v/>
      </c>
      <c r="V2128">
        <f>IF(OR($O2128="",NOT(ISNUMBER($Q2128))),"",$Q2128*1000000+2128)</f>
        <v/>
      </c>
      <c r="W2128" s="29">
        <f>IF($B2128="","",IFERROR(INDEX($U$4:$U$3183,MATCH(SMALL($V$4:$V$3183,2125),$V$4:$V$3183,0)),""))</f>
        <v/>
      </c>
    </row>
    <row r="2129">
      <c r="A2129">
        <f>IFERROR(INDEX($N$4:$N$3183,MATCH(SMALL($V$4:$V$3183,2126),$V$4:$V$3183,0)),"")</f>
        <v/>
      </c>
      <c r="B2129">
        <f>IFERROR(INDEX($O$4:$O$3183,MATCH(SMALL($V$4:$V$3183,2126),$V$4:$V$3183,0)),"")</f>
        <v/>
      </c>
      <c r="C2129">
        <f>IFERROR(INDEX($P$4:$P$3183,MATCH(SMALL($V$4:$V$3183,2126),$V$4:$V$3183,0)),"")</f>
        <v/>
      </c>
      <c r="D2129" s="29">
        <f>IFERROR(INDEX($Q$4:$Q$3183,MATCH(SMALL($V$4:$V$3183,2126),$V$4:$V$3183,0)),"")</f>
        <v/>
      </c>
      <c r="E2129" s="29">
        <f>IFERROR(INDEX($R$4:$R$3183,MATCH(SMALL($V$4:$V$3183,2126),$V$4:$V$3183,0)),"")</f>
        <v/>
      </c>
      <c r="F2129">
        <f>IFERROR(INDEX($S$4:$S$3183,MATCH(SMALL($V$4:$V$3183,2126),$V$4:$V$3183,0)),"")</f>
        <v/>
      </c>
      <c r="I2129" s="29">
        <f>IF($B2129="","",IFERROR(INDEX($U$4:$U$3183,MATCH(SMALL($V$4:$V$3183,2126),$V$4:$V$3183,0)),""))</f>
        <v/>
      </c>
      <c r="J2129">
        <f>IF($B2129="","",IF($D2129&gt;$F$2,"À venir",IF($E2129&lt;$D$2,"Passé","Dans la période")))</f>
        <v/>
      </c>
      <c r="K2129">
        <f>IF(OR($B2129="",NOT(ISNUMBER($D2129))),"",IF(AND($E2129&lt;$D$2,$G2129&lt;&gt;"X",$F2129&lt;&gt;"Réalisé",$F2129&lt;&gt;"Clôturé"),"RETARD",""))</f>
        <v/>
      </c>
      <c r="L2129">
        <f>IF(OR($B2129="",NOT(ISNUMBER($D2129))),"",IF(AND($D2129&gt;=$D$2,$D2129&lt;=$H$2,$G2129&lt;&gt;"X",$F2129&lt;&gt;"Réalisé",$F2129&lt;&gt;"Clôturé"),"≤ 7 j",""))</f>
        <v/>
      </c>
      <c r="M2129" s="29">
        <f>IF($B2129="","",IFERROR(INDEX($T$4:$T$3183,MATCH(SMALL($V$4:$V$3183,2126),$V$4:$V$3183,0)),""))</f>
        <v/>
      </c>
      <c r="O2129">
        <f>IF(INDEX(Suivi!$B:$B,2170)="","",INDEX(Suivi!$B:$B,2170))</f>
        <v/>
      </c>
      <c r="P2129">
        <f>IF($O2129="","",IF(INDEX(Suivi!$D:$D,2170)="",INDEX(Suivi!$C:$C,2170),INDEX(Suivi!$D:$D,2170)))</f>
        <v/>
      </c>
      <c r="Q2129">
        <f>IF($O2129="","",INDEX(Suivi!$E:$E,2170))</f>
        <v/>
      </c>
      <c r="R2129">
        <f>IF($O2129="","",INDEX(Suivi!$F:$F,2170))</f>
        <v/>
      </c>
      <c r="S2129">
        <f>IF($O2129="","",INDEX(Suivi!$G:$G,2170))</f>
        <v/>
      </c>
      <c r="T2129">
        <f>IF($O2129="","",IF(INDEX(Dossiers!$F$4:$F$63,41)="","",INDEX(Dossiers!$F$4:$F$63,41)))</f>
        <v/>
      </c>
      <c r="U2129">
        <f>IF($O2129="","",IF(INDEX(Dossiers!$G$4:$G$63,41)="","",INDEX(Dossiers!$G$4:$G$63,41)))</f>
        <v/>
      </c>
      <c r="V2129">
        <f>IF(OR($O2129="",NOT(ISNUMBER($Q2129))),"",$Q2129*1000000+2129)</f>
        <v/>
      </c>
      <c r="W2129" s="29">
        <f>IF($B2129="","",IFERROR(INDEX($U$4:$U$3183,MATCH(SMALL($V$4:$V$3183,2126),$V$4:$V$3183,0)),""))</f>
        <v/>
      </c>
    </row>
    <row r="2130">
      <c r="A2130">
        <f>IFERROR(INDEX($N$4:$N$3183,MATCH(SMALL($V$4:$V$3183,2127),$V$4:$V$3183,0)),"")</f>
        <v/>
      </c>
      <c r="B2130">
        <f>IFERROR(INDEX($O$4:$O$3183,MATCH(SMALL($V$4:$V$3183,2127),$V$4:$V$3183,0)),"")</f>
        <v/>
      </c>
      <c r="C2130">
        <f>IFERROR(INDEX($P$4:$P$3183,MATCH(SMALL($V$4:$V$3183,2127),$V$4:$V$3183,0)),"")</f>
        <v/>
      </c>
      <c r="D2130" s="29">
        <f>IFERROR(INDEX($Q$4:$Q$3183,MATCH(SMALL($V$4:$V$3183,2127),$V$4:$V$3183,0)),"")</f>
        <v/>
      </c>
      <c r="E2130" s="29">
        <f>IFERROR(INDEX($R$4:$R$3183,MATCH(SMALL($V$4:$V$3183,2127),$V$4:$V$3183,0)),"")</f>
        <v/>
      </c>
      <c r="F2130">
        <f>IFERROR(INDEX($S$4:$S$3183,MATCH(SMALL($V$4:$V$3183,2127),$V$4:$V$3183,0)),"")</f>
        <v/>
      </c>
      <c r="I2130" s="29">
        <f>IF($B2130="","",IFERROR(INDEX($U$4:$U$3183,MATCH(SMALL($V$4:$V$3183,2127),$V$4:$V$3183,0)),""))</f>
        <v/>
      </c>
      <c r="J2130">
        <f>IF($B2130="","",IF($D2130&gt;$F$2,"À venir",IF($E2130&lt;$D$2,"Passé","Dans la période")))</f>
        <v/>
      </c>
      <c r="K2130">
        <f>IF(OR($B2130="",NOT(ISNUMBER($D2130))),"",IF(AND($E2130&lt;$D$2,$G2130&lt;&gt;"X",$F2130&lt;&gt;"Réalisé",$F2130&lt;&gt;"Clôturé"),"RETARD",""))</f>
        <v/>
      </c>
      <c r="L2130">
        <f>IF(OR($B2130="",NOT(ISNUMBER($D2130))),"",IF(AND($D2130&gt;=$D$2,$D2130&lt;=$H$2,$G2130&lt;&gt;"X",$F2130&lt;&gt;"Réalisé",$F2130&lt;&gt;"Clôturé"),"≤ 7 j",""))</f>
        <v/>
      </c>
      <c r="M2130" s="29">
        <f>IF($B2130="","",IFERROR(INDEX($T$4:$T$3183,MATCH(SMALL($V$4:$V$3183,2127),$V$4:$V$3183,0)),""))</f>
        <v/>
      </c>
      <c r="O2130">
        <f>IF(INDEX(Suivi!$B:$B,2171)="","",INDEX(Suivi!$B:$B,2171))</f>
        <v/>
      </c>
      <c r="P2130">
        <f>IF($O2130="","",IF(INDEX(Suivi!$D:$D,2171)="",INDEX(Suivi!$C:$C,2171),INDEX(Suivi!$D:$D,2171)))</f>
        <v/>
      </c>
      <c r="Q2130">
        <f>IF($O2130="","",INDEX(Suivi!$E:$E,2171))</f>
        <v/>
      </c>
      <c r="R2130">
        <f>IF($O2130="","",INDEX(Suivi!$F:$F,2171))</f>
        <v/>
      </c>
      <c r="S2130">
        <f>IF($O2130="","",INDEX(Suivi!$G:$G,2171))</f>
        <v/>
      </c>
      <c r="T2130">
        <f>IF($O2130="","",IF(INDEX(Dossiers!$F$4:$F$63,41)="","",INDEX(Dossiers!$F$4:$F$63,41)))</f>
        <v/>
      </c>
      <c r="U2130">
        <f>IF($O2130="","",IF(INDEX(Dossiers!$G$4:$G$63,41)="","",INDEX(Dossiers!$G$4:$G$63,41)))</f>
        <v/>
      </c>
      <c r="V2130">
        <f>IF(OR($O2130="",NOT(ISNUMBER($Q2130))),"",$Q2130*1000000+2130)</f>
        <v/>
      </c>
      <c r="W2130" s="29">
        <f>IF($B2130="","",IFERROR(INDEX($U$4:$U$3183,MATCH(SMALL($V$4:$V$3183,2127),$V$4:$V$3183,0)),""))</f>
        <v/>
      </c>
    </row>
    <row r="2131">
      <c r="A2131">
        <f>IFERROR(INDEX($N$4:$N$3183,MATCH(SMALL($V$4:$V$3183,2128),$V$4:$V$3183,0)),"")</f>
        <v/>
      </c>
      <c r="B2131">
        <f>IFERROR(INDEX($O$4:$O$3183,MATCH(SMALL($V$4:$V$3183,2128),$V$4:$V$3183,0)),"")</f>
        <v/>
      </c>
      <c r="C2131">
        <f>IFERROR(INDEX($P$4:$P$3183,MATCH(SMALL($V$4:$V$3183,2128),$V$4:$V$3183,0)),"")</f>
        <v/>
      </c>
      <c r="D2131" s="29">
        <f>IFERROR(INDEX($Q$4:$Q$3183,MATCH(SMALL($V$4:$V$3183,2128),$V$4:$V$3183,0)),"")</f>
        <v/>
      </c>
      <c r="E2131" s="29">
        <f>IFERROR(INDEX($R$4:$R$3183,MATCH(SMALL($V$4:$V$3183,2128),$V$4:$V$3183,0)),"")</f>
        <v/>
      </c>
      <c r="F2131">
        <f>IFERROR(INDEX($S$4:$S$3183,MATCH(SMALL($V$4:$V$3183,2128),$V$4:$V$3183,0)),"")</f>
        <v/>
      </c>
      <c r="I2131" s="29">
        <f>IF($B2131="","",IFERROR(INDEX($U$4:$U$3183,MATCH(SMALL($V$4:$V$3183,2128),$V$4:$V$3183,0)),""))</f>
        <v/>
      </c>
      <c r="J2131">
        <f>IF($B2131="","",IF($D2131&gt;$F$2,"À venir",IF($E2131&lt;$D$2,"Passé","Dans la période")))</f>
        <v/>
      </c>
      <c r="K2131">
        <f>IF(OR($B2131="",NOT(ISNUMBER($D2131))),"",IF(AND($E2131&lt;$D$2,$G2131&lt;&gt;"X",$F2131&lt;&gt;"Réalisé",$F2131&lt;&gt;"Clôturé"),"RETARD",""))</f>
        <v/>
      </c>
      <c r="L2131">
        <f>IF(OR($B2131="",NOT(ISNUMBER($D2131))),"",IF(AND($D2131&gt;=$D$2,$D2131&lt;=$H$2,$G2131&lt;&gt;"X",$F2131&lt;&gt;"Réalisé",$F2131&lt;&gt;"Clôturé"),"≤ 7 j",""))</f>
        <v/>
      </c>
      <c r="M2131" s="29">
        <f>IF($B2131="","",IFERROR(INDEX($T$4:$T$3183,MATCH(SMALL($V$4:$V$3183,2128),$V$4:$V$3183,0)),""))</f>
        <v/>
      </c>
      <c r="O2131">
        <f>IF(INDEX(Suivi!$B:$B,2172)="","",INDEX(Suivi!$B:$B,2172))</f>
        <v/>
      </c>
      <c r="P2131">
        <f>IF($O2131="","",IF(INDEX(Suivi!$D:$D,2172)="",INDEX(Suivi!$C:$C,2172),INDEX(Suivi!$D:$D,2172)))</f>
        <v/>
      </c>
      <c r="Q2131">
        <f>IF($O2131="","",INDEX(Suivi!$E:$E,2172))</f>
        <v/>
      </c>
      <c r="R2131">
        <f>IF($O2131="","",INDEX(Suivi!$F:$F,2172))</f>
        <v/>
      </c>
      <c r="S2131">
        <f>IF($O2131="","",INDEX(Suivi!$G:$G,2172))</f>
        <v/>
      </c>
      <c r="T2131">
        <f>IF($O2131="","",IF(INDEX(Dossiers!$F$4:$F$63,41)="","",INDEX(Dossiers!$F$4:$F$63,41)))</f>
        <v/>
      </c>
      <c r="U2131">
        <f>IF($O2131="","",IF(INDEX(Dossiers!$G$4:$G$63,41)="","",INDEX(Dossiers!$G$4:$G$63,41)))</f>
        <v/>
      </c>
      <c r="V2131">
        <f>IF(OR($O2131="",NOT(ISNUMBER($Q2131))),"",$Q2131*1000000+2131)</f>
        <v/>
      </c>
      <c r="W2131" s="29">
        <f>IF($B2131="","",IFERROR(INDEX($U$4:$U$3183,MATCH(SMALL($V$4:$V$3183,2128),$V$4:$V$3183,0)),""))</f>
        <v/>
      </c>
    </row>
    <row r="2132">
      <c r="A2132">
        <f>IFERROR(INDEX($N$4:$N$3183,MATCH(SMALL($V$4:$V$3183,2129),$V$4:$V$3183,0)),"")</f>
        <v/>
      </c>
      <c r="B2132">
        <f>IFERROR(INDEX($O$4:$O$3183,MATCH(SMALL($V$4:$V$3183,2129),$V$4:$V$3183,0)),"")</f>
        <v/>
      </c>
      <c r="C2132">
        <f>IFERROR(INDEX($P$4:$P$3183,MATCH(SMALL($V$4:$V$3183,2129),$V$4:$V$3183,0)),"")</f>
        <v/>
      </c>
      <c r="D2132" s="29">
        <f>IFERROR(INDEX($Q$4:$Q$3183,MATCH(SMALL($V$4:$V$3183,2129),$V$4:$V$3183,0)),"")</f>
        <v/>
      </c>
      <c r="E2132" s="29">
        <f>IFERROR(INDEX($R$4:$R$3183,MATCH(SMALL($V$4:$V$3183,2129),$V$4:$V$3183,0)),"")</f>
        <v/>
      </c>
      <c r="F2132">
        <f>IFERROR(INDEX($S$4:$S$3183,MATCH(SMALL($V$4:$V$3183,2129),$V$4:$V$3183,0)),"")</f>
        <v/>
      </c>
      <c r="I2132" s="29">
        <f>IF($B2132="","",IFERROR(INDEX($U$4:$U$3183,MATCH(SMALL($V$4:$V$3183,2129),$V$4:$V$3183,0)),""))</f>
        <v/>
      </c>
      <c r="J2132">
        <f>IF($B2132="","",IF($D2132&gt;$F$2,"À venir",IF($E2132&lt;$D$2,"Passé","Dans la période")))</f>
        <v/>
      </c>
      <c r="K2132">
        <f>IF(OR($B2132="",NOT(ISNUMBER($D2132))),"",IF(AND($E2132&lt;$D$2,$G2132&lt;&gt;"X",$F2132&lt;&gt;"Réalisé",$F2132&lt;&gt;"Clôturé"),"RETARD",""))</f>
        <v/>
      </c>
      <c r="L2132">
        <f>IF(OR($B2132="",NOT(ISNUMBER($D2132))),"",IF(AND($D2132&gt;=$D$2,$D2132&lt;=$H$2,$G2132&lt;&gt;"X",$F2132&lt;&gt;"Réalisé",$F2132&lt;&gt;"Clôturé"),"≤ 7 j",""))</f>
        <v/>
      </c>
      <c r="M2132" s="29">
        <f>IF($B2132="","",IFERROR(INDEX($T$4:$T$3183,MATCH(SMALL($V$4:$V$3183,2129),$V$4:$V$3183,0)),""))</f>
        <v/>
      </c>
      <c r="O2132">
        <f>IF(INDEX(Suivi!$B:$B,2173)="","",INDEX(Suivi!$B:$B,2173))</f>
        <v/>
      </c>
      <c r="P2132">
        <f>IF($O2132="","",IF(INDEX(Suivi!$D:$D,2173)="",INDEX(Suivi!$C:$C,2173),INDEX(Suivi!$D:$D,2173)))</f>
        <v/>
      </c>
      <c r="Q2132">
        <f>IF($O2132="","",INDEX(Suivi!$E:$E,2173))</f>
        <v/>
      </c>
      <c r="R2132">
        <f>IF($O2132="","",INDEX(Suivi!$F:$F,2173))</f>
        <v/>
      </c>
      <c r="S2132">
        <f>IF($O2132="","",INDEX(Suivi!$G:$G,2173))</f>
        <v/>
      </c>
      <c r="T2132">
        <f>IF($O2132="","",IF(INDEX(Dossiers!$F$4:$F$63,41)="","",INDEX(Dossiers!$F$4:$F$63,41)))</f>
        <v/>
      </c>
      <c r="U2132">
        <f>IF($O2132="","",IF(INDEX(Dossiers!$G$4:$G$63,41)="","",INDEX(Dossiers!$G$4:$G$63,41)))</f>
        <v/>
      </c>
      <c r="V2132">
        <f>IF(OR($O2132="",NOT(ISNUMBER($Q2132))),"",$Q2132*1000000+2132)</f>
        <v/>
      </c>
      <c r="W2132" s="29">
        <f>IF($B2132="","",IFERROR(INDEX($U$4:$U$3183,MATCH(SMALL($V$4:$V$3183,2129),$V$4:$V$3183,0)),""))</f>
        <v/>
      </c>
    </row>
    <row r="2133">
      <c r="A2133">
        <f>IFERROR(INDEX($N$4:$N$3183,MATCH(SMALL($V$4:$V$3183,2130),$V$4:$V$3183,0)),"")</f>
        <v/>
      </c>
      <c r="B2133">
        <f>IFERROR(INDEX($O$4:$O$3183,MATCH(SMALL($V$4:$V$3183,2130),$V$4:$V$3183,0)),"")</f>
        <v/>
      </c>
      <c r="C2133">
        <f>IFERROR(INDEX($P$4:$P$3183,MATCH(SMALL($V$4:$V$3183,2130),$V$4:$V$3183,0)),"")</f>
        <v/>
      </c>
      <c r="D2133" s="29">
        <f>IFERROR(INDEX($Q$4:$Q$3183,MATCH(SMALL($V$4:$V$3183,2130),$V$4:$V$3183,0)),"")</f>
        <v/>
      </c>
      <c r="E2133" s="29">
        <f>IFERROR(INDEX($R$4:$R$3183,MATCH(SMALL($V$4:$V$3183,2130),$V$4:$V$3183,0)),"")</f>
        <v/>
      </c>
      <c r="F2133">
        <f>IFERROR(INDEX($S$4:$S$3183,MATCH(SMALL($V$4:$V$3183,2130),$V$4:$V$3183,0)),"")</f>
        <v/>
      </c>
      <c r="I2133" s="29">
        <f>IF($B2133="","",IFERROR(INDEX($U$4:$U$3183,MATCH(SMALL($V$4:$V$3183,2130),$V$4:$V$3183,0)),""))</f>
        <v/>
      </c>
      <c r="J2133">
        <f>IF($B2133="","",IF($D2133&gt;$F$2,"À venir",IF($E2133&lt;$D$2,"Passé","Dans la période")))</f>
        <v/>
      </c>
      <c r="K2133">
        <f>IF(OR($B2133="",NOT(ISNUMBER($D2133))),"",IF(AND($E2133&lt;$D$2,$G2133&lt;&gt;"X",$F2133&lt;&gt;"Réalisé",$F2133&lt;&gt;"Clôturé"),"RETARD",""))</f>
        <v/>
      </c>
      <c r="L2133">
        <f>IF(OR($B2133="",NOT(ISNUMBER($D2133))),"",IF(AND($D2133&gt;=$D$2,$D2133&lt;=$H$2,$G2133&lt;&gt;"X",$F2133&lt;&gt;"Réalisé",$F2133&lt;&gt;"Clôturé"),"≤ 7 j",""))</f>
        <v/>
      </c>
      <c r="M2133" s="29">
        <f>IF($B2133="","",IFERROR(INDEX($T$4:$T$3183,MATCH(SMALL($V$4:$V$3183,2130),$V$4:$V$3183,0)),""))</f>
        <v/>
      </c>
      <c r="O2133">
        <f>IF(INDEX(Suivi!$B:$B,2174)="","",INDEX(Suivi!$B:$B,2174))</f>
        <v/>
      </c>
      <c r="P2133">
        <f>IF($O2133="","",IF(INDEX(Suivi!$D:$D,2174)="",INDEX(Suivi!$C:$C,2174),INDEX(Suivi!$D:$D,2174)))</f>
        <v/>
      </c>
      <c r="Q2133">
        <f>IF($O2133="","",INDEX(Suivi!$E:$E,2174))</f>
        <v/>
      </c>
      <c r="R2133">
        <f>IF($O2133="","",INDEX(Suivi!$F:$F,2174))</f>
        <v/>
      </c>
      <c r="S2133">
        <f>IF($O2133="","",INDEX(Suivi!$G:$G,2174))</f>
        <v/>
      </c>
      <c r="T2133">
        <f>IF($O2133="","",IF(INDEX(Dossiers!$F$4:$F$63,41)="","",INDEX(Dossiers!$F$4:$F$63,41)))</f>
        <v/>
      </c>
      <c r="U2133">
        <f>IF($O2133="","",IF(INDEX(Dossiers!$G$4:$G$63,41)="","",INDEX(Dossiers!$G$4:$G$63,41)))</f>
        <v/>
      </c>
      <c r="V2133">
        <f>IF(OR($O2133="",NOT(ISNUMBER($Q2133))),"",$Q2133*1000000+2133)</f>
        <v/>
      </c>
      <c r="W2133" s="29">
        <f>IF($B2133="","",IFERROR(INDEX($U$4:$U$3183,MATCH(SMALL($V$4:$V$3183,2130),$V$4:$V$3183,0)),""))</f>
        <v/>
      </c>
    </row>
    <row r="2134">
      <c r="A2134">
        <f>IFERROR(INDEX($N$4:$N$3183,MATCH(SMALL($V$4:$V$3183,2131),$V$4:$V$3183,0)),"")</f>
        <v/>
      </c>
      <c r="B2134">
        <f>IFERROR(INDEX($O$4:$O$3183,MATCH(SMALL($V$4:$V$3183,2131),$V$4:$V$3183,0)),"")</f>
        <v/>
      </c>
      <c r="C2134">
        <f>IFERROR(INDEX($P$4:$P$3183,MATCH(SMALL($V$4:$V$3183,2131),$V$4:$V$3183,0)),"")</f>
        <v/>
      </c>
      <c r="D2134" s="29">
        <f>IFERROR(INDEX($Q$4:$Q$3183,MATCH(SMALL($V$4:$V$3183,2131),$V$4:$V$3183,0)),"")</f>
        <v/>
      </c>
      <c r="E2134" s="29">
        <f>IFERROR(INDEX($R$4:$R$3183,MATCH(SMALL($V$4:$V$3183,2131),$V$4:$V$3183,0)),"")</f>
        <v/>
      </c>
      <c r="F2134">
        <f>IFERROR(INDEX($S$4:$S$3183,MATCH(SMALL($V$4:$V$3183,2131),$V$4:$V$3183,0)),"")</f>
        <v/>
      </c>
      <c r="I2134" s="29">
        <f>IF($B2134="","",IFERROR(INDEX($U$4:$U$3183,MATCH(SMALL($V$4:$V$3183,2131),$V$4:$V$3183,0)),""))</f>
        <v/>
      </c>
      <c r="J2134">
        <f>IF($B2134="","",IF($D2134&gt;$F$2,"À venir",IF($E2134&lt;$D$2,"Passé","Dans la période")))</f>
        <v/>
      </c>
      <c r="K2134">
        <f>IF(OR($B2134="",NOT(ISNUMBER($D2134))),"",IF(AND($E2134&lt;$D$2,$G2134&lt;&gt;"X",$F2134&lt;&gt;"Réalisé",$F2134&lt;&gt;"Clôturé"),"RETARD",""))</f>
        <v/>
      </c>
      <c r="L2134">
        <f>IF(OR($B2134="",NOT(ISNUMBER($D2134))),"",IF(AND($D2134&gt;=$D$2,$D2134&lt;=$H$2,$G2134&lt;&gt;"X",$F2134&lt;&gt;"Réalisé",$F2134&lt;&gt;"Clôturé"),"≤ 7 j",""))</f>
        <v/>
      </c>
      <c r="M2134" s="29">
        <f>IF($B2134="","",IFERROR(INDEX($T$4:$T$3183,MATCH(SMALL($V$4:$V$3183,2131),$V$4:$V$3183,0)),""))</f>
        <v/>
      </c>
      <c r="O2134">
        <f>IF(INDEX(Suivi!$B:$B,2175)="","",INDEX(Suivi!$B:$B,2175))</f>
        <v/>
      </c>
      <c r="P2134">
        <f>IF($O2134="","",IF(INDEX(Suivi!$D:$D,2175)="",INDEX(Suivi!$C:$C,2175),INDEX(Suivi!$D:$D,2175)))</f>
        <v/>
      </c>
      <c r="Q2134">
        <f>IF($O2134="","",INDEX(Suivi!$E:$E,2175))</f>
        <v/>
      </c>
      <c r="R2134">
        <f>IF($O2134="","",INDEX(Suivi!$F:$F,2175))</f>
        <v/>
      </c>
      <c r="S2134">
        <f>IF($O2134="","",INDEX(Suivi!$G:$G,2175))</f>
        <v/>
      </c>
      <c r="T2134">
        <f>IF($O2134="","",IF(INDEX(Dossiers!$F$4:$F$63,41)="","",INDEX(Dossiers!$F$4:$F$63,41)))</f>
        <v/>
      </c>
      <c r="U2134">
        <f>IF($O2134="","",IF(INDEX(Dossiers!$G$4:$G$63,41)="","",INDEX(Dossiers!$G$4:$G$63,41)))</f>
        <v/>
      </c>
      <c r="V2134">
        <f>IF(OR($O2134="",NOT(ISNUMBER($Q2134))),"",$Q2134*1000000+2134)</f>
        <v/>
      </c>
      <c r="W2134" s="29">
        <f>IF($B2134="","",IFERROR(INDEX($U$4:$U$3183,MATCH(SMALL($V$4:$V$3183,2131),$V$4:$V$3183,0)),""))</f>
        <v/>
      </c>
    </row>
    <row r="2135">
      <c r="A2135">
        <f>IFERROR(INDEX($N$4:$N$3183,MATCH(SMALL($V$4:$V$3183,2132),$V$4:$V$3183,0)),"")</f>
        <v/>
      </c>
      <c r="B2135">
        <f>IFERROR(INDEX($O$4:$O$3183,MATCH(SMALL($V$4:$V$3183,2132),$V$4:$V$3183,0)),"")</f>
        <v/>
      </c>
      <c r="C2135">
        <f>IFERROR(INDEX($P$4:$P$3183,MATCH(SMALL($V$4:$V$3183,2132),$V$4:$V$3183,0)),"")</f>
        <v/>
      </c>
      <c r="D2135" s="29">
        <f>IFERROR(INDEX($Q$4:$Q$3183,MATCH(SMALL($V$4:$V$3183,2132),$V$4:$V$3183,0)),"")</f>
        <v/>
      </c>
      <c r="E2135" s="29">
        <f>IFERROR(INDEX($R$4:$R$3183,MATCH(SMALL($V$4:$V$3183,2132),$V$4:$V$3183,0)),"")</f>
        <v/>
      </c>
      <c r="F2135">
        <f>IFERROR(INDEX($S$4:$S$3183,MATCH(SMALL($V$4:$V$3183,2132),$V$4:$V$3183,0)),"")</f>
        <v/>
      </c>
      <c r="I2135" s="29">
        <f>IF($B2135="","",IFERROR(INDEX($U$4:$U$3183,MATCH(SMALL($V$4:$V$3183,2132),$V$4:$V$3183,0)),""))</f>
        <v/>
      </c>
      <c r="J2135">
        <f>IF($B2135="","",IF($D2135&gt;$F$2,"À venir",IF($E2135&lt;$D$2,"Passé","Dans la période")))</f>
        <v/>
      </c>
      <c r="K2135">
        <f>IF(OR($B2135="",NOT(ISNUMBER($D2135))),"",IF(AND($E2135&lt;$D$2,$G2135&lt;&gt;"X",$F2135&lt;&gt;"Réalisé",$F2135&lt;&gt;"Clôturé"),"RETARD",""))</f>
        <v/>
      </c>
      <c r="L2135">
        <f>IF(OR($B2135="",NOT(ISNUMBER($D2135))),"",IF(AND($D2135&gt;=$D$2,$D2135&lt;=$H$2,$G2135&lt;&gt;"X",$F2135&lt;&gt;"Réalisé",$F2135&lt;&gt;"Clôturé"),"≤ 7 j",""))</f>
        <v/>
      </c>
      <c r="M2135" s="29">
        <f>IF($B2135="","",IFERROR(INDEX($T$4:$T$3183,MATCH(SMALL($V$4:$V$3183,2132),$V$4:$V$3183,0)),""))</f>
        <v/>
      </c>
      <c r="O2135">
        <f>IF(INDEX(Suivi!$B:$B,2176)="","",INDEX(Suivi!$B:$B,2176))</f>
        <v/>
      </c>
      <c r="P2135">
        <f>IF($O2135="","",IF(INDEX(Suivi!$D:$D,2176)="",INDEX(Suivi!$C:$C,2176),INDEX(Suivi!$D:$D,2176)))</f>
        <v/>
      </c>
      <c r="Q2135">
        <f>IF($O2135="","",INDEX(Suivi!$E:$E,2176))</f>
        <v/>
      </c>
      <c r="R2135">
        <f>IF($O2135="","",INDEX(Suivi!$F:$F,2176))</f>
        <v/>
      </c>
      <c r="S2135">
        <f>IF($O2135="","",INDEX(Suivi!$G:$G,2176))</f>
        <v/>
      </c>
      <c r="T2135">
        <f>IF($O2135="","",IF(INDEX(Dossiers!$F$4:$F$63,41)="","",INDEX(Dossiers!$F$4:$F$63,41)))</f>
        <v/>
      </c>
      <c r="U2135">
        <f>IF($O2135="","",IF(INDEX(Dossiers!$G$4:$G$63,41)="","",INDEX(Dossiers!$G$4:$G$63,41)))</f>
        <v/>
      </c>
      <c r="V2135">
        <f>IF(OR($O2135="",NOT(ISNUMBER($Q2135))),"",$Q2135*1000000+2135)</f>
        <v/>
      </c>
      <c r="W2135" s="29">
        <f>IF($B2135="","",IFERROR(INDEX($U$4:$U$3183,MATCH(SMALL($V$4:$V$3183,2132),$V$4:$V$3183,0)),""))</f>
        <v/>
      </c>
    </row>
    <row r="2136">
      <c r="A2136">
        <f>IFERROR(INDEX($N$4:$N$3183,MATCH(SMALL($V$4:$V$3183,2133),$V$4:$V$3183,0)),"")</f>
        <v/>
      </c>
      <c r="B2136">
        <f>IFERROR(INDEX($O$4:$O$3183,MATCH(SMALL($V$4:$V$3183,2133),$V$4:$V$3183,0)),"")</f>
        <v/>
      </c>
      <c r="C2136">
        <f>IFERROR(INDEX($P$4:$P$3183,MATCH(SMALL($V$4:$V$3183,2133),$V$4:$V$3183,0)),"")</f>
        <v/>
      </c>
      <c r="D2136" s="29">
        <f>IFERROR(INDEX($Q$4:$Q$3183,MATCH(SMALL($V$4:$V$3183,2133),$V$4:$V$3183,0)),"")</f>
        <v/>
      </c>
      <c r="E2136" s="29">
        <f>IFERROR(INDEX($R$4:$R$3183,MATCH(SMALL($V$4:$V$3183,2133),$V$4:$V$3183,0)),"")</f>
        <v/>
      </c>
      <c r="F2136">
        <f>IFERROR(INDEX($S$4:$S$3183,MATCH(SMALL($V$4:$V$3183,2133),$V$4:$V$3183,0)),"")</f>
        <v/>
      </c>
      <c r="I2136" s="29">
        <f>IF($B2136="","",IFERROR(INDEX($U$4:$U$3183,MATCH(SMALL($V$4:$V$3183,2133),$V$4:$V$3183,0)),""))</f>
        <v/>
      </c>
      <c r="J2136">
        <f>IF($B2136="","",IF($D2136&gt;$F$2,"À venir",IF($E2136&lt;$D$2,"Passé","Dans la période")))</f>
        <v/>
      </c>
      <c r="K2136">
        <f>IF(OR($B2136="",NOT(ISNUMBER($D2136))),"",IF(AND($E2136&lt;$D$2,$G2136&lt;&gt;"X",$F2136&lt;&gt;"Réalisé",$F2136&lt;&gt;"Clôturé"),"RETARD",""))</f>
        <v/>
      </c>
      <c r="L2136">
        <f>IF(OR($B2136="",NOT(ISNUMBER($D2136))),"",IF(AND($D2136&gt;=$D$2,$D2136&lt;=$H$2,$G2136&lt;&gt;"X",$F2136&lt;&gt;"Réalisé",$F2136&lt;&gt;"Clôturé"),"≤ 7 j",""))</f>
        <v/>
      </c>
      <c r="M2136" s="29">
        <f>IF($B2136="","",IFERROR(INDEX($T$4:$T$3183,MATCH(SMALL($V$4:$V$3183,2133),$V$4:$V$3183,0)),""))</f>
        <v/>
      </c>
      <c r="O2136">
        <f>IF(INDEX(Suivi!$B:$B,2177)="","",INDEX(Suivi!$B:$B,2177))</f>
        <v/>
      </c>
      <c r="P2136">
        <f>IF($O2136="","",IF(INDEX(Suivi!$D:$D,2177)="",INDEX(Suivi!$C:$C,2177),INDEX(Suivi!$D:$D,2177)))</f>
        <v/>
      </c>
      <c r="Q2136">
        <f>IF($O2136="","",INDEX(Suivi!$E:$E,2177))</f>
        <v/>
      </c>
      <c r="R2136">
        <f>IF($O2136="","",INDEX(Suivi!$F:$F,2177))</f>
        <v/>
      </c>
      <c r="S2136">
        <f>IF($O2136="","",INDEX(Suivi!$G:$G,2177))</f>
        <v/>
      </c>
      <c r="T2136">
        <f>IF($O2136="","",IF(INDEX(Dossiers!$F$4:$F$63,41)="","",INDEX(Dossiers!$F$4:$F$63,41)))</f>
        <v/>
      </c>
      <c r="U2136">
        <f>IF($O2136="","",IF(INDEX(Dossiers!$G$4:$G$63,41)="","",INDEX(Dossiers!$G$4:$G$63,41)))</f>
        <v/>
      </c>
      <c r="V2136">
        <f>IF(OR($O2136="",NOT(ISNUMBER($Q2136))),"",$Q2136*1000000+2136)</f>
        <v/>
      </c>
      <c r="W2136" s="29">
        <f>IF($B2136="","",IFERROR(INDEX($U$4:$U$3183,MATCH(SMALL($V$4:$V$3183,2133),$V$4:$V$3183,0)),""))</f>
        <v/>
      </c>
    </row>
    <row r="2137">
      <c r="A2137">
        <f>IFERROR(INDEX($N$4:$N$3183,MATCH(SMALL($V$4:$V$3183,2134),$V$4:$V$3183,0)),"")</f>
        <v/>
      </c>
      <c r="B2137">
        <f>IFERROR(INDEX($O$4:$O$3183,MATCH(SMALL($V$4:$V$3183,2134),$V$4:$V$3183,0)),"")</f>
        <v/>
      </c>
      <c r="C2137">
        <f>IFERROR(INDEX($P$4:$P$3183,MATCH(SMALL($V$4:$V$3183,2134),$V$4:$V$3183,0)),"")</f>
        <v/>
      </c>
      <c r="D2137" s="29">
        <f>IFERROR(INDEX($Q$4:$Q$3183,MATCH(SMALL($V$4:$V$3183,2134),$V$4:$V$3183,0)),"")</f>
        <v/>
      </c>
      <c r="E2137" s="29">
        <f>IFERROR(INDEX($R$4:$R$3183,MATCH(SMALL($V$4:$V$3183,2134),$V$4:$V$3183,0)),"")</f>
        <v/>
      </c>
      <c r="F2137">
        <f>IFERROR(INDEX($S$4:$S$3183,MATCH(SMALL($V$4:$V$3183,2134),$V$4:$V$3183,0)),"")</f>
        <v/>
      </c>
      <c r="I2137" s="29">
        <f>IF($B2137="","",IFERROR(INDEX($U$4:$U$3183,MATCH(SMALL($V$4:$V$3183,2134),$V$4:$V$3183,0)),""))</f>
        <v/>
      </c>
      <c r="J2137">
        <f>IF($B2137="","",IF($D2137&gt;$F$2,"À venir",IF($E2137&lt;$D$2,"Passé","Dans la période")))</f>
        <v/>
      </c>
      <c r="K2137">
        <f>IF(OR($B2137="",NOT(ISNUMBER($D2137))),"",IF(AND($E2137&lt;$D$2,$G2137&lt;&gt;"X",$F2137&lt;&gt;"Réalisé",$F2137&lt;&gt;"Clôturé"),"RETARD",""))</f>
        <v/>
      </c>
      <c r="L2137">
        <f>IF(OR($B2137="",NOT(ISNUMBER($D2137))),"",IF(AND($D2137&gt;=$D$2,$D2137&lt;=$H$2,$G2137&lt;&gt;"X",$F2137&lt;&gt;"Réalisé",$F2137&lt;&gt;"Clôturé"),"≤ 7 j",""))</f>
        <v/>
      </c>
      <c r="M2137" s="29">
        <f>IF($B2137="","",IFERROR(INDEX($T$4:$T$3183,MATCH(SMALL($V$4:$V$3183,2134),$V$4:$V$3183,0)),""))</f>
        <v/>
      </c>
      <c r="O2137">
        <f>IF(INDEX(Suivi!$B:$B,2178)="","",INDEX(Suivi!$B:$B,2178))</f>
        <v/>
      </c>
      <c r="P2137">
        <f>IF($O2137="","",IF(INDEX(Suivi!$D:$D,2178)="",INDEX(Suivi!$C:$C,2178),INDEX(Suivi!$D:$D,2178)))</f>
        <v/>
      </c>
      <c r="Q2137">
        <f>IF($O2137="","",INDEX(Suivi!$E:$E,2178))</f>
        <v/>
      </c>
      <c r="R2137">
        <f>IF($O2137="","",INDEX(Suivi!$F:$F,2178))</f>
        <v/>
      </c>
      <c r="S2137">
        <f>IF($O2137="","",INDEX(Suivi!$G:$G,2178))</f>
        <v/>
      </c>
      <c r="T2137">
        <f>IF($O2137="","",IF(INDEX(Dossiers!$F$4:$F$63,41)="","",INDEX(Dossiers!$F$4:$F$63,41)))</f>
        <v/>
      </c>
      <c r="U2137">
        <f>IF($O2137="","",IF(INDEX(Dossiers!$G$4:$G$63,41)="","",INDEX(Dossiers!$G$4:$G$63,41)))</f>
        <v/>
      </c>
      <c r="V2137">
        <f>IF(OR($O2137="",NOT(ISNUMBER($Q2137))),"",$Q2137*1000000+2137)</f>
        <v/>
      </c>
      <c r="W2137" s="29">
        <f>IF($B2137="","",IFERROR(INDEX($U$4:$U$3183,MATCH(SMALL($V$4:$V$3183,2134),$V$4:$V$3183,0)),""))</f>
        <v/>
      </c>
    </row>
    <row r="2138">
      <c r="A2138">
        <f>IFERROR(INDEX($N$4:$N$3183,MATCH(SMALL($V$4:$V$3183,2135),$V$4:$V$3183,0)),"")</f>
        <v/>
      </c>
      <c r="B2138">
        <f>IFERROR(INDEX($O$4:$O$3183,MATCH(SMALL($V$4:$V$3183,2135),$V$4:$V$3183,0)),"")</f>
        <v/>
      </c>
      <c r="C2138">
        <f>IFERROR(INDEX($P$4:$P$3183,MATCH(SMALL($V$4:$V$3183,2135),$V$4:$V$3183,0)),"")</f>
        <v/>
      </c>
      <c r="D2138" s="29">
        <f>IFERROR(INDEX($Q$4:$Q$3183,MATCH(SMALL($V$4:$V$3183,2135),$V$4:$V$3183,0)),"")</f>
        <v/>
      </c>
      <c r="E2138" s="29">
        <f>IFERROR(INDEX($R$4:$R$3183,MATCH(SMALL($V$4:$V$3183,2135),$V$4:$V$3183,0)),"")</f>
        <v/>
      </c>
      <c r="F2138">
        <f>IFERROR(INDEX($S$4:$S$3183,MATCH(SMALL($V$4:$V$3183,2135),$V$4:$V$3183,0)),"")</f>
        <v/>
      </c>
      <c r="I2138" s="29">
        <f>IF($B2138="","",IFERROR(INDEX($U$4:$U$3183,MATCH(SMALL($V$4:$V$3183,2135),$V$4:$V$3183,0)),""))</f>
        <v/>
      </c>
      <c r="J2138">
        <f>IF($B2138="","",IF($D2138&gt;$F$2,"À venir",IF($E2138&lt;$D$2,"Passé","Dans la période")))</f>
        <v/>
      </c>
      <c r="K2138">
        <f>IF(OR($B2138="",NOT(ISNUMBER($D2138))),"",IF(AND($E2138&lt;$D$2,$G2138&lt;&gt;"X",$F2138&lt;&gt;"Réalisé",$F2138&lt;&gt;"Clôturé"),"RETARD",""))</f>
        <v/>
      </c>
      <c r="L2138">
        <f>IF(OR($B2138="",NOT(ISNUMBER($D2138))),"",IF(AND($D2138&gt;=$D$2,$D2138&lt;=$H$2,$G2138&lt;&gt;"X",$F2138&lt;&gt;"Réalisé",$F2138&lt;&gt;"Clôturé"),"≤ 7 j",""))</f>
        <v/>
      </c>
      <c r="M2138" s="29">
        <f>IF($B2138="","",IFERROR(INDEX($T$4:$T$3183,MATCH(SMALL($V$4:$V$3183,2135),$V$4:$V$3183,0)),""))</f>
        <v/>
      </c>
      <c r="O2138">
        <f>IF(INDEX(Suivi!$B:$B,2179)="","",INDEX(Suivi!$B:$B,2179))</f>
        <v/>
      </c>
      <c r="P2138">
        <f>IF($O2138="","",IF(INDEX(Suivi!$D:$D,2179)="",INDEX(Suivi!$C:$C,2179),INDEX(Suivi!$D:$D,2179)))</f>
        <v/>
      </c>
      <c r="Q2138">
        <f>IF($O2138="","",INDEX(Suivi!$E:$E,2179))</f>
        <v/>
      </c>
      <c r="R2138">
        <f>IF($O2138="","",INDEX(Suivi!$F:$F,2179))</f>
        <v/>
      </c>
      <c r="S2138">
        <f>IF($O2138="","",INDEX(Suivi!$G:$G,2179))</f>
        <v/>
      </c>
      <c r="T2138">
        <f>IF($O2138="","",IF(INDEX(Dossiers!$F$4:$F$63,41)="","",INDEX(Dossiers!$F$4:$F$63,41)))</f>
        <v/>
      </c>
      <c r="U2138">
        <f>IF($O2138="","",IF(INDEX(Dossiers!$G$4:$G$63,41)="","",INDEX(Dossiers!$G$4:$G$63,41)))</f>
        <v/>
      </c>
      <c r="V2138">
        <f>IF(OR($O2138="",NOT(ISNUMBER($Q2138))),"",$Q2138*1000000+2138)</f>
        <v/>
      </c>
      <c r="W2138" s="29">
        <f>IF($B2138="","",IFERROR(INDEX($U$4:$U$3183,MATCH(SMALL($V$4:$V$3183,2135),$V$4:$V$3183,0)),""))</f>
        <v/>
      </c>
    </row>
    <row r="2139">
      <c r="A2139">
        <f>IFERROR(INDEX($N$4:$N$3183,MATCH(SMALL($V$4:$V$3183,2136),$V$4:$V$3183,0)),"")</f>
        <v/>
      </c>
      <c r="B2139">
        <f>IFERROR(INDEX($O$4:$O$3183,MATCH(SMALL($V$4:$V$3183,2136),$V$4:$V$3183,0)),"")</f>
        <v/>
      </c>
      <c r="C2139">
        <f>IFERROR(INDEX($P$4:$P$3183,MATCH(SMALL($V$4:$V$3183,2136),$V$4:$V$3183,0)),"")</f>
        <v/>
      </c>
      <c r="D2139" s="29">
        <f>IFERROR(INDEX($Q$4:$Q$3183,MATCH(SMALL($V$4:$V$3183,2136),$V$4:$V$3183,0)),"")</f>
        <v/>
      </c>
      <c r="E2139" s="29">
        <f>IFERROR(INDEX($R$4:$R$3183,MATCH(SMALL($V$4:$V$3183,2136),$V$4:$V$3183,0)),"")</f>
        <v/>
      </c>
      <c r="F2139">
        <f>IFERROR(INDEX($S$4:$S$3183,MATCH(SMALL($V$4:$V$3183,2136),$V$4:$V$3183,0)),"")</f>
        <v/>
      </c>
      <c r="I2139" s="29">
        <f>IF($B2139="","",IFERROR(INDEX($U$4:$U$3183,MATCH(SMALL($V$4:$V$3183,2136),$V$4:$V$3183,0)),""))</f>
        <v/>
      </c>
      <c r="J2139">
        <f>IF($B2139="","",IF($D2139&gt;$F$2,"À venir",IF($E2139&lt;$D$2,"Passé","Dans la période")))</f>
        <v/>
      </c>
      <c r="K2139">
        <f>IF(OR($B2139="",NOT(ISNUMBER($D2139))),"",IF(AND($E2139&lt;$D$2,$G2139&lt;&gt;"X",$F2139&lt;&gt;"Réalisé",$F2139&lt;&gt;"Clôturé"),"RETARD",""))</f>
        <v/>
      </c>
      <c r="L2139">
        <f>IF(OR($B2139="",NOT(ISNUMBER($D2139))),"",IF(AND($D2139&gt;=$D$2,$D2139&lt;=$H$2,$G2139&lt;&gt;"X",$F2139&lt;&gt;"Réalisé",$F2139&lt;&gt;"Clôturé"),"≤ 7 j",""))</f>
        <v/>
      </c>
      <c r="M2139" s="29">
        <f>IF($B2139="","",IFERROR(INDEX($T$4:$T$3183,MATCH(SMALL($V$4:$V$3183,2136),$V$4:$V$3183,0)),""))</f>
        <v/>
      </c>
      <c r="O2139">
        <f>IF(INDEX(Suivi!$B:$B,2180)="","",INDEX(Suivi!$B:$B,2180))</f>
        <v/>
      </c>
      <c r="P2139">
        <f>IF($O2139="","",IF(INDEX(Suivi!$D:$D,2180)="",INDEX(Suivi!$C:$C,2180),INDEX(Suivi!$D:$D,2180)))</f>
        <v/>
      </c>
      <c r="Q2139">
        <f>IF($O2139="","",INDEX(Suivi!$E:$E,2180))</f>
        <v/>
      </c>
      <c r="R2139">
        <f>IF($O2139="","",INDEX(Suivi!$F:$F,2180))</f>
        <v/>
      </c>
      <c r="S2139">
        <f>IF($O2139="","",INDEX(Suivi!$G:$G,2180))</f>
        <v/>
      </c>
      <c r="T2139">
        <f>IF($O2139="","",IF(INDEX(Dossiers!$F$4:$F$63,41)="","",INDEX(Dossiers!$F$4:$F$63,41)))</f>
        <v/>
      </c>
      <c r="U2139">
        <f>IF($O2139="","",IF(INDEX(Dossiers!$G$4:$G$63,41)="","",INDEX(Dossiers!$G$4:$G$63,41)))</f>
        <v/>
      </c>
      <c r="V2139">
        <f>IF(OR($O2139="",NOT(ISNUMBER($Q2139))),"",$Q2139*1000000+2139)</f>
        <v/>
      </c>
      <c r="W2139" s="29">
        <f>IF($B2139="","",IFERROR(INDEX($U$4:$U$3183,MATCH(SMALL($V$4:$V$3183,2136),$V$4:$V$3183,0)),""))</f>
        <v/>
      </c>
    </row>
    <row r="2140">
      <c r="A2140">
        <f>IFERROR(INDEX($N$4:$N$3183,MATCH(SMALL($V$4:$V$3183,2137),$V$4:$V$3183,0)),"")</f>
        <v/>
      </c>
      <c r="B2140">
        <f>IFERROR(INDEX($O$4:$O$3183,MATCH(SMALL($V$4:$V$3183,2137),$V$4:$V$3183,0)),"")</f>
        <v/>
      </c>
      <c r="C2140">
        <f>IFERROR(INDEX($P$4:$P$3183,MATCH(SMALL($V$4:$V$3183,2137),$V$4:$V$3183,0)),"")</f>
        <v/>
      </c>
      <c r="D2140" s="29">
        <f>IFERROR(INDEX($Q$4:$Q$3183,MATCH(SMALL($V$4:$V$3183,2137),$V$4:$V$3183,0)),"")</f>
        <v/>
      </c>
      <c r="E2140" s="29">
        <f>IFERROR(INDEX($R$4:$R$3183,MATCH(SMALL($V$4:$V$3183,2137),$V$4:$V$3183,0)),"")</f>
        <v/>
      </c>
      <c r="F2140">
        <f>IFERROR(INDEX($S$4:$S$3183,MATCH(SMALL($V$4:$V$3183,2137),$V$4:$V$3183,0)),"")</f>
        <v/>
      </c>
      <c r="I2140" s="29">
        <f>IF($B2140="","",IFERROR(INDEX($U$4:$U$3183,MATCH(SMALL($V$4:$V$3183,2137),$V$4:$V$3183,0)),""))</f>
        <v/>
      </c>
      <c r="J2140">
        <f>IF($B2140="","",IF($D2140&gt;$F$2,"À venir",IF($E2140&lt;$D$2,"Passé","Dans la période")))</f>
        <v/>
      </c>
      <c r="K2140">
        <f>IF(OR($B2140="",NOT(ISNUMBER($D2140))),"",IF(AND($E2140&lt;$D$2,$G2140&lt;&gt;"X",$F2140&lt;&gt;"Réalisé",$F2140&lt;&gt;"Clôturé"),"RETARD",""))</f>
        <v/>
      </c>
      <c r="L2140">
        <f>IF(OR($B2140="",NOT(ISNUMBER($D2140))),"",IF(AND($D2140&gt;=$D$2,$D2140&lt;=$H$2,$G2140&lt;&gt;"X",$F2140&lt;&gt;"Réalisé",$F2140&lt;&gt;"Clôturé"),"≤ 7 j",""))</f>
        <v/>
      </c>
      <c r="M2140" s="29">
        <f>IF($B2140="","",IFERROR(INDEX($T$4:$T$3183,MATCH(SMALL($V$4:$V$3183,2137),$V$4:$V$3183,0)),""))</f>
        <v/>
      </c>
      <c r="O2140">
        <f>IF(INDEX(Suivi!$B:$B,2181)="","",INDEX(Suivi!$B:$B,2181))</f>
        <v/>
      </c>
      <c r="P2140">
        <f>IF($O2140="","",IF(INDEX(Suivi!$D:$D,2181)="",INDEX(Suivi!$C:$C,2181),INDEX(Suivi!$D:$D,2181)))</f>
        <v/>
      </c>
      <c r="Q2140">
        <f>IF($O2140="","",INDEX(Suivi!$E:$E,2181))</f>
        <v/>
      </c>
      <c r="R2140">
        <f>IF($O2140="","",INDEX(Suivi!$F:$F,2181))</f>
        <v/>
      </c>
      <c r="S2140">
        <f>IF($O2140="","",INDEX(Suivi!$G:$G,2181))</f>
        <v/>
      </c>
      <c r="T2140">
        <f>IF($O2140="","",IF(INDEX(Dossiers!$F$4:$F$63,41)="","",INDEX(Dossiers!$F$4:$F$63,41)))</f>
        <v/>
      </c>
      <c r="U2140">
        <f>IF($O2140="","",IF(INDEX(Dossiers!$G$4:$G$63,41)="","",INDEX(Dossiers!$G$4:$G$63,41)))</f>
        <v/>
      </c>
      <c r="V2140">
        <f>IF(OR($O2140="",NOT(ISNUMBER($Q2140))),"",$Q2140*1000000+2140)</f>
        <v/>
      </c>
      <c r="W2140" s="29">
        <f>IF($B2140="","",IFERROR(INDEX($U$4:$U$3183,MATCH(SMALL($V$4:$V$3183,2137),$V$4:$V$3183,0)),""))</f>
        <v/>
      </c>
    </row>
    <row r="2141">
      <c r="A2141">
        <f>IFERROR(INDEX($N$4:$N$3183,MATCH(SMALL($V$4:$V$3183,2138),$V$4:$V$3183,0)),"")</f>
        <v/>
      </c>
      <c r="B2141">
        <f>IFERROR(INDEX($O$4:$O$3183,MATCH(SMALL($V$4:$V$3183,2138),$V$4:$V$3183,0)),"")</f>
        <v/>
      </c>
      <c r="C2141">
        <f>IFERROR(INDEX($P$4:$P$3183,MATCH(SMALL($V$4:$V$3183,2138),$V$4:$V$3183,0)),"")</f>
        <v/>
      </c>
      <c r="D2141" s="29">
        <f>IFERROR(INDEX($Q$4:$Q$3183,MATCH(SMALL($V$4:$V$3183,2138),$V$4:$V$3183,0)),"")</f>
        <v/>
      </c>
      <c r="E2141" s="29">
        <f>IFERROR(INDEX($R$4:$R$3183,MATCH(SMALL($V$4:$V$3183,2138),$V$4:$V$3183,0)),"")</f>
        <v/>
      </c>
      <c r="F2141">
        <f>IFERROR(INDEX($S$4:$S$3183,MATCH(SMALL($V$4:$V$3183,2138),$V$4:$V$3183,0)),"")</f>
        <v/>
      </c>
      <c r="I2141" s="29">
        <f>IF($B2141="","",IFERROR(INDEX($U$4:$U$3183,MATCH(SMALL($V$4:$V$3183,2138),$V$4:$V$3183,0)),""))</f>
        <v/>
      </c>
      <c r="J2141">
        <f>IF($B2141="","",IF($D2141&gt;$F$2,"À venir",IF($E2141&lt;$D$2,"Passé","Dans la période")))</f>
        <v/>
      </c>
      <c r="K2141">
        <f>IF(OR($B2141="",NOT(ISNUMBER($D2141))),"",IF(AND($E2141&lt;$D$2,$G2141&lt;&gt;"X",$F2141&lt;&gt;"Réalisé",$F2141&lt;&gt;"Clôturé"),"RETARD",""))</f>
        <v/>
      </c>
      <c r="L2141">
        <f>IF(OR($B2141="",NOT(ISNUMBER($D2141))),"",IF(AND($D2141&gt;=$D$2,$D2141&lt;=$H$2,$G2141&lt;&gt;"X",$F2141&lt;&gt;"Réalisé",$F2141&lt;&gt;"Clôturé"),"≤ 7 j",""))</f>
        <v/>
      </c>
      <c r="M2141" s="29">
        <f>IF($B2141="","",IFERROR(INDEX($T$4:$T$3183,MATCH(SMALL($V$4:$V$3183,2138),$V$4:$V$3183,0)),""))</f>
        <v/>
      </c>
      <c r="O2141">
        <f>IF(INDEX(Suivi!$B:$B,2182)="","",INDEX(Suivi!$B:$B,2182))</f>
        <v/>
      </c>
      <c r="P2141">
        <f>IF($O2141="","",IF(INDEX(Suivi!$D:$D,2182)="",INDEX(Suivi!$C:$C,2182),INDEX(Suivi!$D:$D,2182)))</f>
        <v/>
      </c>
      <c r="Q2141">
        <f>IF($O2141="","",INDEX(Suivi!$E:$E,2182))</f>
        <v/>
      </c>
      <c r="R2141">
        <f>IF($O2141="","",INDEX(Suivi!$F:$F,2182))</f>
        <v/>
      </c>
      <c r="S2141">
        <f>IF($O2141="","",INDEX(Suivi!$G:$G,2182))</f>
        <v/>
      </c>
      <c r="T2141">
        <f>IF($O2141="","",IF(INDEX(Dossiers!$F$4:$F$63,41)="","",INDEX(Dossiers!$F$4:$F$63,41)))</f>
        <v/>
      </c>
      <c r="U2141">
        <f>IF($O2141="","",IF(INDEX(Dossiers!$G$4:$G$63,41)="","",INDEX(Dossiers!$G$4:$G$63,41)))</f>
        <v/>
      </c>
      <c r="V2141">
        <f>IF(OR($O2141="",NOT(ISNUMBER($Q2141))),"",$Q2141*1000000+2141)</f>
        <v/>
      </c>
      <c r="W2141" s="29">
        <f>IF($B2141="","",IFERROR(INDEX($U$4:$U$3183,MATCH(SMALL($V$4:$V$3183,2138),$V$4:$V$3183,0)),""))</f>
        <v/>
      </c>
    </row>
    <row r="2142">
      <c r="A2142">
        <f>IFERROR(INDEX($N$4:$N$3183,MATCH(SMALL($V$4:$V$3183,2139),$V$4:$V$3183,0)),"")</f>
        <v/>
      </c>
      <c r="B2142">
        <f>IFERROR(INDEX($O$4:$O$3183,MATCH(SMALL($V$4:$V$3183,2139),$V$4:$V$3183,0)),"")</f>
        <v/>
      </c>
      <c r="C2142">
        <f>IFERROR(INDEX($P$4:$P$3183,MATCH(SMALL($V$4:$V$3183,2139),$V$4:$V$3183,0)),"")</f>
        <v/>
      </c>
      <c r="D2142" s="29">
        <f>IFERROR(INDEX($Q$4:$Q$3183,MATCH(SMALL($V$4:$V$3183,2139),$V$4:$V$3183,0)),"")</f>
        <v/>
      </c>
      <c r="E2142" s="29">
        <f>IFERROR(INDEX($R$4:$R$3183,MATCH(SMALL($V$4:$V$3183,2139),$V$4:$V$3183,0)),"")</f>
        <v/>
      </c>
      <c r="F2142">
        <f>IFERROR(INDEX($S$4:$S$3183,MATCH(SMALL($V$4:$V$3183,2139),$V$4:$V$3183,0)),"")</f>
        <v/>
      </c>
      <c r="I2142" s="29">
        <f>IF($B2142="","",IFERROR(INDEX($U$4:$U$3183,MATCH(SMALL($V$4:$V$3183,2139),$V$4:$V$3183,0)),""))</f>
        <v/>
      </c>
      <c r="J2142">
        <f>IF($B2142="","",IF($D2142&gt;$F$2,"À venir",IF($E2142&lt;$D$2,"Passé","Dans la période")))</f>
        <v/>
      </c>
      <c r="K2142">
        <f>IF(OR($B2142="",NOT(ISNUMBER($D2142))),"",IF(AND($E2142&lt;$D$2,$G2142&lt;&gt;"X",$F2142&lt;&gt;"Réalisé",$F2142&lt;&gt;"Clôturé"),"RETARD",""))</f>
        <v/>
      </c>
      <c r="L2142">
        <f>IF(OR($B2142="",NOT(ISNUMBER($D2142))),"",IF(AND($D2142&gt;=$D$2,$D2142&lt;=$H$2,$G2142&lt;&gt;"X",$F2142&lt;&gt;"Réalisé",$F2142&lt;&gt;"Clôturé"),"≤ 7 j",""))</f>
        <v/>
      </c>
      <c r="M2142" s="29">
        <f>IF($B2142="","",IFERROR(INDEX($T$4:$T$3183,MATCH(SMALL($V$4:$V$3183,2139),$V$4:$V$3183,0)),""))</f>
        <v/>
      </c>
      <c r="O2142">
        <f>IF(INDEX(Suivi!$B:$B,2183)="","",INDEX(Suivi!$B:$B,2183))</f>
        <v/>
      </c>
      <c r="P2142">
        <f>IF($O2142="","",IF(INDEX(Suivi!$D:$D,2183)="",INDEX(Suivi!$C:$C,2183),INDEX(Suivi!$D:$D,2183)))</f>
        <v/>
      </c>
      <c r="Q2142">
        <f>IF($O2142="","",INDEX(Suivi!$E:$E,2183))</f>
        <v/>
      </c>
      <c r="R2142">
        <f>IF($O2142="","",INDEX(Suivi!$F:$F,2183))</f>
        <v/>
      </c>
      <c r="S2142">
        <f>IF($O2142="","",INDEX(Suivi!$G:$G,2183))</f>
        <v/>
      </c>
      <c r="T2142">
        <f>IF($O2142="","",IF(INDEX(Dossiers!$F$4:$F$63,41)="","",INDEX(Dossiers!$F$4:$F$63,41)))</f>
        <v/>
      </c>
      <c r="U2142">
        <f>IF($O2142="","",IF(INDEX(Dossiers!$G$4:$G$63,41)="","",INDEX(Dossiers!$G$4:$G$63,41)))</f>
        <v/>
      </c>
      <c r="V2142">
        <f>IF(OR($O2142="",NOT(ISNUMBER($Q2142))),"",$Q2142*1000000+2142)</f>
        <v/>
      </c>
      <c r="W2142" s="29">
        <f>IF($B2142="","",IFERROR(INDEX($U$4:$U$3183,MATCH(SMALL($V$4:$V$3183,2139),$V$4:$V$3183,0)),""))</f>
        <v/>
      </c>
    </row>
    <row r="2143">
      <c r="A2143">
        <f>IFERROR(INDEX($N$4:$N$3183,MATCH(SMALL($V$4:$V$3183,2140),$V$4:$V$3183,0)),"")</f>
        <v/>
      </c>
      <c r="B2143">
        <f>IFERROR(INDEX($O$4:$O$3183,MATCH(SMALL($V$4:$V$3183,2140),$V$4:$V$3183,0)),"")</f>
        <v/>
      </c>
      <c r="C2143">
        <f>IFERROR(INDEX($P$4:$P$3183,MATCH(SMALL($V$4:$V$3183,2140),$V$4:$V$3183,0)),"")</f>
        <v/>
      </c>
      <c r="D2143" s="29">
        <f>IFERROR(INDEX($Q$4:$Q$3183,MATCH(SMALL($V$4:$V$3183,2140),$V$4:$V$3183,0)),"")</f>
        <v/>
      </c>
      <c r="E2143" s="29">
        <f>IFERROR(INDEX($R$4:$R$3183,MATCH(SMALL($V$4:$V$3183,2140),$V$4:$V$3183,0)),"")</f>
        <v/>
      </c>
      <c r="F2143">
        <f>IFERROR(INDEX($S$4:$S$3183,MATCH(SMALL($V$4:$V$3183,2140),$V$4:$V$3183,0)),"")</f>
        <v/>
      </c>
      <c r="I2143" s="29">
        <f>IF($B2143="","",IFERROR(INDEX($U$4:$U$3183,MATCH(SMALL($V$4:$V$3183,2140),$V$4:$V$3183,0)),""))</f>
        <v/>
      </c>
      <c r="J2143">
        <f>IF($B2143="","",IF($D2143&gt;$F$2,"À venir",IF($E2143&lt;$D$2,"Passé","Dans la période")))</f>
        <v/>
      </c>
      <c r="K2143">
        <f>IF(OR($B2143="",NOT(ISNUMBER($D2143))),"",IF(AND($E2143&lt;$D$2,$G2143&lt;&gt;"X",$F2143&lt;&gt;"Réalisé",$F2143&lt;&gt;"Clôturé"),"RETARD",""))</f>
        <v/>
      </c>
      <c r="L2143">
        <f>IF(OR($B2143="",NOT(ISNUMBER($D2143))),"",IF(AND($D2143&gt;=$D$2,$D2143&lt;=$H$2,$G2143&lt;&gt;"X",$F2143&lt;&gt;"Réalisé",$F2143&lt;&gt;"Clôturé"),"≤ 7 j",""))</f>
        <v/>
      </c>
      <c r="M2143" s="29">
        <f>IF($B2143="","",IFERROR(INDEX($T$4:$T$3183,MATCH(SMALL($V$4:$V$3183,2140),$V$4:$V$3183,0)),""))</f>
        <v/>
      </c>
      <c r="O2143">
        <f>IF(INDEX(Suivi!$B:$B,2184)="","",INDEX(Suivi!$B:$B,2184))</f>
        <v/>
      </c>
      <c r="P2143">
        <f>IF($O2143="","",IF(INDEX(Suivi!$D:$D,2184)="",INDEX(Suivi!$C:$C,2184),INDEX(Suivi!$D:$D,2184)))</f>
        <v/>
      </c>
      <c r="Q2143">
        <f>IF($O2143="","",INDEX(Suivi!$E:$E,2184))</f>
        <v/>
      </c>
      <c r="R2143">
        <f>IF($O2143="","",INDEX(Suivi!$F:$F,2184))</f>
        <v/>
      </c>
      <c r="S2143">
        <f>IF($O2143="","",INDEX(Suivi!$G:$G,2184))</f>
        <v/>
      </c>
      <c r="T2143">
        <f>IF($O2143="","",IF(INDEX(Dossiers!$F$4:$F$63,41)="","",INDEX(Dossiers!$F$4:$F$63,41)))</f>
        <v/>
      </c>
      <c r="U2143">
        <f>IF($O2143="","",IF(INDEX(Dossiers!$G$4:$G$63,41)="","",INDEX(Dossiers!$G$4:$G$63,41)))</f>
        <v/>
      </c>
      <c r="V2143">
        <f>IF(OR($O2143="",NOT(ISNUMBER($Q2143))),"",$Q2143*1000000+2143)</f>
        <v/>
      </c>
      <c r="W2143" s="29">
        <f>IF($B2143="","",IFERROR(INDEX($U$4:$U$3183,MATCH(SMALL($V$4:$V$3183,2140),$V$4:$V$3183,0)),""))</f>
        <v/>
      </c>
    </row>
    <row r="2144">
      <c r="A2144">
        <f>IFERROR(INDEX($N$4:$N$3183,MATCH(SMALL($V$4:$V$3183,2141),$V$4:$V$3183,0)),"")</f>
        <v/>
      </c>
      <c r="B2144">
        <f>IFERROR(INDEX($O$4:$O$3183,MATCH(SMALL($V$4:$V$3183,2141),$V$4:$V$3183,0)),"")</f>
        <v/>
      </c>
      <c r="C2144">
        <f>IFERROR(INDEX($P$4:$P$3183,MATCH(SMALL($V$4:$V$3183,2141),$V$4:$V$3183,0)),"")</f>
        <v/>
      </c>
      <c r="D2144" s="29">
        <f>IFERROR(INDEX($Q$4:$Q$3183,MATCH(SMALL($V$4:$V$3183,2141),$V$4:$V$3183,0)),"")</f>
        <v/>
      </c>
      <c r="E2144" s="29">
        <f>IFERROR(INDEX($R$4:$R$3183,MATCH(SMALL($V$4:$V$3183,2141),$V$4:$V$3183,0)),"")</f>
        <v/>
      </c>
      <c r="F2144">
        <f>IFERROR(INDEX($S$4:$S$3183,MATCH(SMALL($V$4:$V$3183,2141),$V$4:$V$3183,0)),"")</f>
        <v/>
      </c>
      <c r="I2144" s="29">
        <f>IF($B2144="","",IFERROR(INDEX($U$4:$U$3183,MATCH(SMALL($V$4:$V$3183,2141),$V$4:$V$3183,0)),""))</f>
        <v/>
      </c>
      <c r="J2144">
        <f>IF($B2144="","",IF($D2144&gt;$F$2,"À venir",IF($E2144&lt;$D$2,"Passé","Dans la période")))</f>
        <v/>
      </c>
      <c r="K2144">
        <f>IF(OR($B2144="",NOT(ISNUMBER($D2144))),"",IF(AND($E2144&lt;$D$2,$G2144&lt;&gt;"X",$F2144&lt;&gt;"Réalisé",$F2144&lt;&gt;"Clôturé"),"RETARD",""))</f>
        <v/>
      </c>
      <c r="L2144">
        <f>IF(OR($B2144="",NOT(ISNUMBER($D2144))),"",IF(AND($D2144&gt;=$D$2,$D2144&lt;=$H$2,$G2144&lt;&gt;"X",$F2144&lt;&gt;"Réalisé",$F2144&lt;&gt;"Clôturé"),"≤ 7 j",""))</f>
        <v/>
      </c>
      <c r="M2144" s="29">
        <f>IF($B2144="","",IFERROR(INDEX($T$4:$T$3183,MATCH(SMALL($V$4:$V$3183,2141),$V$4:$V$3183,0)),""))</f>
        <v/>
      </c>
      <c r="O2144">
        <f>IF(INDEX(Suivi!$B:$B,2185)="","",INDEX(Suivi!$B:$B,2185))</f>
        <v/>
      </c>
      <c r="P2144">
        <f>IF($O2144="","",IF(INDEX(Suivi!$D:$D,2185)="",INDEX(Suivi!$C:$C,2185),INDEX(Suivi!$D:$D,2185)))</f>
        <v/>
      </c>
      <c r="Q2144">
        <f>IF($O2144="","",INDEX(Suivi!$E:$E,2185))</f>
        <v/>
      </c>
      <c r="R2144">
        <f>IF($O2144="","",INDEX(Suivi!$F:$F,2185))</f>
        <v/>
      </c>
      <c r="S2144">
        <f>IF($O2144="","",INDEX(Suivi!$G:$G,2185))</f>
        <v/>
      </c>
      <c r="T2144">
        <f>IF($O2144="","",IF(INDEX(Dossiers!$F$4:$F$63,41)="","",INDEX(Dossiers!$F$4:$F$63,41)))</f>
        <v/>
      </c>
      <c r="U2144">
        <f>IF($O2144="","",IF(INDEX(Dossiers!$G$4:$G$63,41)="","",INDEX(Dossiers!$G$4:$G$63,41)))</f>
        <v/>
      </c>
      <c r="V2144">
        <f>IF(OR($O2144="",NOT(ISNUMBER($Q2144))),"",$Q2144*1000000+2144)</f>
        <v/>
      </c>
      <c r="W2144" s="29">
        <f>IF($B2144="","",IFERROR(INDEX($U$4:$U$3183,MATCH(SMALL($V$4:$V$3183,2141),$V$4:$V$3183,0)),""))</f>
        <v/>
      </c>
    </row>
    <row r="2145">
      <c r="A2145">
        <f>IFERROR(INDEX($N$4:$N$3183,MATCH(SMALL($V$4:$V$3183,2142),$V$4:$V$3183,0)),"")</f>
        <v/>
      </c>
      <c r="B2145">
        <f>IFERROR(INDEX($O$4:$O$3183,MATCH(SMALL($V$4:$V$3183,2142),$V$4:$V$3183,0)),"")</f>
        <v/>
      </c>
      <c r="C2145">
        <f>IFERROR(INDEX($P$4:$P$3183,MATCH(SMALL($V$4:$V$3183,2142),$V$4:$V$3183,0)),"")</f>
        <v/>
      </c>
      <c r="D2145" s="29">
        <f>IFERROR(INDEX($Q$4:$Q$3183,MATCH(SMALL($V$4:$V$3183,2142),$V$4:$V$3183,0)),"")</f>
        <v/>
      </c>
      <c r="E2145" s="29">
        <f>IFERROR(INDEX($R$4:$R$3183,MATCH(SMALL($V$4:$V$3183,2142),$V$4:$V$3183,0)),"")</f>
        <v/>
      </c>
      <c r="F2145">
        <f>IFERROR(INDEX($S$4:$S$3183,MATCH(SMALL($V$4:$V$3183,2142),$V$4:$V$3183,0)),"")</f>
        <v/>
      </c>
      <c r="I2145" s="29">
        <f>IF($B2145="","",IFERROR(INDEX($U$4:$U$3183,MATCH(SMALL($V$4:$V$3183,2142),$V$4:$V$3183,0)),""))</f>
        <v/>
      </c>
      <c r="J2145">
        <f>IF($B2145="","",IF($D2145&gt;$F$2,"À venir",IF($E2145&lt;$D$2,"Passé","Dans la période")))</f>
        <v/>
      </c>
      <c r="K2145">
        <f>IF(OR($B2145="",NOT(ISNUMBER($D2145))),"",IF(AND($E2145&lt;$D$2,$G2145&lt;&gt;"X",$F2145&lt;&gt;"Réalisé",$F2145&lt;&gt;"Clôturé"),"RETARD",""))</f>
        <v/>
      </c>
      <c r="L2145">
        <f>IF(OR($B2145="",NOT(ISNUMBER($D2145))),"",IF(AND($D2145&gt;=$D$2,$D2145&lt;=$H$2,$G2145&lt;&gt;"X",$F2145&lt;&gt;"Réalisé",$F2145&lt;&gt;"Clôturé"),"≤ 7 j",""))</f>
        <v/>
      </c>
      <c r="M2145" s="29">
        <f>IF($B2145="","",IFERROR(INDEX($T$4:$T$3183,MATCH(SMALL($V$4:$V$3183,2142),$V$4:$V$3183,0)),""))</f>
        <v/>
      </c>
      <c r="O2145">
        <f>IF(INDEX(Suivi!$B:$B,2186)="","",INDEX(Suivi!$B:$B,2186))</f>
        <v/>
      </c>
      <c r="P2145">
        <f>IF($O2145="","",IF(INDEX(Suivi!$D:$D,2186)="",INDEX(Suivi!$C:$C,2186),INDEX(Suivi!$D:$D,2186)))</f>
        <v/>
      </c>
      <c r="Q2145">
        <f>IF($O2145="","",INDEX(Suivi!$E:$E,2186))</f>
        <v/>
      </c>
      <c r="R2145">
        <f>IF($O2145="","",INDEX(Suivi!$F:$F,2186))</f>
        <v/>
      </c>
      <c r="S2145">
        <f>IF($O2145="","",INDEX(Suivi!$G:$G,2186))</f>
        <v/>
      </c>
      <c r="T2145">
        <f>IF($O2145="","",IF(INDEX(Dossiers!$F$4:$F$63,41)="","",INDEX(Dossiers!$F$4:$F$63,41)))</f>
        <v/>
      </c>
      <c r="U2145">
        <f>IF($O2145="","",IF(INDEX(Dossiers!$G$4:$G$63,41)="","",INDEX(Dossiers!$G$4:$G$63,41)))</f>
        <v/>
      </c>
      <c r="V2145">
        <f>IF(OR($O2145="",NOT(ISNUMBER($Q2145))),"",$Q2145*1000000+2145)</f>
        <v/>
      </c>
      <c r="W2145" s="29">
        <f>IF($B2145="","",IFERROR(INDEX($U$4:$U$3183,MATCH(SMALL($V$4:$V$3183,2142),$V$4:$V$3183,0)),""))</f>
        <v/>
      </c>
    </row>
    <row r="2146">
      <c r="A2146">
        <f>IFERROR(INDEX($N$4:$N$3183,MATCH(SMALL($V$4:$V$3183,2143),$V$4:$V$3183,0)),"")</f>
        <v/>
      </c>
      <c r="B2146">
        <f>IFERROR(INDEX($O$4:$O$3183,MATCH(SMALL($V$4:$V$3183,2143),$V$4:$V$3183,0)),"")</f>
        <v/>
      </c>
      <c r="C2146">
        <f>IFERROR(INDEX($P$4:$P$3183,MATCH(SMALL($V$4:$V$3183,2143),$V$4:$V$3183,0)),"")</f>
        <v/>
      </c>
      <c r="D2146" s="29">
        <f>IFERROR(INDEX($Q$4:$Q$3183,MATCH(SMALL($V$4:$V$3183,2143),$V$4:$V$3183,0)),"")</f>
        <v/>
      </c>
      <c r="E2146" s="29">
        <f>IFERROR(INDEX($R$4:$R$3183,MATCH(SMALL($V$4:$V$3183,2143),$V$4:$V$3183,0)),"")</f>
        <v/>
      </c>
      <c r="F2146">
        <f>IFERROR(INDEX($S$4:$S$3183,MATCH(SMALL($V$4:$V$3183,2143),$V$4:$V$3183,0)),"")</f>
        <v/>
      </c>
      <c r="I2146" s="29">
        <f>IF($B2146="","",IFERROR(INDEX($U$4:$U$3183,MATCH(SMALL($V$4:$V$3183,2143),$V$4:$V$3183,0)),""))</f>
        <v/>
      </c>
      <c r="J2146">
        <f>IF($B2146="","",IF($D2146&gt;$F$2,"À venir",IF($E2146&lt;$D$2,"Passé","Dans la période")))</f>
        <v/>
      </c>
      <c r="K2146">
        <f>IF(OR($B2146="",NOT(ISNUMBER($D2146))),"",IF(AND($E2146&lt;$D$2,$G2146&lt;&gt;"X",$F2146&lt;&gt;"Réalisé",$F2146&lt;&gt;"Clôturé"),"RETARD",""))</f>
        <v/>
      </c>
      <c r="L2146">
        <f>IF(OR($B2146="",NOT(ISNUMBER($D2146))),"",IF(AND($D2146&gt;=$D$2,$D2146&lt;=$H$2,$G2146&lt;&gt;"X",$F2146&lt;&gt;"Réalisé",$F2146&lt;&gt;"Clôturé"),"≤ 7 j",""))</f>
        <v/>
      </c>
      <c r="M2146" s="29">
        <f>IF($B2146="","",IFERROR(INDEX($T$4:$T$3183,MATCH(SMALL($V$4:$V$3183,2143),$V$4:$V$3183,0)),""))</f>
        <v/>
      </c>
      <c r="O2146">
        <f>IF(INDEX(Suivi!$B:$B,2187)="","",INDEX(Suivi!$B:$B,2187))</f>
        <v/>
      </c>
      <c r="P2146">
        <f>IF($O2146="","",IF(INDEX(Suivi!$D:$D,2187)="",INDEX(Suivi!$C:$C,2187),INDEX(Suivi!$D:$D,2187)))</f>
        <v/>
      </c>
      <c r="Q2146">
        <f>IF($O2146="","",INDEX(Suivi!$E:$E,2187))</f>
        <v/>
      </c>
      <c r="R2146">
        <f>IF($O2146="","",INDEX(Suivi!$F:$F,2187))</f>
        <v/>
      </c>
      <c r="S2146">
        <f>IF($O2146="","",INDEX(Suivi!$G:$G,2187))</f>
        <v/>
      </c>
      <c r="T2146">
        <f>IF($O2146="","",IF(INDEX(Dossiers!$F$4:$F$63,41)="","",INDEX(Dossiers!$F$4:$F$63,41)))</f>
        <v/>
      </c>
      <c r="U2146">
        <f>IF($O2146="","",IF(INDEX(Dossiers!$G$4:$G$63,41)="","",INDEX(Dossiers!$G$4:$G$63,41)))</f>
        <v/>
      </c>
      <c r="V2146">
        <f>IF(OR($O2146="",NOT(ISNUMBER($Q2146))),"",$Q2146*1000000+2146)</f>
        <v/>
      </c>
      <c r="W2146" s="29">
        <f>IF($B2146="","",IFERROR(INDEX($U$4:$U$3183,MATCH(SMALL($V$4:$V$3183,2143),$V$4:$V$3183,0)),""))</f>
        <v/>
      </c>
    </row>
    <row r="2147">
      <c r="A2147">
        <f>IFERROR(INDEX($N$4:$N$3183,MATCH(SMALL($V$4:$V$3183,2144),$V$4:$V$3183,0)),"")</f>
        <v/>
      </c>
      <c r="B2147">
        <f>IFERROR(INDEX($O$4:$O$3183,MATCH(SMALL($V$4:$V$3183,2144),$V$4:$V$3183,0)),"")</f>
        <v/>
      </c>
      <c r="C2147">
        <f>IFERROR(INDEX($P$4:$P$3183,MATCH(SMALL($V$4:$V$3183,2144),$V$4:$V$3183,0)),"")</f>
        <v/>
      </c>
      <c r="D2147" s="29">
        <f>IFERROR(INDEX($Q$4:$Q$3183,MATCH(SMALL($V$4:$V$3183,2144),$V$4:$V$3183,0)),"")</f>
        <v/>
      </c>
      <c r="E2147" s="29">
        <f>IFERROR(INDEX($R$4:$R$3183,MATCH(SMALL($V$4:$V$3183,2144),$V$4:$V$3183,0)),"")</f>
        <v/>
      </c>
      <c r="F2147">
        <f>IFERROR(INDEX($S$4:$S$3183,MATCH(SMALL($V$4:$V$3183,2144),$V$4:$V$3183,0)),"")</f>
        <v/>
      </c>
      <c r="I2147" s="29">
        <f>IF($B2147="","",IFERROR(INDEX($U$4:$U$3183,MATCH(SMALL($V$4:$V$3183,2144),$V$4:$V$3183,0)),""))</f>
        <v/>
      </c>
      <c r="J2147">
        <f>IF($B2147="","",IF($D2147&gt;$F$2,"À venir",IF($E2147&lt;$D$2,"Passé","Dans la période")))</f>
        <v/>
      </c>
      <c r="K2147">
        <f>IF(OR($B2147="",NOT(ISNUMBER($D2147))),"",IF(AND($E2147&lt;$D$2,$G2147&lt;&gt;"X",$F2147&lt;&gt;"Réalisé",$F2147&lt;&gt;"Clôturé"),"RETARD",""))</f>
        <v/>
      </c>
      <c r="L2147">
        <f>IF(OR($B2147="",NOT(ISNUMBER($D2147))),"",IF(AND($D2147&gt;=$D$2,$D2147&lt;=$H$2,$G2147&lt;&gt;"X",$F2147&lt;&gt;"Réalisé",$F2147&lt;&gt;"Clôturé"),"≤ 7 j",""))</f>
        <v/>
      </c>
      <c r="M2147" s="29">
        <f>IF($B2147="","",IFERROR(INDEX($T$4:$T$3183,MATCH(SMALL($V$4:$V$3183,2144),$V$4:$V$3183,0)),""))</f>
        <v/>
      </c>
      <c r="O2147">
        <f>IF(INDEX(Suivi!$B:$B,2188)="","",INDEX(Suivi!$B:$B,2188))</f>
        <v/>
      </c>
      <c r="P2147">
        <f>IF($O2147="","",IF(INDEX(Suivi!$D:$D,2188)="",INDEX(Suivi!$C:$C,2188),INDEX(Suivi!$D:$D,2188)))</f>
        <v/>
      </c>
      <c r="Q2147">
        <f>IF($O2147="","",INDEX(Suivi!$E:$E,2188))</f>
        <v/>
      </c>
      <c r="R2147">
        <f>IF($O2147="","",INDEX(Suivi!$F:$F,2188))</f>
        <v/>
      </c>
      <c r="S2147">
        <f>IF($O2147="","",INDEX(Suivi!$G:$G,2188))</f>
        <v/>
      </c>
      <c r="T2147">
        <f>IF($O2147="","",IF(INDEX(Dossiers!$F$4:$F$63,41)="","",INDEX(Dossiers!$F$4:$F$63,41)))</f>
        <v/>
      </c>
      <c r="U2147">
        <f>IF($O2147="","",IF(INDEX(Dossiers!$G$4:$G$63,41)="","",INDEX(Dossiers!$G$4:$G$63,41)))</f>
        <v/>
      </c>
      <c r="V2147">
        <f>IF(OR($O2147="",NOT(ISNUMBER($Q2147))),"",$Q2147*1000000+2147)</f>
        <v/>
      </c>
      <c r="W2147" s="29">
        <f>IF($B2147="","",IFERROR(INDEX($U$4:$U$3183,MATCH(SMALL($V$4:$V$3183,2144),$V$4:$V$3183,0)),""))</f>
        <v/>
      </c>
    </row>
    <row r="2148">
      <c r="A2148">
        <f>IFERROR(INDEX($N$4:$N$3183,MATCH(SMALL($V$4:$V$3183,2145),$V$4:$V$3183,0)),"")</f>
        <v/>
      </c>
      <c r="B2148">
        <f>IFERROR(INDEX($O$4:$O$3183,MATCH(SMALL($V$4:$V$3183,2145),$V$4:$V$3183,0)),"")</f>
        <v/>
      </c>
      <c r="C2148">
        <f>IFERROR(INDEX($P$4:$P$3183,MATCH(SMALL($V$4:$V$3183,2145),$V$4:$V$3183,0)),"")</f>
        <v/>
      </c>
      <c r="D2148" s="29">
        <f>IFERROR(INDEX($Q$4:$Q$3183,MATCH(SMALL($V$4:$V$3183,2145),$V$4:$V$3183,0)),"")</f>
        <v/>
      </c>
      <c r="E2148" s="29">
        <f>IFERROR(INDEX($R$4:$R$3183,MATCH(SMALL($V$4:$V$3183,2145),$V$4:$V$3183,0)),"")</f>
        <v/>
      </c>
      <c r="F2148">
        <f>IFERROR(INDEX($S$4:$S$3183,MATCH(SMALL($V$4:$V$3183,2145),$V$4:$V$3183,0)),"")</f>
        <v/>
      </c>
      <c r="I2148" s="29">
        <f>IF($B2148="","",IFERROR(INDEX($U$4:$U$3183,MATCH(SMALL($V$4:$V$3183,2145),$V$4:$V$3183,0)),""))</f>
        <v/>
      </c>
      <c r="J2148">
        <f>IF($B2148="","",IF($D2148&gt;$F$2,"À venir",IF($E2148&lt;$D$2,"Passé","Dans la période")))</f>
        <v/>
      </c>
      <c r="K2148">
        <f>IF(OR($B2148="",NOT(ISNUMBER($D2148))),"",IF(AND($E2148&lt;$D$2,$G2148&lt;&gt;"X",$F2148&lt;&gt;"Réalisé",$F2148&lt;&gt;"Clôturé"),"RETARD",""))</f>
        <v/>
      </c>
      <c r="L2148">
        <f>IF(OR($B2148="",NOT(ISNUMBER($D2148))),"",IF(AND($D2148&gt;=$D$2,$D2148&lt;=$H$2,$G2148&lt;&gt;"X",$F2148&lt;&gt;"Réalisé",$F2148&lt;&gt;"Clôturé"),"≤ 7 j",""))</f>
        <v/>
      </c>
      <c r="M2148" s="29">
        <f>IF($B2148="","",IFERROR(INDEX($T$4:$T$3183,MATCH(SMALL($V$4:$V$3183,2145),$V$4:$V$3183,0)),""))</f>
        <v/>
      </c>
      <c r="O2148">
        <f>IF(INDEX(Suivi!$B:$B,2189)="","",INDEX(Suivi!$B:$B,2189))</f>
        <v/>
      </c>
      <c r="P2148">
        <f>IF($O2148="","",IF(INDEX(Suivi!$D:$D,2189)="",INDEX(Suivi!$C:$C,2189),INDEX(Suivi!$D:$D,2189)))</f>
        <v/>
      </c>
      <c r="Q2148">
        <f>IF($O2148="","",INDEX(Suivi!$E:$E,2189))</f>
        <v/>
      </c>
      <c r="R2148">
        <f>IF($O2148="","",INDEX(Suivi!$F:$F,2189))</f>
        <v/>
      </c>
      <c r="S2148">
        <f>IF($O2148="","",INDEX(Suivi!$G:$G,2189))</f>
        <v/>
      </c>
      <c r="T2148">
        <f>IF($O2148="","",IF(INDEX(Dossiers!$F$4:$F$63,41)="","",INDEX(Dossiers!$F$4:$F$63,41)))</f>
        <v/>
      </c>
      <c r="U2148">
        <f>IF($O2148="","",IF(INDEX(Dossiers!$G$4:$G$63,41)="","",INDEX(Dossiers!$G$4:$G$63,41)))</f>
        <v/>
      </c>
      <c r="V2148">
        <f>IF(OR($O2148="",NOT(ISNUMBER($Q2148))),"",$Q2148*1000000+2148)</f>
        <v/>
      </c>
      <c r="W2148" s="29">
        <f>IF($B2148="","",IFERROR(INDEX($U$4:$U$3183,MATCH(SMALL($V$4:$V$3183,2145),$V$4:$V$3183,0)),""))</f>
        <v/>
      </c>
    </row>
    <row r="2149">
      <c r="A2149">
        <f>IFERROR(INDEX($N$4:$N$3183,MATCH(SMALL($V$4:$V$3183,2146),$V$4:$V$3183,0)),"")</f>
        <v/>
      </c>
      <c r="B2149">
        <f>IFERROR(INDEX($O$4:$O$3183,MATCH(SMALL($V$4:$V$3183,2146),$V$4:$V$3183,0)),"")</f>
        <v/>
      </c>
      <c r="C2149">
        <f>IFERROR(INDEX($P$4:$P$3183,MATCH(SMALL($V$4:$V$3183,2146),$V$4:$V$3183,0)),"")</f>
        <v/>
      </c>
      <c r="D2149" s="29">
        <f>IFERROR(INDEX($Q$4:$Q$3183,MATCH(SMALL($V$4:$V$3183,2146),$V$4:$V$3183,0)),"")</f>
        <v/>
      </c>
      <c r="E2149" s="29">
        <f>IFERROR(INDEX($R$4:$R$3183,MATCH(SMALL($V$4:$V$3183,2146),$V$4:$V$3183,0)),"")</f>
        <v/>
      </c>
      <c r="F2149">
        <f>IFERROR(INDEX($S$4:$S$3183,MATCH(SMALL($V$4:$V$3183,2146),$V$4:$V$3183,0)),"")</f>
        <v/>
      </c>
      <c r="I2149" s="29">
        <f>IF($B2149="","",IFERROR(INDEX($U$4:$U$3183,MATCH(SMALL($V$4:$V$3183,2146),$V$4:$V$3183,0)),""))</f>
        <v/>
      </c>
      <c r="J2149">
        <f>IF($B2149="","",IF($D2149&gt;$F$2,"À venir",IF($E2149&lt;$D$2,"Passé","Dans la période")))</f>
        <v/>
      </c>
      <c r="K2149">
        <f>IF(OR($B2149="",NOT(ISNUMBER($D2149))),"",IF(AND($E2149&lt;$D$2,$G2149&lt;&gt;"X",$F2149&lt;&gt;"Réalisé",$F2149&lt;&gt;"Clôturé"),"RETARD",""))</f>
        <v/>
      </c>
      <c r="L2149">
        <f>IF(OR($B2149="",NOT(ISNUMBER($D2149))),"",IF(AND($D2149&gt;=$D$2,$D2149&lt;=$H$2,$G2149&lt;&gt;"X",$F2149&lt;&gt;"Réalisé",$F2149&lt;&gt;"Clôturé"),"≤ 7 j",""))</f>
        <v/>
      </c>
      <c r="M2149" s="29">
        <f>IF($B2149="","",IFERROR(INDEX($T$4:$T$3183,MATCH(SMALL($V$4:$V$3183,2146),$V$4:$V$3183,0)),""))</f>
        <v/>
      </c>
      <c r="O2149">
        <f>IF(INDEX(Suivi!$B:$B,2190)="","",INDEX(Suivi!$B:$B,2190))</f>
        <v/>
      </c>
      <c r="P2149">
        <f>IF($O2149="","",IF(INDEX(Suivi!$D:$D,2190)="",INDEX(Suivi!$C:$C,2190),INDEX(Suivi!$D:$D,2190)))</f>
        <v/>
      </c>
      <c r="Q2149">
        <f>IF($O2149="","",INDEX(Suivi!$E:$E,2190))</f>
        <v/>
      </c>
      <c r="R2149">
        <f>IF($O2149="","",INDEX(Suivi!$F:$F,2190))</f>
        <v/>
      </c>
      <c r="S2149">
        <f>IF($O2149="","",INDEX(Suivi!$G:$G,2190))</f>
        <v/>
      </c>
      <c r="T2149">
        <f>IF($O2149="","",IF(INDEX(Dossiers!$F$4:$F$63,41)="","",INDEX(Dossiers!$F$4:$F$63,41)))</f>
        <v/>
      </c>
      <c r="U2149">
        <f>IF($O2149="","",IF(INDEX(Dossiers!$G$4:$G$63,41)="","",INDEX(Dossiers!$G$4:$G$63,41)))</f>
        <v/>
      </c>
      <c r="V2149">
        <f>IF(OR($O2149="",NOT(ISNUMBER($Q2149))),"",$Q2149*1000000+2149)</f>
        <v/>
      </c>
      <c r="W2149" s="29">
        <f>IF($B2149="","",IFERROR(INDEX($U$4:$U$3183,MATCH(SMALL($V$4:$V$3183,2146),$V$4:$V$3183,0)),""))</f>
        <v/>
      </c>
    </row>
    <row r="2150">
      <c r="A2150">
        <f>IFERROR(INDEX($N$4:$N$3183,MATCH(SMALL($V$4:$V$3183,2147),$V$4:$V$3183,0)),"")</f>
        <v/>
      </c>
      <c r="B2150">
        <f>IFERROR(INDEX($O$4:$O$3183,MATCH(SMALL($V$4:$V$3183,2147),$V$4:$V$3183,0)),"")</f>
        <v/>
      </c>
      <c r="C2150">
        <f>IFERROR(INDEX($P$4:$P$3183,MATCH(SMALL($V$4:$V$3183,2147),$V$4:$V$3183,0)),"")</f>
        <v/>
      </c>
      <c r="D2150" s="29">
        <f>IFERROR(INDEX($Q$4:$Q$3183,MATCH(SMALL($V$4:$V$3183,2147),$V$4:$V$3183,0)),"")</f>
        <v/>
      </c>
      <c r="E2150" s="29">
        <f>IFERROR(INDEX($R$4:$R$3183,MATCH(SMALL($V$4:$V$3183,2147),$V$4:$V$3183,0)),"")</f>
        <v/>
      </c>
      <c r="F2150">
        <f>IFERROR(INDEX($S$4:$S$3183,MATCH(SMALL($V$4:$V$3183,2147),$V$4:$V$3183,0)),"")</f>
        <v/>
      </c>
      <c r="I2150" s="29">
        <f>IF($B2150="","",IFERROR(INDEX($U$4:$U$3183,MATCH(SMALL($V$4:$V$3183,2147),$V$4:$V$3183,0)),""))</f>
        <v/>
      </c>
      <c r="J2150">
        <f>IF($B2150="","",IF($D2150&gt;$F$2,"À venir",IF($E2150&lt;$D$2,"Passé","Dans la période")))</f>
        <v/>
      </c>
      <c r="K2150">
        <f>IF(OR($B2150="",NOT(ISNUMBER($D2150))),"",IF(AND($E2150&lt;$D$2,$G2150&lt;&gt;"X",$F2150&lt;&gt;"Réalisé",$F2150&lt;&gt;"Clôturé"),"RETARD",""))</f>
        <v/>
      </c>
      <c r="L2150">
        <f>IF(OR($B2150="",NOT(ISNUMBER($D2150))),"",IF(AND($D2150&gt;=$D$2,$D2150&lt;=$H$2,$G2150&lt;&gt;"X",$F2150&lt;&gt;"Réalisé",$F2150&lt;&gt;"Clôturé"),"≤ 7 j",""))</f>
        <v/>
      </c>
      <c r="M2150" s="29">
        <f>IF($B2150="","",IFERROR(INDEX($T$4:$T$3183,MATCH(SMALL($V$4:$V$3183,2147),$V$4:$V$3183,0)),""))</f>
        <v/>
      </c>
      <c r="O2150">
        <f>IF(INDEX(Suivi!$B:$B,2191)="","",INDEX(Suivi!$B:$B,2191))</f>
        <v/>
      </c>
      <c r="P2150">
        <f>IF($O2150="","",IF(INDEX(Suivi!$D:$D,2191)="",INDEX(Suivi!$C:$C,2191),INDEX(Suivi!$D:$D,2191)))</f>
        <v/>
      </c>
      <c r="Q2150">
        <f>IF($O2150="","",INDEX(Suivi!$E:$E,2191))</f>
        <v/>
      </c>
      <c r="R2150">
        <f>IF($O2150="","",INDEX(Suivi!$F:$F,2191))</f>
        <v/>
      </c>
      <c r="S2150">
        <f>IF($O2150="","",INDEX(Suivi!$G:$G,2191))</f>
        <v/>
      </c>
      <c r="T2150">
        <f>IF($O2150="","",IF(INDEX(Dossiers!$F$4:$F$63,41)="","",INDEX(Dossiers!$F$4:$F$63,41)))</f>
        <v/>
      </c>
      <c r="U2150">
        <f>IF($O2150="","",IF(INDEX(Dossiers!$G$4:$G$63,41)="","",INDEX(Dossiers!$G$4:$G$63,41)))</f>
        <v/>
      </c>
      <c r="V2150">
        <f>IF(OR($O2150="",NOT(ISNUMBER($Q2150))),"",$Q2150*1000000+2150)</f>
        <v/>
      </c>
      <c r="W2150" s="29">
        <f>IF($B2150="","",IFERROR(INDEX($U$4:$U$3183,MATCH(SMALL($V$4:$V$3183,2147),$V$4:$V$3183,0)),""))</f>
        <v/>
      </c>
    </row>
    <row r="2151">
      <c r="A2151">
        <f>IFERROR(INDEX($N$4:$N$3183,MATCH(SMALL($V$4:$V$3183,2148),$V$4:$V$3183,0)),"")</f>
        <v/>
      </c>
      <c r="B2151">
        <f>IFERROR(INDEX($O$4:$O$3183,MATCH(SMALL($V$4:$V$3183,2148),$V$4:$V$3183,0)),"")</f>
        <v/>
      </c>
      <c r="C2151">
        <f>IFERROR(INDEX($P$4:$P$3183,MATCH(SMALL($V$4:$V$3183,2148),$V$4:$V$3183,0)),"")</f>
        <v/>
      </c>
      <c r="D2151" s="29">
        <f>IFERROR(INDEX($Q$4:$Q$3183,MATCH(SMALL($V$4:$V$3183,2148),$V$4:$V$3183,0)),"")</f>
        <v/>
      </c>
      <c r="E2151" s="29">
        <f>IFERROR(INDEX($R$4:$R$3183,MATCH(SMALL($V$4:$V$3183,2148),$V$4:$V$3183,0)),"")</f>
        <v/>
      </c>
      <c r="F2151">
        <f>IFERROR(INDEX($S$4:$S$3183,MATCH(SMALL($V$4:$V$3183,2148),$V$4:$V$3183,0)),"")</f>
        <v/>
      </c>
      <c r="I2151" s="29">
        <f>IF($B2151="","",IFERROR(INDEX($U$4:$U$3183,MATCH(SMALL($V$4:$V$3183,2148),$V$4:$V$3183,0)),""))</f>
        <v/>
      </c>
      <c r="J2151">
        <f>IF($B2151="","",IF($D2151&gt;$F$2,"À venir",IF($E2151&lt;$D$2,"Passé","Dans la période")))</f>
        <v/>
      </c>
      <c r="K2151">
        <f>IF(OR($B2151="",NOT(ISNUMBER($D2151))),"",IF(AND($E2151&lt;$D$2,$G2151&lt;&gt;"X",$F2151&lt;&gt;"Réalisé",$F2151&lt;&gt;"Clôturé"),"RETARD",""))</f>
        <v/>
      </c>
      <c r="L2151">
        <f>IF(OR($B2151="",NOT(ISNUMBER($D2151))),"",IF(AND($D2151&gt;=$D$2,$D2151&lt;=$H$2,$G2151&lt;&gt;"X",$F2151&lt;&gt;"Réalisé",$F2151&lt;&gt;"Clôturé"),"≤ 7 j",""))</f>
        <v/>
      </c>
      <c r="M2151" s="29">
        <f>IF($B2151="","",IFERROR(INDEX($T$4:$T$3183,MATCH(SMALL($V$4:$V$3183,2148),$V$4:$V$3183,0)),""))</f>
        <v/>
      </c>
      <c r="O2151">
        <f>IF(INDEX(Suivi!$B:$B,2192)="","",INDEX(Suivi!$B:$B,2192))</f>
        <v/>
      </c>
      <c r="P2151">
        <f>IF($O2151="","",IF(INDEX(Suivi!$D:$D,2192)="",INDEX(Suivi!$C:$C,2192),INDEX(Suivi!$D:$D,2192)))</f>
        <v/>
      </c>
      <c r="Q2151">
        <f>IF($O2151="","",INDEX(Suivi!$E:$E,2192))</f>
        <v/>
      </c>
      <c r="R2151">
        <f>IF($O2151="","",INDEX(Suivi!$F:$F,2192))</f>
        <v/>
      </c>
      <c r="S2151">
        <f>IF($O2151="","",INDEX(Suivi!$G:$G,2192))</f>
        <v/>
      </c>
      <c r="T2151">
        <f>IF($O2151="","",IF(INDEX(Dossiers!$F$4:$F$63,41)="","",INDEX(Dossiers!$F$4:$F$63,41)))</f>
        <v/>
      </c>
      <c r="U2151">
        <f>IF($O2151="","",IF(INDEX(Dossiers!$G$4:$G$63,41)="","",INDEX(Dossiers!$G$4:$G$63,41)))</f>
        <v/>
      </c>
      <c r="V2151">
        <f>IF(OR($O2151="",NOT(ISNUMBER($Q2151))),"",$Q2151*1000000+2151)</f>
        <v/>
      </c>
      <c r="W2151" s="29">
        <f>IF($B2151="","",IFERROR(INDEX($U$4:$U$3183,MATCH(SMALL($V$4:$V$3183,2148),$V$4:$V$3183,0)),""))</f>
        <v/>
      </c>
    </row>
    <row r="2152">
      <c r="A2152">
        <f>IFERROR(INDEX($N$4:$N$3183,MATCH(SMALL($V$4:$V$3183,2149),$V$4:$V$3183,0)),"")</f>
        <v/>
      </c>
      <c r="B2152">
        <f>IFERROR(INDEX($O$4:$O$3183,MATCH(SMALL($V$4:$V$3183,2149),$V$4:$V$3183,0)),"")</f>
        <v/>
      </c>
      <c r="C2152">
        <f>IFERROR(INDEX($P$4:$P$3183,MATCH(SMALL($V$4:$V$3183,2149),$V$4:$V$3183,0)),"")</f>
        <v/>
      </c>
      <c r="D2152" s="29">
        <f>IFERROR(INDEX($Q$4:$Q$3183,MATCH(SMALL($V$4:$V$3183,2149),$V$4:$V$3183,0)),"")</f>
        <v/>
      </c>
      <c r="E2152" s="29">
        <f>IFERROR(INDEX($R$4:$R$3183,MATCH(SMALL($V$4:$V$3183,2149),$V$4:$V$3183,0)),"")</f>
        <v/>
      </c>
      <c r="F2152">
        <f>IFERROR(INDEX($S$4:$S$3183,MATCH(SMALL($V$4:$V$3183,2149),$V$4:$V$3183,0)),"")</f>
        <v/>
      </c>
      <c r="I2152" s="29">
        <f>IF($B2152="","",IFERROR(INDEX($U$4:$U$3183,MATCH(SMALL($V$4:$V$3183,2149),$V$4:$V$3183,0)),""))</f>
        <v/>
      </c>
      <c r="J2152">
        <f>IF($B2152="","",IF($D2152&gt;$F$2,"À venir",IF($E2152&lt;$D$2,"Passé","Dans la période")))</f>
        <v/>
      </c>
      <c r="K2152">
        <f>IF(OR($B2152="",NOT(ISNUMBER($D2152))),"",IF(AND($E2152&lt;$D$2,$G2152&lt;&gt;"X",$F2152&lt;&gt;"Réalisé",$F2152&lt;&gt;"Clôturé"),"RETARD",""))</f>
        <v/>
      </c>
      <c r="L2152">
        <f>IF(OR($B2152="",NOT(ISNUMBER($D2152))),"",IF(AND($D2152&gt;=$D$2,$D2152&lt;=$H$2,$G2152&lt;&gt;"X",$F2152&lt;&gt;"Réalisé",$F2152&lt;&gt;"Clôturé"),"≤ 7 j",""))</f>
        <v/>
      </c>
      <c r="M2152" s="29">
        <f>IF($B2152="","",IFERROR(INDEX($T$4:$T$3183,MATCH(SMALL($V$4:$V$3183,2149),$V$4:$V$3183,0)),""))</f>
        <v/>
      </c>
      <c r="O2152">
        <f>IF(INDEX(Suivi!$B:$B,2193)="","",INDEX(Suivi!$B:$B,2193))</f>
        <v/>
      </c>
      <c r="P2152">
        <f>IF($O2152="","",IF(INDEX(Suivi!$D:$D,2193)="",INDEX(Suivi!$C:$C,2193),INDEX(Suivi!$D:$D,2193)))</f>
        <v/>
      </c>
      <c r="Q2152">
        <f>IF($O2152="","",INDEX(Suivi!$E:$E,2193))</f>
        <v/>
      </c>
      <c r="R2152">
        <f>IF($O2152="","",INDEX(Suivi!$F:$F,2193))</f>
        <v/>
      </c>
      <c r="S2152">
        <f>IF($O2152="","",INDEX(Suivi!$G:$G,2193))</f>
        <v/>
      </c>
      <c r="T2152">
        <f>IF($O2152="","",IF(INDEX(Dossiers!$F$4:$F$63,41)="","",INDEX(Dossiers!$F$4:$F$63,41)))</f>
        <v/>
      </c>
      <c r="U2152">
        <f>IF($O2152="","",IF(INDEX(Dossiers!$G$4:$G$63,41)="","",INDEX(Dossiers!$G$4:$G$63,41)))</f>
        <v/>
      </c>
      <c r="V2152">
        <f>IF(OR($O2152="",NOT(ISNUMBER($Q2152))),"",$Q2152*1000000+2152)</f>
        <v/>
      </c>
      <c r="W2152" s="29">
        <f>IF($B2152="","",IFERROR(INDEX($U$4:$U$3183,MATCH(SMALL($V$4:$V$3183,2149),$V$4:$V$3183,0)),""))</f>
        <v/>
      </c>
    </row>
    <row r="2153">
      <c r="A2153">
        <f>IFERROR(INDEX($N$4:$N$3183,MATCH(SMALL($V$4:$V$3183,2150),$V$4:$V$3183,0)),"")</f>
        <v/>
      </c>
      <c r="B2153">
        <f>IFERROR(INDEX($O$4:$O$3183,MATCH(SMALL($V$4:$V$3183,2150),$V$4:$V$3183,0)),"")</f>
        <v/>
      </c>
      <c r="C2153">
        <f>IFERROR(INDEX($P$4:$P$3183,MATCH(SMALL($V$4:$V$3183,2150),$V$4:$V$3183,0)),"")</f>
        <v/>
      </c>
      <c r="D2153" s="29">
        <f>IFERROR(INDEX($Q$4:$Q$3183,MATCH(SMALL($V$4:$V$3183,2150),$V$4:$V$3183,0)),"")</f>
        <v/>
      </c>
      <c r="E2153" s="29">
        <f>IFERROR(INDEX($R$4:$R$3183,MATCH(SMALL($V$4:$V$3183,2150),$V$4:$V$3183,0)),"")</f>
        <v/>
      </c>
      <c r="F2153">
        <f>IFERROR(INDEX($S$4:$S$3183,MATCH(SMALL($V$4:$V$3183,2150),$V$4:$V$3183,0)),"")</f>
        <v/>
      </c>
      <c r="I2153" s="29">
        <f>IF($B2153="","",IFERROR(INDEX($U$4:$U$3183,MATCH(SMALL($V$4:$V$3183,2150),$V$4:$V$3183,0)),""))</f>
        <v/>
      </c>
      <c r="J2153">
        <f>IF($B2153="","",IF($D2153&gt;$F$2,"À venir",IF($E2153&lt;$D$2,"Passé","Dans la période")))</f>
        <v/>
      </c>
      <c r="K2153">
        <f>IF(OR($B2153="",NOT(ISNUMBER($D2153))),"",IF(AND($E2153&lt;$D$2,$G2153&lt;&gt;"X",$F2153&lt;&gt;"Réalisé",$F2153&lt;&gt;"Clôturé"),"RETARD",""))</f>
        <v/>
      </c>
      <c r="L2153">
        <f>IF(OR($B2153="",NOT(ISNUMBER($D2153))),"",IF(AND($D2153&gt;=$D$2,$D2153&lt;=$H$2,$G2153&lt;&gt;"X",$F2153&lt;&gt;"Réalisé",$F2153&lt;&gt;"Clôturé"),"≤ 7 j",""))</f>
        <v/>
      </c>
      <c r="M2153" s="29">
        <f>IF($B2153="","",IFERROR(INDEX($T$4:$T$3183,MATCH(SMALL($V$4:$V$3183,2150),$V$4:$V$3183,0)),""))</f>
        <v/>
      </c>
      <c r="O2153">
        <f>IF(INDEX(Suivi!$B:$B,2194)="","",INDEX(Suivi!$B:$B,2194))</f>
        <v/>
      </c>
      <c r="P2153">
        <f>IF($O2153="","",IF(INDEX(Suivi!$D:$D,2194)="",INDEX(Suivi!$C:$C,2194),INDEX(Suivi!$D:$D,2194)))</f>
        <v/>
      </c>
      <c r="Q2153">
        <f>IF($O2153="","",INDEX(Suivi!$E:$E,2194))</f>
        <v/>
      </c>
      <c r="R2153">
        <f>IF($O2153="","",INDEX(Suivi!$F:$F,2194))</f>
        <v/>
      </c>
      <c r="S2153">
        <f>IF($O2153="","",INDEX(Suivi!$G:$G,2194))</f>
        <v/>
      </c>
      <c r="T2153">
        <f>IF($O2153="","",IF(INDEX(Dossiers!$F$4:$F$63,41)="","",INDEX(Dossiers!$F$4:$F$63,41)))</f>
        <v/>
      </c>
      <c r="U2153">
        <f>IF($O2153="","",IF(INDEX(Dossiers!$G$4:$G$63,41)="","",INDEX(Dossiers!$G$4:$G$63,41)))</f>
        <v/>
      </c>
      <c r="V2153">
        <f>IF(OR($O2153="",NOT(ISNUMBER($Q2153))),"",$Q2153*1000000+2153)</f>
        <v/>
      </c>
      <c r="W2153" s="29">
        <f>IF($B2153="","",IFERROR(INDEX($U$4:$U$3183,MATCH(SMALL($V$4:$V$3183,2150),$V$4:$V$3183,0)),""))</f>
        <v/>
      </c>
    </row>
    <row r="2154">
      <c r="A2154">
        <f>IFERROR(INDEX($N$4:$N$3183,MATCH(SMALL($V$4:$V$3183,2151),$V$4:$V$3183,0)),"")</f>
        <v/>
      </c>
      <c r="B2154">
        <f>IFERROR(INDEX($O$4:$O$3183,MATCH(SMALL($V$4:$V$3183,2151),$V$4:$V$3183,0)),"")</f>
        <v/>
      </c>
      <c r="C2154">
        <f>IFERROR(INDEX($P$4:$P$3183,MATCH(SMALL($V$4:$V$3183,2151),$V$4:$V$3183,0)),"")</f>
        <v/>
      </c>
      <c r="D2154" s="29">
        <f>IFERROR(INDEX($Q$4:$Q$3183,MATCH(SMALL($V$4:$V$3183,2151),$V$4:$V$3183,0)),"")</f>
        <v/>
      </c>
      <c r="E2154" s="29">
        <f>IFERROR(INDEX($R$4:$R$3183,MATCH(SMALL($V$4:$V$3183,2151),$V$4:$V$3183,0)),"")</f>
        <v/>
      </c>
      <c r="F2154">
        <f>IFERROR(INDEX($S$4:$S$3183,MATCH(SMALL($V$4:$V$3183,2151),$V$4:$V$3183,0)),"")</f>
        <v/>
      </c>
      <c r="I2154" s="29">
        <f>IF($B2154="","",IFERROR(INDEX($U$4:$U$3183,MATCH(SMALL($V$4:$V$3183,2151),$V$4:$V$3183,0)),""))</f>
        <v/>
      </c>
      <c r="J2154">
        <f>IF($B2154="","",IF($D2154&gt;$F$2,"À venir",IF($E2154&lt;$D$2,"Passé","Dans la période")))</f>
        <v/>
      </c>
      <c r="K2154">
        <f>IF(OR($B2154="",NOT(ISNUMBER($D2154))),"",IF(AND($E2154&lt;$D$2,$G2154&lt;&gt;"X",$F2154&lt;&gt;"Réalisé",$F2154&lt;&gt;"Clôturé"),"RETARD",""))</f>
        <v/>
      </c>
      <c r="L2154">
        <f>IF(OR($B2154="",NOT(ISNUMBER($D2154))),"",IF(AND($D2154&gt;=$D$2,$D2154&lt;=$H$2,$G2154&lt;&gt;"X",$F2154&lt;&gt;"Réalisé",$F2154&lt;&gt;"Clôturé"),"≤ 7 j",""))</f>
        <v/>
      </c>
      <c r="M2154" s="29">
        <f>IF($B2154="","",IFERROR(INDEX($T$4:$T$3183,MATCH(SMALL($V$4:$V$3183,2151),$V$4:$V$3183,0)),""))</f>
        <v/>
      </c>
      <c r="O2154">
        <f>IF(INDEX(Suivi!$B:$B,2195)="","",INDEX(Suivi!$B:$B,2195))</f>
        <v/>
      </c>
      <c r="P2154">
        <f>IF($O2154="","",IF(INDEX(Suivi!$D:$D,2195)="",INDEX(Suivi!$C:$C,2195),INDEX(Suivi!$D:$D,2195)))</f>
        <v/>
      </c>
      <c r="Q2154">
        <f>IF($O2154="","",INDEX(Suivi!$E:$E,2195))</f>
        <v/>
      </c>
      <c r="R2154">
        <f>IF($O2154="","",INDEX(Suivi!$F:$F,2195))</f>
        <v/>
      </c>
      <c r="S2154">
        <f>IF($O2154="","",INDEX(Suivi!$G:$G,2195))</f>
        <v/>
      </c>
      <c r="T2154">
        <f>IF($O2154="","",IF(INDEX(Dossiers!$F$4:$F$63,41)="","",INDEX(Dossiers!$F$4:$F$63,41)))</f>
        <v/>
      </c>
      <c r="U2154">
        <f>IF($O2154="","",IF(INDEX(Dossiers!$G$4:$G$63,41)="","",INDEX(Dossiers!$G$4:$G$63,41)))</f>
        <v/>
      </c>
      <c r="V2154">
        <f>IF(OR($O2154="",NOT(ISNUMBER($Q2154))),"",$Q2154*1000000+2154)</f>
        <v/>
      </c>
      <c r="W2154" s="29">
        <f>IF($B2154="","",IFERROR(INDEX($U$4:$U$3183,MATCH(SMALL($V$4:$V$3183,2151),$V$4:$V$3183,0)),""))</f>
        <v/>
      </c>
    </row>
    <row r="2155">
      <c r="A2155">
        <f>IFERROR(INDEX($N$4:$N$3183,MATCH(SMALL($V$4:$V$3183,2152),$V$4:$V$3183,0)),"")</f>
        <v/>
      </c>
      <c r="B2155">
        <f>IFERROR(INDEX($O$4:$O$3183,MATCH(SMALL($V$4:$V$3183,2152),$V$4:$V$3183,0)),"")</f>
        <v/>
      </c>
      <c r="C2155">
        <f>IFERROR(INDEX($P$4:$P$3183,MATCH(SMALL($V$4:$V$3183,2152),$V$4:$V$3183,0)),"")</f>
        <v/>
      </c>
      <c r="D2155" s="29">
        <f>IFERROR(INDEX($Q$4:$Q$3183,MATCH(SMALL($V$4:$V$3183,2152),$V$4:$V$3183,0)),"")</f>
        <v/>
      </c>
      <c r="E2155" s="29">
        <f>IFERROR(INDEX($R$4:$R$3183,MATCH(SMALL($V$4:$V$3183,2152),$V$4:$V$3183,0)),"")</f>
        <v/>
      </c>
      <c r="F2155">
        <f>IFERROR(INDEX($S$4:$S$3183,MATCH(SMALL($V$4:$V$3183,2152),$V$4:$V$3183,0)),"")</f>
        <v/>
      </c>
      <c r="I2155" s="29">
        <f>IF($B2155="","",IFERROR(INDEX($U$4:$U$3183,MATCH(SMALL($V$4:$V$3183,2152),$V$4:$V$3183,0)),""))</f>
        <v/>
      </c>
      <c r="J2155">
        <f>IF($B2155="","",IF($D2155&gt;$F$2,"À venir",IF($E2155&lt;$D$2,"Passé","Dans la période")))</f>
        <v/>
      </c>
      <c r="K2155">
        <f>IF(OR($B2155="",NOT(ISNUMBER($D2155))),"",IF(AND($E2155&lt;$D$2,$G2155&lt;&gt;"X",$F2155&lt;&gt;"Réalisé",$F2155&lt;&gt;"Clôturé"),"RETARD",""))</f>
        <v/>
      </c>
      <c r="L2155">
        <f>IF(OR($B2155="",NOT(ISNUMBER($D2155))),"",IF(AND($D2155&gt;=$D$2,$D2155&lt;=$H$2,$G2155&lt;&gt;"X",$F2155&lt;&gt;"Réalisé",$F2155&lt;&gt;"Clôturé"),"≤ 7 j",""))</f>
        <v/>
      </c>
      <c r="M2155" s="29">
        <f>IF($B2155="","",IFERROR(INDEX($T$4:$T$3183,MATCH(SMALL($V$4:$V$3183,2152),$V$4:$V$3183,0)),""))</f>
        <v/>
      </c>
      <c r="O2155">
        <f>IF(INDEX(Suivi!$B:$B,2196)="","",INDEX(Suivi!$B:$B,2196))</f>
        <v/>
      </c>
      <c r="P2155">
        <f>IF($O2155="","",IF(INDEX(Suivi!$D:$D,2196)="",INDEX(Suivi!$C:$C,2196),INDEX(Suivi!$D:$D,2196)))</f>
        <v/>
      </c>
      <c r="Q2155">
        <f>IF($O2155="","",INDEX(Suivi!$E:$E,2196))</f>
        <v/>
      </c>
      <c r="R2155">
        <f>IF($O2155="","",INDEX(Suivi!$F:$F,2196))</f>
        <v/>
      </c>
      <c r="S2155">
        <f>IF($O2155="","",INDEX(Suivi!$G:$G,2196))</f>
        <v/>
      </c>
      <c r="T2155">
        <f>IF($O2155="","",IF(INDEX(Dossiers!$F$4:$F$63,41)="","",INDEX(Dossiers!$F$4:$F$63,41)))</f>
        <v/>
      </c>
      <c r="U2155">
        <f>IF($O2155="","",IF(INDEX(Dossiers!$G$4:$G$63,41)="","",INDEX(Dossiers!$G$4:$G$63,41)))</f>
        <v/>
      </c>
      <c r="V2155">
        <f>IF(OR($O2155="",NOT(ISNUMBER($Q2155))),"",$Q2155*1000000+2155)</f>
        <v/>
      </c>
      <c r="W2155" s="29">
        <f>IF($B2155="","",IFERROR(INDEX($U$4:$U$3183,MATCH(SMALL($V$4:$V$3183,2152),$V$4:$V$3183,0)),""))</f>
        <v/>
      </c>
    </row>
    <row r="2156">
      <c r="A2156">
        <f>IFERROR(INDEX($N$4:$N$3183,MATCH(SMALL($V$4:$V$3183,2153),$V$4:$V$3183,0)),"")</f>
        <v/>
      </c>
      <c r="B2156">
        <f>IFERROR(INDEX($O$4:$O$3183,MATCH(SMALL($V$4:$V$3183,2153),$V$4:$V$3183,0)),"")</f>
        <v/>
      </c>
      <c r="C2156">
        <f>IFERROR(INDEX($P$4:$P$3183,MATCH(SMALL($V$4:$V$3183,2153),$V$4:$V$3183,0)),"")</f>
        <v/>
      </c>
      <c r="D2156" s="29">
        <f>IFERROR(INDEX($Q$4:$Q$3183,MATCH(SMALL($V$4:$V$3183,2153),$V$4:$V$3183,0)),"")</f>
        <v/>
      </c>
      <c r="E2156" s="29">
        <f>IFERROR(INDEX($R$4:$R$3183,MATCH(SMALL($V$4:$V$3183,2153),$V$4:$V$3183,0)),"")</f>
        <v/>
      </c>
      <c r="F2156">
        <f>IFERROR(INDEX($S$4:$S$3183,MATCH(SMALL($V$4:$V$3183,2153),$V$4:$V$3183,0)),"")</f>
        <v/>
      </c>
      <c r="I2156" s="29">
        <f>IF($B2156="","",IFERROR(INDEX($U$4:$U$3183,MATCH(SMALL($V$4:$V$3183,2153),$V$4:$V$3183,0)),""))</f>
        <v/>
      </c>
      <c r="J2156">
        <f>IF($B2156="","",IF($D2156&gt;$F$2,"À venir",IF($E2156&lt;$D$2,"Passé","Dans la période")))</f>
        <v/>
      </c>
      <c r="K2156">
        <f>IF(OR($B2156="",NOT(ISNUMBER($D2156))),"",IF(AND($E2156&lt;$D$2,$G2156&lt;&gt;"X",$F2156&lt;&gt;"Réalisé",$F2156&lt;&gt;"Clôturé"),"RETARD",""))</f>
        <v/>
      </c>
      <c r="L2156">
        <f>IF(OR($B2156="",NOT(ISNUMBER($D2156))),"",IF(AND($D2156&gt;=$D$2,$D2156&lt;=$H$2,$G2156&lt;&gt;"X",$F2156&lt;&gt;"Réalisé",$F2156&lt;&gt;"Clôturé"),"≤ 7 j",""))</f>
        <v/>
      </c>
      <c r="M2156" s="29">
        <f>IF($B2156="","",IFERROR(INDEX($T$4:$T$3183,MATCH(SMALL($V$4:$V$3183,2153),$V$4:$V$3183,0)),""))</f>
        <v/>
      </c>
      <c r="O2156">
        <f>IF(INDEX(Suivi!$B:$B,2197)="","",INDEX(Suivi!$B:$B,2197))</f>
        <v/>
      </c>
      <c r="P2156">
        <f>IF($O2156="","",IF(INDEX(Suivi!$D:$D,2197)="",INDEX(Suivi!$C:$C,2197),INDEX(Suivi!$D:$D,2197)))</f>
        <v/>
      </c>
      <c r="Q2156">
        <f>IF($O2156="","",INDEX(Suivi!$E:$E,2197))</f>
        <v/>
      </c>
      <c r="R2156">
        <f>IF($O2156="","",INDEX(Suivi!$F:$F,2197))</f>
        <v/>
      </c>
      <c r="S2156">
        <f>IF($O2156="","",INDEX(Suivi!$G:$G,2197))</f>
        <v/>
      </c>
      <c r="T2156">
        <f>IF($O2156="","",IF(INDEX(Dossiers!$F$4:$F$63,41)="","",INDEX(Dossiers!$F$4:$F$63,41)))</f>
        <v/>
      </c>
      <c r="U2156">
        <f>IF($O2156="","",IF(INDEX(Dossiers!$G$4:$G$63,41)="","",INDEX(Dossiers!$G$4:$G$63,41)))</f>
        <v/>
      </c>
      <c r="V2156">
        <f>IF(OR($O2156="",NOT(ISNUMBER($Q2156))),"",$Q2156*1000000+2156)</f>
        <v/>
      </c>
      <c r="W2156" s="29">
        <f>IF($B2156="","",IFERROR(INDEX($U$4:$U$3183,MATCH(SMALL($V$4:$V$3183,2153),$V$4:$V$3183,0)),""))</f>
        <v/>
      </c>
    </row>
    <row r="2157">
      <c r="A2157">
        <f>IFERROR(INDEX($N$4:$N$3183,MATCH(SMALL($V$4:$V$3183,2154),$V$4:$V$3183,0)),"")</f>
        <v/>
      </c>
      <c r="B2157">
        <f>IFERROR(INDEX($O$4:$O$3183,MATCH(SMALL($V$4:$V$3183,2154),$V$4:$V$3183,0)),"")</f>
        <v/>
      </c>
      <c r="C2157">
        <f>IFERROR(INDEX($P$4:$P$3183,MATCH(SMALL($V$4:$V$3183,2154),$V$4:$V$3183,0)),"")</f>
        <v/>
      </c>
      <c r="D2157" s="29">
        <f>IFERROR(INDEX($Q$4:$Q$3183,MATCH(SMALL($V$4:$V$3183,2154),$V$4:$V$3183,0)),"")</f>
        <v/>
      </c>
      <c r="E2157" s="29">
        <f>IFERROR(INDEX($R$4:$R$3183,MATCH(SMALL($V$4:$V$3183,2154),$V$4:$V$3183,0)),"")</f>
        <v/>
      </c>
      <c r="F2157">
        <f>IFERROR(INDEX($S$4:$S$3183,MATCH(SMALL($V$4:$V$3183,2154),$V$4:$V$3183,0)),"")</f>
        <v/>
      </c>
      <c r="I2157" s="29">
        <f>IF($B2157="","",IFERROR(INDEX($U$4:$U$3183,MATCH(SMALL($V$4:$V$3183,2154),$V$4:$V$3183,0)),""))</f>
        <v/>
      </c>
      <c r="J2157">
        <f>IF($B2157="","",IF($D2157&gt;$F$2,"À venir",IF($E2157&lt;$D$2,"Passé","Dans la période")))</f>
        <v/>
      </c>
      <c r="K2157">
        <f>IF(OR($B2157="",NOT(ISNUMBER($D2157))),"",IF(AND($E2157&lt;$D$2,$G2157&lt;&gt;"X",$F2157&lt;&gt;"Réalisé",$F2157&lt;&gt;"Clôturé"),"RETARD",""))</f>
        <v/>
      </c>
      <c r="L2157">
        <f>IF(OR($B2157="",NOT(ISNUMBER($D2157))),"",IF(AND($D2157&gt;=$D$2,$D2157&lt;=$H$2,$G2157&lt;&gt;"X",$F2157&lt;&gt;"Réalisé",$F2157&lt;&gt;"Clôturé"),"≤ 7 j",""))</f>
        <v/>
      </c>
      <c r="M2157" s="29">
        <f>IF($B2157="","",IFERROR(INDEX($T$4:$T$3183,MATCH(SMALL($V$4:$V$3183,2154),$V$4:$V$3183,0)),""))</f>
        <v/>
      </c>
      <c r="O2157">
        <f>IF(INDEX(Suivi!$B:$B,2198)="","",INDEX(Suivi!$B:$B,2198))</f>
        <v/>
      </c>
      <c r="P2157">
        <f>IF($O2157="","",IF(INDEX(Suivi!$D:$D,2198)="",INDEX(Suivi!$C:$C,2198),INDEX(Suivi!$D:$D,2198)))</f>
        <v/>
      </c>
      <c r="Q2157">
        <f>IF($O2157="","",INDEX(Suivi!$E:$E,2198))</f>
        <v/>
      </c>
      <c r="R2157">
        <f>IF($O2157="","",INDEX(Suivi!$F:$F,2198))</f>
        <v/>
      </c>
      <c r="S2157">
        <f>IF($O2157="","",INDEX(Suivi!$G:$G,2198))</f>
        <v/>
      </c>
      <c r="T2157">
        <f>IF($O2157="","",IF(INDEX(Dossiers!$F$4:$F$63,41)="","",INDEX(Dossiers!$F$4:$F$63,41)))</f>
        <v/>
      </c>
      <c r="U2157">
        <f>IF($O2157="","",IF(INDEX(Dossiers!$G$4:$G$63,41)="","",INDEX(Dossiers!$G$4:$G$63,41)))</f>
        <v/>
      </c>
      <c r="V2157">
        <f>IF(OR($O2157="",NOT(ISNUMBER($Q2157))),"",$Q2157*1000000+2157)</f>
        <v/>
      </c>
      <c r="W2157" s="29">
        <f>IF($B2157="","",IFERROR(INDEX($U$4:$U$3183,MATCH(SMALL($V$4:$V$3183,2154),$V$4:$V$3183,0)),""))</f>
        <v/>
      </c>
    </row>
    <row r="2158">
      <c r="A2158">
        <f>IFERROR(INDEX($N$4:$N$3183,MATCH(SMALL($V$4:$V$3183,2155),$V$4:$V$3183,0)),"")</f>
        <v/>
      </c>
      <c r="B2158">
        <f>IFERROR(INDEX($O$4:$O$3183,MATCH(SMALL($V$4:$V$3183,2155),$V$4:$V$3183,0)),"")</f>
        <v/>
      </c>
      <c r="C2158">
        <f>IFERROR(INDEX($P$4:$P$3183,MATCH(SMALL($V$4:$V$3183,2155),$V$4:$V$3183,0)),"")</f>
        <v/>
      </c>
      <c r="D2158" s="29">
        <f>IFERROR(INDEX($Q$4:$Q$3183,MATCH(SMALL($V$4:$V$3183,2155),$V$4:$V$3183,0)),"")</f>
        <v/>
      </c>
      <c r="E2158" s="29">
        <f>IFERROR(INDEX($R$4:$R$3183,MATCH(SMALL($V$4:$V$3183,2155),$V$4:$V$3183,0)),"")</f>
        <v/>
      </c>
      <c r="F2158">
        <f>IFERROR(INDEX($S$4:$S$3183,MATCH(SMALL($V$4:$V$3183,2155),$V$4:$V$3183,0)),"")</f>
        <v/>
      </c>
      <c r="I2158" s="29">
        <f>IF($B2158="","",IFERROR(INDEX($U$4:$U$3183,MATCH(SMALL($V$4:$V$3183,2155),$V$4:$V$3183,0)),""))</f>
        <v/>
      </c>
      <c r="J2158">
        <f>IF($B2158="","",IF($D2158&gt;$F$2,"À venir",IF($E2158&lt;$D$2,"Passé","Dans la période")))</f>
        <v/>
      </c>
      <c r="K2158">
        <f>IF(OR($B2158="",NOT(ISNUMBER($D2158))),"",IF(AND($E2158&lt;$D$2,$G2158&lt;&gt;"X",$F2158&lt;&gt;"Réalisé",$F2158&lt;&gt;"Clôturé"),"RETARD",""))</f>
        <v/>
      </c>
      <c r="L2158">
        <f>IF(OR($B2158="",NOT(ISNUMBER($D2158))),"",IF(AND($D2158&gt;=$D$2,$D2158&lt;=$H$2,$G2158&lt;&gt;"X",$F2158&lt;&gt;"Réalisé",$F2158&lt;&gt;"Clôturé"),"≤ 7 j",""))</f>
        <v/>
      </c>
      <c r="M2158" s="29">
        <f>IF($B2158="","",IFERROR(INDEX($T$4:$T$3183,MATCH(SMALL($V$4:$V$3183,2155),$V$4:$V$3183,0)),""))</f>
        <v/>
      </c>
      <c r="O2158">
        <f>IF(INDEX(Suivi!$B:$B,2199)="","",INDEX(Suivi!$B:$B,2199))</f>
        <v/>
      </c>
      <c r="P2158">
        <f>IF($O2158="","",IF(INDEX(Suivi!$D:$D,2199)="",INDEX(Suivi!$C:$C,2199),INDEX(Suivi!$D:$D,2199)))</f>
        <v/>
      </c>
      <c r="Q2158">
        <f>IF($O2158="","",INDEX(Suivi!$E:$E,2199))</f>
        <v/>
      </c>
      <c r="R2158">
        <f>IF($O2158="","",INDEX(Suivi!$F:$F,2199))</f>
        <v/>
      </c>
      <c r="S2158">
        <f>IF($O2158="","",INDEX(Suivi!$G:$G,2199))</f>
        <v/>
      </c>
      <c r="T2158">
        <f>IF($O2158="","",IF(INDEX(Dossiers!$F$4:$F$63,41)="","",INDEX(Dossiers!$F$4:$F$63,41)))</f>
        <v/>
      </c>
      <c r="U2158">
        <f>IF($O2158="","",IF(INDEX(Dossiers!$G$4:$G$63,41)="","",INDEX(Dossiers!$G$4:$G$63,41)))</f>
        <v/>
      </c>
      <c r="V2158">
        <f>IF(OR($O2158="",NOT(ISNUMBER($Q2158))),"",$Q2158*1000000+2158)</f>
        <v/>
      </c>
      <c r="W2158" s="29">
        <f>IF($B2158="","",IFERROR(INDEX($U$4:$U$3183,MATCH(SMALL($V$4:$V$3183,2155),$V$4:$V$3183,0)),""))</f>
        <v/>
      </c>
    </row>
    <row r="2159">
      <c r="A2159">
        <f>IFERROR(INDEX($N$4:$N$3183,MATCH(SMALL($V$4:$V$3183,2156),$V$4:$V$3183,0)),"")</f>
        <v/>
      </c>
      <c r="B2159">
        <f>IFERROR(INDEX($O$4:$O$3183,MATCH(SMALL($V$4:$V$3183,2156),$V$4:$V$3183,0)),"")</f>
        <v/>
      </c>
      <c r="C2159">
        <f>IFERROR(INDEX($P$4:$P$3183,MATCH(SMALL($V$4:$V$3183,2156),$V$4:$V$3183,0)),"")</f>
        <v/>
      </c>
      <c r="D2159" s="29">
        <f>IFERROR(INDEX($Q$4:$Q$3183,MATCH(SMALL($V$4:$V$3183,2156),$V$4:$V$3183,0)),"")</f>
        <v/>
      </c>
      <c r="E2159" s="29">
        <f>IFERROR(INDEX($R$4:$R$3183,MATCH(SMALL($V$4:$V$3183,2156),$V$4:$V$3183,0)),"")</f>
        <v/>
      </c>
      <c r="F2159">
        <f>IFERROR(INDEX($S$4:$S$3183,MATCH(SMALL($V$4:$V$3183,2156),$V$4:$V$3183,0)),"")</f>
        <v/>
      </c>
      <c r="I2159" s="29">
        <f>IF($B2159="","",IFERROR(INDEX($U$4:$U$3183,MATCH(SMALL($V$4:$V$3183,2156),$V$4:$V$3183,0)),""))</f>
        <v/>
      </c>
      <c r="J2159">
        <f>IF($B2159="","",IF($D2159&gt;$F$2,"À venir",IF($E2159&lt;$D$2,"Passé","Dans la période")))</f>
        <v/>
      </c>
      <c r="K2159">
        <f>IF(OR($B2159="",NOT(ISNUMBER($D2159))),"",IF(AND($E2159&lt;$D$2,$G2159&lt;&gt;"X",$F2159&lt;&gt;"Réalisé",$F2159&lt;&gt;"Clôturé"),"RETARD",""))</f>
        <v/>
      </c>
      <c r="L2159">
        <f>IF(OR($B2159="",NOT(ISNUMBER($D2159))),"",IF(AND($D2159&gt;=$D$2,$D2159&lt;=$H$2,$G2159&lt;&gt;"X",$F2159&lt;&gt;"Réalisé",$F2159&lt;&gt;"Clôturé"),"≤ 7 j",""))</f>
        <v/>
      </c>
      <c r="M2159" s="29">
        <f>IF($B2159="","",IFERROR(INDEX($T$4:$T$3183,MATCH(SMALL($V$4:$V$3183,2156),$V$4:$V$3183,0)),""))</f>
        <v/>
      </c>
      <c r="O2159">
        <f>IF(INDEX(Suivi!$B:$B,2200)="","",INDEX(Suivi!$B:$B,2200))</f>
        <v/>
      </c>
      <c r="P2159">
        <f>IF($O2159="","",IF(INDEX(Suivi!$D:$D,2200)="",INDEX(Suivi!$C:$C,2200),INDEX(Suivi!$D:$D,2200)))</f>
        <v/>
      </c>
      <c r="Q2159">
        <f>IF($O2159="","",INDEX(Suivi!$E:$E,2200))</f>
        <v/>
      </c>
      <c r="R2159">
        <f>IF($O2159="","",INDEX(Suivi!$F:$F,2200))</f>
        <v/>
      </c>
      <c r="S2159">
        <f>IF($O2159="","",INDEX(Suivi!$G:$G,2200))</f>
        <v/>
      </c>
      <c r="T2159">
        <f>IF($O2159="","",IF(INDEX(Dossiers!$F$4:$F$63,41)="","",INDEX(Dossiers!$F$4:$F$63,41)))</f>
        <v/>
      </c>
      <c r="U2159">
        <f>IF($O2159="","",IF(INDEX(Dossiers!$G$4:$G$63,41)="","",INDEX(Dossiers!$G$4:$G$63,41)))</f>
        <v/>
      </c>
      <c r="V2159">
        <f>IF(OR($O2159="",NOT(ISNUMBER($Q2159))),"",$Q2159*1000000+2159)</f>
        <v/>
      </c>
      <c r="W2159" s="29">
        <f>IF($B2159="","",IFERROR(INDEX($U$4:$U$3183,MATCH(SMALL($V$4:$V$3183,2156),$V$4:$V$3183,0)),""))</f>
        <v/>
      </c>
    </row>
    <row r="2160">
      <c r="A2160">
        <f>IFERROR(INDEX($N$4:$N$3183,MATCH(SMALL($V$4:$V$3183,2157),$V$4:$V$3183,0)),"")</f>
        <v/>
      </c>
      <c r="B2160">
        <f>IFERROR(INDEX($O$4:$O$3183,MATCH(SMALL($V$4:$V$3183,2157),$V$4:$V$3183,0)),"")</f>
        <v/>
      </c>
      <c r="C2160">
        <f>IFERROR(INDEX($P$4:$P$3183,MATCH(SMALL($V$4:$V$3183,2157),$V$4:$V$3183,0)),"")</f>
        <v/>
      </c>
      <c r="D2160" s="29">
        <f>IFERROR(INDEX($Q$4:$Q$3183,MATCH(SMALL($V$4:$V$3183,2157),$V$4:$V$3183,0)),"")</f>
        <v/>
      </c>
      <c r="E2160" s="29">
        <f>IFERROR(INDEX($R$4:$R$3183,MATCH(SMALL($V$4:$V$3183,2157),$V$4:$V$3183,0)),"")</f>
        <v/>
      </c>
      <c r="F2160">
        <f>IFERROR(INDEX($S$4:$S$3183,MATCH(SMALL($V$4:$V$3183,2157),$V$4:$V$3183,0)),"")</f>
        <v/>
      </c>
      <c r="I2160" s="29">
        <f>IF($B2160="","",IFERROR(INDEX($U$4:$U$3183,MATCH(SMALL($V$4:$V$3183,2157),$V$4:$V$3183,0)),""))</f>
        <v/>
      </c>
      <c r="J2160">
        <f>IF($B2160="","",IF($D2160&gt;$F$2,"À venir",IF($E2160&lt;$D$2,"Passé","Dans la période")))</f>
        <v/>
      </c>
      <c r="K2160">
        <f>IF(OR($B2160="",NOT(ISNUMBER($D2160))),"",IF(AND($E2160&lt;$D$2,$G2160&lt;&gt;"X",$F2160&lt;&gt;"Réalisé",$F2160&lt;&gt;"Clôturé"),"RETARD",""))</f>
        <v/>
      </c>
      <c r="L2160">
        <f>IF(OR($B2160="",NOT(ISNUMBER($D2160))),"",IF(AND($D2160&gt;=$D$2,$D2160&lt;=$H$2,$G2160&lt;&gt;"X",$F2160&lt;&gt;"Réalisé",$F2160&lt;&gt;"Clôturé"),"≤ 7 j",""))</f>
        <v/>
      </c>
      <c r="M2160" s="29">
        <f>IF($B2160="","",IFERROR(INDEX($T$4:$T$3183,MATCH(SMALL($V$4:$V$3183,2157),$V$4:$V$3183,0)),""))</f>
        <v/>
      </c>
      <c r="O2160">
        <f>IF(INDEX(Suivi!$B:$B,2201)="","",INDEX(Suivi!$B:$B,2201))</f>
        <v/>
      </c>
      <c r="P2160">
        <f>IF($O2160="","",IF(INDEX(Suivi!$D:$D,2201)="",INDEX(Suivi!$C:$C,2201),INDEX(Suivi!$D:$D,2201)))</f>
        <v/>
      </c>
      <c r="Q2160">
        <f>IF($O2160="","",INDEX(Suivi!$E:$E,2201))</f>
        <v/>
      </c>
      <c r="R2160">
        <f>IF($O2160="","",INDEX(Suivi!$F:$F,2201))</f>
        <v/>
      </c>
      <c r="S2160">
        <f>IF($O2160="","",INDEX(Suivi!$G:$G,2201))</f>
        <v/>
      </c>
      <c r="T2160">
        <f>IF($O2160="","",IF(INDEX(Dossiers!$F$4:$F$63,41)="","",INDEX(Dossiers!$F$4:$F$63,41)))</f>
        <v/>
      </c>
      <c r="U2160">
        <f>IF($O2160="","",IF(INDEX(Dossiers!$G$4:$G$63,41)="","",INDEX(Dossiers!$G$4:$G$63,41)))</f>
        <v/>
      </c>
      <c r="V2160">
        <f>IF(OR($O2160="",NOT(ISNUMBER($Q2160))),"",$Q2160*1000000+2160)</f>
        <v/>
      </c>
      <c r="W2160" s="29">
        <f>IF($B2160="","",IFERROR(INDEX($U$4:$U$3183,MATCH(SMALL($V$4:$V$3183,2157),$V$4:$V$3183,0)),""))</f>
        <v/>
      </c>
    </row>
    <row r="2161">
      <c r="A2161">
        <f>IFERROR(INDEX($N$4:$N$3183,MATCH(SMALL($V$4:$V$3183,2158),$V$4:$V$3183,0)),"")</f>
        <v/>
      </c>
      <c r="B2161">
        <f>IFERROR(INDEX($O$4:$O$3183,MATCH(SMALL($V$4:$V$3183,2158),$V$4:$V$3183,0)),"")</f>
        <v/>
      </c>
      <c r="C2161">
        <f>IFERROR(INDEX($P$4:$P$3183,MATCH(SMALL($V$4:$V$3183,2158),$V$4:$V$3183,0)),"")</f>
        <v/>
      </c>
      <c r="D2161" s="29">
        <f>IFERROR(INDEX($Q$4:$Q$3183,MATCH(SMALL($V$4:$V$3183,2158),$V$4:$V$3183,0)),"")</f>
        <v/>
      </c>
      <c r="E2161" s="29">
        <f>IFERROR(INDEX($R$4:$R$3183,MATCH(SMALL($V$4:$V$3183,2158),$V$4:$V$3183,0)),"")</f>
        <v/>
      </c>
      <c r="F2161">
        <f>IFERROR(INDEX($S$4:$S$3183,MATCH(SMALL($V$4:$V$3183,2158),$V$4:$V$3183,0)),"")</f>
        <v/>
      </c>
      <c r="I2161" s="29">
        <f>IF($B2161="","",IFERROR(INDEX($U$4:$U$3183,MATCH(SMALL($V$4:$V$3183,2158),$V$4:$V$3183,0)),""))</f>
        <v/>
      </c>
      <c r="J2161">
        <f>IF($B2161="","",IF($D2161&gt;$F$2,"À venir",IF($E2161&lt;$D$2,"Passé","Dans la période")))</f>
        <v/>
      </c>
      <c r="K2161">
        <f>IF(OR($B2161="",NOT(ISNUMBER($D2161))),"",IF(AND($E2161&lt;$D$2,$G2161&lt;&gt;"X",$F2161&lt;&gt;"Réalisé",$F2161&lt;&gt;"Clôturé"),"RETARD",""))</f>
        <v/>
      </c>
      <c r="L2161">
        <f>IF(OR($B2161="",NOT(ISNUMBER($D2161))),"",IF(AND($D2161&gt;=$D$2,$D2161&lt;=$H$2,$G2161&lt;&gt;"X",$F2161&lt;&gt;"Réalisé",$F2161&lt;&gt;"Clôturé"),"≤ 7 j",""))</f>
        <v/>
      </c>
      <c r="M2161" s="29">
        <f>IF($B2161="","",IFERROR(INDEX($T$4:$T$3183,MATCH(SMALL($V$4:$V$3183,2158),$V$4:$V$3183,0)),""))</f>
        <v/>
      </c>
      <c r="O2161">
        <f>IF(INDEX(Suivi!$B:$B,2202)="","",INDEX(Suivi!$B:$B,2202))</f>
        <v/>
      </c>
      <c r="P2161">
        <f>IF($O2161="","",IF(INDEX(Suivi!$D:$D,2202)="",INDEX(Suivi!$C:$C,2202),INDEX(Suivi!$D:$D,2202)))</f>
        <v/>
      </c>
      <c r="Q2161">
        <f>IF($O2161="","",INDEX(Suivi!$E:$E,2202))</f>
        <v/>
      </c>
      <c r="R2161">
        <f>IF($O2161="","",INDEX(Suivi!$F:$F,2202))</f>
        <v/>
      </c>
      <c r="S2161">
        <f>IF($O2161="","",INDEX(Suivi!$G:$G,2202))</f>
        <v/>
      </c>
      <c r="T2161">
        <f>IF($O2161="","",IF(INDEX(Dossiers!$F$4:$F$63,41)="","",INDEX(Dossiers!$F$4:$F$63,41)))</f>
        <v/>
      </c>
      <c r="U2161">
        <f>IF($O2161="","",IF(INDEX(Dossiers!$G$4:$G$63,41)="","",INDEX(Dossiers!$G$4:$G$63,41)))</f>
        <v/>
      </c>
      <c r="V2161">
        <f>IF(OR($O2161="",NOT(ISNUMBER($Q2161))),"",$Q2161*1000000+2161)</f>
        <v/>
      </c>
      <c r="W2161" s="29">
        <f>IF($B2161="","",IFERROR(INDEX($U$4:$U$3183,MATCH(SMALL($V$4:$V$3183,2158),$V$4:$V$3183,0)),""))</f>
        <v/>
      </c>
    </row>
    <row r="2162">
      <c r="A2162">
        <f>IFERROR(INDEX($N$4:$N$3183,MATCH(SMALL($V$4:$V$3183,2159),$V$4:$V$3183,0)),"")</f>
        <v/>
      </c>
      <c r="B2162">
        <f>IFERROR(INDEX($O$4:$O$3183,MATCH(SMALL($V$4:$V$3183,2159),$V$4:$V$3183,0)),"")</f>
        <v/>
      </c>
      <c r="C2162">
        <f>IFERROR(INDEX($P$4:$P$3183,MATCH(SMALL($V$4:$V$3183,2159),$V$4:$V$3183,0)),"")</f>
        <v/>
      </c>
      <c r="D2162" s="29">
        <f>IFERROR(INDEX($Q$4:$Q$3183,MATCH(SMALL($V$4:$V$3183,2159),$V$4:$V$3183,0)),"")</f>
        <v/>
      </c>
      <c r="E2162" s="29">
        <f>IFERROR(INDEX($R$4:$R$3183,MATCH(SMALL($V$4:$V$3183,2159),$V$4:$V$3183,0)),"")</f>
        <v/>
      </c>
      <c r="F2162">
        <f>IFERROR(INDEX($S$4:$S$3183,MATCH(SMALL($V$4:$V$3183,2159),$V$4:$V$3183,0)),"")</f>
        <v/>
      </c>
      <c r="I2162" s="29">
        <f>IF($B2162="","",IFERROR(INDEX($U$4:$U$3183,MATCH(SMALL($V$4:$V$3183,2159),$V$4:$V$3183,0)),""))</f>
        <v/>
      </c>
      <c r="J2162">
        <f>IF($B2162="","",IF($D2162&gt;$F$2,"À venir",IF($E2162&lt;$D$2,"Passé","Dans la période")))</f>
        <v/>
      </c>
      <c r="K2162">
        <f>IF(OR($B2162="",NOT(ISNUMBER($D2162))),"",IF(AND($E2162&lt;$D$2,$G2162&lt;&gt;"X",$F2162&lt;&gt;"Réalisé",$F2162&lt;&gt;"Clôturé"),"RETARD",""))</f>
        <v/>
      </c>
      <c r="L2162">
        <f>IF(OR($B2162="",NOT(ISNUMBER($D2162))),"",IF(AND($D2162&gt;=$D$2,$D2162&lt;=$H$2,$G2162&lt;&gt;"X",$F2162&lt;&gt;"Réalisé",$F2162&lt;&gt;"Clôturé"),"≤ 7 j",""))</f>
        <v/>
      </c>
      <c r="M2162" s="29">
        <f>IF($B2162="","",IFERROR(INDEX($T$4:$T$3183,MATCH(SMALL($V$4:$V$3183,2159),$V$4:$V$3183,0)),""))</f>
        <v/>
      </c>
      <c r="O2162">
        <f>IF(INDEX(Suivi!$B:$B,2203)="","",INDEX(Suivi!$B:$B,2203))</f>
        <v/>
      </c>
      <c r="P2162">
        <f>IF($O2162="","",IF(INDEX(Suivi!$D:$D,2203)="",INDEX(Suivi!$C:$C,2203),INDEX(Suivi!$D:$D,2203)))</f>
        <v/>
      </c>
      <c r="Q2162">
        <f>IF($O2162="","",INDEX(Suivi!$E:$E,2203))</f>
        <v/>
      </c>
      <c r="R2162">
        <f>IF($O2162="","",INDEX(Suivi!$F:$F,2203))</f>
        <v/>
      </c>
      <c r="S2162">
        <f>IF($O2162="","",INDEX(Suivi!$G:$G,2203))</f>
        <v/>
      </c>
      <c r="T2162">
        <f>IF($O2162="","",IF(INDEX(Dossiers!$F$4:$F$63,41)="","",INDEX(Dossiers!$F$4:$F$63,41)))</f>
        <v/>
      </c>
      <c r="U2162">
        <f>IF($O2162="","",IF(INDEX(Dossiers!$G$4:$G$63,41)="","",INDEX(Dossiers!$G$4:$G$63,41)))</f>
        <v/>
      </c>
      <c r="V2162">
        <f>IF(OR($O2162="",NOT(ISNUMBER($Q2162))),"",$Q2162*1000000+2162)</f>
        <v/>
      </c>
      <c r="W2162" s="29">
        <f>IF($B2162="","",IFERROR(INDEX($U$4:$U$3183,MATCH(SMALL($V$4:$V$3183,2159),$V$4:$V$3183,0)),""))</f>
        <v/>
      </c>
    </row>
    <row r="2163">
      <c r="A2163">
        <f>IFERROR(INDEX($N$4:$N$3183,MATCH(SMALL($V$4:$V$3183,2160),$V$4:$V$3183,0)),"")</f>
        <v/>
      </c>
      <c r="B2163">
        <f>IFERROR(INDEX($O$4:$O$3183,MATCH(SMALL($V$4:$V$3183,2160),$V$4:$V$3183,0)),"")</f>
        <v/>
      </c>
      <c r="C2163">
        <f>IFERROR(INDEX($P$4:$P$3183,MATCH(SMALL($V$4:$V$3183,2160),$V$4:$V$3183,0)),"")</f>
        <v/>
      </c>
      <c r="D2163" s="29">
        <f>IFERROR(INDEX($Q$4:$Q$3183,MATCH(SMALL($V$4:$V$3183,2160),$V$4:$V$3183,0)),"")</f>
        <v/>
      </c>
      <c r="E2163" s="29">
        <f>IFERROR(INDEX($R$4:$R$3183,MATCH(SMALL($V$4:$V$3183,2160),$V$4:$V$3183,0)),"")</f>
        <v/>
      </c>
      <c r="F2163">
        <f>IFERROR(INDEX($S$4:$S$3183,MATCH(SMALL($V$4:$V$3183,2160),$V$4:$V$3183,0)),"")</f>
        <v/>
      </c>
      <c r="I2163" s="29">
        <f>IF($B2163="","",IFERROR(INDEX($U$4:$U$3183,MATCH(SMALL($V$4:$V$3183,2160),$V$4:$V$3183,0)),""))</f>
        <v/>
      </c>
      <c r="J2163">
        <f>IF($B2163="","",IF($D2163&gt;$F$2,"À venir",IF($E2163&lt;$D$2,"Passé","Dans la période")))</f>
        <v/>
      </c>
      <c r="K2163">
        <f>IF(OR($B2163="",NOT(ISNUMBER($D2163))),"",IF(AND($E2163&lt;$D$2,$G2163&lt;&gt;"X",$F2163&lt;&gt;"Réalisé",$F2163&lt;&gt;"Clôturé"),"RETARD",""))</f>
        <v/>
      </c>
      <c r="L2163">
        <f>IF(OR($B2163="",NOT(ISNUMBER($D2163))),"",IF(AND($D2163&gt;=$D$2,$D2163&lt;=$H$2,$G2163&lt;&gt;"X",$F2163&lt;&gt;"Réalisé",$F2163&lt;&gt;"Clôturé"),"≤ 7 j",""))</f>
        <v/>
      </c>
      <c r="M2163" s="29">
        <f>IF($B2163="","",IFERROR(INDEX($T$4:$T$3183,MATCH(SMALL($V$4:$V$3183,2160),$V$4:$V$3183,0)),""))</f>
        <v/>
      </c>
      <c r="O2163">
        <f>IF(INDEX(Suivi!$B:$B,2204)="","",INDEX(Suivi!$B:$B,2204))</f>
        <v/>
      </c>
      <c r="P2163">
        <f>IF($O2163="","",IF(INDEX(Suivi!$D:$D,2204)="",INDEX(Suivi!$C:$C,2204),INDEX(Suivi!$D:$D,2204)))</f>
        <v/>
      </c>
      <c r="Q2163">
        <f>IF($O2163="","",INDEX(Suivi!$E:$E,2204))</f>
        <v/>
      </c>
      <c r="R2163">
        <f>IF($O2163="","",INDEX(Suivi!$F:$F,2204))</f>
        <v/>
      </c>
      <c r="S2163">
        <f>IF($O2163="","",INDEX(Suivi!$G:$G,2204))</f>
        <v/>
      </c>
      <c r="T2163">
        <f>IF($O2163="","",IF(INDEX(Dossiers!$F$4:$F$63,41)="","",INDEX(Dossiers!$F$4:$F$63,41)))</f>
        <v/>
      </c>
      <c r="U2163">
        <f>IF($O2163="","",IF(INDEX(Dossiers!$G$4:$G$63,41)="","",INDEX(Dossiers!$G$4:$G$63,41)))</f>
        <v/>
      </c>
      <c r="V2163">
        <f>IF(OR($O2163="",NOT(ISNUMBER($Q2163))),"",$Q2163*1000000+2163)</f>
        <v/>
      </c>
      <c r="W2163" s="29">
        <f>IF($B2163="","",IFERROR(INDEX($U$4:$U$3183,MATCH(SMALL($V$4:$V$3183,2160),$V$4:$V$3183,0)),""))</f>
        <v/>
      </c>
    </row>
    <row r="2164">
      <c r="A2164">
        <f>IFERROR(INDEX($N$4:$N$3183,MATCH(SMALL($V$4:$V$3183,2161),$V$4:$V$3183,0)),"")</f>
        <v/>
      </c>
      <c r="B2164">
        <f>IFERROR(INDEX($O$4:$O$3183,MATCH(SMALL($V$4:$V$3183,2161),$V$4:$V$3183,0)),"")</f>
        <v/>
      </c>
      <c r="C2164">
        <f>IFERROR(INDEX($P$4:$P$3183,MATCH(SMALL($V$4:$V$3183,2161),$V$4:$V$3183,0)),"")</f>
        <v/>
      </c>
      <c r="D2164" s="29">
        <f>IFERROR(INDEX($Q$4:$Q$3183,MATCH(SMALL($V$4:$V$3183,2161),$V$4:$V$3183,0)),"")</f>
        <v/>
      </c>
      <c r="E2164" s="29">
        <f>IFERROR(INDEX($R$4:$R$3183,MATCH(SMALL($V$4:$V$3183,2161),$V$4:$V$3183,0)),"")</f>
        <v/>
      </c>
      <c r="F2164">
        <f>IFERROR(INDEX($S$4:$S$3183,MATCH(SMALL($V$4:$V$3183,2161),$V$4:$V$3183,0)),"")</f>
        <v/>
      </c>
      <c r="I2164" s="29">
        <f>IF($B2164="","",IFERROR(INDEX($U$4:$U$3183,MATCH(SMALL($V$4:$V$3183,2161),$V$4:$V$3183,0)),""))</f>
        <v/>
      </c>
      <c r="J2164">
        <f>IF($B2164="","",IF($D2164&gt;$F$2,"À venir",IF($E2164&lt;$D$2,"Passé","Dans la période")))</f>
        <v/>
      </c>
      <c r="K2164">
        <f>IF(OR($B2164="",NOT(ISNUMBER($D2164))),"",IF(AND($E2164&lt;$D$2,$G2164&lt;&gt;"X",$F2164&lt;&gt;"Réalisé",$F2164&lt;&gt;"Clôturé"),"RETARD",""))</f>
        <v/>
      </c>
      <c r="L2164">
        <f>IF(OR($B2164="",NOT(ISNUMBER($D2164))),"",IF(AND($D2164&gt;=$D$2,$D2164&lt;=$H$2,$G2164&lt;&gt;"X",$F2164&lt;&gt;"Réalisé",$F2164&lt;&gt;"Clôturé"),"≤ 7 j",""))</f>
        <v/>
      </c>
      <c r="M2164" s="29">
        <f>IF($B2164="","",IFERROR(INDEX($T$4:$T$3183,MATCH(SMALL($V$4:$V$3183,2161),$V$4:$V$3183,0)),""))</f>
        <v/>
      </c>
      <c r="O2164">
        <f>IF(INDEX(Suivi!$B:$B,2205)="","",INDEX(Suivi!$B:$B,2205))</f>
        <v/>
      </c>
      <c r="P2164">
        <f>IF($O2164="","",IF(INDEX(Suivi!$D:$D,2205)="",INDEX(Suivi!$C:$C,2205),INDEX(Suivi!$D:$D,2205)))</f>
        <v/>
      </c>
      <c r="Q2164">
        <f>IF($O2164="","",INDEX(Suivi!$E:$E,2205))</f>
        <v/>
      </c>
      <c r="R2164">
        <f>IF($O2164="","",INDEX(Suivi!$F:$F,2205))</f>
        <v/>
      </c>
      <c r="S2164">
        <f>IF($O2164="","",INDEX(Suivi!$G:$G,2205))</f>
        <v/>
      </c>
      <c r="T2164">
        <f>IF($O2164="","",IF(INDEX(Dossiers!$F$4:$F$63,41)="","",INDEX(Dossiers!$F$4:$F$63,41)))</f>
        <v/>
      </c>
      <c r="U2164">
        <f>IF($O2164="","",IF(INDEX(Dossiers!$G$4:$G$63,41)="","",INDEX(Dossiers!$G$4:$G$63,41)))</f>
        <v/>
      </c>
      <c r="V2164">
        <f>IF(OR($O2164="",NOT(ISNUMBER($Q2164))),"",$Q2164*1000000+2164)</f>
        <v/>
      </c>
      <c r="W2164" s="29">
        <f>IF($B2164="","",IFERROR(INDEX($U$4:$U$3183,MATCH(SMALL($V$4:$V$3183,2161),$V$4:$V$3183,0)),""))</f>
        <v/>
      </c>
    </row>
    <row r="2165">
      <c r="A2165">
        <f>IFERROR(INDEX($N$4:$N$3183,MATCH(SMALL($V$4:$V$3183,2162),$V$4:$V$3183,0)),"")</f>
        <v/>
      </c>
      <c r="B2165">
        <f>IFERROR(INDEX($O$4:$O$3183,MATCH(SMALL($V$4:$V$3183,2162),$V$4:$V$3183,0)),"")</f>
        <v/>
      </c>
      <c r="C2165">
        <f>IFERROR(INDEX($P$4:$P$3183,MATCH(SMALL($V$4:$V$3183,2162),$V$4:$V$3183,0)),"")</f>
        <v/>
      </c>
      <c r="D2165" s="29">
        <f>IFERROR(INDEX($Q$4:$Q$3183,MATCH(SMALL($V$4:$V$3183,2162),$V$4:$V$3183,0)),"")</f>
        <v/>
      </c>
      <c r="E2165" s="29">
        <f>IFERROR(INDEX($R$4:$R$3183,MATCH(SMALL($V$4:$V$3183,2162),$V$4:$V$3183,0)),"")</f>
        <v/>
      </c>
      <c r="F2165">
        <f>IFERROR(INDEX($S$4:$S$3183,MATCH(SMALL($V$4:$V$3183,2162),$V$4:$V$3183,0)),"")</f>
        <v/>
      </c>
      <c r="I2165" s="29">
        <f>IF($B2165="","",IFERROR(INDEX($U$4:$U$3183,MATCH(SMALL($V$4:$V$3183,2162),$V$4:$V$3183,0)),""))</f>
        <v/>
      </c>
      <c r="J2165">
        <f>IF($B2165="","",IF($D2165&gt;$F$2,"À venir",IF($E2165&lt;$D$2,"Passé","Dans la période")))</f>
        <v/>
      </c>
      <c r="K2165">
        <f>IF(OR($B2165="",NOT(ISNUMBER($D2165))),"",IF(AND($E2165&lt;$D$2,$G2165&lt;&gt;"X",$F2165&lt;&gt;"Réalisé",$F2165&lt;&gt;"Clôturé"),"RETARD",""))</f>
        <v/>
      </c>
      <c r="L2165">
        <f>IF(OR($B2165="",NOT(ISNUMBER($D2165))),"",IF(AND($D2165&gt;=$D$2,$D2165&lt;=$H$2,$G2165&lt;&gt;"X",$F2165&lt;&gt;"Réalisé",$F2165&lt;&gt;"Clôturé"),"≤ 7 j",""))</f>
        <v/>
      </c>
      <c r="M2165" s="29">
        <f>IF($B2165="","",IFERROR(INDEX($T$4:$T$3183,MATCH(SMALL($V$4:$V$3183,2162),$V$4:$V$3183,0)),""))</f>
        <v/>
      </c>
      <c r="O2165">
        <f>IF(INDEX(Suivi!$B:$B,2206)="","",INDEX(Suivi!$B:$B,2206))</f>
        <v/>
      </c>
      <c r="P2165">
        <f>IF($O2165="","",IF(INDEX(Suivi!$D:$D,2206)="",INDEX(Suivi!$C:$C,2206),INDEX(Suivi!$D:$D,2206)))</f>
        <v/>
      </c>
      <c r="Q2165">
        <f>IF($O2165="","",INDEX(Suivi!$E:$E,2206))</f>
        <v/>
      </c>
      <c r="R2165">
        <f>IF($O2165="","",INDEX(Suivi!$F:$F,2206))</f>
        <v/>
      </c>
      <c r="S2165">
        <f>IF($O2165="","",INDEX(Suivi!$G:$G,2206))</f>
        <v/>
      </c>
      <c r="T2165">
        <f>IF($O2165="","",IF(INDEX(Dossiers!$F$4:$F$63,41)="","",INDEX(Dossiers!$F$4:$F$63,41)))</f>
        <v/>
      </c>
      <c r="U2165">
        <f>IF($O2165="","",IF(INDEX(Dossiers!$G$4:$G$63,41)="","",INDEX(Dossiers!$G$4:$G$63,41)))</f>
        <v/>
      </c>
      <c r="V2165">
        <f>IF(OR($O2165="",NOT(ISNUMBER($Q2165))),"",$Q2165*1000000+2165)</f>
        <v/>
      </c>
      <c r="W2165" s="29">
        <f>IF($B2165="","",IFERROR(INDEX($U$4:$U$3183,MATCH(SMALL($V$4:$V$3183,2162),$V$4:$V$3183,0)),""))</f>
        <v/>
      </c>
    </row>
    <row r="2166">
      <c r="A2166">
        <f>IFERROR(INDEX($N$4:$N$3183,MATCH(SMALL($V$4:$V$3183,2163),$V$4:$V$3183,0)),"")</f>
        <v/>
      </c>
      <c r="B2166">
        <f>IFERROR(INDEX($O$4:$O$3183,MATCH(SMALL($V$4:$V$3183,2163),$V$4:$V$3183,0)),"")</f>
        <v/>
      </c>
      <c r="C2166">
        <f>IFERROR(INDEX($P$4:$P$3183,MATCH(SMALL($V$4:$V$3183,2163),$V$4:$V$3183,0)),"")</f>
        <v/>
      </c>
      <c r="D2166" s="29">
        <f>IFERROR(INDEX($Q$4:$Q$3183,MATCH(SMALL($V$4:$V$3183,2163),$V$4:$V$3183,0)),"")</f>
        <v/>
      </c>
      <c r="E2166" s="29">
        <f>IFERROR(INDEX($R$4:$R$3183,MATCH(SMALL($V$4:$V$3183,2163),$V$4:$V$3183,0)),"")</f>
        <v/>
      </c>
      <c r="F2166">
        <f>IFERROR(INDEX($S$4:$S$3183,MATCH(SMALL($V$4:$V$3183,2163),$V$4:$V$3183,0)),"")</f>
        <v/>
      </c>
      <c r="I2166" s="29">
        <f>IF($B2166="","",IFERROR(INDEX($U$4:$U$3183,MATCH(SMALL($V$4:$V$3183,2163),$V$4:$V$3183,0)),""))</f>
        <v/>
      </c>
      <c r="J2166">
        <f>IF($B2166="","",IF($D2166&gt;$F$2,"À venir",IF($E2166&lt;$D$2,"Passé","Dans la période")))</f>
        <v/>
      </c>
      <c r="K2166">
        <f>IF(OR($B2166="",NOT(ISNUMBER($D2166))),"",IF(AND($E2166&lt;$D$2,$G2166&lt;&gt;"X",$F2166&lt;&gt;"Réalisé",$F2166&lt;&gt;"Clôturé"),"RETARD",""))</f>
        <v/>
      </c>
      <c r="L2166">
        <f>IF(OR($B2166="",NOT(ISNUMBER($D2166))),"",IF(AND($D2166&gt;=$D$2,$D2166&lt;=$H$2,$G2166&lt;&gt;"X",$F2166&lt;&gt;"Réalisé",$F2166&lt;&gt;"Clôturé"),"≤ 7 j",""))</f>
        <v/>
      </c>
      <c r="M2166" s="29">
        <f>IF($B2166="","",IFERROR(INDEX($T$4:$T$3183,MATCH(SMALL($V$4:$V$3183,2163),$V$4:$V$3183,0)),""))</f>
        <v/>
      </c>
      <c r="O2166">
        <f>IF(INDEX(Suivi!$B:$B,2207)="","",INDEX(Suivi!$B:$B,2207))</f>
        <v/>
      </c>
      <c r="P2166">
        <f>IF($O2166="","",IF(INDEX(Suivi!$D:$D,2207)="",INDEX(Suivi!$C:$C,2207),INDEX(Suivi!$D:$D,2207)))</f>
        <v/>
      </c>
      <c r="Q2166">
        <f>IF($O2166="","",INDEX(Suivi!$E:$E,2207))</f>
        <v/>
      </c>
      <c r="R2166">
        <f>IF($O2166="","",INDEX(Suivi!$F:$F,2207))</f>
        <v/>
      </c>
      <c r="S2166">
        <f>IF($O2166="","",INDEX(Suivi!$G:$G,2207))</f>
        <v/>
      </c>
      <c r="T2166">
        <f>IF($O2166="","",IF(INDEX(Dossiers!$F$4:$F$63,41)="","",INDEX(Dossiers!$F$4:$F$63,41)))</f>
        <v/>
      </c>
      <c r="U2166">
        <f>IF($O2166="","",IF(INDEX(Dossiers!$G$4:$G$63,41)="","",INDEX(Dossiers!$G$4:$G$63,41)))</f>
        <v/>
      </c>
      <c r="V2166">
        <f>IF(OR($O2166="",NOT(ISNUMBER($Q2166))),"",$Q2166*1000000+2166)</f>
        <v/>
      </c>
      <c r="W2166" s="29">
        <f>IF($B2166="","",IFERROR(INDEX($U$4:$U$3183,MATCH(SMALL($V$4:$V$3183,2163),$V$4:$V$3183,0)),""))</f>
        <v/>
      </c>
    </row>
    <row r="2167">
      <c r="A2167">
        <f>IFERROR(INDEX($N$4:$N$3183,MATCH(SMALL($V$4:$V$3183,2164),$V$4:$V$3183,0)),"")</f>
        <v/>
      </c>
      <c r="B2167">
        <f>IFERROR(INDEX($O$4:$O$3183,MATCH(SMALL($V$4:$V$3183,2164),$V$4:$V$3183,0)),"")</f>
        <v/>
      </c>
      <c r="C2167">
        <f>IFERROR(INDEX($P$4:$P$3183,MATCH(SMALL($V$4:$V$3183,2164),$V$4:$V$3183,0)),"")</f>
        <v/>
      </c>
      <c r="D2167" s="29">
        <f>IFERROR(INDEX($Q$4:$Q$3183,MATCH(SMALL($V$4:$V$3183,2164),$V$4:$V$3183,0)),"")</f>
        <v/>
      </c>
      <c r="E2167" s="29">
        <f>IFERROR(INDEX($R$4:$R$3183,MATCH(SMALL($V$4:$V$3183,2164),$V$4:$V$3183,0)),"")</f>
        <v/>
      </c>
      <c r="F2167">
        <f>IFERROR(INDEX($S$4:$S$3183,MATCH(SMALL($V$4:$V$3183,2164),$V$4:$V$3183,0)),"")</f>
        <v/>
      </c>
      <c r="I2167" s="29">
        <f>IF($B2167="","",IFERROR(INDEX($U$4:$U$3183,MATCH(SMALL($V$4:$V$3183,2164),$V$4:$V$3183,0)),""))</f>
        <v/>
      </c>
      <c r="J2167">
        <f>IF($B2167="","",IF($D2167&gt;$F$2,"À venir",IF($E2167&lt;$D$2,"Passé","Dans la période")))</f>
        <v/>
      </c>
      <c r="K2167">
        <f>IF(OR($B2167="",NOT(ISNUMBER($D2167))),"",IF(AND($E2167&lt;$D$2,$G2167&lt;&gt;"X",$F2167&lt;&gt;"Réalisé",$F2167&lt;&gt;"Clôturé"),"RETARD",""))</f>
        <v/>
      </c>
      <c r="L2167">
        <f>IF(OR($B2167="",NOT(ISNUMBER($D2167))),"",IF(AND($D2167&gt;=$D$2,$D2167&lt;=$H$2,$G2167&lt;&gt;"X",$F2167&lt;&gt;"Réalisé",$F2167&lt;&gt;"Clôturé"),"≤ 7 j",""))</f>
        <v/>
      </c>
      <c r="M2167" s="29">
        <f>IF($B2167="","",IFERROR(INDEX($T$4:$T$3183,MATCH(SMALL($V$4:$V$3183,2164),$V$4:$V$3183,0)),""))</f>
        <v/>
      </c>
      <c r="O2167">
        <f>IF(INDEX(Suivi!$B:$B,2208)="","",INDEX(Suivi!$B:$B,2208))</f>
        <v/>
      </c>
      <c r="P2167">
        <f>IF($O2167="","",IF(INDEX(Suivi!$D:$D,2208)="",INDEX(Suivi!$C:$C,2208),INDEX(Suivi!$D:$D,2208)))</f>
        <v/>
      </c>
      <c r="Q2167">
        <f>IF($O2167="","",INDEX(Suivi!$E:$E,2208))</f>
        <v/>
      </c>
      <c r="R2167">
        <f>IF($O2167="","",INDEX(Suivi!$F:$F,2208))</f>
        <v/>
      </c>
      <c r="S2167">
        <f>IF($O2167="","",INDEX(Suivi!$G:$G,2208))</f>
        <v/>
      </c>
      <c r="T2167">
        <f>IF($O2167="","",IF(INDEX(Dossiers!$F$4:$F$63,41)="","",INDEX(Dossiers!$F$4:$F$63,41)))</f>
        <v/>
      </c>
      <c r="U2167">
        <f>IF($O2167="","",IF(INDEX(Dossiers!$G$4:$G$63,41)="","",INDEX(Dossiers!$G$4:$G$63,41)))</f>
        <v/>
      </c>
      <c r="V2167">
        <f>IF(OR($O2167="",NOT(ISNUMBER($Q2167))),"",$Q2167*1000000+2167)</f>
        <v/>
      </c>
      <c r="W2167" s="29">
        <f>IF($B2167="","",IFERROR(INDEX($U$4:$U$3183,MATCH(SMALL($V$4:$V$3183,2164),$V$4:$V$3183,0)),""))</f>
        <v/>
      </c>
    </row>
    <row r="2168">
      <c r="A2168">
        <f>IFERROR(INDEX($N$4:$N$3183,MATCH(SMALL($V$4:$V$3183,2165),$V$4:$V$3183,0)),"")</f>
        <v/>
      </c>
      <c r="B2168">
        <f>IFERROR(INDEX($O$4:$O$3183,MATCH(SMALL($V$4:$V$3183,2165),$V$4:$V$3183,0)),"")</f>
        <v/>
      </c>
      <c r="C2168">
        <f>IFERROR(INDEX($P$4:$P$3183,MATCH(SMALL($V$4:$V$3183,2165),$V$4:$V$3183,0)),"")</f>
        <v/>
      </c>
      <c r="D2168" s="29">
        <f>IFERROR(INDEX($Q$4:$Q$3183,MATCH(SMALL($V$4:$V$3183,2165),$V$4:$V$3183,0)),"")</f>
        <v/>
      </c>
      <c r="E2168" s="29">
        <f>IFERROR(INDEX($R$4:$R$3183,MATCH(SMALL($V$4:$V$3183,2165),$V$4:$V$3183,0)),"")</f>
        <v/>
      </c>
      <c r="F2168">
        <f>IFERROR(INDEX($S$4:$S$3183,MATCH(SMALL($V$4:$V$3183,2165),$V$4:$V$3183,0)),"")</f>
        <v/>
      </c>
      <c r="I2168" s="29">
        <f>IF($B2168="","",IFERROR(INDEX($U$4:$U$3183,MATCH(SMALL($V$4:$V$3183,2165),$V$4:$V$3183,0)),""))</f>
        <v/>
      </c>
      <c r="J2168">
        <f>IF($B2168="","",IF($D2168&gt;$F$2,"À venir",IF($E2168&lt;$D$2,"Passé","Dans la période")))</f>
        <v/>
      </c>
      <c r="K2168">
        <f>IF(OR($B2168="",NOT(ISNUMBER($D2168))),"",IF(AND($E2168&lt;$D$2,$G2168&lt;&gt;"X",$F2168&lt;&gt;"Réalisé",$F2168&lt;&gt;"Clôturé"),"RETARD",""))</f>
        <v/>
      </c>
      <c r="L2168">
        <f>IF(OR($B2168="",NOT(ISNUMBER($D2168))),"",IF(AND($D2168&gt;=$D$2,$D2168&lt;=$H$2,$G2168&lt;&gt;"X",$F2168&lt;&gt;"Réalisé",$F2168&lt;&gt;"Clôturé"),"≤ 7 j",""))</f>
        <v/>
      </c>
      <c r="M2168" s="29">
        <f>IF($B2168="","",IFERROR(INDEX($T$4:$T$3183,MATCH(SMALL($V$4:$V$3183,2165),$V$4:$V$3183,0)),""))</f>
        <v/>
      </c>
      <c r="O2168">
        <f>IF(INDEX(Suivi!$B:$B,2209)="","",INDEX(Suivi!$B:$B,2209))</f>
        <v/>
      </c>
      <c r="P2168">
        <f>IF($O2168="","",IF(INDEX(Suivi!$D:$D,2209)="",INDEX(Suivi!$C:$C,2209),INDEX(Suivi!$D:$D,2209)))</f>
        <v/>
      </c>
      <c r="Q2168">
        <f>IF($O2168="","",INDEX(Suivi!$E:$E,2209))</f>
        <v/>
      </c>
      <c r="R2168">
        <f>IF($O2168="","",INDEX(Suivi!$F:$F,2209))</f>
        <v/>
      </c>
      <c r="S2168">
        <f>IF($O2168="","",INDEX(Suivi!$G:$G,2209))</f>
        <v/>
      </c>
      <c r="T2168">
        <f>IF($O2168="","",IF(INDEX(Dossiers!$F$4:$F$63,41)="","",INDEX(Dossiers!$F$4:$F$63,41)))</f>
        <v/>
      </c>
      <c r="U2168">
        <f>IF($O2168="","",IF(INDEX(Dossiers!$G$4:$G$63,41)="","",INDEX(Dossiers!$G$4:$G$63,41)))</f>
        <v/>
      </c>
      <c r="V2168">
        <f>IF(OR($O2168="",NOT(ISNUMBER($Q2168))),"",$Q2168*1000000+2168)</f>
        <v/>
      </c>
      <c r="W2168" s="29">
        <f>IF($B2168="","",IFERROR(INDEX($U$4:$U$3183,MATCH(SMALL($V$4:$V$3183,2165),$V$4:$V$3183,0)),""))</f>
        <v/>
      </c>
    </row>
    <row r="2169">
      <c r="A2169">
        <f>IFERROR(INDEX($N$4:$N$3183,MATCH(SMALL($V$4:$V$3183,2166),$V$4:$V$3183,0)),"")</f>
        <v/>
      </c>
      <c r="B2169">
        <f>IFERROR(INDEX($O$4:$O$3183,MATCH(SMALL($V$4:$V$3183,2166),$V$4:$V$3183,0)),"")</f>
        <v/>
      </c>
      <c r="C2169">
        <f>IFERROR(INDEX($P$4:$P$3183,MATCH(SMALL($V$4:$V$3183,2166),$V$4:$V$3183,0)),"")</f>
        <v/>
      </c>
      <c r="D2169" s="29">
        <f>IFERROR(INDEX($Q$4:$Q$3183,MATCH(SMALL($V$4:$V$3183,2166),$V$4:$V$3183,0)),"")</f>
        <v/>
      </c>
      <c r="E2169" s="29">
        <f>IFERROR(INDEX($R$4:$R$3183,MATCH(SMALL($V$4:$V$3183,2166),$V$4:$V$3183,0)),"")</f>
        <v/>
      </c>
      <c r="F2169">
        <f>IFERROR(INDEX($S$4:$S$3183,MATCH(SMALL($V$4:$V$3183,2166),$V$4:$V$3183,0)),"")</f>
        <v/>
      </c>
      <c r="I2169" s="29">
        <f>IF($B2169="","",IFERROR(INDEX($U$4:$U$3183,MATCH(SMALL($V$4:$V$3183,2166),$V$4:$V$3183,0)),""))</f>
        <v/>
      </c>
      <c r="J2169">
        <f>IF($B2169="","",IF($D2169&gt;$F$2,"À venir",IF($E2169&lt;$D$2,"Passé","Dans la période")))</f>
        <v/>
      </c>
      <c r="K2169">
        <f>IF(OR($B2169="",NOT(ISNUMBER($D2169))),"",IF(AND($E2169&lt;$D$2,$G2169&lt;&gt;"X",$F2169&lt;&gt;"Réalisé",$F2169&lt;&gt;"Clôturé"),"RETARD",""))</f>
        <v/>
      </c>
      <c r="L2169">
        <f>IF(OR($B2169="",NOT(ISNUMBER($D2169))),"",IF(AND($D2169&gt;=$D$2,$D2169&lt;=$H$2,$G2169&lt;&gt;"X",$F2169&lt;&gt;"Réalisé",$F2169&lt;&gt;"Clôturé"),"≤ 7 j",""))</f>
        <v/>
      </c>
      <c r="M2169" s="29">
        <f>IF($B2169="","",IFERROR(INDEX($T$4:$T$3183,MATCH(SMALL($V$4:$V$3183,2166),$V$4:$V$3183,0)),""))</f>
        <v/>
      </c>
      <c r="O2169">
        <f>IF(INDEX(Suivi!$B:$B,2210)="","",INDEX(Suivi!$B:$B,2210))</f>
        <v/>
      </c>
      <c r="P2169">
        <f>IF($O2169="","",IF(INDEX(Suivi!$D:$D,2210)="",INDEX(Suivi!$C:$C,2210),INDEX(Suivi!$D:$D,2210)))</f>
        <v/>
      </c>
      <c r="Q2169">
        <f>IF($O2169="","",INDEX(Suivi!$E:$E,2210))</f>
        <v/>
      </c>
      <c r="R2169">
        <f>IF($O2169="","",INDEX(Suivi!$F:$F,2210))</f>
        <v/>
      </c>
      <c r="S2169">
        <f>IF($O2169="","",INDEX(Suivi!$G:$G,2210))</f>
        <v/>
      </c>
      <c r="T2169">
        <f>IF($O2169="","",IF(INDEX(Dossiers!$F$4:$F$63,41)="","",INDEX(Dossiers!$F$4:$F$63,41)))</f>
        <v/>
      </c>
      <c r="U2169">
        <f>IF($O2169="","",IF(INDEX(Dossiers!$G$4:$G$63,41)="","",INDEX(Dossiers!$G$4:$G$63,41)))</f>
        <v/>
      </c>
      <c r="V2169">
        <f>IF(OR($O2169="",NOT(ISNUMBER($Q2169))),"",$Q2169*1000000+2169)</f>
        <v/>
      </c>
      <c r="W2169" s="29">
        <f>IF($B2169="","",IFERROR(INDEX($U$4:$U$3183,MATCH(SMALL($V$4:$V$3183,2166),$V$4:$V$3183,0)),""))</f>
        <v/>
      </c>
    </row>
    <row r="2170">
      <c r="A2170">
        <f>IFERROR(INDEX($N$4:$N$3183,MATCH(SMALL($V$4:$V$3183,2167),$V$4:$V$3183,0)),"")</f>
        <v/>
      </c>
      <c r="B2170">
        <f>IFERROR(INDEX($O$4:$O$3183,MATCH(SMALL($V$4:$V$3183,2167),$V$4:$V$3183,0)),"")</f>
        <v/>
      </c>
      <c r="C2170">
        <f>IFERROR(INDEX($P$4:$P$3183,MATCH(SMALL($V$4:$V$3183,2167),$V$4:$V$3183,0)),"")</f>
        <v/>
      </c>
      <c r="D2170" s="29">
        <f>IFERROR(INDEX($Q$4:$Q$3183,MATCH(SMALL($V$4:$V$3183,2167),$V$4:$V$3183,0)),"")</f>
        <v/>
      </c>
      <c r="E2170" s="29">
        <f>IFERROR(INDEX($R$4:$R$3183,MATCH(SMALL($V$4:$V$3183,2167),$V$4:$V$3183,0)),"")</f>
        <v/>
      </c>
      <c r="F2170">
        <f>IFERROR(INDEX($S$4:$S$3183,MATCH(SMALL($V$4:$V$3183,2167),$V$4:$V$3183,0)),"")</f>
        <v/>
      </c>
      <c r="I2170" s="29">
        <f>IF($B2170="","",IFERROR(INDEX($U$4:$U$3183,MATCH(SMALL($V$4:$V$3183,2167),$V$4:$V$3183,0)),""))</f>
        <v/>
      </c>
      <c r="J2170">
        <f>IF($B2170="","",IF($D2170&gt;$F$2,"À venir",IF($E2170&lt;$D$2,"Passé","Dans la période")))</f>
        <v/>
      </c>
      <c r="K2170">
        <f>IF(OR($B2170="",NOT(ISNUMBER($D2170))),"",IF(AND($E2170&lt;$D$2,$G2170&lt;&gt;"X",$F2170&lt;&gt;"Réalisé",$F2170&lt;&gt;"Clôturé"),"RETARD",""))</f>
        <v/>
      </c>
      <c r="L2170">
        <f>IF(OR($B2170="",NOT(ISNUMBER($D2170))),"",IF(AND($D2170&gt;=$D$2,$D2170&lt;=$H$2,$G2170&lt;&gt;"X",$F2170&lt;&gt;"Réalisé",$F2170&lt;&gt;"Clôturé"),"≤ 7 j",""))</f>
        <v/>
      </c>
      <c r="M2170" s="29">
        <f>IF($B2170="","",IFERROR(INDEX($T$4:$T$3183,MATCH(SMALL($V$4:$V$3183,2167),$V$4:$V$3183,0)),""))</f>
        <v/>
      </c>
      <c r="O2170">
        <f>IF(INDEX(Suivi!$B:$B,2211)="","",INDEX(Suivi!$B:$B,2211))</f>
        <v/>
      </c>
      <c r="P2170">
        <f>IF($O2170="","",IF(INDEX(Suivi!$D:$D,2211)="",INDEX(Suivi!$C:$C,2211),INDEX(Suivi!$D:$D,2211)))</f>
        <v/>
      </c>
      <c r="Q2170">
        <f>IF($O2170="","",INDEX(Suivi!$E:$E,2211))</f>
        <v/>
      </c>
      <c r="R2170">
        <f>IF($O2170="","",INDEX(Suivi!$F:$F,2211))</f>
        <v/>
      </c>
      <c r="S2170">
        <f>IF($O2170="","",INDEX(Suivi!$G:$G,2211))</f>
        <v/>
      </c>
      <c r="T2170">
        <f>IF($O2170="","",IF(INDEX(Dossiers!$F$4:$F$63,41)="","",INDEX(Dossiers!$F$4:$F$63,41)))</f>
        <v/>
      </c>
      <c r="U2170">
        <f>IF($O2170="","",IF(INDEX(Dossiers!$G$4:$G$63,41)="","",INDEX(Dossiers!$G$4:$G$63,41)))</f>
        <v/>
      </c>
      <c r="V2170">
        <f>IF(OR($O2170="",NOT(ISNUMBER($Q2170))),"",$Q2170*1000000+2170)</f>
        <v/>
      </c>
      <c r="W2170" s="29">
        <f>IF($B2170="","",IFERROR(INDEX($U$4:$U$3183,MATCH(SMALL($V$4:$V$3183,2167),$V$4:$V$3183,0)),""))</f>
        <v/>
      </c>
    </row>
    <row r="2171">
      <c r="A2171">
        <f>IFERROR(INDEX($N$4:$N$3183,MATCH(SMALL($V$4:$V$3183,2168),$V$4:$V$3183,0)),"")</f>
        <v/>
      </c>
      <c r="B2171">
        <f>IFERROR(INDEX($O$4:$O$3183,MATCH(SMALL($V$4:$V$3183,2168),$V$4:$V$3183,0)),"")</f>
        <v/>
      </c>
      <c r="C2171">
        <f>IFERROR(INDEX($P$4:$P$3183,MATCH(SMALL($V$4:$V$3183,2168),$V$4:$V$3183,0)),"")</f>
        <v/>
      </c>
      <c r="D2171" s="29">
        <f>IFERROR(INDEX($Q$4:$Q$3183,MATCH(SMALL($V$4:$V$3183,2168),$V$4:$V$3183,0)),"")</f>
        <v/>
      </c>
      <c r="E2171" s="29">
        <f>IFERROR(INDEX($R$4:$R$3183,MATCH(SMALL($V$4:$V$3183,2168),$V$4:$V$3183,0)),"")</f>
        <v/>
      </c>
      <c r="F2171">
        <f>IFERROR(INDEX($S$4:$S$3183,MATCH(SMALL($V$4:$V$3183,2168),$V$4:$V$3183,0)),"")</f>
        <v/>
      </c>
      <c r="I2171" s="29">
        <f>IF($B2171="","",IFERROR(INDEX($U$4:$U$3183,MATCH(SMALL($V$4:$V$3183,2168),$V$4:$V$3183,0)),""))</f>
        <v/>
      </c>
      <c r="J2171">
        <f>IF($B2171="","",IF($D2171&gt;$F$2,"À venir",IF($E2171&lt;$D$2,"Passé","Dans la période")))</f>
        <v/>
      </c>
      <c r="K2171">
        <f>IF(OR($B2171="",NOT(ISNUMBER($D2171))),"",IF(AND($E2171&lt;$D$2,$G2171&lt;&gt;"X",$F2171&lt;&gt;"Réalisé",$F2171&lt;&gt;"Clôturé"),"RETARD",""))</f>
        <v/>
      </c>
      <c r="L2171">
        <f>IF(OR($B2171="",NOT(ISNUMBER($D2171))),"",IF(AND($D2171&gt;=$D$2,$D2171&lt;=$H$2,$G2171&lt;&gt;"X",$F2171&lt;&gt;"Réalisé",$F2171&lt;&gt;"Clôturé"),"≤ 7 j",""))</f>
        <v/>
      </c>
      <c r="M2171" s="29">
        <f>IF($B2171="","",IFERROR(INDEX($T$4:$T$3183,MATCH(SMALL($V$4:$V$3183,2168),$V$4:$V$3183,0)),""))</f>
        <v/>
      </c>
      <c r="O2171">
        <f>IF(INDEX(Suivi!$B:$B,2212)="","",INDEX(Suivi!$B:$B,2212))</f>
        <v/>
      </c>
      <c r="P2171">
        <f>IF($O2171="","",IF(INDEX(Suivi!$D:$D,2212)="",INDEX(Suivi!$C:$C,2212),INDEX(Suivi!$D:$D,2212)))</f>
        <v/>
      </c>
      <c r="Q2171">
        <f>IF($O2171="","",INDEX(Suivi!$E:$E,2212))</f>
        <v/>
      </c>
      <c r="R2171">
        <f>IF($O2171="","",INDEX(Suivi!$F:$F,2212))</f>
        <v/>
      </c>
      <c r="S2171">
        <f>IF($O2171="","",INDEX(Suivi!$G:$G,2212))</f>
        <v/>
      </c>
      <c r="T2171">
        <f>IF($O2171="","",IF(INDEX(Dossiers!$F$4:$F$63,41)="","",INDEX(Dossiers!$F$4:$F$63,41)))</f>
        <v/>
      </c>
      <c r="U2171">
        <f>IF($O2171="","",IF(INDEX(Dossiers!$G$4:$G$63,41)="","",INDEX(Dossiers!$G$4:$G$63,41)))</f>
        <v/>
      </c>
      <c r="V2171">
        <f>IF(OR($O2171="",NOT(ISNUMBER($Q2171))),"",$Q2171*1000000+2171)</f>
        <v/>
      </c>
      <c r="W2171" s="29">
        <f>IF($B2171="","",IFERROR(INDEX($U$4:$U$3183,MATCH(SMALL($V$4:$V$3183,2168),$V$4:$V$3183,0)),""))</f>
        <v/>
      </c>
    </row>
    <row r="2172">
      <c r="A2172">
        <f>IFERROR(INDEX($N$4:$N$3183,MATCH(SMALL($V$4:$V$3183,2169),$V$4:$V$3183,0)),"")</f>
        <v/>
      </c>
      <c r="B2172">
        <f>IFERROR(INDEX($O$4:$O$3183,MATCH(SMALL($V$4:$V$3183,2169),$V$4:$V$3183,0)),"")</f>
        <v/>
      </c>
      <c r="C2172">
        <f>IFERROR(INDEX($P$4:$P$3183,MATCH(SMALL($V$4:$V$3183,2169),$V$4:$V$3183,0)),"")</f>
        <v/>
      </c>
      <c r="D2172" s="29">
        <f>IFERROR(INDEX($Q$4:$Q$3183,MATCH(SMALL($V$4:$V$3183,2169),$V$4:$V$3183,0)),"")</f>
        <v/>
      </c>
      <c r="E2172" s="29">
        <f>IFERROR(INDEX($R$4:$R$3183,MATCH(SMALL($V$4:$V$3183,2169),$V$4:$V$3183,0)),"")</f>
        <v/>
      </c>
      <c r="F2172">
        <f>IFERROR(INDEX($S$4:$S$3183,MATCH(SMALL($V$4:$V$3183,2169),$V$4:$V$3183,0)),"")</f>
        <v/>
      </c>
      <c r="I2172" s="29">
        <f>IF($B2172="","",IFERROR(INDEX($U$4:$U$3183,MATCH(SMALL($V$4:$V$3183,2169),$V$4:$V$3183,0)),""))</f>
        <v/>
      </c>
      <c r="J2172">
        <f>IF($B2172="","",IF($D2172&gt;$F$2,"À venir",IF($E2172&lt;$D$2,"Passé","Dans la période")))</f>
        <v/>
      </c>
      <c r="K2172">
        <f>IF(OR($B2172="",NOT(ISNUMBER($D2172))),"",IF(AND($E2172&lt;$D$2,$G2172&lt;&gt;"X",$F2172&lt;&gt;"Réalisé",$F2172&lt;&gt;"Clôturé"),"RETARD",""))</f>
        <v/>
      </c>
      <c r="L2172">
        <f>IF(OR($B2172="",NOT(ISNUMBER($D2172))),"",IF(AND($D2172&gt;=$D$2,$D2172&lt;=$H$2,$G2172&lt;&gt;"X",$F2172&lt;&gt;"Réalisé",$F2172&lt;&gt;"Clôturé"),"≤ 7 j",""))</f>
        <v/>
      </c>
      <c r="M2172" s="29">
        <f>IF($B2172="","",IFERROR(INDEX($T$4:$T$3183,MATCH(SMALL($V$4:$V$3183,2169),$V$4:$V$3183,0)),""))</f>
        <v/>
      </c>
      <c r="O2172">
        <f>IF(INDEX(Suivi!$B:$B,2213)="","",INDEX(Suivi!$B:$B,2213))</f>
        <v/>
      </c>
      <c r="P2172">
        <f>IF($O2172="","",IF(INDEX(Suivi!$D:$D,2213)="",INDEX(Suivi!$C:$C,2213),INDEX(Suivi!$D:$D,2213)))</f>
        <v/>
      </c>
      <c r="Q2172">
        <f>IF($O2172="","",INDEX(Suivi!$E:$E,2213))</f>
        <v/>
      </c>
      <c r="R2172">
        <f>IF($O2172="","",INDEX(Suivi!$F:$F,2213))</f>
        <v/>
      </c>
      <c r="S2172">
        <f>IF($O2172="","",INDEX(Suivi!$G:$G,2213))</f>
        <v/>
      </c>
      <c r="T2172">
        <f>IF($O2172="","",IF(INDEX(Dossiers!$F$4:$F$63,41)="","",INDEX(Dossiers!$F$4:$F$63,41)))</f>
        <v/>
      </c>
      <c r="U2172">
        <f>IF($O2172="","",IF(INDEX(Dossiers!$G$4:$G$63,41)="","",INDEX(Dossiers!$G$4:$G$63,41)))</f>
        <v/>
      </c>
      <c r="V2172">
        <f>IF(OR($O2172="",NOT(ISNUMBER($Q2172))),"",$Q2172*1000000+2172)</f>
        <v/>
      </c>
      <c r="W2172" s="29">
        <f>IF($B2172="","",IFERROR(INDEX($U$4:$U$3183,MATCH(SMALL($V$4:$V$3183,2169),$V$4:$V$3183,0)),""))</f>
        <v/>
      </c>
    </row>
    <row r="2173">
      <c r="A2173">
        <f>IFERROR(INDEX($N$4:$N$3183,MATCH(SMALL($V$4:$V$3183,2170),$V$4:$V$3183,0)),"")</f>
        <v/>
      </c>
      <c r="B2173">
        <f>IFERROR(INDEX($O$4:$O$3183,MATCH(SMALL($V$4:$V$3183,2170),$V$4:$V$3183,0)),"")</f>
        <v/>
      </c>
      <c r="C2173">
        <f>IFERROR(INDEX($P$4:$P$3183,MATCH(SMALL($V$4:$V$3183,2170),$V$4:$V$3183,0)),"")</f>
        <v/>
      </c>
      <c r="D2173" s="29">
        <f>IFERROR(INDEX($Q$4:$Q$3183,MATCH(SMALL($V$4:$V$3183,2170),$V$4:$V$3183,0)),"")</f>
        <v/>
      </c>
      <c r="E2173" s="29">
        <f>IFERROR(INDEX($R$4:$R$3183,MATCH(SMALL($V$4:$V$3183,2170),$V$4:$V$3183,0)),"")</f>
        <v/>
      </c>
      <c r="F2173">
        <f>IFERROR(INDEX($S$4:$S$3183,MATCH(SMALL($V$4:$V$3183,2170),$V$4:$V$3183,0)),"")</f>
        <v/>
      </c>
      <c r="I2173" s="29">
        <f>IF($B2173="","",IFERROR(INDEX($U$4:$U$3183,MATCH(SMALL($V$4:$V$3183,2170),$V$4:$V$3183,0)),""))</f>
        <v/>
      </c>
      <c r="J2173">
        <f>IF($B2173="","",IF($D2173&gt;$F$2,"À venir",IF($E2173&lt;$D$2,"Passé","Dans la période")))</f>
        <v/>
      </c>
      <c r="K2173">
        <f>IF(OR($B2173="",NOT(ISNUMBER($D2173))),"",IF(AND($E2173&lt;$D$2,$G2173&lt;&gt;"X",$F2173&lt;&gt;"Réalisé",$F2173&lt;&gt;"Clôturé"),"RETARD",""))</f>
        <v/>
      </c>
      <c r="L2173">
        <f>IF(OR($B2173="",NOT(ISNUMBER($D2173))),"",IF(AND($D2173&gt;=$D$2,$D2173&lt;=$H$2,$G2173&lt;&gt;"X",$F2173&lt;&gt;"Réalisé",$F2173&lt;&gt;"Clôturé"),"≤ 7 j",""))</f>
        <v/>
      </c>
      <c r="M2173" s="29">
        <f>IF($B2173="","",IFERROR(INDEX($T$4:$T$3183,MATCH(SMALL($V$4:$V$3183,2170),$V$4:$V$3183,0)),""))</f>
        <v/>
      </c>
      <c r="O2173">
        <f>IF(INDEX(Suivi!$B:$B,2214)="","",INDEX(Suivi!$B:$B,2214))</f>
        <v/>
      </c>
      <c r="P2173">
        <f>IF($O2173="","",IF(INDEX(Suivi!$D:$D,2214)="",INDEX(Suivi!$C:$C,2214),INDEX(Suivi!$D:$D,2214)))</f>
        <v/>
      </c>
      <c r="Q2173">
        <f>IF($O2173="","",INDEX(Suivi!$E:$E,2214))</f>
        <v/>
      </c>
      <c r="R2173">
        <f>IF($O2173="","",INDEX(Suivi!$F:$F,2214))</f>
        <v/>
      </c>
      <c r="S2173">
        <f>IF($O2173="","",INDEX(Suivi!$G:$G,2214))</f>
        <v/>
      </c>
      <c r="T2173">
        <f>IF($O2173="","",IF(INDEX(Dossiers!$F$4:$F$63,41)="","",INDEX(Dossiers!$F$4:$F$63,41)))</f>
        <v/>
      </c>
      <c r="U2173">
        <f>IF($O2173="","",IF(INDEX(Dossiers!$G$4:$G$63,41)="","",INDEX(Dossiers!$G$4:$G$63,41)))</f>
        <v/>
      </c>
      <c r="V2173">
        <f>IF(OR($O2173="",NOT(ISNUMBER($Q2173))),"",$Q2173*1000000+2173)</f>
        <v/>
      </c>
      <c r="W2173" s="29">
        <f>IF($B2173="","",IFERROR(INDEX($U$4:$U$3183,MATCH(SMALL($V$4:$V$3183,2170),$V$4:$V$3183,0)),""))</f>
        <v/>
      </c>
    </row>
    <row r="2174">
      <c r="A2174">
        <f>IFERROR(INDEX($N$4:$N$3183,MATCH(SMALL($V$4:$V$3183,2171),$V$4:$V$3183,0)),"")</f>
        <v/>
      </c>
      <c r="B2174">
        <f>IFERROR(INDEX($O$4:$O$3183,MATCH(SMALL($V$4:$V$3183,2171),$V$4:$V$3183,0)),"")</f>
        <v/>
      </c>
      <c r="C2174">
        <f>IFERROR(INDEX($P$4:$P$3183,MATCH(SMALL($V$4:$V$3183,2171),$V$4:$V$3183,0)),"")</f>
        <v/>
      </c>
      <c r="D2174" s="29">
        <f>IFERROR(INDEX($Q$4:$Q$3183,MATCH(SMALL($V$4:$V$3183,2171),$V$4:$V$3183,0)),"")</f>
        <v/>
      </c>
      <c r="E2174" s="29">
        <f>IFERROR(INDEX($R$4:$R$3183,MATCH(SMALL($V$4:$V$3183,2171),$V$4:$V$3183,0)),"")</f>
        <v/>
      </c>
      <c r="F2174">
        <f>IFERROR(INDEX($S$4:$S$3183,MATCH(SMALL($V$4:$V$3183,2171),$V$4:$V$3183,0)),"")</f>
        <v/>
      </c>
      <c r="I2174" s="29">
        <f>IF($B2174="","",IFERROR(INDEX($U$4:$U$3183,MATCH(SMALL($V$4:$V$3183,2171),$V$4:$V$3183,0)),""))</f>
        <v/>
      </c>
      <c r="J2174">
        <f>IF($B2174="","",IF($D2174&gt;$F$2,"À venir",IF($E2174&lt;$D$2,"Passé","Dans la période")))</f>
        <v/>
      </c>
      <c r="K2174">
        <f>IF(OR($B2174="",NOT(ISNUMBER($D2174))),"",IF(AND($E2174&lt;$D$2,$G2174&lt;&gt;"X",$F2174&lt;&gt;"Réalisé",$F2174&lt;&gt;"Clôturé"),"RETARD",""))</f>
        <v/>
      </c>
      <c r="L2174">
        <f>IF(OR($B2174="",NOT(ISNUMBER($D2174))),"",IF(AND($D2174&gt;=$D$2,$D2174&lt;=$H$2,$G2174&lt;&gt;"X",$F2174&lt;&gt;"Réalisé",$F2174&lt;&gt;"Clôturé"),"≤ 7 j",""))</f>
        <v/>
      </c>
      <c r="M2174" s="29">
        <f>IF($B2174="","",IFERROR(INDEX($T$4:$T$3183,MATCH(SMALL($V$4:$V$3183,2171),$V$4:$V$3183,0)),""))</f>
        <v/>
      </c>
      <c r="O2174">
        <f>IF(INDEX(Suivi!$B:$B,2215)="","",INDEX(Suivi!$B:$B,2215))</f>
        <v/>
      </c>
      <c r="P2174">
        <f>IF($O2174="","",IF(INDEX(Suivi!$D:$D,2215)="",INDEX(Suivi!$C:$C,2215),INDEX(Suivi!$D:$D,2215)))</f>
        <v/>
      </c>
      <c r="Q2174">
        <f>IF($O2174="","",INDEX(Suivi!$E:$E,2215))</f>
        <v/>
      </c>
      <c r="R2174">
        <f>IF($O2174="","",INDEX(Suivi!$F:$F,2215))</f>
        <v/>
      </c>
      <c r="S2174">
        <f>IF($O2174="","",INDEX(Suivi!$G:$G,2215))</f>
        <v/>
      </c>
      <c r="T2174">
        <f>IF($O2174="","",IF(INDEX(Dossiers!$F$4:$F$63,41)="","",INDEX(Dossiers!$F$4:$F$63,41)))</f>
        <v/>
      </c>
      <c r="U2174">
        <f>IF($O2174="","",IF(INDEX(Dossiers!$G$4:$G$63,41)="","",INDEX(Dossiers!$G$4:$G$63,41)))</f>
        <v/>
      </c>
      <c r="V2174">
        <f>IF(OR($O2174="",NOT(ISNUMBER($Q2174))),"",$Q2174*1000000+2174)</f>
        <v/>
      </c>
      <c r="W2174" s="29">
        <f>IF($B2174="","",IFERROR(INDEX($U$4:$U$3183,MATCH(SMALL($V$4:$V$3183,2171),$V$4:$V$3183,0)),""))</f>
        <v/>
      </c>
    </row>
    <row r="2175">
      <c r="A2175">
        <f>IFERROR(INDEX($N$4:$N$3183,MATCH(SMALL($V$4:$V$3183,2172),$V$4:$V$3183,0)),"")</f>
        <v/>
      </c>
      <c r="B2175">
        <f>IFERROR(INDEX($O$4:$O$3183,MATCH(SMALL($V$4:$V$3183,2172),$V$4:$V$3183,0)),"")</f>
        <v/>
      </c>
      <c r="C2175">
        <f>IFERROR(INDEX($P$4:$P$3183,MATCH(SMALL($V$4:$V$3183,2172),$V$4:$V$3183,0)),"")</f>
        <v/>
      </c>
      <c r="D2175" s="29">
        <f>IFERROR(INDEX($Q$4:$Q$3183,MATCH(SMALL($V$4:$V$3183,2172),$V$4:$V$3183,0)),"")</f>
        <v/>
      </c>
      <c r="E2175" s="29">
        <f>IFERROR(INDEX($R$4:$R$3183,MATCH(SMALL($V$4:$V$3183,2172),$V$4:$V$3183,0)),"")</f>
        <v/>
      </c>
      <c r="F2175">
        <f>IFERROR(INDEX($S$4:$S$3183,MATCH(SMALL($V$4:$V$3183,2172),$V$4:$V$3183,0)),"")</f>
        <v/>
      </c>
      <c r="I2175" s="29">
        <f>IF($B2175="","",IFERROR(INDEX($U$4:$U$3183,MATCH(SMALL($V$4:$V$3183,2172),$V$4:$V$3183,0)),""))</f>
        <v/>
      </c>
      <c r="J2175">
        <f>IF($B2175="","",IF($D2175&gt;$F$2,"À venir",IF($E2175&lt;$D$2,"Passé","Dans la période")))</f>
        <v/>
      </c>
      <c r="K2175">
        <f>IF(OR($B2175="",NOT(ISNUMBER($D2175))),"",IF(AND($E2175&lt;$D$2,$G2175&lt;&gt;"X",$F2175&lt;&gt;"Réalisé",$F2175&lt;&gt;"Clôturé"),"RETARD",""))</f>
        <v/>
      </c>
      <c r="L2175">
        <f>IF(OR($B2175="",NOT(ISNUMBER($D2175))),"",IF(AND($D2175&gt;=$D$2,$D2175&lt;=$H$2,$G2175&lt;&gt;"X",$F2175&lt;&gt;"Réalisé",$F2175&lt;&gt;"Clôturé"),"≤ 7 j",""))</f>
        <v/>
      </c>
      <c r="M2175" s="29">
        <f>IF($B2175="","",IFERROR(INDEX($T$4:$T$3183,MATCH(SMALL($V$4:$V$3183,2172),$V$4:$V$3183,0)),""))</f>
        <v/>
      </c>
      <c r="O2175">
        <f>IF(INDEX(Suivi!$B:$B,2216)="","",INDEX(Suivi!$B:$B,2216))</f>
        <v/>
      </c>
      <c r="P2175">
        <f>IF($O2175="","",IF(INDEX(Suivi!$D:$D,2216)="",INDEX(Suivi!$C:$C,2216),INDEX(Suivi!$D:$D,2216)))</f>
        <v/>
      </c>
      <c r="Q2175">
        <f>IF($O2175="","",INDEX(Suivi!$E:$E,2216))</f>
        <v/>
      </c>
      <c r="R2175">
        <f>IF($O2175="","",INDEX(Suivi!$F:$F,2216))</f>
        <v/>
      </c>
      <c r="S2175">
        <f>IF($O2175="","",INDEX(Suivi!$G:$G,2216))</f>
        <v/>
      </c>
      <c r="T2175">
        <f>IF($O2175="","",IF(INDEX(Dossiers!$F$4:$F$63,41)="","",INDEX(Dossiers!$F$4:$F$63,41)))</f>
        <v/>
      </c>
      <c r="U2175">
        <f>IF($O2175="","",IF(INDEX(Dossiers!$G$4:$G$63,41)="","",INDEX(Dossiers!$G$4:$G$63,41)))</f>
        <v/>
      </c>
      <c r="V2175">
        <f>IF(OR($O2175="",NOT(ISNUMBER($Q2175))),"",$Q2175*1000000+2175)</f>
        <v/>
      </c>
      <c r="W2175" s="29">
        <f>IF($B2175="","",IFERROR(INDEX($U$4:$U$3183,MATCH(SMALL($V$4:$V$3183,2172),$V$4:$V$3183,0)),""))</f>
        <v/>
      </c>
    </row>
    <row r="2176">
      <c r="A2176">
        <f>IFERROR(INDEX($N$4:$N$3183,MATCH(SMALL($V$4:$V$3183,2173),$V$4:$V$3183,0)),"")</f>
        <v/>
      </c>
      <c r="B2176">
        <f>IFERROR(INDEX($O$4:$O$3183,MATCH(SMALL($V$4:$V$3183,2173),$V$4:$V$3183,0)),"")</f>
        <v/>
      </c>
      <c r="C2176">
        <f>IFERROR(INDEX($P$4:$P$3183,MATCH(SMALL($V$4:$V$3183,2173),$V$4:$V$3183,0)),"")</f>
        <v/>
      </c>
      <c r="D2176" s="29">
        <f>IFERROR(INDEX($Q$4:$Q$3183,MATCH(SMALL($V$4:$V$3183,2173),$V$4:$V$3183,0)),"")</f>
        <v/>
      </c>
      <c r="E2176" s="29">
        <f>IFERROR(INDEX($R$4:$R$3183,MATCH(SMALL($V$4:$V$3183,2173),$V$4:$V$3183,0)),"")</f>
        <v/>
      </c>
      <c r="F2176">
        <f>IFERROR(INDEX($S$4:$S$3183,MATCH(SMALL($V$4:$V$3183,2173),$V$4:$V$3183,0)),"")</f>
        <v/>
      </c>
      <c r="I2176" s="29">
        <f>IF($B2176="","",IFERROR(INDEX($U$4:$U$3183,MATCH(SMALL($V$4:$V$3183,2173),$V$4:$V$3183,0)),""))</f>
        <v/>
      </c>
      <c r="J2176">
        <f>IF($B2176="","",IF($D2176&gt;$F$2,"À venir",IF($E2176&lt;$D$2,"Passé","Dans la période")))</f>
        <v/>
      </c>
      <c r="K2176">
        <f>IF(OR($B2176="",NOT(ISNUMBER($D2176))),"",IF(AND($E2176&lt;$D$2,$G2176&lt;&gt;"X",$F2176&lt;&gt;"Réalisé",$F2176&lt;&gt;"Clôturé"),"RETARD",""))</f>
        <v/>
      </c>
      <c r="L2176">
        <f>IF(OR($B2176="",NOT(ISNUMBER($D2176))),"",IF(AND($D2176&gt;=$D$2,$D2176&lt;=$H$2,$G2176&lt;&gt;"X",$F2176&lt;&gt;"Réalisé",$F2176&lt;&gt;"Clôturé"),"≤ 7 j",""))</f>
        <v/>
      </c>
      <c r="M2176" s="29">
        <f>IF($B2176="","",IFERROR(INDEX($T$4:$T$3183,MATCH(SMALL($V$4:$V$3183,2173),$V$4:$V$3183,0)),""))</f>
        <v/>
      </c>
      <c r="O2176">
        <f>IF(INDEX(Suivi!$B:$B,2217)="","",INDEX(Suivi!$B:$B,2217))</f>
        <v/>
      </c>
      <c r="P2176">
        <f>IF($O2176="","",IF(INDEX(Suivi!$D:$D,2217)="",INDEX(Suivi!$C:$C,2217),INDEX(Suivi!$D:$D,2217)))</f>
        <v/>
      </c>
      <c r="Q2176">
        <f>IF($O2176="","",INDEX(Suivi!$E:$E,2217))</f>
        <v/>
      </c>
      <c r="R2176">
        <f>IF($O2176="","",INDEX(Suivi!$F:$F,2217))</f>
        <v/>
      </c>
      <c r="S2176">
        <f>IF($O2176="","",INDEX(Suivi!$G:$G,2217))</f>
        <v/>
      </c>
      <c r="T2176">
        <f>IF($O2176="","",IF(INDEX(Dossiers!$F$4:$F$63,41)="","",INDEX(Dossiers!$F$4:$F$63,41)))</f>
        <v/>
      </c>
      <c r="U2176">
        <f>IF($O2176="","",IF(INDEX(Dossiers!$G$4:$G$63,41)="","",INDEX(Dossiers!$G$4:$G$63,41)))</f>
        <v/>
      </c>
      <c r="V2176">
        <f>IF(OR($O2176="",NOT(ISNUMBER($Q2176))),"",$Q2176*1000000+2176)</f>
        <v/>
      </c>
      <c r="W2176" s="29">
        <f>IF($B2176="","",IFERROR(INDEX($U$4:$U$3183,MATCH(SMALL($V$4:$V$3183,2173),$V$4:$V$3183,0)),""))</f>
        <v/>
      </c>
    </row>
    <row r="2177">
      <c r="A2177">
        <f>IFERROR(INDEX($N$4:$N$3183,MATCH(SMALL($V$4:$V$3183,2174),$V$4:$V$3183,0)),"")</f>
        <v/>
      </c>
      <c r="B2177">
        <f>IFERROR(INDEX($O$4:$O$3183,MATCH(SMALL($V$4:$V$3183,2174),$V$4:$V$3183,0)),"")</f>
        <v/>
      </c>
      <c r="C2177">
        <f>IFERROR(INDEX($P$4:$P$3183,MATCH(SMALL($V$4:$V$3183,2174),$V$4:$V$3183,0)),"")</f>
        <v/>
      </c>
      <c r="D2177" s="29">
        <f>IFERROR(INDEX($Q$4:$Q$3183,MATCH(SMALL($V$4:$V$3183,2174),$V$4:$V$3183,0)),"")</f>
        <v/>
      </c>
      <c r="E2177" s="29">
        <f>IFERROR(INDEX($R$4:$R$3183,MATCH(SMALL($V$4:$V$3183,2174),$V$4:$V$3183,0)),"")</f>
        <v/>
      </c>
      <c r="F2177">
        <f>IFERROR(INDEX($S$4:$S$3183,MATCH(SMALL($V$4:$V$3183,2174),$V$4:$V$3183,0)),"")</f>
        <v/>
      </c>
      <c r="I2177" s="29">
        <f>IF($B2177="","",IFERROR(INDEX($U$4:$U$3183,MATCH(SMALL($V$4:$V$3183,2174),$V$4:$V$3183,0)),""))</f>
        <v/>
      </c>
      <c r="J2177">
        <f>IF($B2177="","",IF($D2177&gt;$F$2,"À venir",IF($E2177&lt;$D$2,"Passé","Dans la période")))</f>
        <v/>
      </c>
      <c r="K2177">
        <f>IF(OR($B2177="",NOT(ISNUMBER($D2177))),"",IF(AND($E2177&lt;$D$2,$G2177&lt;&gt;"X",$F2177&lt;&gt;"Réalisé",$F2177&lt;&gt;"Clôturé"),"RETARD",""))</f>
        <v/>
      </c>
      <c r="L2177">
        <f>IF(OR($B2177="",NOT(ISNUMBER($D2177))),"",IF(AND($D2177&gt;=$D$2,$D2177&lt;=$H$2,$G2177&lt;&gt;"X",$F2177&lt;&gt;"Réalisé",$F2177&lt;&gt;"Clôturé"),"≤ 7 j",""))</f>
        <v/>
      </c>
      <c r="M2177" s="29">
        <f>IF($B2177="","",IFERROR(INDEX($T$4:$T$3183,MATCH(SMALL($V$4:$V$3183,2174),$V$4:$V$3183,0)),""))</f>
        <v/>
      </c>
      <c r="O2177">
        <f>IF(INDEX(Suivi!$B:$B,2219)="","",INDEX(Suivi!$B:$B,2219))</f>
        <v/>
      </c>
      <c r="P2177">
        <f>IF($O2177="","",IF(INDEX(Suivi!$D:$D,2219)="",INDEX(Suivi!$C:$C,2219),INDEX(Suivi!$D:$D,2219)))</f>
        <v/>
      </c>
      <c r="Q2177">
        <f>IF($O2177="","",INDEX(Suivi!$E:$E,2219))</f>
        <v/>
      </c>
      <c r="R2177">
        <f>IF($O2177="","",INDEX(Suivi!$F:$F,2219))</f>
        <v/>
      </c>
      <c r="S2177">
        <f>IF($O2177="","",INDEX(Suivi!$G:$G,2219))</f>
        <v/>
      </c>
      <c r="T2177">
        <f>IF($O2177="","",IF(INDEX(Dossiers!$F$4:$F$63,42)="","",INDEX(Dossiers!$F$4:$F$63,42)))</f>
        <v/>
      </c>
      <c r="U2177">
        <f>IF($O2177="","",IF(INDEX(Dossiers!$G$4:$G$63,42)="","",INDEX(Dossiers!$G$4:$G$63,42)))</f>
        <v/>
      </c>
      <c r="V2177">
        <f>IF(OR($O2177="",NOT(ISNUMBER($Q2177))),"",$Q2177*1000000+2177)</f>
        <v/>
      </c>
      <c r="W2177" s="29">
        <f>IF($B2177="","",IFERROR(INDEX($U$4:$U$3183,MATCH(SMALL($V$4:$V$3183,2174),$V$4:$V$3183,0)),""))</f>
        <v/>
      </c>
    </row>
    <row r="2178">
      <c r="A2178">
        <f>IFERROR(INDEX($N$4:$N$3183,MATCH(SMALL($V$4:$V$3183,2175),$V$4:$V$3183,0)),"")</f>
        <v/>
      </c>
      <c r="B2178">
        <f>IFERROR(INDEX($O$4:$O$3183,MATCH(SMALL($V$4:$V$3183,2175),$V$4:$V$3183,0)),"")</f>
        <v/>
      </c>
      <c r="C2178">
        <f>IFERROR(INDEX($P$4:$P$3183,MATCH(SMALL($V$4:$V$3183,2175),$V$4:$V$3183,0)),"")</f>
        <v/>
      </c>
      <c r="D2178" s="29">
        <f>IFERROR(INDEX($Q$4:$Q$3183,MATCH(SMALL($V$4:$V$3183,2175),$V$4:$V$3183,0)),"")</f>
        <v/>
      </c>
      <c r="E2178" s="29">
        <f>IFERROR(INDEX($R$4:$R$3183,MATCH(SMALL($V$4:$V$3183,2175),$V$4:$V$3183,0)),"")</f>
        <v/>
      </c>
      <c r="F2178">
        <f>IFERROR(INDEX($S$4:$S$3183,MATCH(SMALL($V$4:$V$3183,2175),$V$4:$V$3183,0)),"")</f>
        <v/>
      </c>
      <c r="I2178" s="29">
        <f>IF($B2178="","",IFERROR(INDEX($U$4:$U$3183,MATCH(SMALL($V$4:$V$3183,2175),$V$4:$V$3183,0)),""))</f>
        <v/>
      </c>
      <c r="J2178">
        <f>IF($B2178="","",IF($D2178&gt;$F$2,"À venir",IF($E2178&lt;$D$2,"Passé","Dans la période")))</f>
        <v/>
      </c>
      <c r="K2178">
        <f>IF(OR($B2178="",NOT(ISNUMBER($D2178))),"",IF(AND($E2178&lt;$D$2,$G2178&lt;&gt;"X",$F2178&lt;&gt;"Réalisé",$F2178&lt;&gt;"Clôturé"),"RETARD",""))</f>
        <v/>
      </c>
      <c r="L2178">
        <f>IF(OR($B2178="",NOT(ISNUMBER($D2178))),"",IF(AND($D2178&gt;=$D$2,$D2178&lt;=$H$2,$G2178&lt;&gt;"X",$F2178&lt;&gt;"Réalisé",$F2178&lt;&gt;"Clôturé"),"≤ 7 j",""))</f>
        <v/>
      </c>
      <c r="M2178" s="29">
        <f>IF($B2178="","",IFERROR(INDEX($T$4:$T$3183,MATCH(SMALL($V$4:$V$3183,2175),$V$4:$V$3183,0)),""))</f>
        <v/>
      </c>
      <c r="O2178">
        <f>IF(INDEX(Suivi!$B:$B,2220)="","",INDEX(Suivi!$B:$B,2220))</f>
        <v/>
      </c>
      <c r="P2178">
        <f>IF($O2178="","",IF(INDEX(Suivi!$D:$D,2220)="",INDEX(Suivi!$C:$C,2220),INDEX(Suivi!$D:$D,2220)))</f>
        <v/>
      </c>
      <c r="Q2178">
        <f>IF($O2178="","",INDEX(Suivi!$E:$E,2220))</f>
        <v/>
      </c>
      <c r="R2178">
        <f>IF($O2178="","",INDEX(Suivi!$F:$F,2220))</f>
        <v/>
      </c>
      <c r="S2178">
        <f>IF($O2178="","",INDEX(Suivi!$G:$G,2220))</f>
        <v/>
      </c>
      <c r="T2178">
        <f>IF($O2178="","",IF(INDEX(Dossiers!$F$4:$F$63,42)="","",INDEX(Dossiers!$F$4:$F$63,42)))</f>
        <v/>
      </c>
      <c r="U2178">
        <f>IF($O2178="","",IF(INDEX(Dossiers!$G$4:$G$63,42)="","",INDEX(Dossiers!$G$4:$G$63,42)))</f>
        <v/>
      </c>
      <c r="V2178">
        <f>IF(OR($O2178="",NOT(ISNUMBER($Q2178))),"",$Q2178*1000000+2178)</f>
        <v/>
      </c>
      <c r="W2178" s="29">
        <f>IF($B2178="","",IFERROR(INDEX($U$4:$U$3183,MATCH(SMALL($V$4:$V$3183,2175),$V$4:$V$3183,0)),""))</f>
        <v/>
      </c>
    </row>
    <row r="2179">
      <c r="A2179">
        <f>IFERROR(INDEX($N$4:$N$3183,MATCH(SMALL($V$4:$V$3183,2176),$V$4:$V$3183,0)),"")</f>
        <v/>
      </c>
      <c r="B2179">
        <f>IFERROR(INDEX($O$4:$O$3183,MATCH(SMALL($V$4:$V$3183,2176),$V$4:$V$3183,0)),"")</f>
        <v/>
      </c>
      <c r="C2179">
        <f>IFERROR(INDEX($P$4:$P$3183,MATCH(SMALL($V$4:$V$3183,2176),$V$4:$V$3183,0)),"")</f>
        <v/>
      </c>
      <c r="D2179" s="29">
        <f>IFERROR(INDEX($Q$4:$Q$3183,MATCH(SMALL($V$4:$V$3183,2176),$V$4:$V$3183,0)),"")</f>
        <v/>
      </c>
      <c r="E2179" s="29">
        <f>IFERROR(INDEX($R$4:$R$3183,MATCH(SMALL($V$4:$V$3183,2176),$V$4:$V$3183,0)),"")</f>
        <v/>
      </c>
      <c r="F2179">
        <f>IFERROR(INDEX($S$4:$S$3183,MATCH(SMALL($V$4:$V$3183,2176),$V$4:$V$3183,0)),"")</f>
        <v/>
      </c>
      <c r="I2179" s="29">
        <f>IF($B2179="","",IFERROR(INDEX($U$4:$U$3183,MATCH(SMALL($V$4:$V$3183,2176),$V$4:$V$3183,0)),""))</f>
        <v/>
      </c>
      <c r="J2179">
        <f>IF($B2179="","",IF($D2179&gt;$F$2,"À venir",IF($E2179&lt;$D$2,"Passé","Dans la période")))</f>
        <v/>
      </c>
      <c r="K2179">
        <f>IF(OR($B2179="",NOT(ISNUMBER($D2179))),"",IF(AND($E2179&lt;$D$2,$G2179&lt;&gt;"X",$F2179&lt;&gt;"Réalisé",$F2179&lt;&gt;"Clôturé"),"RETARD",""))</f>
        <v/>
      </c>
      <c r="L2179">
        <f>IF(OR($B2179="",NOT(ISNUMBER($D2179))),"",IF(AND($D2179&gt;=$D$2,$D2179&lt;=$H$2,$G2179&lt;&gt;"X",$F2179&lt;&gt;"Réalisé",$F2179&lt;&gt;"Clôturé"),"≤ 7 j",""))</f>
        <v/>
      </c>
      <c r="M2179" s="29">
        <f>IF($B2179="","",IFERROR(INDEX($T$4:$T$3183,MATCH(SMALL($V$4:$V$3183,2176),$V$4:$V$3183,0)),""))</f>
        <v/>
      </c>
      <c r="O2179">
        <f>IF(INDEX(Suivi!$B:$B,2221)="","",INDEX(Suivi!$B:$B,2221))</f>
        <v/>
      </c>
      <c r="P2179">
        <f>IF($O2179="","",IF(INDEX(Suivi!$D:$D,2221)="",INDEX(Suivi!$C:$C,2221),INDEX(Suivi!$D:$D,2221)))</f>
        <v/>
      </c>
      <c r="Q2179">
        <f>IF($O2179="","",INDEX(Suivi!$E:$E,2221))</f>
        <v/>
      </c>
      <c r="R2179">
        <f>IF($O2179="","",INDEX(Suivi!$F:$F,2221))</f>
        <v/>
      </c>
      <c r="S2179">
        <f>IF($O2179="","",INDEX(Suivi!$G:$G,2221))</f>
        <v/>
      </c>
      <c r="T2179">
        <f>IF($O2179="","",IF(INDEX(Dossiers!$F$4:$F$63,42)="","",INDEX(Dossiers!$F$4:$F$63,42)))</f>
        <v/>
      </c>
      <c r="U2179">
        <f>IF($O2179="","",IF(INDEX(Dossiers!$G$4:$G$63,42)="","",INDEX(Dossiers!$G$4:$G$63,42)))</f>
        <v/>
      </c>
      <c r="V2179">
        <f>IF(OR($O2179="",NOT(ISNUMBER($Q2179))),"",$Q2179*1000000+2179)</f>
        <v/>
      </c>
      <c r="W2179" s="29">
        <f>IF($B2179="","",IFERROR(INDEX($U$4:$U$3183,MATCH(SMALL($V$4:$V$3183,2176),$V$4:$V$3183,0)),""))</f>
        <v/>
      </c>
    </row>
    <row r="2180">
      <c r="A2180">
        <f>IFERROR(INDEX($N$4:$N$3183,MATCH(SMALL($V$4:$V$3183,2177),$V$4:$V$3183,0)),"")</f>
        <v/>
      </c>
      <c r="B2180">
        <f>IFERROR(INDEX($O$4:$O$3183,MATCH(SMALL($V$4:$V$3183,2177),$V$4:$V$3183,0)),"")</f>
        <v/>
      </c>
      <c r="C2180">
        <f>IFERROR(INDEX($P$4:$P$3183,MATCH(SMALL($V$4:$V$3183,2177),$V$4:$V$3183,0)),"")</f>
        <v/>
      </c>
      <c r="D2180" s="29">
        <f>IFERROR(INDEX($Q$4:$Q$3183,MATCH(SMALL($V$4:$V$3183,2177),$V$4:$V$3183,0)),"")</f>
        <v/>
      </c>
      <c r="E2180" s="29">
        <f>IFERROR(INDEX($R$4:$R$3183,MATCH(SMALL($V$4:$V$3183,2177),$V$4:$V$3183,0)),"")</f>
        <v/>
      </c>
      <c r="F2180">
        <f>IFERROR(INDEX($S$4:$S$3183,MATCH(SMALL($V$4:$V$3183,2177),$V$4:$V$3183,0)),"")</f>
        <v/>
      </c>
      <c r="I2180" s="29">
        <f>IF($B2180="","",IFERROR(INDEX($U$4:$U$3183,MATCH(SMALL($V$4:$V$3183,2177),$V$4:$V$3183,0)),""))</f>
        <v/>
      </c>
      <c r="J2180">
        <f>IF($B2180="","",IF($D2180&gt;$F$2,"À venir",IF($E2180&lt;$D$2,"Passé","Dans la période")))</f>
        <v/>
      </c>
      <c r="K2180">
        <f>IF(OR($B2180="",NOT(ISNUMBER($D2180))),"",IF(AND($E2180&lt;$D$2,$G2180&lt;&gt;"X",$F2180&lt;&gt;"Réalisé",$F2180&lt;&gt;"Clôturé"),"RETARD",""))</f>
        <v/>
      </c>
      <c r="L2180">
        <f>IF(OR($B2180="",NOT(ISNUMBER($D2180))),"",IF(AND($D2180&gt;=$D$2,$D2180&lt;=$H$2,$G2180&lt;&gt;"X",$F2180&lt;&gt;"Réalisé",$F2180&lt;&gt;"Clôturé"),"≤ 7 j",""))</f>
        <v/>
      </c>
      <c r="M2180" s="29">
        <f>IF($B2180="","",IFERROR(INDEX($T$4:$T$3183,MATCH(SMALL($V$4:$V$3183,2177),$V$4:$V$3183,0)),""))</f>
        <v/>
      </c>
      <c r="O2180">
        <f>IF(INDEX(Suivi!$B:$B,2222)="","",INDEX(Suivi!$B:$B,2222))</f>
        <v/>
      </c>
      <c r="P2180">
        <f>IF($O2180="","",IF(INDEX(Suivi!$D:$D,2222)="",INDEX(Suivi!$C:$C,2222),INDEX(Suivi!$D:$D,2222)))</f>
        <v/>
      </c>
      <c r="Q2180">
        <f>IF($O2180="","",INDEX(Suivi!$E:$E,2222))</f>
        <v/>
      </c>
      <c r="R2180">
        <f>IF($O2180="","",INDEX(Suivi!$F:$F,2222))</f>
        <v/>
      </c>
      <c r="S2180">
        <f>IF($O2180="","",INDEX(Suivi!$G:$G,2222))</f>
        <v/>
      </c>
      <c r="T2180">
        <f>IF($O2180="","",IF(INDEX(Dossiers!$F$4:$F$63,42)="","",INDEX(Dossiers!$F$4:$F$63,42)))</f>
        <v/>
      </c>
      <c r="U2180">
        <f>IF($O2180="","",IF(INDEX(Dossiers!$G$4:$G$63,42)="","",INDEX(Dossiers!$G$4:$G$63,42)))</f>
        <v/>
      </c>
      <c r="V2180">
        <f>IF(OR($O2180="",NOT(ISNUMBER($Q2180))),"",$Q2180*1000000+2180)</f>
        <v/>
      </c>
      <c r="W2180" s="29">
        <f>IF($B2180="","",IFERROR(INDEX($U$4:$U$3183,MATCH(SMALL($V$4:$V$3183,2177),$V$4:$V$3183,0)),""))</f>
        <v/>
      </c>
    </row>
    <row r="2181">
      <c r="A2181">
        <f>IFERROR(INDEX($N$4:$N$3183,MATCH(SMALL($V$4:$V$3183,2178),$V$4:$V$3183,0)),"")</f>
        <v/>
      </c>
      <c r="B2181">
        <f>IFERROR(INDEX($O$4:$O$3183,MATCH(SMALL($V$4:$V$3183,2178),$V$4:$V$3183,0)),"")</f>
        <v/>
      </c>
      <c r="C2181">
        <f>IFERROR(INDEX($P$4:$P$3183,MATCH(SMALL($V$4:$V$3183,2178),$V$4:$V$3183,0)),"")</f>
        <v/>
      </c>
      <c r="D2181" s="29">
        <f>IFERROR(INDEX($Q$4:$Q$3183,MATCH(SMALL($V$4:$V$3183,2178),$V$4:$V$3183,0)),"")</f>
        <v/>
      </c>
      <c r="E2181" s="29">
        <f>IFERROR(INDEX($R$4:$R$3183,MATCH(SMALL($V$4:$V$3183,2178),$V$4:$V$3183,0)),"")</f>
        <v/>
      </c>
      <c r="F2181">
        <f>IFERROR(INDEX($S$4:$S$3183,MATCH(SMALL($V$4:$V$3183,2178),$V$4:$V$3183,0)),"")</f>
        <v/>
      </c>
      <c r="I2181" s="29">
        <f>IF($B2181="","",IFERROR(INDEX($U$4:$U$3183,MATCH(SMALL($V$4:$V$3183,2178),$V$4:$V$3183,0)),""))</f>
        <v/>
      </c>
      <c r="J2181">
        <f>IF($B2181="","",IF($D2181&gt;$F$2,"À venir",IF($E2181&lt;$D$2,"Passé","Dans la période")))</f>
        <v/>
      </c>
      <c r="K2181">
        <f>IF(OR($B2181="",NOT(ISNUMBER($D2181))),"",IF(AND($E2181&lt;$D$2,$G2181&lt;&gt;"X",$F2181&lt;&gt;"Réalisé",$F2181&lt;&gt;"Clôturé"),"RETARD",""))</f>
        <v/>
      </c>
      <c r="L2181">
        <f>IF(OR($B2181="",NOT(ISNUMBER($D2181))),"",IF(AND($D2181&gt;=$D$2,$D2181&lt;=$H$2,$G2181&lt;&gt;"X",$F2181&lt;&gt;"Réalisé",$F2181&lt;&gt;"Clôturé"),"≤ 7 j",""))</f>
        <v/>
      </c>
      <c r="M2181" s="29">
        <f>IF($B2181="","",IFERROR(INDEX($T$4:$T$3183,MATCH(SMALL($V$4:$V$3183,2178),$V$4:$V$3183,0)),""))</f>
        <v/>
      </c>
      <c r="O2181">
        <f>IF(INDEX(Suivi!$B:$B,2223)="","",INDEX(Suivi!$B:$B,2223))</f>
        <v/>
      </c>
      <c r="P2181">
        <f>IF($O2181="","",IF(INDEX(Suivi!$D:$D,2223)="",INDEX(Suivi!$C:$C,2223),INDEX(Suivi!$D:$D,2223)))</f>
        <v/>
      </c>
      <c r="Q2181">
        <f>IF($O2181="","",INDEX(Suivi!$E:$E,2223))</f>
        <v/>
      </c>
      <c r="R2181">
        <f>IF($O2181="","",INDEX(Suivi!$F:$F,2223))</f>
        <v/>
      </c>
      <c r="S2181">
        <f>IF($O2181="","",INDEX(Suivi!$G:$G,2223))</f>
        <v/>
      </c>
      <c r="T2181">
        <f>IF($O2181="","",IF(INDEX(Dossiers!$F$4:$F$63,42)="","",INDEX(Dossiers!$F$4:$F$63,42)))</f>
        <v/>
      </c>
      <c r="U2181">
        <f>IF($O2181="","",IF(INDEX(Dossiers!$G$4:$G$63,42)="","",INDEX(Dossiers!$G$4:$G$63,42)))</f>
        <v/>
      </c>
      <c r="V2181">
        <f>IF(OR($O2181="",NOT(ISNUMBER($Q2181))),"",$Q2181*1000000+2181)</f>
        <v/>
      </c>
      <c r="W2181" s="29">
        <f>IF($B2181="","",IFERROR(INDEX($U$4:$U$3183,MATCH(SMALL($V$4:$V$3183,2178),$V$4:$V$3183,0)),""))</f>
        <v/>
      </c>
    </row>
    <row r="2182">
      <c r="A2182">
        <f>IFERROR(INDEX($N$4:$N$3183,MATCH(SMALL($V$4:$V$3183,2179),$V$4:$V$3183,0)),"")</f>
        <v/>
      </c>
      <c r="B2182">
        <f>IFERROR(INDEX($O$4:$O$3183,MATCH(SMALL($V$4:$V$3183,2179),$V$4:$V$3183,0)),"")</f>
        <v/>
      </c>
      <c r="C2182">
        <f>IFERROR(INDEX($P$4:$P$3183,MATCH(SMALL($V$4:$V$3183,2179),$V$4:$V$3183,0)),"")</f>
        <v/>
      </c>
      <c r="D2182" s="29">
        <f>IFERROR(INDEX($Q$4:$Q$3183,MATCH(SMALL($V$4:$V$3183,2179),$V$4:$V$3183,0)),"")</f>
        <v/>
      </c>
      <c r="E2182" s="29">
        <f>IFERROR(INDEX($R$4:$R$3183,MATCH(SMALL($V$4:$V$3183,2179),$V$4:$V$3183,0)),"")</f>
        <v/>
      </c>
      <c r="F2182">
        <f>IFERROR(INDEX($S$4:$S$3183,MATCH(SMALL($V$4:$V$3183,2179),$V$4:$V$3183,0)),"")</f>
        <v/>
      </c>
      <c r="I2182" s="29">
        <f>IF($B2182="","",IFERROR(INDEX($U$4:$U$3183,MATCH(SMALL($V$4:$V$3183,2179),$V$4:$V$3183,0)),""))</f>
        <v/>
      </c>
      <c r="J2182">
        <f>IF($B2182="","",IF($D2182&gt;$F$2,"À venir",IF($E2182&lt;$D$2,"Passé","Dans la période")))</f>
        <v/>
      </c>
      <c r="K2182">
        <f>IF(OR($B2182="",NOT(ISNUMBER($D2182))),"",IF(AND($E2182&lt;$D$2,$G2182&lt;&gt;"X",$F2182&lt;&gt;"Réalisé",$F2182&lt;&gt;"Clôturé"),"RETARD",""))</f>
        <v/>
      </c>
      <c r="L2182">
        <f>IF(OR($B2182="",NOT(ISNUMBER($D2182))),"",IF(AND($D2182&gt;=$D$2,$D2182&lt;=$H$2,$G2182&lt;&gt;"X",$F2182&lt;&gt;"Réalisé",$F2182&lt;&gt;"Clôturé"),"≤ 7 j",""))</f>
        <v/>
      </c>
      <c r="M2182" s="29">
        <f>IF($B2182="","",IFERROR(INDEX($T$4:$T$3183,MATCH(SMALL($V$4:$V$3183,2179),$V$4:$V$3183,0)),""))</f>
        <v/>
      </c>
      <c r="O2182">
        <f>IF(INDEX(Suivi!$B:$B,2224)="","",INDEX(Suivi!$B:$B,2224))</f>
        <v/>
      </c>
      <c r="P2182">
        <f>IF($O2182="","",IF(INDEX(Suivi!$D:$D,2224)="",INDEX(Suivi!$C:$C,2224),INDEX(Suivi!$D:$D,2224)))</f>
        <v/>
      </c>
      <c r="Q2182">
        <f>IF($O2182="","",INDEX(Suivi!$E:$E,2224))</f>
        <v/>
      </c>
      <c r="R2182">
        <f>IF($O2182="","",INDEX(Suivi!$F:$F,2224))</f>
        <v/>
      </c>
      <c r="S2182">
        <f>IF($O2182="","",INDEX(Suivi!$G:$G,2224))</f>
        <v/>
      </c>
      <c r="T2182">
        <f>IF($O2182="","",IF(INDEX(Dossiers!$F$4:$F$63,42)="","",INDEX(Dossiers!$F$4:$F$63,42)))</f>
        <v/>
      </c>
      <c r="U2182">
        <f>IF($O2182="","",IF(INDEX(Dossiers!$G$4:$G$63,42)="","",INDEX(Dossiers!$G$4:$G$63,42)))</f>
        <v/>
      </c>
      <c r="V2182">
        <f>IF(OR($O2182="",NOT(ISNUMBER($Q2182))),"",$Q2182*1000000+2182)</f>
        <v/>
      </c>
      <c r="W2182" s="29">
        <f>IF($B2182="","",IFERROR(INDEX($U$4:$U$3183,MATCH(SMALL($V$4:$V$3183,2179),$V$4:$V$3183,0)),""))</f>
        <v/>
      </c>
    </row>
    <row r="2183">
      <c r="A2183">
        <f>IFERROR(INDEX($N$4:$N$3183,MATCH(SMALL($V$4:$V$3183,2180),$V$4:$V$3183,0)),"")</f>
        <v/>
      </c>
      <c r="B2183">
        <f>IFERROR(INDEX($O$4:$O$3183,MATCH(SMALL($V$4:$V$3183,2180),$V$4:$V$3183,0)),"")</f>
        <v/>
      </c>
      <c r="C2183">
        <f>IFERROR(INDEX($P$4:$P$3183,MATCH(SMALL($V$4:$V$3183,2180),$V$4:$V$3183,0)),"")</f>
        <v/>
      </c>
      <c r="D2183" s="29">
        <f>IFERROR(INDEX($Q$4:$Q$3183,MATCH(SMALL($V$4:$V$3183,2180),$V$4:$V$3183,0)),"")</f>
        <v/>
      </c>
      <c r="E2183" s="29">
        <f>IFERROR(INDEX($R$4:$R$3183,MATCH(SMALL($V$4:$V$3183,2180),$V$4:$V$3183,0)),"")</f>
        <v/>
      </c>
      <c r="F2183">
        <f>IFERROR(INDEX($S$4:$S$3183,MATCH(SMALL($V$4:$V$3183,2180),$V$4:$V$3183,0)),"")</f>
        <v/>
      </c>
      <c r="I2183" s="29">
        <f>IF($B2183="","",IFERROR(INDEX($U$4:$U$3183,MATCH(SMALL($V$4:$V$3183,2180),$V$4:$V$3183,0)),""))</f>
        <v/>
      </c>
      <c r="J2183">
        <f>IF($B2183="","",IF($D2183&gt;$F$2,"À venir",IF($E2183&lt;$D$2,"Passé","Dans la période")))</f>
        <v/>
      </c>
      <c r="K2183">
        <f>IF(OR($B2183="",NOT(ISNUMBER($D2183))),"",IF(AND($E2183&lt;$D$2,$G2183&lt;&gt;"X",$F2183&lt;&gt;"Réalisé",$F2183&lt;&gt;"Clôturé"),"RETARD",""))</f>
        <v/>
      </c>
      <c r="L2183">
        <f>IF(OR($B2183="",NOT(ISNUMBER($D2183))),"",IF(AND($D2183&gt;=$D$2,$D2183&lt;=$H$2,$G2183&lt;&gt;"X",$F2183&lt;&gt;"Réalisé",$F2183&lt;&gt;"Clôturé"),"≤ 7 j",""))</f>
        <v/>
      </c>
      <c r="M2183" s="29">
        <f>IF($B2183="","",IFERROR(INDEX($T$4:$T$3183,MATCH(SMALL($V$4:$V$3183,2180),$V$4:$V$3183,0)),""))</f>
        <v/>
      </c>
      <c r="O2183">
        <f>IF(INDEX(Suivi!$B:$B,2225)="","",INDEX(Suivi!$B:$B,2225))</f>
        <v/>
      </c>
      <c r="P2183">
        <f>IF($O2183="","",IF(INDEX(Suivi!$D:$D,2225)="",INDEX(Suivi!$C:$C,2225),INDEX(Suivi!$D:$D,2225)))</f>
        <v/>
      </c>
      <c r="Q2183">
        <f>IF($O2183="","",INDEX(Suivi!$E:$E,2225))</f>
        <v/>
      </c>
      <c r="R2183">
        <f>IF($O2183="","",INDEX(Suivi!$F:$F,2225))</f>
        <v/>
      </c>
      <c r="S2183">
        <f>IF($O2183="","",INDEX(Suivi!$G:$G,2225))</f>
        <v/>
      </c>
      <c r="T2183">
        <f>IF($O2183="","",IF(INDEX(Dossiers!$F$4:$F$63,42)="","",INDEX(Dossiers!$F$4:$F$63,42)))</f>
        <v/>
      </c>
      <c r="U2183">
        <f>IF($O2183="","",IF(INDEX(Dossiers!$G$4:$G$63,42)="","",INDEX(Dossiers!$G$4:$G$63,42)))</f>
        <v/>
      </c>
      <c r="V2183">
        <f>IF(OR($O2183="",NOT(ISNUMBER($Q2183))),"",$Q2183*1000000+2183)</f>
        <v/>
      </c>
      <c r="W2183" s="29">
        <f>IF($B2183="","",IFERROR(INDEX($U$4:$U$3183,MATCH(SMALL($V$4:$V$3183,2180),$V$4:$V$3183,0)),""))</f>
        <v/>
      </c>
    </row>
    <row r="2184">
      <c r="A2184">
        <f>IFERROR(INDEX($N$4:$N$3183,MATCH(SMALL($V$4:$V$3183,2181),$V$4:$V$3183,0)),"")</f>
        <v/>
      </c>
      <c r="B2184">
        <f>IFERROR(INDEX($O$4:$O$3183,MATCH(SMALL($V$4:$V$3183,2181),$V$4:$V$3183,0)),"")</f>
        <v/>
      </c>
      <c r="C2184">
        <f>IFERROR(INDEX($P$4:$P$3183,MATCH(SMALL($V$4:$V$3183,2181),$V$4:$V$3183,0)),"")</f>
        <v/>
      </c>
      <c r="D2184" s="29">
        <f>IFERROR(INDEX($Q$4:$Q$3183,MATCH(SMALL($V$4:$V$3183,2181),$V$4:$V$3183,0)),"")</f>
        <v/>
      </c>
      <c r="E2184" s="29">
        <f>IFERROR(INDEX($R$4:$R$3183,MATCH(SMALL($V$4:$V$3183,2181),$V$4:$V$3183,0)),"")</f>
        <v/>
      </c>
      <c r="F2184">
        <f>IFERROR(INDEX($S$4:$S$3183,MATCH(SMALL($V$4:$V$3183,2181),$V$4:$V$3183,0)),"")</f>
        <v/>
      </c>
      <c r="I2184" s="29">
        <f>IF($B2184="","",IFERROR(INDEX($U$4:$U$3183,MATCH(SMALL($V$4:$V$3183,2181),$V$4:$V$3183,0)),""))</f>
        <v/>
      </c>
      <c r="J2184">
        <f>IF($B2184="","",IF($D2184&gt;$F$2,"À venir",IF($E2184&lt;$D$2,"Passé","Dans la période")))</f>
        <v/>
      </c>
      <c r="K2184">
        <f>IF(OR($B2184="",NOT(ISNUMBER($D2184))),"",IF(AND($E2184&lt;$D$2,$G2184&lt;&gt;"X",$F2184&lt;&gt;"Réalisé",$F2184&lt;&gt;"Clôturé"),"RETARD",""))</f>
        <v/>
      </c>
      <c r="L2184">
        <f>IF(OR($B2184="",NOT(ISNUMBER($D2184))),"",IF(AND($D2184&gt;=$D$2,$D2184&lt;=$H$2,$G2184&lt;&gt;"X",$F2184&lt;&gt;"Réalisé",$F2184&lt;&gt;"Clôturé"),"≤ 7 j",""))</f>
        <v/>
      </c>
      <c r="M2184" s="29">
        <f>IF($B2184="","",IFERROR(INDEX($T$4:$T$3183,MATCH(SMALL($V$4:$V$3183,2181),$V$4:$V$3183,0)),""))</f>
        <v/>
      </c>
      <c r="O2184">
        <f>IF(INDEX(Suivi!$B:$B,2226)="","",INDEX(Suivi!$B:$B,2226))</f>
        <v/>
      </c>
      <c r="P2184">
        <f>IF($O2184="","",IF(INDEX(Suivi!$D:$D,2226)="",INDEX(Suivi!$C:$C,2226),INDEX(Suivi!$D:$D,2226)))</f>
        <v/>
      </c>
      <c r="Q2184">
        <f>IF($O2184="","",INDEX(Suivi!$E:$E,2226))</f>
        <v/>
      </c>
      <c r="R2184">
        <f>IF($O2184="","",INDEX(Suivi!$F:$F,2226))</f>
        <v/>
      </c>
      <c r="S2184">
        <f>IF($O2184="","",INDEX(Suivi!$G:$G,2226))</f>
        <v/>
      </c>
      <c r="T2184">
        <f>IF($O2184="","",IF(INDEX(Dossiers!$F$4:$F$63,42)="","",INDEX(Dossiers!$F$4:$F$63,42)))</f>
        <v/>
      </c>
      <c r="U2184">
        <f>IF($O2184="","",IF(INDEX(Dossiers!$G$4:$G$63,42)="","",INDEX(Dossiers!$G$4:$G$63,42)))</f>
        <v/>
      </c>
      <c r="V2184">
        <f>IF(OR($O2184="",NOT(ISNUMBER($Q2184))),"",$Q2184*1000000+2184)</f>
        <v/>
      </c>
      <c r="W2184" s="29">
        <f>IF($B2184="","",IFERROR(INDEX($U$4:$U$3183,MATCH(SMALL($V$4:$V$3183,2181),$V$4:$V$3183,0)),""))</f>
        <v/>
      </c>
    </row>
    <row r="2185">
      <c r="A2185">
        <f>IFERROR(INDEX($N$4:$N$3183,MATCH(SMALL($V$4:$V$3183,2182),$V$4:$V$3183,0)),"")</f>
        <v/>
      </c>
      <c r="B2185">
        <f>IFERROR(INDEX($O$4:$O$3183,MATCH(SMALL($V$4:$V$3183,2182),$V$4:$V$3183,0)),"")</f>
        <v/>
      </c>
      <c r="C2185">
        <f>IFERROR(INDEX($P$4:$P$3183,MATCH(SMALL($V$4:$V$3183,2182),$V$4:$V$3183,0)),"")</f>
        <v/>
      </c>
      <c r="D2185" s="29">
        <f>IFERROR(INDEX($Q$4:$Q$3183,MATCH(SMALL($V$4:$V$3183,2182),$V$4:$V$3183,0)),"")</f>
        <v/>
      </c>
      <c r="E2185" s="29">
        <f>IFERROR(INDEX($R$4:$R$3183,MATCH(SMALL($V$4:$V$3183,2182),$V$4:$V$3183,0)),"")</f>
        <v/>
      </c>
      <c r="F2185">
        <f>IFERROR(INDEX($S$4:$S$3183,MATCH(SMALL($V$4:$V$3183,2182),$V$4:$V$3183,0)),"")</f>
        <v/>
      </c>
      <c r="I2185" s="29">
        <f>IF($B2185="","",IFERROR(INDEX($U$4:$U$3183,MATCH(SMALL($V$4:$V$3183,2182),$V$4:$V$3183,0)),""))</f>
        <v/>
      </c>
      <c r="J2185">
        <f>IF($B2185="","",IF($D2185&gt;$F$2,"À venir",IF($E2185&lt;$D$2,"Passé","Dans la période")))</f>
        <v/>
      </c>
      <c r="K2185">
        <f>IF(OR($B2185="",NOT(ISNUMBER($D2185))),"",IF(AND($E2185&lt;$D$2,$G2185&lt;&gt;"X",$F2185&lt;&gt;"Réalisé",$F2185&lt;&gt;"Clôturé"),"RETARD",""))</f>
        <v/>
      </c>
      <c r="L2185">
        <f>IF(OR($B2185="",NOT(ISNUMBER($D2185))),"",IF(AND($D2185&gt;=$D$2,$D2185&lt;=$H$2,$G2185&lt;&gt;"X",$F2185&lt;&gt;"Réalisé",$F2185&lt;&gt;"Clôturé"),"≤ 7 j",""))</f>
        <v/>
      </c>
      <c r="M2185" s="29">
        <f>IF($B2185="","",IFERROR(INDEX($T$4:$T$3183,MATCH(SMALL($V$4:$V$3183,2182),$V$4:$V$3183,0)),""))</f>
        <v/>
      </c>
      <c r="O2185">
        <f>IF(INDEX(Suivi!$B:$B,2227)="","",INDEX(Suivi!$B:$B,2227))</f>
        <v/>
      </c>
      <c r="P2185">
        <f>IF($O2185="","",IF(INDEX(Suivi!$D:$D,2227)="",INDEX(Suivi!$C:$C,2227),INDEX(Suivi!$D:$D,2227)))</f>
        <v/>
      </c>
      <c r="Q2185">
        <f>IF($O2185="","",INDEX(Suivi!$E:$E,2227))</f>
        <v/>
      </c>
      <c r="R2185">
        <f>IF($O2185="","",INDEX(Suivi!$F:$F,2227))</f>
        <v/>
      </c>
      <c r="S2185">
        <f>IF($O2185="","",INDEX(Suivi!$G:$G,2227))</f>
        <v/>
      </c>
      <c r="T2185">
        <f>IF($O2185="","",IF(INDEX(Dossiers!$F$4:$F$63,42)="","",INDEX(Dossiers!$F$4:$F$63,42)))</f>
        <v/>
      </c>
      <c r="U2185">
        <f>IF($O2185="","",IF(INDEX(Dossiers!$G$4:$G$63,42)="","",INDEX(Dossiers!$G$4:$G$63,42)))</f>
        <v/>
      </c>
      <c r="V2185">
        <f>IF(OR($O2185="",NOT(ISNUMBER($Q2185))),"",$Q2185*1000000+2185)</f>
        <v/>
      </c>
      <c r="W2185" s="29">
        <f>IF($B2185="","",IFERROR(INDEX($U$4:$U$3183,MATCH(SMALL($V$4:$V$3183,2182),$V$4:$V$3183,0)),""))</f>
        <v/>
      </c>
    </row>
    <row r="2186">
      <c r="A2186">
        <f>IFERROR(INDEX($N$4:$N$3183,MATCH(SMALL($V$4:$V$3183,2183),$V$4:$V$3183,0)),"")</f>
        <v/>
      </c>
      <c r="B2186">
        <f>IFERROR(INDEX($O$4:$O$3183,MATCH(SMALL($V$4:$V$3183,2183),$V$4:$V$3183,0)),"")</f>
        <v/>
      </c>
      <c r="C2186">
        <f>IFERROR(INDEX($P$4:$P$3183,MATCH(SMALL($V$4:$V$3183,2183),$V$4:$V$3183,0)),"")</f>
        <v/>
      </c>
      <c r="D2186" s="29">
        <f>IFERROR(INDEX($Q$4:$Q$3183,MATCH(SMALL($V$4:$V$3183,2183),$V$4:$V$3183,0)),"")</f>
        <v/>
      </c>
      <c r="E2186" s="29">
        <f>IFERROR(INDEX($R$4:$R$3183,MATCH(SMALL($V$4:$V$3183,2183),$V$4:$V$3183,0)),"")</f>
        <v/>
      </c>
      <c r="F2186">
        <f>IFERROR(INDEX($S$4:$S$3183,MATCH(SMALL($V$4:$V$3183,2183),$V$4:$V$3183,0)),"")</f>
        <v/>
      </c>
      <c r="I2186" s="29">
        <f>IF($B2186="","",IFERROR(INDEX($U$4:$U$3183,MATCH(SMALL($V$4:$V$3183,2183),$V$4:$V$3183,0)),""))</f>
        <v/>
      </c>
      <c r="J2186">
        <f>IF($B2186="","",IF($D2186&gt;$F$2,"À venir",IF($E2186&lt;$D$2,"Passé","Dans la période")))</f>
        <v/>
      </c>
      <c r="K2186">
        <f>IF(OR($B2186="",NOT(ISNUMBER($D2186))),"",IF(AND($E2186&lt;$D$2,$G2186&lt;&gt;"X",$F2186&lt;&gt;"Réalisé",$F2186&lt;&gt;"Clôturé"),"RETARD",""))</f>
        <v/>
      </c>
      <c r="L2186">
        <f>IF(OR($B2186="",NOT(ISNUMBER($D2186))),"",IF(AND($D2186&gt;=$D$2,$D2186&lt;=$H$2,$G2186&lt;&gt;"X",$F2186&lt;&gt;"Réalisé",$F2186&lt;&gt;"Clôturé"),"≤ 7 j",""))</f>
        <v/>
      </c>
      <c r="M2186" s="29">
        <f>IF($B2186="","",IFERROR(INDEX($T$4:$T$3183,MATCH(SMALL($V$4:$V$3183,2183),$V$4:$V$3183,0)),""))</f>
        <v/>
      </c>
      <c r="O2186">
        <f>IF(INDEX(Suivi!$B:$B,2228)="","",INDEX(Suivi!$B:$B,2228))</f>
        <v/>
      </c>
      <c r="P2186">
        <f>IF($O2186="","",IF(INDEX(Suivi!$D:$D,2228)="",INDEX(Suivi!$C:$C,2228),INDEX(Suivi!$D:$D,2228)))</f>
        <v/>
      </c>
      <c r="Q2186">
        <f>IF($O2186="","",INDEX(Suivi!$E:$E,2228))</f>
        <v/>
      </c>
      <c r="R2186">
        <f>IF($O2186="","",INDEX(Suivi!$F:$F,2228))</f>
        <v/>
      </c>
      <c r="S2186">
        <f>IF($O2186="","",INDEX(Suivi!$G:$G,2228))</f>
        <v/>
      </c>
      <c r="T2186">
        <f>IF($O2186="","",IF(INDEX(Dossiers!$F$4:$F$63,42)="","",INDEX(Dossiers!$F$4:$F$63,42)))</f>
        <v/>
      </c>
      <c r="U2186">
        <f>IF($O2186="","",IF(INDEX(Dossiers!$G$4:$G$63,42)="","",INDEX(Dossiers!$G$4:$G$63,42)))</f>
        <v/>
      </c>
      <c r="V2186">
        <f>IF(OR($O2186="",NOT(ISNUMBER($Q2186))),"",$Q2186*1000000+2186)</f>
        <v/>
      </c>
      <c r="W2186" s="29">
        <f>IF($B2186="","",IFERROR(INDEX($U$4:$U$3183,MATCH(SMALL($V$4:$V$3183,2183),$V$4:$V$3183,0)),""))</f>
        <v/>
      </c>
    </row>
    <row r="2187">
      <c r="A2187">
        <f>IFERROR(INDEX($N$4:$N$3183,MATCH(SMALL($V$4:$V$3183,2184),$V$4:$V$3183,0)),"")</f>
        <v/>
      </c>
      <c r="B2187">
        <f>IFERROR(INDEX($O$4:$O$3183,MATCH(SMALL($V$4:$V$3183,2184),$V$4:$V$3183,0)),"")</f>
        <v/>
      </c>
      <c r="C2187">
        <f>IFERROR(INDEX($P$4:$P$3183,MATCH(SMALL($V$4:$V$3183,2184),$V$4:$V$3183,0)),"")</f>
        <v/>
      </c>
      <c r="D2187" s="29">
        <f>IFERROR(INDEX($Q$4:$Q$3183,MATCH(SMALL($V$4:$V$3183,2184),$V$4:$V$3183,0)),"")</f>
        <v/>
      </c>
      <c r="E2187" s="29">
        <f>IFERROR(INDEX($R$4:$R$3183,MATCH(SMALL($V$4:$V$3183,2184),$V$4:$V$3183,0)),"")</f>
        <v/>
      </c>
      <c r="F2187">
        <f>IFERROR(INDEX($S$4:$S$3183,MATCH(SMALL($V$4:$V$3183,2184),$V$4:$V$3183,0)),"")</f>
        <v/>
      </c>
      <c r="I2187" s="29">
        <f>IF($B2187="","",IFERROR(INDEX($U$4:$U$3183,MATCH(SMALL($V$4:$V$3183,2184),$V$4:$V$3183,0)),""))</f>
        <v/>
      </c>
      <c r="J2187">
        <f>IF($B2187="","",IF($D2187&gt;$F$2,"À venir",IF($E2187&lt;$D$2,"Passé","Dans la période")))</f>
        <v/>
      </c>
      <c r="K2187">
        <f>IF(OR($B2187="",NOT(ISNUMBER($D2187))),"",IF(AND($E2187&lt;$D$2,$G2187&lt;&gt;"X",$F2187&lt;&gt;"Réalisé",$F2187&lt;&gt;"Clôturé"),"RETARD",""))</f>
        <v/>
      </c>
      <c r="L2187">
        <f>IF(OR($B2187="",NOT(ISNUMBER($D2187))),"",IF(AND($D2187&gt;=$D$2,$D2187&lt;=$H$2,$G2187&lt;&gt;"X",$F2187&lt;&gt;"Réalisé",$F2187&lt;&gt;"Clôturé"),"≤ 7 j",""))</f>
        <v/>
      </c>
      <c r="M2187" s="29">
        <f>IF($B2187="","",IFERROR(INDEX($T$4:$T$3183,MATCH(SMALL($V$4:$V$3183,2184),$V$4:$V$3183,0)),""))</f>
        <v/>
      </c>
      <c r="O2187">
        <f>IF(INDEX(Suivi!$B:$B,2229)="","",INDEX(Suivi!$B:$B,2229))</f>
        <v/>
      </c>
      <c r="P2187">
        <f>IF($O2187="","",IF(INDEX(Suivi!$D:$D,2229)="",INDEX(Suivi!$C:$C,2229),INDEX(Suivi!$D:$D,2229)))</f>
        <v/>
      </c>
      <c r="Q2187">
        <f>IF($O2187="","",INDEX(Suivi!$E:$E,2229))</f>
        <v/>
      </c>
      <c r="R2187">
        <f>IF($O2187="","",INDEX(Suivi!$F:$F,2229))</f>
        <v/>
      </c>
      <c r="S2187">
        <f>IF($O2187="","",INDEX(Suivi!$G:$G,2229))</f>
        <v/>
      </c>
      <c r="T2187">
        <f>IF($O2187="","",IF(INDEX(Dossiers!$F$4:$F$63,42)="","",INDEX(Dossiers!$F$4:$F$63,42)))</f>
        <v/>
      </c>
      <c r="U2187">
        <f>IF($O2187="","",IF(INDEX(Dossiers!$G$4:$G$63,42)="","",INDEX(Dossiers!$G$4:$G$63,42)))</f>
        <v/>
      </c>
      <c r="V2187">
        <f>IF(OR($O2187="",NOT(ISNUMBER($Q2187))),"",$Q2187*1000000+2187)</f>
        <v/>
      </c>
      <c r="W2187" s="29">
        <f>IF($B2187="","",IFERROR(INDEX($U$4:$U$3183,MATCH(SMALL($V$4:$V$3183,2184),$V$4:$V$3183,0)),""))</f>
        <v/>
      </c>
    </row>
    <row r="2188">
      <c r="A2188">
        <f>IFERROR(INDEX($N$4:$N$3183,MATCH(SMALL($V$4:$V$3183,2185),$V$4:$V$3183,0)),"")</f>
        <v/>
      </c>
      <c r="B2188">
        <f>IFERROR(INDEX($O$4:$O$3183,MATCH(SMALL($V$4:$V$3183,2185),$V$4:$V$3183,0)),"")</f>
        <v/>
      </c>
      <c r="C2188">
        <f>IFERROR(INDEX($P$4:$P$3183,MATCH(SMALL($V$4:$V$3183,2185),$V$4:$V$3183,0)),"")</f>
        <v/>
      </c>
      <c r="D2188" s="29">
        <f>IFERROR(INDEX($Q$4:$Q$3183,MATCH(SMALL($V$4:$V$3183,2185),$V$4:$V$3183,0)),"")</f>
        <v/>
      </c>
      <c r="E2188" s="29">
        <f>IFERROR(INDEX($R$4:$R$3183,MATCH(SMALL($V$4:$V$3183,2185),$V$4:$V$3183,0)),"")</f>
        <v/>
      </c>
      <c r="F2188">
        <f>IFERROR(INDEX($S$4:$S$3183,MATCH(SMALL($V$4:$V$3183,2185),$V$4:$V$3183,0)),"")</f>
        <v/>
      </c>
      <c r="I2188" s="29">
        <f>IF($B2188="","",IFERROR(INDEX($U$4:$U$3183,MATCH(SMALL($V$4:$V$3183,2185),$V$4:$V$3183,0)),""))</f>
        <v/>
      </c>
      <c r="J2188">
        <f>IF($B2188="","",IF($D2188&gt;$F$2,"À venir",IF($E2188&lt;$D$2,"Passé","Dans la période")))</f>
        <v/>
      </c>
      <c r="K2188">
        <f>IF(OR($B2188="",NOT(ISNUMBER($D2188))),"",IF(AND($E2188&lt;$D$2,$G2188&lt;&gt;"X",$F2188&lt;&gt;"Réalisé",$F2188&lt;&gt;"Clôturé"),"RETARD",""))</f>
        <v/>
      </c>
      <c r="L2188">
        <f>IF(OR($B2188="",NOT(ISNUMBER($D2188))),"",IF(AND($D2188&gt;=$D$2,$D2188&lt;=$H$2,$G2188&lt;&gt;"X",$F2188&lt;&gt;"Réalisé",$F2188&lt;&gt;"Clôturé"),"≤ 7 j",""))</f>
        <v/>
      </c>
      <c r="M2188" s="29">
        <f>IF($B2188="","",IFERROR(INDEX($T$4:$T$3183,MATCH(SMALL($V$4:$V$3183,2185),$V$4:$V$3183,0)),""))</f>
        <v/>
      </c>
      <c r="O2188">
        <f>IF(INDEX(Suivi!$B:$B,2230)="","",INDEX(Suivi!$B:$B,2230))</f>
        <v/>
      </c>
      <c r="P2188">
        <f>IF($O2188="","",IF(INDEX(Suivi!$D:$D,2230)="",INDEX(Suivi!$C:$C,2230),INDEX(Suivi!$D:$D,2230)))</f>
        <v/>
      </c>
      <c r="Q2188">
        <f>IF($O2188="","",INDEX(Suivi!$E:$E,2230))</f>
        <v/>
      </c>
      <c r="R2188">
        <f>IF($O2188="","",INDEX(Suivi!$F:$F,2230))</f>
        <v/>
      </c>
      <c r="S2188">
        <f>IF($O2188="","",INDEX(Suivi!$G:$G,2230))</f>
        <v/>
      </c>
      <c r="T2188">
        <f>IF($O2188="","",IF(INDEX(Dossiers!$F$4:$F$63,42)="","",INDEX(Dossiers!$F$4:$F$63,42)))</f>
        <v/>
      </c>
      <c r="U2188">
        <f>IF($O2188="","",IF(INDEX(Dossiers!$G$4:$G$63,42)="","",INDEX(Dossiers!$G$4:$G$63,42)))</f>
        <v/>
      </c>
      <c r="V2188">
        <f>IF(OR($O2188="",NOT(ISNUMBER($Q2188))),"",$Q2188*1000000+2188)</f>
        <v/>
      </c>
      <c r="W2188" s="29">
        <f>IF($B2188="","",IFERROR(INDEX($U$4:$U$3183,MATCH(SMALL($V$4:$V$3183,2185),$V$4:$V$3183,0)),""))</f>
        <v/>
      </c>
    </row>
    <row r="2189">
      <c r="A2189">
        <f>IFERROR(INDEX($N$4:$N$3183,MATCH(SMALL($V$4:$V$3183,2186),$V$4:$V$3183,0)),"")</f>
        <v/>
      </c>
      <c r="B2189">
        <f>IFERROR(INDEX($O$4:$O$3183,MATCH(SMALL($V$4:$V$3183,2186),$V$4:$V$3183,0)),"")</f>
        <v/>
      </c>
      <c r="C2189">
        <f>IFERROR(INDEX($P$4:$P$3183,MATCH(SMALL($V$4:$V$3183,2186),$V$4:$V$3183,0)),"")</f>
        <v/>
      </c>
      <c r="D2189" s="29">
        <f>IFERROR(INDEX($Q$4:$Q$3183,MATCH(SMALL($V$4:$V$3183,2186),$V$4:$V$3183,0)),"")</f>
        <v/>
      </c>
      <c r="E2189" s="29">
        <f>IFERROR(INDEX($R$4:$R$3183,MATCH(SMALL($V$4:$V$3183,2186),$V$4:$V$3183,0)),"")</f>
        <v/>
      </c>
      <c r="F2189">
        <f>IFERROR(INDEX($S$4:$S$3183,MATCH(SMALL($V$4:$V$3183,2186),$V$4:$V$3183,0)),"")</f>
        <v/>
      </c>
      <c r="I2189" s="29">
        <f>IF($B2189="","",IFERROR(INDEX($U$4:$U$3183,MATCH(SMALL($V$4:$V$3183,2186),$V$4:$V$3183,0)),""))</f>
        <v/>
      </c>
      <c r="J2189">
        <f>IF($B2189="","",IF($D2189&gt;$F$2,"À venir",IF($E2189&lt;$D$2,"Passé","Dans la période")))</f>
        <v/>
      </c>
      <c r="K2189">
        <f>IF(OR($B2189="",NOT(ISNUMBER($D2189))),"",IF(AND($E2189&lt;$D$2,$G2189&lt;&gt;"X",$F2189&lt;&gt;"Réalisé",$F2189&lt;&gt;"Clôturé"),"RETARD",""))</f>
        <v/>
      </c>
      <c r="L2189">
        <f>IF(OR($B2189="",NOT(ISNUMBER($D2189))),"",IF(AND($D2189&gt;=$D$2,$D2189&lt;=$H$2,$G2189&lt;&gt;"X",$F2189&lt;&gt;"Réalisé",$F2189&lt;&gt;"Clôturé"),"≤ 7 j",""))</f>
        <v/>
      </c>
      <c r="M2189" s="29">
        <f>IF($B2189="","",IFERROR(INDEX($T$4:$T$3183,MATCH(SMALL($V$4:$V$3183,2186),$V$4:$V$3183,0)),""))</f>
        <v/>
      </c>
      <c r="O2189">
        <f>IF(INDEX(Suivi!$B:$B,2231)="","",INDEX(Suivi!$B:$B,2231))</f>
        <v/>
      </c>
      <c r="P2189">
        <f>IF($O2189="","",IF(INDEX(Suivi!$D:$D,2231)="",INDEX(Suivi!$C:$C,2231),INDEX(Suivi!$D:$D,2231)))</f>
        <v/>
      </c>
      <c r="Q2189">
        <f>IF($O2189="","",INDEX(Suivi!$E:$E,2231))</f>
        <v/>
      </c>
      <c r="R2189">
        <f>IF($O2189="","",INDEX(Suivi!$F:$F,2231))</f>
        <v/>
      </c>
      <c r="S2189">
        <f>IF($O2189="","",INDEX(Suivi!$G:$G,2231))</f>
        <v/>
      </c>
      <c r="T2189">
        <f>IF($O2189="","",IF(INDEX(Dossiers!$F$4:$F$63,42)="","",INDEX(Dossiers!$F$4:$F$63,42)))</f>
        <v/>
      </c>
      <c r="U2189">
        <f>IF($O2189="","",IF(INDEX(Dossiers!$G$4:$G$63,42)="","",INDEX(Dossiers!$G$4:$G$63,42)))</f>
        <v/>
      </c>
      <c r="V2189">
        <f>IF(OR($O2189="",NOT(ISNUMBER($Q2189))),"",$Q2189*1000000+2189)</f>
        <v/>
      </c>
      <c r="W2189" s="29">
        <f>IF($B2189="","",IFERROR(INDEX($U$4:$U$3183,MATCH(SMALL($V$4:$V$3183,2186),$V$4:$V$3183,0)),""))</f>
        <v/>
      </c>
    </row>
    <row r="2190">
      <c r="A2190">
        <f>IFERROR(INDEX($N$4:$N$3183,MATCH(SMALL($V$4:$V$3183,2187),$V$4:$V$3183,0)),"")</f>
        <v/>
      </c>
      <c r="B2190">
        <f>IFERROR(INDEX($O$4:$O$3183,MATCH(SMALL($V$4:$V$3183,2187),$V$4:$V$3183,0)),"")</f>
        <v/>
      </c>
      <c r="C2190">
        <f>IFERROR(INDEX($P$4:$P$3183,MATCH(SMALL($V$4:$V$3183,2187),$V$4:$V$3183,0)),"")</f>
        <v/>
      </c>
      <c r="D2190" s="29">
        <f>IFERROR(INDEX($Q$4:$Q$3183,MATCH(SMALL($V$4:$V$3183,2187),$V$4:$V$3183,0)),"")</f>
        <v/>
      </c>
      <c r="E2190" s="29">
        <f>IFERROR(INDEX($R$4:$R$3183,MATCH(SMALL($V$4:$V$3183,2187),$V$4:$V$3183,0)),"")</f>
        <v/>
      </c>
      <c r="F2190">
        <f>IFERROR(INDEX($S$4:$S$3183,MATCH(SMALL($V$4:$V$3183,2187),$V$4:$V$3183,0)),"")</f>
        <v/>
      </c>
      <c r="I2190" s="29">
        <f>IF($B2190="","",IFERROR(INDEX($U$4:$U$3183,MATCH(SMALL($V$4:$V$3183,2187),$V$4:$V$3183,0)),""))</f>
        <v/>
      </c>
      <c r="J2190">
        <f>IF($B2190="","",IF($D2190&gt;$F$2,"À venir",IF($E2190&lt;$D$2,"Passé","Dans la période")))</f>
        <v/>
      </c>
      <c r="K2190">
        <f>IF(OR($B2190="",NOT(ISNUMBER($D2190))),"",IF(AND($E2190&lt;$D$2,$G2190&lt;&gt;"X",$F2190&lt;&gt;"Réalisé",$F2190&lt;&gt;"Clôturé"),"RETARD",""))</f>
        <v/>
      </c>
      <c r="L2190">
        <f>IF(OR($B2190="",NOT(ISNUMBER($D2190))),"",IF(AND($D2190&gt;=$D$2,$D2190&lt;=$H$2,$G2190&lt;&gt;"X",$F2190&lt;&gt;"Réalisé",$F2190&lt;&gt;"Clôturé"),"≤ 7 j",""))</f>
        <v/>
      </c>
      <c r="M2190" s="29">
        <f>IF($B2190="","",IFERROR(INDEX($T$4:$T$3183,MATCH(SMALL($V$4:$V$3183,2187),$V$4:$V$3183,0)),""))</f>
        <v/>
      </c>
      <c r="O2190">
        <f>IF(INDEX(Suivi!$B:$B,2232)="","",INDEX(Suivi!$B:$B,2232))</f>
        <v/>
      </c>
      <c r="P2190">
        <f>IF($O2190="","",IF(INDEX(Suivi!$D:$D,2232)="",INDEX(Suivi!$C:$C,2232),INDEX(Suivi!$D:$D,2232)))</f>
        <v/>
      </c>
      <c r="Q2190">
        <f>IF($O2190="","",INDEX(Suivi!$E:$E,2232))</f>
        <v/>
      </c>
      <c r="R2190">
        <f>IF($O2190="","",INDEX(Suivi!$F:$F,2232))</f>
        <v/>
      </c>
      <c r="S2190">
        <f>IF($O2190="","",INDEX(Suivi!$G:$G,2232))</f>
        <v/>
      </c>
      <c r="T2190">
        <f>IF($O2190="","",IF(INDEX(Dossiers!$F$4:$F$63,42)="","",INDEX(Dossiers!$F$4:$F$63,42)))</f>
        <v/>
      </c>
      <c r="U2190">
        <f>IF($O2190="","",IF(INDEX(Dossiers!$G$4:$G$63,42)="","",INDEX(Dossiers!$G$4:$G$63,42)))</f>
        <v/>
      </c>
      <c r="V2190">
        <f>IF(OR($O2190="",NOT(ISNUMBER($Q2190))),"",$Q2190*1000000+2190)</f>
        <v/>
      </c>
      <c r="W2190" s="29">
        <f>IF($B2190="","",IFERROR(INDEX($U$4:$U$3183,MATCH(SMALL($V$4:$V$3183,2187),$V$4:$V$3183,0)),""))</f>
        <v/>
      </c>
    </row>
    <row r="2191">
      <c r="A2191">
        <f>IFERROR(INDEX($N$4:$N$3183,MATCH(SMALL($V$4:$V$3183,2188),$V$4:$V$3183,0)),"")</f>
        <v/>
      </c>
      <c r="B2191">
        <f>IFERROR(INDEX($O$4:$O$3183,MATCH(SMALL($V$4:$V$3183,2188),$V$4:$V$3183,0)),"")</f>
        <v/>
      </c>
      <c r="C2191">
        <f>IFERROR(INDEX($P$4:$P$3183,MATCH(SMALL($V$4:$V$3183,2188),$V$4:$V$3183,0)),"")</f>
        <v/>
      </c>
      <c r="D2191" s="29">
        <f>IFERROR(INDEX($Q$4:$Q$3183,MATCH(SMALL($V$4:$V$3183,2188),$V$4:$V$3183,0)),"")</f>
        <v/>
      </c>
      <c r="E2191" s="29">
        <f>IFERROR(INDEX($R$4:$R$3183,MATCH(SMALL($V$4:$V$3183,2188),$V$4:$V$3183,0)),"")</f>
        <v/>
      </c>
      <c r="F2191">
        <f>IFERROR(INDEX($S$4:$S$3183,MATCH(SMALL($V$4:$V$3183,2188),$V$4:$V$3183,0)),"")</f>
        <v/>
      </c>
      <c r="I2191" s="29">
        <f>IF($B2191="","",IFERROR(INDEX($U$4:$U$3183,MATCH(SMALL($V$4:$V$3183,2188),$V$4:$V$3183,0)),""))</f>
        <v/>
      </c>
      <c r="J2191">
        <f>IF($B2191="","",IF($D2191&gt;$F$2,"À venir",IF($E2191&lt;$D$2,"Passé","Dans la période")))</f>
        <v/>
      </c>
      <c r="K2191">
        <f>IF(OR($B2191="",NOT(ISNUMBER($D2191))),"",IF(AND($E2191&lt;$D$2,$G2191&lt;&gt;"X",$F2191&lt;&gt;"Réalisé",$F2191&lt;&gt;"Clôturé"),"RETARD",""))</f>
        <v/>
      </c>
      <c r="L2191">
        <f>IF(OR($B2191="",NOT(ISNUMBER($D2191))),"",IF(AND($D2191&gt;=$D$2,$D2191&lt;=$H$2,$G2191&lt;&gt;"X",$F2191&lt;&gt;"Réalisé",$F2191&lt;&gt;"Clôturé"),"≤ 7 j",""))</f>
        <v/>
      </c>
      <c r="M2191" s="29">
        <f>IF($B2191="","",IFERROR(INDEX($T$4:$T$3183,MATCH(SMALL($V$4:$V$3183,2188),$V$4:$V$3183,0)),""))</f>
        <v/>
      </c>
      <c r="O2191">
        <f>IF(INDEX(Suivi!$B:$B,2233)="","",INDEX(Suivi!$B:$B,2233))</f>
        <v/>
      </c>
      <c r="P2191">
        <f>IF($O2191="","",IF(INDEX(Suivi!$D:$D,2233)="",INDEX(Suivi!$C:$C,2233),INDEX(Suivi!$D:$D,2233)))</f>
        <v/>
      </c>
      <c r="Q2191">
        <f>IF($O2191="","",INDEX(Suivi!$E:$E,2233))</f>
        <v/>
      </c>
      <c r="R2191">
        <f>IF($O2191="","",INDEX(Suivi!$F:$F,2233))</f>
        <v/>
      </c>
      <c r="S2191">
        <f>IF($O2191="","",INDEX(Suivi!$G:$G,2233))</f>
        <v/>
      </c>
      <c r="T2191">
        <f>IF($O2191="","",IF(INDEX(Dossiers!$F$4:$F$63,42)="","",INDEX(Dossiers!$F$4:$F$63,42)))</f>
        <v/>
      </c>
      <c r="U2191">
        <f>IF($O2191="","",IF(INDEX(Dossiers!$G$4:$G$63,42)="","",INDEX(Dossiers!$G$4:$G$63,42)))</f>
        <v/>
      </c>
      <c r="V2191">
        <f>IF(OR($O2191="",NOT(ISNUMBER($Q2191))),"",$Q2191*1000000+2191)</f>
        <v/>
      </c>
      <c r="W2191" s="29">
        <f>IF($B2191="","",IFERROR(INDEX($U$4:$U$3183,MATCH(SMALL($V$4:$V$3183,2188),$V$4:$V$3183,0)),""))</f>
        <v/>
      </c>
    </row>
    <row r="2192">
      <c r="A2192">
        <f>IFERROR(INDEX($N$4:$N$3183,MATCH(SMALL($V$4:$V$3183,2189),$V$4:$V$3183,0)),"")</f>
        <v/>
      </c>
      <c r="B2192">
        <f>IFERROR(INDEX($O$4:$O$3183,MATCH(SMALL($V$4:$V$3183,2189),$V$4:$V$3183,0)),"")</f>
        <v/>
      </c>
      <c r="C2192">
        <f>IFERROR(INDEX($P$4:$P$3183,MATCH(SMALL($V$4:$V$3183,2189),$V$4:$V$3183,0)),"")</f>
        <v/>
      </c>
      <c r="D2192" s="29">
        <f>IFERROR(INDEX($Q$4:$Q$3183,MATCH(SMALL($V$4:$V$3183,2189),$V$4:$V$3183,0)),"")</f>
        <v/>
      </c>
      <c r="E2192" s="29">
        <f>IFERROR(INDEX($R$4:$R$3183,MATCH(SMALL($V$4:$V$3183,2189),$V$4:$V$3183,0)),"")</f>
        <v/>
      </c>
      <c r="F2192">
        <f>IFERROR(INDEX($S$4:$S$3183,MATCH(SMALL($V$4:$V$3183,2189),$V$4:$V$3183,0)),"")</f>
        <v/>
      </c>
      <c r="I2192" s="29">
        <f>IF($B2192="","",IFERROR(INDEX($U$4:$U$3183,MATCH(SMALL($V$4:$V$3183,2189),$V$4:$V$3183,0)),""))</f>
        <v/>
      </c>
      <c r="J2192">
        <f>IF($B2192="","",IF($D2192&gt;$F$2,"À venir",IF($E2192&lt;$D$2,"Passé","Dans la période")))</f>
        <v/>
      </c>
      <c r="K2192">
        <f>IF(OR($B2192="",NOT(ISNUMBER($D2192))),"",IF(AND($E2192&lt;$D$2,$G2192&lt;&gt;"X",$F2192&lt;&gt;"Réalisé",$F2192&lt;&gt;"Clôturé"),"RETARD",""))</f>
        <v/>
      </c>
      <c r="L2192">
        <f>IF(OR($B2192="",NOT(ISNUMBER($D2192))),"",IF(AND($D2192&gt;=$D$2,$D2192&lt;=$H$2,$G2192&lt;&gt;"X",$F2192&lt;&gt;"Réalisé",$F2192&lt;&gt;"Clôturé"),"≤ 7 j",""))</f>
        <v/>
      </c>
      <c r="M2192" s="29">
        <f>IF($B2192="","",IFERROR(INDEX($T$4:$T$3183,MATCH(SMALL($V$4:$V$3183,2189),$V$4:$V$3183,0)),""))</f>
        <v/>
      </c>
      <c r="O2192">
        <f>IF(INDEX(Suivi!$B:$B,2234)="","",INDEX(Suivi!$B:$B,2234))</f>
        <v/>
      </c>
      <c r="P2192">
        <f>IF($O2192="","",IF(INDEX(Suivi!$D:$D,2234)="",INDEX(Suivi!$C:$C,2234),INDEX(Suivi!$D:$D,2234)))</f>
        <v/>
      </c>
      <c r="Q2192">
        <f>IF($O2192="","",INDEX(Suivi!$E:$E,2234))</f>
        <v/>
      </c>
      <c r="R2192">
        <f>IF($O2192="","",INDEX(Suivi!$F:$F,2234))</f>
        <v/>
      </c>
      <c r="S2192">
        <f>IF($O2192="","",INDEX(Suivi!$G:$G,2234))</f>
        <v/>
      </c>
      <c r="T2192">
        <f>IF($O2192="","",IF(INDEX(Dossiers!$F$4:$F$63,42)="","",INDEX(Dossiers!$F$4:$F$63,42)))</f>
        <v/>
      </c>
      <c r="U2192">
        <f>IF($O2192="","",IF(INDEX(Dossiers!$G$4:$G$63,42)="","",INDEX(Dossiers!$G$4:$G$63,42)))</f>
        <v/>
      </c>
      <c r="V2192">
        <f>IF(OR($O2192="",NOT(ISNUMBER($Q2192))),"",$Q2192*1000000+2192)</f>
        <v/>
      </c>
      <c r="W2192" s="29">
        <f>IF($B2192="","",IFERROR(INDEX($U$4:$U$3183,MATCH(SMALL($V$4:$V$3183,2189),$V$4:$V$3183,0)),""))</f>
        <v/>
      </c>
    </row>
    <row r="2193">
      <c r="A2193">
        <f>IFERROR(INDEX($N$4:$N$3183,MATCH(SMALL($V$4:$V$3183,2190),$V$4:$V$3183,0)),"")</f>
        <v/>
      </c>
      <c r="B2193">
        <f>IFERROR(INDEX($O$4:$O$3183,MATCH(SMALL($V$4:$V$3183,2190),$V$4:$V$3183,0)),"")</f>
        <v/>
      </c>
      <c r="C2193">
        <f>IFERROR(INDEX($P$4:$P$3183,MATCH(SMALL($V$4:$V$3183,2190),$V$4:$V$3183,0)),"")</f>
        <v/>
      </c>
      <c r="D2193" s="29">
        <f>IFERROR(INDEX($Q$4:$Q$3183,MATCH(SMALL($V$4:$V$3183,2190),$V$4:$V$3183,0)),"")</f>
        <v/>
      </c>
      <c r="E2193" s="29">
        <f>IFERROR(INDEX($R$4:$R$3183,MATCH(SMALL($V$4:$V$3183,2190),$V$4:$V$3183,0)),"")</f>
        <v/>
      </c>
      <c r="F2193">
        <f>IFERROR(INDEX($S$4:$S$3183,MATCH(SMALL($V$4:$V$3183,2190),$V$4:$V$3183,0)),"")</f>
        <v/>
      </c>
      <c r="I2193" s="29">
        <f>IF($B2193="","",IFERROR(INDEX($U$4:$U$3183,MATCH(SMALL($V$4:$V$3183,2190),$V$4:$V$3183,0)),""))</f>
        <v/>
      </c>
      <c r="J2193">
        <f>IF($B2193="","",IF($D2193&gt;$F$2,"À venir",IF($E2193&lt;$D$2,"Passé","Dans la période")))</f>
        <v/>
      </c>
      <c r="K2193">
        <f>IF(OR($B2193="",NOT(ISNUMBER($D2193))),"",IF(AND($E2193&lt;$D$2,$G2193&lt;&gt;"X",$F2193&lt;&gt;"Réalisé",$F2193&lt;&gt;"Clôturé"),"RETARD",""))</f>
        <v/>
      </c>
      <c r="L2193">
        <f>IF(OR($B2193="",NOT(ISNUMBER($D2193))),"",IF(AND($D2193&gt;=$D$2,$D2193&lt;=$H$2,$G2193&lt;&gt;"X",$F2193&lt;&gt;"Réalisé",$F2193&lt;&gt;"Clôturé"),"≤ 7 j",""))</f>
        <v/>
      </c>
      <c r="M2193" s="29">
        <f>IF($B2193="","",IFERROR(INDEX($T$4:$T$3183,MATCH(SMALL($V$4:$V$3183,2190),$V$4:$V$3183,0)),""))</f>
        <v/>
      </c>
      <c r="O2193">
        <f>IF(INDEX(Suivi!$B:$B,2235)="","",INDEX(Suivi!$B:$B,2235))</f>
        <v/>
      </c>
      <c r="P2193">
        <f>IF($O2193="","",IF(INDEX(Suivi!$D:$D,2235)="",INDEX(Suivi!$C:$C,2235),INDEX(Suivi!$D:$D,2235)))</f>
        <v/>
      </c>
      <c r="Q2193">
        <f>IF($O2193="","",INDEX(Suivi!$E:$E,2235))</f>
        <v/>
      </c>
      <c r="R2193">
        <f>IF($O2193="","",INDEX(Suivi!$F:$F,2235))</f>
        <v/>
      </c>
      <c r="S2193">
        <f>IF($O2193="","",INDEX(Suivi!$G:$G,2235))</f>
        <v/>
      </c>
      <c r="T2193">
        <f>IF($O2193="","",IF(INDEX(Dossiers!$F$4:$F$63,42)="","",INDEX(Dossiers!$F$4:$F$63,42)))</f>
        <v/>
      </c>
      <c r="U2193">
        <f>IF($O2193="","",IF(INDEX(Dossiers!$G$4:$G$63,42)="","",INDEX(Dossiers!$G$4:$G$63,42)))</f>
        <v/>
      </c>
      <c r="V2193">
        <f>IF(OR($O2193="",NOT(ISNUMBER($Q2193))),"",$Q2193*1000000+2193)</f>
        <v/>
      </c>
      <c r="W2193" s="29">
        <f>IF($B2193="","",IFERROR(INDEX($U$4:$U$3183,MATCH(SMALL($V$4:$V$3183,2190),$V$4:$V$3183,0)),""))</f>
        <v/>
      </c>
    </row>
    <row r="2194">
      <c r="A2194">
        <f>IFERROR(INDEX($N$4:$N$3183,MATCH(SMALL($V$4:$V$3183,2191),$V$4:$V$3183,0)),"")</f>
        <v/>
      </c>
      <c r="B2194">
        <f>IFERROR(INDEX($O$4:$O$3183,MATCH(SMALL($V$4:$V$3183,2191),$V$4:$V$3183,0)),"")</f>
        <v/>
      </c>
      <c r="C2194">
        <f>IFERROR(INDEX($P$4:$P$3183,MATCH(SMALL($V$4:$V$3183,2191),$V$4:$V$3183,0)),"")</f>
        <v/>
      </c>
      <c r="D2194" s="29">
        <f>IFERROR(INDEX($Q$4:$Q$3183,MATCH(SMALL($V$4:$V$3183,2191),$V$4:$V$3183,0)),"")</f>
        <v/>
      </c>
      <c r="E2194" s="29">
        <f>IFERROR(INDEX($R$4:$R$3183,MATCH(SMALL($V$4:$V$3183,2191),$V$4:$V$3183,0)),"")</f>
        <v/>
      </c>
      <c r="F2194">
        <f>IFERROR(INDEX($S$4:$S$3183,MATCH(SMALL($V$4:$V$3183,2191),$V$4:$V$3183,0)),"")</f>
        <v/>
      </c>
      <c r="I2194" s="29">
        <f>IF($B2194="","",IFERROR(INDEX($U$4:$U$3183,MATCH(SMALL($V$4:$V$3183,2191),$V$4:$V$3183,0)),""))</f>
        <v/>
      </c>
      <c r="J2194">
        <f>IF($B2194="","",IF($D2194&gt;$F$2,"À venir",IF($E2194&lt;$D$2,"Passé","Dans la période")))</f>
        <v/>
      </c>
      <c r="K2194">
        <f>IF(OR($B2194="",NOT(ISNUMBER($D2194))),"",IF(AND($E2194&lt;$D$2,$G2194&lt;&gt;"X",$F2194&lt;&gt;"Réalisé",$F2194&lt;&gt;"Clôturé"),"RETARD",""))</f>
        <v/>
      </c>
      <c r="L2194">
        <f>IF(OR($B2194="",NOT(ISNUMBER($D2194))),"",IF(AND($D2194&gt;=$D$2,$D2194&lt;=$H$2,$G2194&lt;&gt;"X",$F2194&lt;&gt;"Réalisé",$F2194&lt;&gt;"Clôturé"),"≤ 7 j",""))</f>
        <v/>
      </c>
      <c r="M2194" s="29">
        <f>IF($B2194="","",IFERROR(INDEX($T$4:$T$3183,MATCH(SMALL($V$4:$V$3183,2191),$V$4:$V$3183,0)),""))</f>
        <v/>
      </c>
      <c r="O2194">
        <f>IF(INDEX(Suivi!$B:$B,2236)="","",INDEX(Suivi!$B:$B,2236))</f>
        <v/>
      </c>
      <c r="P2194">
        <f>IF($O2194="","",IF(INDEX(Suivi!$D:$D,2236)="",INDEX(Suivi!$C:$C,2236),INDEX(Suivi!$D:$D,2236)))</f>
        <v/>
      </c>
      <c r="Q2194">
        <f>IF($O2194="","",INDEX(Suivi!$E:$E,2236))</f>
        <v/>
      </c>
      <c r="R2194">
        <f>IF($O2194="","",INDEX(Suivi!$F:$F,2236))</f>
        <v/>
      </c>
      <c r="S2194">
        <f>IF($O2194="","",INDEX(Suivi!$G:$G,2236))</f>
        <v/>
      </c>
      <c r="T2194">
        <f>IF($O2194="","",IF(INDEX(Dossiers!$F$4:$F$63,42)="","",INDEX(Dossiers!$F$4:$F$63,42)))</f>
        <v/>
      </c>
      <c r="U2194">
        <f>IF($O2194="","",IF(INDEX(Dossiers!$G$4:$G$63,42)="","",INDEX(Dossiers!$G$4:$G$63,42)))</f>
        <v/>
      </c>
      <c r="V2194">
        <f>IF(OR($O2194="",NOT(ISNUMBER($Q2194))),"",$Q2194*1000000+2194)</f>
        <v/>
      </c>
      <c r="W2194" s="29">
        <f>IF($B2194="","",IFERROR(INDEX($U$4:$U$3183,MATCH(SMALL($V$4:$V$3183,2191),$V$4:$V$3183,0)),""))</f>
        <v/>
      </c>
    </row>
    <row r="2195">
      <c r="A2195">
        <f>IFERROR(INDEX($N$4:$N$3183,MATCH(SMALL($V$4:$V$3183,2192),$V$4:$V$3183,0)),"")</f>
        <v/>
      </c>
      <c r="B2195">
        <f>IFERROR(INDEX($O$4:$O$3183,MATCH(SMALL($V$4:$V$3183,2192),$V$4:$V$3183,0)),"")</f>
        <v/>
      </c>
      <c r="C2195">
        <f>IFERROR(INDEX($P$4:$P$3183,MATCH(SMALL($V$4:$V$3183,2192),$V$4:$V$3183,0)),"")</f>
        <v/>
      </c>
      <c r="D2195" s="29">
        <f>IFERROR(INDEX($Q$4:$Q$3183,MATCH(SMALL($V$4:$V$3183,2192),$V$4:$V$3183,0)),"")</f>
        <v/>
      </c>
      <c r="E2195" s="29">
        <f>IFERROR(INDEX($R$4:$R$3183,MATCH(SMALL($V$4:$V$3183,2192),$V$4:$V$3183,0)),"")</f>
        <v/>
      </c>
      <c r="F2195">
        <f>IFERROR(INDEX($S$4:$S$3183,MATCH(SMALL($V$4:$V$3183,2192),$V$4:$V$3183,0)),"")</f>
        <v/>
      </c>
      <c r="I2195" s="29">
        <f>IF($B2195="","",IFERROR(INDEX($U$4:$U$3183,MATCH(SMALL($V$4:$V$3183,2192),$V$4:$V$3183,0)),""))</f>
        <v/>
      </c>
      <c r="J2195">
        <f>IF($B2195="","",IF($D2195&gt;$F$2,"À venir",IF($E2195&lt;$D$2,"Passé","Dans la période")))</f>
        <v/>
      </c>
      <c r="K2195">
        <f>IF(OR($B2195="",NOT(ISNUMBER($D2195))),"",IF(AND($E2195&lt;$D$2,$G2195&lt;&gt;"X",$F2195&lt;&gt;"Réalisé",$F2195&lt;&gt;"Clôturé"),"RETARD",""))</f>
        <v/>
      </c>
      <c r="L2195">
        <f>IF(OR($B2195="",NOT(ISNUMBER($D2195))),"",IF(AND($D2195&gt;=$D$2,$D2195&lt;=$H$2,$G2195&lt;&gt;"X",$F2195&lt;&gt;"Réalisé",$F2195&lt;&gt;"Clôturé"),"≤ 7 j",""))</f>
        <v/>
      </c>
      <c r="M2195" s="29">
        <f>IF($B2195="","",IFERROR(INDEX($T$4:$T$3183,MATCH(SMALL($V$4:$V$3183,2192),$V$4:$V$3183,0)),""))</f>
        <v/>
      </c>
      <c r="O2195">
        <f>IF(INDEX(Suivi!$B:$B,2237)="","",INDEX(Suivi!$B:$B,2237))</f>
        <v/>
      </c>
      <c r="P2195">
        <f>IF($O2195="","",IF(INDEX(Suivi!$D:$D,2237)="",INDEX(Suivi!$C:$C,2237),INDEX(Suivi!$D:$D,2237)))</f>
        <v/>
      </c>
      <c r="Q2195">
        <f>IF($O2195="","",INDEX(Suivi!$E:$E,2237))</f>
        <v/>
      </c>
      <c r="R2195">
        <f>IF($O2195="","",INDEX(Suivi!$F:$F,2237))</f>
        <v/>
      </c>
      <c r="S2195">
        <f>IF($O2195="","",INDEX(Suivi!$G:$G,2237))</f>
        <v/>
      </c>
      <c r="T2195">
        <f>IF($O2195="","",IF(INDEX(Dossiers!$F$4:$F$63,42)="","",INDEX(Dossiers!$F$4:$F$63,42)))</f>
        <v/>
      </c>
      <c r="U2195">
        <f>IF($O2195="","",IF(INDEX(Dossiers!$G$4:$G$63,42)="","",INDEX(Dossiers!$G$4:$G$63,42)))</f>
        <v/>
      </c>
      <c r="V2195">
        <f>IF(OR($O2195="",NOT(ISNUMBER($Q2195))),"",$Q2195*1000000+2195)</f>
        <v/>
      </c>
      <c r="W2195" s="29">
        <f>IF($B2195="","",IFERROR(INDEX($U$4:$U$3183,MATCH(SMALL($V$4:$V$3183,2192),$V$4:$V$3183,0)),""))</f>
        <v/>
      </c>
    </row>
    <row r="2196">
      <c r="A2196">
        <f>IFERROR(INDEX($N$4:$N$3183,MATCH(SMALL($V$4:$V$3183,2193),$V$4:$V$3183,0)),"")</f>
        <v/>
      </c>
      <c r="B2196">
        <f>IFERROR(INDEX($O$4:$O$3183,MATCH(SMALL($V$4:$V$3183,2193),$V$4:$V$3183,0)),"")</f>
        <v/>
      </c>
      <c r="C2196">
        <f>IFERROR(INDEX($P$4:$P$3183,MATCH(SMALL($V$4:$V$3183,2193),$V$4:$V$3183,0)),"")</f>
        <v/>
      </c>
      <c r="D2196" s="29">
        <f>IFERROR(INDEX($Q$4:$Q$3183,MATCH(SMALL($V$4:$V$3183,2193),$V$4:$V$3183,0)),"")</f>
        <v/>
      </c>
      <c r="E2196" s="29">
        <f>IFERROR(INDEX($R$4:$R$3183,MATCH(SMALL($V$4:$V$3183,2193),$V$4:$V$3183,0)),"")</f>
        <v/>
      </c>
      <c r="F2196">
        <f>IFERROR(INDEX($S$4:$S$3183,MATCH(SMALL($V$4:$V$3183,2193),$V$4:$V$3183,0)),"")</f>
        <v/>
      </c>
      <c r="I2196" s="29">
        <f>IF($B2196="","",IFERROR(INDEX($U$4:$U$3183,MATCH(SMALL($V$4:$V$3183,2193),$V$4:$V$3183,0)),""))</f>
        <v/>
      </c>
      <c r="J2196">
        <f>IF($B2196="","",IF($D2196&gt;$F$2,"À venir",IF($E2196&lt;$D$2,"Passé","Dans la période")))</f>
        <v/>
      </c>
      <c r="K2196">
        <f>IF(OR($B2196="",NOT(ISNUMBER($D2196))),"",IF(AND($E2196&lt;$D$2,$G2196&lt;&gt;"X",$F2196&lt;&gt;"Réalisé",$F2196&lt;&gt;"Clôturé"),"RETARD",""))</f>
        <v/>
      </c>
      <c r="L2196">
        <f>IF(OR($B2196="",NOT(ISNUMBER($D2196))),"",IF(AND($D2196&gt;=$D$2,$D2196&lt;=$H$2,$G2196&lt;&gt;"X",$F2196&lt;&gt;"Réalisé",$F2196&lt;&gt;"Clôturé"),"≤ 7 j",""))</f>
        <v/>
      </c>
      <c r="M2196" s="29">
        <f>IF($B2196="","",IFERROR(INDEX($T$4:$T$3183,MATCH(SMALL($V$4:$V$3183,2193),$V$4:$V$3183,0)),""))</f>
        <v/>
      </c>
      <c r="O2196">
        <f>IF(INDEX(Suivi!$B:$B,2238)="","",INDEX(Suivi!$B:$B,2238))</f>
        <v/>
      </c>
      <c r="P2196">
        <f>IF($O2196="","",IF(INDEX(Suivi!$D:$D,2238)="",INDEX(Suivi!$C:$C,2238),INDEX(Suivi!$D:$D,2238)))</f>
        <v/>
      </c>
      <c r="Q2196">
        <f>IF($O2196="","",INDEX(Suivi!$E:$E,2238))</f>
        <v/>
      </c>
      <c r="R2196">
        <f>IF($O2196="","",INDEX(Suivi!$F:$F,2238))</f>
        <v/>
      </c>
      <c r="S2196">
        <f>IF($O2196="","",INDEX(Suivi!$G:$G,2238))</f>
        <v/>
      </c>
      <c r="T2196">
        <f>IF($O2196="","",IF(INDEX(Dossiers!$F$4:$F$63,42)="","",INDEX(Dossiers!$F$4:$F$63,42)))</f>
        <v/>
      </c>
      <c r="U2196">
        <f>IF($O2196="","",IF(INDEX(Dossiers!$G$4:$G$63,42)="","",INDEX(Dossiers!$G$4:$G$63,42)))</f>
        <v/>
      </c>
      <c r="V2196">
        <f>IF(OR($O2196="",NOT(ISNUMBER($Q2196))),"",$Q2196*1000000+2196)</f>
        <v/>
      </c>
      <c r="W2196" s="29">
        <f>IF($B2196="","",IFERROR(INDEX($U$4:$U$3183,MATCH(SMALL($V$4:$V$3183,2193),$V$4:$V$3183,0)),""))</f>
        <v/>
      </c>
    </row>
    <row r="2197">
      <c r="A2197">
        <f>IFERROR(INDEX($N$4:$N$3183,MATCH(SMALL($V$4:$V$3183,2194),$V$4:$V$3183,0)),"")</f>
        <v/>
      </c>
      <c r="B2197">
        <f>IFERROR(INDEX($O$4:$O$3183,MATCH(SMALL($V$4:$V$3183,2194),$V$4:$V$3183,0)),"")</f>
        <v/>
      </c>
      <c r="C2197">
        <f>IFERROR(INDEX($P$4:$P$3183,MATCH(SMALL($V$4:$V$3183,2194),$V$4:$V$3183,0)),"")</f>
        <v/>
      </c>
      <c r="D2197" s="29">
        <f>IFERROR(INDEX($Q$4:$Q$3183,MATCH(SMALL($V$4:$V$3183,2194),$V$4:$V$3183,0)),"")</f>
        <v/>
      </c>
      <c r="E2197" s="29">
        <f>IFERROR(INDEX($R$4:$R$3183,MATCH(SMALL($V$4:$V$3183,2194),$V$4:$V$3183,0)),"")</f>
        <v/>
      </c>
      <c r="F2197">
        <f>IFERROR(INDEX($S$4:$S$3183,MATCH(SMALL($V$4:$V$3183,2194),$V$4:$V$3183,0)),"")</f>
        <v/>
      </c>
      <c r="I2197" s="29">
        <f>IF($B2197="","",IFERROR(INDEX($U$4:$U$3183,MATCH(SMALL($V$4:$V$3183,2194),$V$4:$V$3183,0)),""))</f>
        <v/>
      </c>
      <c r="J2197">
        <f>IF($B2197="","",IF($D2197&gt;$F$2,"À venir",IF($E2197&lt;$D$2,"Passé","Dans la période")))</f>
        <v/>
      </c>
      <c r="K2197">
        <f>IF(OR($B2197="",NOT(ISNUMBER($D2197))),"",IF(AND($E2197&lt;$D$2,$G2197&lt;&gt;"X",$F2197&lt;&gt;"Réalisé",$F2197&lt;&gt;"Clôturé"),"RETARD",""))</f>
        <v/>
      </c>
      <c r="L2197">
        <f>IF(OR($B2197="",NOT(ISNUMBER($D2197))),"",IF(AND($D2197&gt;=$D$2,$D2197&lt;=$H$2,$G2197&lt;&gt;"X",$F2197&lt;&gt;"Réalisé",$F2197&lt;&gt;"Clôturé"),"≤ 7 j",""))</f>
        <v/>
      </c>
      <c r="M2197" s="29">
        <f>IF($B2197="","",IFERROR(INDEX($T$4:$T$3183,MATCH(SMALL($V$4:$V$3183,2194),$V$4:$V$3183,0)),""))</f>
        <v/>
      </c>
      <c r="O2197">
        <f>IF(INDEX(Suivi!$B:$B,2239)="","",INDEX(Suivi!$B:$B,2239))</f>
        <v/>
      </c>
      <c r="P2197">
        <f>IF($O2197="","",IF(INDEX(Suivi!$D:$D,2239)="",INDEX(Suivi!$C:$C,2239),INDEX(Suivi!$D:$D,2239)))</f>
        <v/>
      </c>
      <c r="Q2197">
        <f>IF($O2197="","",INDEX(Suivi!$E:$E,2239))</f>
        <v/>
      </c>
      <c r="R2197">
        <f>IF($O2197="","",INDEX(Suivi!$F:$F,2239))</f>
        <v/>
      </c>
      <c r="S2197">
        <f>IF($O2197="","",INDEX(Suivi!$G:$G,2239))</f>
        <v/>
      </c>
      <c r="T2197">
        <f>IF($O2197="","",IF(INDEX(Dossiers!$F$4:$F$63,42)="","",INDEX(Dossiers!$F$4:$F$63,42)))</f>
        <v/>
      </c>
      <c r="U2197">
        <f>IF($O2197="","",IF(INDEX(Dossiers!$G$4:$G$63,42)="","",INDEX(Dossiers!$G$4:$G$63,42)))</f>
        <v/>
      </c>
      <c r="V2197">
        <f>IF(OR($O2197="",NOT(ISNUMBER($Q2197))),"",$Q2197*1000000+2197)</f>
        <v/>
      </c>
      <c r="W2197" s="29">
        <f>IF($B2197="","",IFERROR(INDEX($U$4:$U$3183,MATCH(SMALL($V$4:$V$3183,2194),$V$4:$V$3183,0)),""))</f>
        <v/>
      </c>
    </row>
    <row r="2198">
      <c r="A2198">
        <f>IFERROR(INDEX($N$4:$N$3183,MATCH(SMALL($V$4:$V$3183,2195),$V$4:$V$3183,0)),"")</f>
        <v/>
      </c>
      <c r="B2198">
        <f>IFERROR(INDEX($O$4:$O$3183,MATCH(SMALL($V$4:$V$3183,2195),$V$4:$V$3183,0)),"")</f>
        <v/>
      </c>
      <c r="C2198">
        <f>IFERROR(INDEX($P$4:$P$3183,MATCH(SMALL($V$4:$V$3183,2195),$V$4:$V$3183,0)),"")</f>
        <v/>
      </c>
      <c r="D2198" s="29">
        <f>IFERROR(INDEX($Q$4:$Q$3183,MATCH(SMALL($V$4:$V$3183,2195),$V$4:$V$3183,0)),"")</f>
        <v/>
      </c>
      <c r="E2198" s="29">
        <f>IFERROR(INDEX($R$4:$R$3183,MATCH(SMALL($V$4:$V$3183,2195),$V$4:$V$3183,0)),"")</f>
        <v/>
      </c>
      <c r="F2198">
        <f>IFERROR(INDEX($S$4:$S$3183,MATCH(SMALL($V$4:$V$3183,2195),$V$4:$V$3183,0)),"")</f>
        <v/>
      </c>
      <c r="I2198" s="29">
        <f>IF($B2198="","",IFERROR(INDEX($U$4:$U$3183,MATCH(SMALL($V$4:$V$3183,2195),$V$4:$V$3183,0)),""))</f>
        <v/>
      </c>
      <c r="J2198">
        <f>IF($B2198="","",IF($D2198&gt;$F$2,"À venir",IF($E2198&lt;$D$2,"Passé","Dans la période")))</f>
        <v/>
      </c>
      <c r="K2198">
        <f>IF(OR($B2198="",NOT(ISNUMBER($D2198))),"",IF(AND($E2198&lt;$D$2,$G2198&lt;&gt;"X",$F2198&lt;&gt;"Réalisé",$F2198&lt;&gt;"Clôturé"),"RETARD",""))</f>
        <v/>
      </c>
      <c r="L2198">
        <f>IF(OR($B2198="",NOT(ISNUMBER($D2198))),"",IF(AND($D2198&gt;=$D$2,$D2198&lt;=$H$2,$G2198&lt;&gt;"X",$F2198&lt;&gt;"Réalisé",$F2198&lt;&gt;"Clôturé"),"≤ 7 j",""))</f>
        <v/>
      </c>
      <c r="M2198" s="29">
        <f>IF($B2198="","",IFERROR(INDEX($T$4:$T$3183,MATCH(SMALL($V$4:$V$3183,2195),$V$4:$V$3183,0)),""))</f>
        <v/>
      </c>
      <c r="O2198">
        <f>IF(INDEX(Suivi!$B:$B,2240)="","",INDEX(Suivi!$B:$B,2240))</f>
        <v/>
      </c>
      <c r="P2198">
        <f>IF($O2198="","",IF(INDEX(Suivi!$D:$D,2240)="",INDEX(Suivi!$C:$C,2240),INDEX(Suivi!$D:$D,2240)))</f>
        <v/>
      </c>
      <c r="Q2198">
        <f>IF($O2198="","",INDEX(Suivi!$E:$E,2240))</f>
        <v/>
      </c>
      <c r="R2198">
        <f>IF($O2198="","",INDEX(Suivi!$F:$F,2240))</f>
        <v/>
      </c>
      <c r="S2198">
        <f>IF($O2198="","",INDEX(Suivi!$G:$G,2240))</f>
        <v/>
      </c>
      <c r="T2198">
        <f>IF($O2198="","",IF(INDEX(Dossiers!$F$4:$F$63,42)="","",INDEX(Dossiers!$F$4:$F$63,42)))</f>
        <v/>
      </c>
      <c r="U2198">
        <f>IF($O2198="","",IF(INDEX(Dossiers!$G$4:$G$63,42)="","",INDEX(Dossiers!$G$4:$G$63,42)))</f>
        <v/>
      </c>
      <c r="V2198">
        <f>IF(OR($O2198="",NOT(ISNUMBER($Q2198))),"",$Q2198*1000000+2198)</f>
        <v/>
      </c>
      <c r="W2198" s="29">
        <f>IF($B2198="","",IFERROR(INDEX($U$4:$U$3183,MATCH(SMALL($V$4:$V$3183,2195),$V$4:$V$3183,0)),""))</f>
        <v/>
      </c>
    </row>
    <row r="2199">
      <c r="A2199">
        <f>IFERROR(INDEX($N$4:$N$3183,MATCH(SMALL($V$4:$V$3183,2196),$V$4:$V$3183,0)),"")</f>
        <v/>
      </c>
      <c r="B2199">
        <f>IFERROR(INDEX($O$4:$O$3183,MATCH(SMALL($V$4:$V$3183,2196),$V$4:$V$3183,0)),"")</f>
        <v/>
      </c>
      <c r="C2199">
        <f>IFERROR(INDEX($P$4:$P$3183,MATCH(SMALL($V$4:$V$3183,2196),$V$4:$V$3183,0)),"")</f>
        <v/>
      </c>
      <c r="D2199" s="29">
        <f>IFERROR(INDEX($Q$4:$Q$3183,MATCH(SMALL($V$4:$V$3183,2196),$V$4:$V$3183,0)),"")</f>
        <v/>
      </c>
      <c r="E2199" s="29">
        <f>IFERROR(INDEX($R$4:$R$3183,MATCH(SMALL($V$4:$V$3183,2196),$V$4:$V$3183,0)),"")</f>
        <v/>
      </c>
      <c r="F2199">
        <f>IFERROR(INDEX($S$4:$S$3183,MATCH(SMALL($V$4:$V$3183,2196),$V$4:$V$3183,0)),"")</f>
        <v/>
      </c>
      <c r="I2199" s="29">
        <f>IF($B2199="","",IFERROR(INDEX($U$4:$U$3183,MATCH(SMALL($V$4:$V$3183,2196),$V$4:$V$3183,0)),""))</f>
        <v/>
      </c>
      <c r="J2199">
        <f>IF($B2199="","",IF($D2199&gt;$F$2,"À venir",IF($E2199&lt;$D$2,"Passé","Dans la période")))</f>
        <v/>
      </c>
      <c r="K2199">
        <f>IF(OR($B2199="",NOT(ISNUMBER($D2199))),"",IF(AND($E2199&lt;$D$2,$G2199&lt;&gt;"X",$F2199&lt;&gt;"Réalisé",$F2199&lt;&gt;"Clôturé"),"RETARD",""))</f>
        <v/>
      </c>
      <c r="L2199">
        <f>IF(OR($B2199="",NOT(ISNUMBER($D2199))),"",IF(AND($D2199&gt;=$D$2,$D2199&lt;=$H$2,$G2199&lt;&gt;"X",$F2199&lt;&gt;"Réalisé",$F2199&lt;&gt;"Clôturé"),"≤ 7 j",""))</f>
        <v/>
      </c>
      <c r="M2199" s="29">
        <f>IF($B2199="","",IFERROR(INDEX($T$4:$T$3183,MATCH(SMALL($V$4:$V$3183,2196),$V$4:$V$3183,0)),""))</f>
        <v/>
      </c>
      <c r="O2199">
        <f>IF(INDEX(Suivi!$B:$B,2241)="","",INDEX(Suivi!$B:$B,2241))</f>
        <v/>
      </c>
      <c r="P2199">
        <f>IF($O2199="","",IF(INDEX(Suivi!$D:$D,2241)="",INDEX(Suivi!$C:$C,2241),INDEX(Suivi!$D:$D,2241)))</f>
        <v/>
      </c>
      <c r="Q2199">
        <f>IF($O2199="","",INDEX(Suivi!$E:$E,2241))</f>
        <v/>
      </c>
      <c r="R2199">
        <f>IF($O2199="","",INDEX(Suivi!$F:$F,2241))</f>
        <v/>
      </c>
      <c r="S2199">
        <f>IF($O2199="","",INDEX(Suivi!$G:$G,2241))</f>
        <v/>
      </c>
      <c r="T2199">
        <f>IF($O2199="","",IF(INDEX(Dossiers!$F$4:$F$63,42)="","",INDEX(Dossiers!$F$4:$F$63,42)))</f>
        <v/>
      </c>
      <c r="U2199">
        <f>IF($O2199="","",IF(INDEX(Dossiers!$G$4:$G$63,42)="","",INDEX(Dossiers!$G$4:$G$63,42)))</f>
        <v/>
      </c>
      <c r="V2199">
        <f>IF(OR($O2199="",NOT(ISNUMBER($Q2199))),"",$Q2199*1000000+2199)</f>
        <v/>
      </c>
      <c r="W2199" s="29">
        <f>IF($B2199="","",IFERROR(INDEX($U$4:$U$3183,MATCH(SMALL($V$4:$V$3183,2196),$V$4:$V$3183,0)),""))</f>
        <v/>
      </c>
    </row>
    <row r="2200">
      <c r="A2200">
        <f>IFERROR(INDEX($N$4:$N$3183,MATCH(SMALL($V$4:$V$3183,2197),$V$4:$V$3183,0)),"")</f>
        <v/>
      </c>
      <c r="B2200">
        <f>IFERROR(INDEX($O$4:$O$3183,MATCH(SMALL($V$4:$V$3183,2197),$V$4:$V$3183,0)),"")</f>
        <v/>
      </c>
      <c r="C2200">
        <f>IFERROR(INDEX($P$4:$P$3183,MATCH(SMALL($V$4:$V$3183,2197),$V$4:$V$3183,0)),"")</f>
        <v/>
      </c>
      <c r="D2200" s="29">
        <f>IFERROR(INDEX($Q$4:$Q$3183,MATCH(SMALL($V$4:$V$3183,2197),$V$4:$V$3183,0)),"")</f>
        <v/>
      </c>
      <c r="E2200" s="29">
        <f>IFERROR(INDEX($R$4:$R$3183,MATCH(SMALL($V$4:$V$3183,2197),$V$4:$V$3183,0)),"")</f>
        <v/>
      </c>
      <c r="F2200">
        <f>IFERROR(INDEX($S$4:$S$3183,MATCH(SMALL($V$4:$V$3183,2197),$V$4:$V$3183,0)),"")</f>
        <v/>
      </c>
      <c r="I2200" s="29">
        <f>IF($B2200="","",IFERROR(INDEX($U$4:$U$3183,MATCH(SMALL($V$4:$V$3183,2197),$V$4:$V$3183,0)),""))</f>
        <v/>
      </c>
      <c r="J2200">
        <f>IF($B2200="","",IF($D2200&gt;$F$2,"À venir",IF($E2200&lt;$D$2,"Passé","Dans la période")))</f>
        <v/>
      </c>
      <c r="K2200">
        <f>IF(OR($B2200="",NOT(ISNUMBER($D2200))),"",IF(AND($E2200&lt;$D$2,$G2200&lt;&gt;"X",$F2200&lt;&gt;"Réalisé",$F2200&lt;&gt;"Clôturé"),"RETARD",""))</f>
        <v/>
      </c>
      <c r="L2200">
        <f>IF(OR($B2200="",NOT(ISNUMBER($D2200))),"",IF(AND($D2200&gt;=$D$2,$D2200&lt;=$H$2,$G2200&lt;&gt;"X",$F2200&lt;&gt;"Réalisé",$F2200&lt;&gt;"Clôturé"),"≤ 7 j",""))</f>
        <v/>
      </c>
      <c r="M2200" s="29">
        <f>IF($B2200="","",IFERROR(INDEX($T$4:$T$3183,MATCH(SMALL($V$4:$V$3183,2197),$V$4:$V$3183,0)),""))</f>
        <v/>
      </c>
      <c r="O2200">
        <f>IF(INDEX(Suivi!$B:$B,2242)="","",INDEX(Suivi!$B:$B,2242))</f>
        <v/>
      </c>
      <c r="P2200">
        <f>IF($O2200="","",IF(INDEX(Suivi!$D:$D,2242)="",INDEX(Suivi!$C:$C,2242),INDEX(Suivi!$D:$D,2242)))</f>
        <v/>
      </c>
      <c r="Q2200">
        <f>IF($O2200="","",INDEX(Suivi!$E:$E,2242))</f>
        <v/>
      </c>
      <c r="R2200">
        <f>IF($O2200="","",INDEX(Suivi!$F:$F,2242))</f>
        <v/>
      </c>
      <c r="S2200">
        <f>IF($O2200="","",INDEX(Suivi!$G:$G,2242))</f>
        <v/>
      </c>
      <c r="T2200">
        <f>IF($O2200="","",IF(INDEX(Dossiers!$F$4:$F$63,42)="","",INDEX(Dossiers!$F$4:$F$63,42)))</f>
        <v/>
      </c>
      <c r="U2200">
        <f>IF($O2200="","",IF(INDEX(Dossiers!$G$4:$G$63,42)="","",INDEX(Dossiers!$G$4:$G$63,42)))</f>
        <v/>
      </c>
      <c r="V2200">
        <f>IF(OR($O2200="",NOT(ISNUMBER($Q2200))),"",$Q2200*1000000+2200)</f>
        <v/>
      </c>
      <c r="W2200" s="29">
        <f>IF($B2200="","",IFERROR(INDEX($U$4:$U$3183,MATCH(SMALL($V$4:$V$3183,2197),$V$4:$V$3183,0)),""))</f>
        <v/>
      </c>
    </row>
    <row r="2201">
      <c r="A2201">
        <f>IFERROR(INDEX($N$4:$N$3183,MATCH(SMALL($V$4:$V$3183,2198),$V$4:$V$3183,0)),"")</f>
        <v/>
      </c>
      <c r="B2201">
        <f>IFERROR(INDEX($O$4:$O$3183,MATCH(SMALL($V$4:$V$3183,2198),$V$4:$V$3183,0)),"")</f>
        <v/>
      </c>
      <c r="C2201">
        <f>IFERROR(INDEX($P$4:$P$3183,MATCH(SMALL($V$4:$V$3183,2198),$V$4:$V$3183,0)),"")</f>
        <v/>
      </c>
      <c r="D2201" s="29">
        <f>IFERROR(INDEX($Q$4:$Q$3183,MATCH(SMALL($V$4:$V$3183,2198),$V$4:$V$3183,0)),"")</f>
        <v/>
      </c>
      <c r="E2201" s="29">
        <f>IFERROR(INDEX($R$4:$R$3183,MATCH(SMALL($V$4:$V$3183,2198),$V$4:$V$3183,0)),"")</f>
        <v/>
      </c>
      <c r="F2201">
        <f>IFERROR(INDEX($S$4:$S$3183,MATCH(SMALL($V$4:$V$3183,2198),$V$4:$V$3183,0)),"")</f>
        <v/>
      </c>
      <c r="I2201" s="29">
        <f>IF($B2201="","",IFERROR(INDEX($U$4:$U$3183,MATCH(SMALL($V$4:$V$3183,2198),$V$4:$V$3183,0)),""))</f>
        <v/>
      </c>
      <c r="J2201">
        <f>IF($B2201="","",IF($D2201&gt;$F$2,"À venir",IF($E2201&lt;$D$2,"Passé","Dans la période")))</f>
        <v/>
      </c>
      <c r="K2201">
        <f>IF(OR($B2201="",NOT(ISNUMBER($D2201))),"",IF(AND($E2201&lt;$D$2,$G2201&lt;&gt;"X",$F2201&lt;&gt;"Réalisé",$F2201&lt;&gt;"Clôturé"),"RETARD",""))</f>
        <v/>
      </c>
      <c r="L2201">
        <f>IF(OR($B2201="",NOT(ISNUMBER($D2201))),"",IF(AND($D2201&gt;=$D$2,$D2201&lt;=$H$2,$G2201&lt;&gt;"X",$F2201&lt;&gt;"Réalisé",$F2201&lt;&gt;"Clôturé"),"≤ 7 j",""))</f>
        <v/>
      </c>
      <c r="M2201" s="29">
        <f>IF($B2201="","",IFERROR(INDEX($T$4:$T$3183,MATCH(SMALL($V$4:$V$3183,2198),$V$4:$V$3183,0)),""))</f>
        <v/>
      </c>
      <c r="O2201">
        <f>IF(INDEX(Suivi!$B:$B,2243)="","",INDEX(Suivi!$B:$B,2243))</f>
        <v/>
      </c>
      <c r="P2201">
        <f>IF($O2201="","",IF(INDEX(Suivi!$D:$D,2243)="",INDEX(Suivi!$C:$C,2243),INDEX(Suivi!$D:$D,2243)))</f>
        <v/>
      </c>
      <c r="Q2201">
        <f>IF($O2201="","",INDEX(Suivi!$E:$E,2243))</f>
        <v/>
      </c>
      <c r="R2201">
        <f>IF($O2201="","",INDEX(Suivi!$F:$F,2243))</f>
        <v/>
      </c>
      <c r="S2201">
        <f>IF($O2201="","",INDEX(Suivi!$G:$G,2243))</f>
        <v/>
      </c>
      <c r="T2201">
        <f>IF($O2201="","",IF(INDEX(Dossiers!$F$4:$F$63,42)="","",INDEX(Dossiers!$F$4:$F$63,42)))</f>
        <v/>
      </c>
      <c r="U2201">
        <f>IF($O2201="","",IF(INDEX(Dossiers!$G$4:$G$63,42)="","",INDEX(Dossiers!$G$4:$G$63,42)))</f>
        <v/>
      </c>
      <c r="V2201">
        <f>IF(OR($O2201="",NOT(ISNUMBER($Q2201))),"",$Q2201*1000000+2201)</f>
        <v/>
      </c>
      <c r="W2201" s="29">
        <f>IF($B2201="","",IFERROR(INDEX($U$4:$U$3183,MATCH(SMALL($V$4:$V$3183,2198),$V$4:$V$3183,0)),""))</f>
        <v/>
      </c>
    </row>
    <row r="2202">
      <c r="A2202">
        <f>IFERROR(INDEX($N$4:$N$3183,MATCH(SMALL($V$4:$V$3183,2199),$V$4:$V$3183,0)),"")</f>
        <v/>
      </c>
      <c r="B2202">
        <f>IFERROR(INDEX($O$4:$O$3183,MATCH(SMALL($V$4:$V$3183,2199),$V$4:$V$3183,0)),"")</f>
        <v/>
      </c>
      <c r="C2202">
        <f>IFERROR(INDEX($P$4:$P$3183,MATCH(SMALL($V$4:$V$3183,2199),$V$4:$V$3183,0)),"")</f>
        <v/>
      </c>
      <c r="D2202" s="29">
        <f>IFERROR(INDEX($Q$4:$Q$3183,MATCH(SMALL($V$4:$V$3183,2199),$V$4:$V$3183,0)),"")</f>
        <v/>
      </c>
      <c r="E2202" s="29">
        <f>IFERROR(INDEX($R$4:$R$3183,MATCH(SMALL($V$4:$V$3183,2199),$V$4:$V$3183,0)),"")</f>
        <v/>
      </c>
      <c r="F2202">
        <f>IFERROR(INDEX($S$4:$S$3183,MATCH(SMALL($V$4:$V$3183,2199),$V$4:$V$3183,0)),"")</f>
        <v/>
      </c>
      <c r="I2202" s="29">
        <f>IF($B2202="","",IFERROR(INDEX($U$4:$U$3183,MATCH(SMALL($V$4:$V$3183,2199),$V$4:$V$3183,0)),""))</f>
        <v/>
      </c>
      <c r="J2202">
        <f>IF($B2202="","",IF($D2202&gt;$F$2,"À venir",IF($E2202&lt;$D$2,"Passé","Dans la période")))</f>
        <v/>
      </c>
      <c r="K2202">
        <f>IF(OR($B2202="",NOT(ISNUMBER($D2202))),"",IF(AND($E2202&lt;$D$2,$G2202&lt;&gt;"X",$F2202&lt;&gt;"Réalisé",$F2202&lt;&gt;"Clôturé"),"RETARD",""))</f>
        <v/>
      </c>
      <c r="L2202">
        <f>IF(OR($B2202="",NOT(ISNUMBER($D2202))),"",IF(AND($D2202&gt;=$D$2,$D2202&lt;=$H$2,$G2202&lt;&gt;"X",$F2202&lt;&gt;"Réalisé",$F2202&lt;&gt;"Clôturé"),"≤ 7 j",""))</f>
        <v/>
      </c>
      <c r="M2202" s="29">
        <f>IF($B2202="","",IFERROR(INDEX($T$4:$T$3183,MATCH(SMALL($V$4:$V$3183,2199),$V$4:$V$3183,0)),""))</f>
        <v/>
      </c>
      <c r="O2202">
        <f>IF(INDEX(Suivi!$B:$B,2244)="","",INDEX(Suivi!$B:$B,2244))</f>
        <v/>
      </c>
      <c r="P2202">
        <f>IF($O2202="","",IF(INDEX(Suivi!$D:$D,2244)="",INDEX(Suivi!$C:$C,2244),INDEX(Suivi!$D:$D,2244)))</f>
        <v/>
      </c>
      <c r="Q2202">
        <f>IF($O2202="","",INDEX(Suivi!$E:$E,2244))</f>
        <v/>
      </c>
      <c r="R2202">
        <f>IF($O2202="","",INDEX(Suivi!$F:$F,2244))</f>
        <v/>
      </c>
      <c r="S2202">
        <f>IF($O2202="","",INDEX(Suivi!$G:$G,2244))</f>
        <v/>
      </c>
      <c r="T2202">
        <f>IF($O2202="","",IF(INDEX(Dossiers!$F$4:$F$63,42)="","",INDEX(Dossiers!$F$4:$F$63,42)))</f>
        <v/>
      </c>
      <c r="U2202">
        <f>IF($O2202="","",IF(INDEX(Dossiers!$G$4:$G$63,42)="","",INDEX(Dossiers!$G$4:$G$63,42)))</f>
        <v/>
      </c>
      <c r="V2202">
        <f>IF(OR($O2202="",NOT(ISNUMBER($Q2202))),"",$Q2202*1000000+2202)</f>
        <v/>
      </c>
      <c r="W2202" s="29">
        <f>IF($B2202="","",IFERROR(INDEX($U$4:$U$3183,MATCH(SMALL($V$4:$V$3183,2199),$V$4:$V$3183,0)),""))</f>
        <v/>
      </c>
    </row>
    <row r="2203">
      <c r="A2203">
        <f>IFERROR(INDEX($N$4:$N$3183,MATCH(SMALL($V$4:$V$3183,2200),$V$4:$V$3183,0)),"")</f>
        <v/>
      </c>
      <c r="B2203">
        <f>IFERROR(INDEX($O$4:$O$3183,MATCH(SMALL($V$4:$V$3183,2200),$V$4:$V$3183,0)),"")</f>
        <v/>
      </c>
      <c r="C2203">
        <f>IFERROR(INDEX($P$4:$P$3183,MATCH(SMALL($V$4:$V$3183,2200),$V$4:$V$3183,0)),"")</f>
        <v/>
      </c>
      <c r="D2203" s="29">
        <f>IFERROR(INDEX($Q$4:$Q$3183,MATCH(SMALL($V$4:$V$3183,2200),$V$4:$V$3183,0)),"")</f>
        <v/>
      </c>
      <c r="E2203" s="29">
        <f>IFERROR(INDEX($R$4:$R$3183,MATCH(SMALL($V$4:$V$3183,2200),$V$4:$V$3183,0)),"")</f>
        <v/>
      </c>
      <c r="F2203">
        <f>IFERROR(INDEX($S$4:$S$3183,MATCH(SMALL($V$4:$V$3183,2200),$V$4:$V$3183,0)),"")</f>
        <v/>
      </c>
      <c r="I2203" s="29">
        <f>IF($B2203="","",IFERROR(INDEX($U$4:$U$3183,MATCH(SMALL($V$4:$V$3183,2200),$V$4:$V$3183,0)),""))</f>
        <v/>
      </c>
      <c r="J2203">
        <f>IF($B2203="","",IF($D2203&gt;$F$2,"À venir",IF($E2203&lt;$D$2,"Passé","Dans la période")))</f>
        <v/>
      </c>
      <c r="K2203">
        <f>IF(OR($B2203="",NOT(ISNUMBER($D2203))),"",IF(AND($E2203&lt;$D$2,$G2203&lt;&gt;"X",$F2203&lt;&gt;"Réalisé",$F2203&lt;&gt;"Clôturé"),"RETARD",""))</f>
        <v/>
      </c>
      <c r="L2203">
        <f>IF(OR($B2203="",NOT(ISNUMBER($D2203))),"",IF(AND($D2203&gt;=$D$2,$D2203&lt;=$H$2,$G2203&lt;&gt;"X",$F2203&lt;&gt;"Réalisé",$F2203&lt;&gt;"Clôturé"),"≤ 7 j",""))</f>
        <v/>
      </c>
      <c r="M2203" s="29">
        <f>IF($B2203="","",IFERROR(INDEX($T$4:$T$3183,MATCH(SMALL($V$4:$V$3183,2200),$V$4:$V$3183,0)),""))</f>
        <v/>
      </c>
      <c r="O2203">
        <f>IF(INDEX(Suivi!$B:$B,2245)="","",INDEX(Suivi!$B:$B,2245))</f>
        <v/>
      </c>
      <c r="P2203">
        <f>IF($O2203="","",IF(INDEX(Suivi!$D:$D,2245)="",INDEX(Suivi!$C:$C,2245),INDEX(Suivi!$D:$D,2245)))</f>
        <v/>
      </c>
      <c r="Q2203">
        <f>IF($O2203="","",INDEX(Suivi!$E:$E,2245))</f>
        <v/>
      </c>
      <c r="R2203">
        <f>IF($O2203="","",INDEX(Suivi!$F:$F,2245))</f>
        <v/>
      </c>
      <c r="S2203">
        <f>IF($O2203="","",INDEX(Suivi!$G:$G,2245))</f>
        <v/>
      </c>
      <c r="T2203">
        <f>IF($O2203="","",IF(INDEX(Dossiers!$F$4:$F$63,42)="","",INDEX(Dossiers!$F$4:$F$63,42)))</f>
        <v/>
      </c>
      <c r="U2203">
        <f>IF($O2203="","",IF(INDEX(Dossiers!$G$4:$G$63,42)="","",INDEX(Dossiers!$G$4:$G$63,42)))</f>
        <v/>
      </c>
      <c r="V2203">
        <f>IF(OR($O2203="",NOT(ISNUMBER($Q2203))),"",$Q2203*1000000+2203)</f>
        <v/>
      </c>
      <c r="W2203" s="29">
        <f>IF($B2203="","",IFERROR(INDEX($U$4:$U$3183,MATCH(SMALL($V$4:$V$3183,2200),$V$4:$V$3183,0)),""))</f>
        <v/>
      </c>
    </row>
    <row r="2204">
      <c r="A2204">
        <f>IFERROR(INDEX($N$4:$N$3183,MATCH(SMALL($V$4:$V$3183,2201),$V$4:$V$3183,0)),"")</f>
        <v/>
      </c>
      <c r="B2204">
        <f>IFERROR(INDEX($O$4:$O$3183,MATCH(SMALL($V$4:$V$3183,2201),$V$4:$V$3183,0)),"")</f>
        <v/>
      </c>
      <c r="C2204">
        <f>IFERROR(INDEX($P$4:$P$3183,MATCH(SMALL($V$4:$V$3183,2201),$V$4:$V$3183,0)),"")</f>
        <v/>
      </c>
      <c r="D2204" s="29">
        <f>IFERROR(INDEX($Q$4:$Q$3183,MATCH(SMALL($V$4:$V$3183,2201),$V$4:$V$3183,0)),"")</f>
        <v/>
      </c>
      <c r="E2204" s="29">
        <f>IFERROR(INDEX($R$4:$R$3183,MATCH(SMALL($V$4:$V$3183,2201),$V$4:$V$3183,0)),"")</f>
        <v/>
      </c>
      <c r="F2204">
        <f>IFERROR(INDEX($S$4:$S$3183,MATCH(SMALL($V$4:$V$3183,2201),$V$4:$V$3183,0)),"")</f>
        <v/>
      </c>
      <c r="I2204" s="29">
        <f>IF($B2204="","",IFERROR(INDEX($U$4:$U$3183,MATCH(SMALL($V$4:$V$3183,2201),$V$4:$V$3183,0)),""))</f>
        <v/>
      </c>
      <c r="J2204">
        <f>IF($B2204="","",IF($D2204&gt;$F$2,"À venir",IF($E2204&lt;$D$2,"Passé","Dans la période")))</f>
        <v/>
      </c>
      <c r="K2204">
        <f>IF(OR($B2204="",NOT(ISNUMBER($D2204))),"",IF(AND($E2204&lt;$D$2,$G2204&lt;&gt;"X",$F2204&lt;&gt;"Réalisé",$F2204&lt;&gt;"Clôturé"),"RETARD",""))</f>
        <v/>
      </c>
      <c r="L2204">
        <f>IF(OR($B2204="",NOT(ISNUMBER($D2204))),"",IF(AND($D2204&gt;=$D$2,$D2204&lt;=$H$2,$G2204&lt;&gt;"X",$F2204&lt;&gt;"Réalisé",$F2204&lt;&gt;"Clôturé"),"≤ 7 j",""))</f>
        <v/>
      </c>
      <c r="M2204" s="29">
        <f>IF($B2204="","",IFERROR(INDEX($T$4:$T$3183,MATCH(SMALL($V$4:$V$3183,2201),$V$4:$V$3183,0)),""))</f>
        <v/>
      </c>
      <c r="O2204">
        <f>IF(INDEX(Suivi!$B:$B,2246)="","",INDEX(Suivi!$B:$B,2246))</f>
        <v/>
      </c>
      <c r="P2204">
        <f>IF($O2204="","",IF(INDEX(Suivi!$D:$D,2246)="",INDEX(Suivi!$C:$C,2246),INDEX(Suivi!$D:$D,2246)))</f>
        <v/>
      </c>
      <c r="Q2204">
        <f>IF($O2204="","",INDEX(Suivi!$E:$E,2246))</f>
        <v/>
      </c>
      <c r="R2204">
        <f>IF($O2204="","",INDEX(Suivi!$F:$F,2246))</f>
        <v/>
      </c>
      <c r="S2204">
        <f>IF($O2204="","",INDEX(Suivi!$G:$G,2246))</f>
        <v/>
      </c>
      <c r="T2204">
        <f>IF($O2204="","",IF(INDEX(Dossiers!$F$4:$F$63,42)="","",INDEX(Dossiers!$F$4:$F$63,42)))</f>
        <v/>
      </c>
      <c r="U2204">
        <f>IF($O2204="","",IF(INDEX(Dossiers!$G$4:$G$63,42)="","",INDEX(Dossiers!$G$4:$G$63,42)))</f>
        <v/>
      </c>
      <c r="V2204">
        <f>IF(OR($O2204="",NOT(ISNUMBER($Q2204))),"",$Q2204*1000000+2204)</f>
        <v/>
      </c>
      <c r="W2204" s="29">
        <f>IF($B2204="","",IFERROR(INDEX($U$4:$U$3183,MATCH(SMALL($V$4:$V$3183,2201),$V$4:$V$3183,0)),""))</f>
        <v/>
      </c>
    </row>
    <row r="2205">
      <c r="A2205">
        <f>IFERROR(INDEX($N$4:$N$3183,MATCH(SMALL($V$4:$V$3183,2202),$V$4:$V$3183,0)),"")</f>
        <v/>
      </c>
      <c r="B2205">
        <f>IFERROR(INDEX($O$4:$O$3183,MATCH(SMALL($V$4:$V$3183,2202),$V$4:$V$3183,0)),"")</f>
        <v/>
      </c>
      <c r="C2205">
        <f>IFERROR(INDEX($P$4:$P$3183,MATCH(SMALL($V$4:$V$3183,2202),$V$4:$V$3183,0)),"")</f>
        <v/>
      </c>
      <c r="D2205" s="29">
        <f>IFERROR(INDEX($Q$4:$Q$3183,MATCH(SMALL($V$4:$V$3183,2202),$V$4:$V$3183,0)),"")</f>
        <v/>
      </c>
      <c r="E2205" s="29">
        <f>IFERROR(INDEX($R$4:$R$3183,MATCH(SMALL($V$4:$V$3183,2202),$V$4:$V$3183,0)),"")</f>
        <v/>
      </c>
      <c r="F2205">
        <f>IFERROR(INDEX($S$4:$S$3183,MATCH(SMALL($V$4:$V$3183,2202),$V$4:$V$3183,0)),"")</f>
        <v/>
      </c>
      <c r="I2205" s="29">
        <f>IF($B2205="","",IFERROR(INDEX($U$4:$U$3183,MATCH(SMALL($V$4:$V$3183,2202),$V$4:$V$3183,0)),""))</f>
        <v/>
      </c>
      <c r="J2205">
        <f>IF($B2205="","",IF($D2205&gt;$F$2,"À venir",IF($E2205&lt;$D$2,"Passé","Dans la période")))</f>
        <v/>
      </c>
      <c r="K2205">
        <f>IF(OR($B2205="",NOT(ISNUMBER($D2205))),"",IF(AND($E2205&lt;$D$2,$G2205&lt;&gt;"X",$F2205&lt;&gt;"Réalisé",$F2205&lt;&gt;"Clôturé"),"RETARD",""))</f>
        <v/>
      </c>
      <c r="L2205">
        <f>IF(OR($B2205="",NOT(ISNUMBER($D2205))),"",IF(AND($D2205&gt;=$D$2,$D2205&lt;=$H$2,$G2205&lt;&gt;"X",$F2205&lt;&gt;"Réalisé",$F2205&lt;&gt;"Clôturé"),"≤ 7 j",""))</f>
        <v/>
      </c>
      <c r="M2205" s="29">
        <f>IF($B2205="","",IFERROR(INDEX($T$4:$T$3183,MATCH(SMALL($V$4:$V$3183,2202),$V$4:$V$3183,0)),""))</f>
        <v/>
      </c>
      <c r="O2205">
        <f>IF(INDEX(Suivi!$B:$B,2247)="","",INDEX(Suivi!$B:$B,2247))</f>
        <v/>
      </c>
      <c r="P2205">
        <f>IF($O2205="","",IF(INDEX(Suivi!$D:$D,2247)="",INDEX(Suivi!$C:$C,2247),INDEX(Suivi!$D:$D,2247)))</f>
        <v/>
      </c>
      <c r="Q2205">
        <f>IF($O2205="","",INDEX(Suivi!$E:$E,2247))</f>
        <v/>
      </c>
      <c r="R2205">
        <f>IF($O2205="","",INDEX(Suivi!$F:$F,2247))</f>
        <v/>
      </c>
      <c r="S2205">
        <f>IF($O2205="","",INDEX(Suivi!$G:$G,2247))</f>
        <v/>
      </c>
      <c r="T2205">
        <f>IF($O2205="","",IF(INDEX(Dossiers!$F$4:$F$63,42)="","",INDEX(Dossiers!$F$4:$F$63,42)))</f>
        <v/>
      </c>
      <c r="U2205">
        <f>IF($O2205="","",IF(INDEX(Dossiers!$G$4:$G$63,42)="","",INDEX(Dossiers!$G$4:$G$63,42)))</f>
        <v/>
      </c>
      <c r="V2205">
        <f>IF(OR($O2205="",NOT(ISNUMBER($Q2205))),"",$Q2205*1000000+2205)</f>
        <v/>
      </c>
      <c r="W2205" s="29">
        <f>IF($B2205="","",IFERROR(INDEX($U$4:$U$3183,MATCH(SMALL($V$4:$V$3183,2202),$V$4:$V$3183,0)),""))</f>
        <v/>
      </c>
    </row>
    <row r="2206">
      <c r="A2206">
        <f>IFERROR(INDEX($N$4:$N$3183,MATCH(SMALL($V$4:$V$3183,2203),$V$4:$V$3183,0)),"")</f>
        <v/>
      </c>
      <c r="B2206">
        <f>IFERROR(INDEX($O$4:$O$3183,MATCH(SMALL($V$4:$V$3183,2203),$V$4:$V$3183,0)),"")</f>
        <v/>
      </c>
      <c r="C2206">
        <f>IFERROR(INDEX($P$4:$P$3183,MATCH(SMALL($V$4:$V$3183,2203),$V$4:$V$3183,0)),"")</f>
        <v/>
      </c>
      <c r="D2206" s="29">
        <f>IFERROR(INDEX($Q$4:$Q$3183,MATCH(SMALL($V$4:$V$3183,2203),$V$4:$V$3183,0)),"")</f>
        <v/>
      </c>
      <c r="E2206" s="29">
        <f>IFERROR(INDEX($R$4:$R$3183,MATCH(SMALL($V$4:$V$3183,2203),$V$4:$V$3183,0)),"")</f>
        <v/>
      </c>
      <c r="F2206">
        <f>IFERROR(INDEX($S$4:$S$3183,MATCH(SMALL($V$4:$V$3183,2203),$V$4:$V$3183,0)),"")</f>
        <v/>
      </c>
      <c r="I2206" s="29">
        <f>IF($B2206="","",IFERROR(INDEX($U$4:$U$3183,MATCH(SMALL($V$4:$V$3183,2203),$V$4:$V$3183,0)),""))</f>
        <v/>
      </c>
      <c r="J2206">
        <f>IF($B2206="","",IF($D2206&gt;$F$2,"À venir",IF($E2206&lt;$D$2,"Passé","Dans la période")))</f>
        <v/>
      </c>
      <c r="K2206">
        <f>IF(OR($B2206="",NOT(ISNUMBER($D2206))),"",IF(AND($E2206&lt;$D$2,$G2206&lt;&gt;"X",$F2206&lt;&gt;"Réalisé",$F2206&lt;&gt;"Clôturé"),"RETARD",""))</f>
        <v/>
      </c>
      <c r="L2206">
        <f>IF(OR($B2206="",NOT(ISNUMBER($D2206))),"",IF(AND($D2206&gt;=$D$2,$D2206&lt;=$H$2,$G2206&lt;&gt;"X",$F2206&lt;&gt;"Réalisé",$F2206&lt;&gt;"Clôturé"),"≤ 7 j",""))</f>
        <v/>
      </c>
      <c r="M2206" s="29">
        <f>IF($B2206="","",IFERROR(INDEX($T$4:$T$3183,MATCH(SMALL($V$4:$V$3183,2203),$V$4:$V$3183,0)),""))</f>
        <v/>
      </c>
      <c r="O2206">
        <f>IF(INDEX(Suivi!$B:$B,2248)="","",INDEX(Suivi!$B:$B,2248))</f>
        <v/>
      </c>
      <c r="P2206">
        <f>IF($O2206="","",IF(INDEX(Suivi!$D:$D,2248)="",INDEX(Suivi!$C:$C,2248),INDEX(Suivi!$D:$D,2248)))</f>
        <v/>
      </c>
      <c r="Q2206">
        <f>IF($O2206="","",INDEX(Suivi!$E:$E,2248))</f>
        <v/>
      </c>
      <c r="R2206">
        <f>IF($O2206="","",INDEX(Suivi!$F:$F,2248))</f>
        <v/>
      </c>
      <c r="S2206">
        <f>IF($O2206="","",INDEX(Suivi!$G:$G,2248))</f>
        <v/>
      </c>
      <c r="T2206">
        <f>IF($O2206="","",IF(INDEX(Dossiers!$F$4:$F$63,42)="","",INDEX(Dossiers!$F$4:$F$63,42)))</f>
        <v/>
      </c>
      <c r="U2206">
        <f>IF($O2206="","",IF(INDEX(Dossiers!$G$4:$G$63,42)="","",INDEX(Dossiers!$G$4:$G$63,42)))</f>
        <v/>
      </c>
      <c r="V2206">
        <f>IF(OR($O2206="",NOT(ISNUMBER($Q2206))),"",$Q2206*1000000+2206)</f>
        <v/>
      </c>
      <c r="W2206" s="29">
        <f>IF($B2206="","",IFERROR(INDEX($U$4:$U$3183,MATCH(SMALL($V$4:$V$3183,2203),$V$4:$V$3183,0)),""))</f>
        <v/>
      </c>
    </row>
    <row r="2207">
      <c r="A2207">
        <f>IFERROR(INDEX($N$4:$N$3183,MATCH(SMALL($V$4:$V$3183,2204),$V$4:$V$3183,0)),"")</f>
        <v/>
      </c>
      <c r="B2207">
        <f>IFERROR(INDEX($O$4:$O$3183,MATCH(SMALL($V$4:$V$3183,2204),$V$4:$V$3183,0)),"")</f>
        <v/>
      </c>
      <c r="C2207">
        <f>IFERROR(INDEX($P$4:$P$3183,MATCH(SMALL($V$4:$V$3183,2204),$V$4:$V$3183,0)),"")</f>
        <v/>
      </c>
      <c r="D2207" s="29">
        <f>IFERROR(INDEX($Q$4:$Q$3183,MATCH(SMALL($V$4:$V$3183,2204),$V$4:$V$3183,0)),"")</f>
        <v/>
      </c>
      <c r="E2207" s="29">
        <f>IFERROR(INDEX($R$4:$R$3183,MATCH(SMALL($V$4:$V$3183,2204),$V$4:$V$3183,0)),"")</f>
        <v/>
      </c>
      <c r="F2207">
        <f>IFERROR(INDEX($S$4:$S$3183,MATCH(SMALL($V$4:$V$3183,2204),$V$4:$V$3183,0)),"")</f>
        <v/>
      </c>
      <c r="I2207" s="29">
        <f>IF($B2207="","",IFERROR(INDEX($U$4:$U$3183,MATCH(SMALL($V$4:$V$3183,2204),$V$4:$V$3183,0)),""))</f>
        <v/>
      </c>
      <c r="J2207">
        <f>IF($B2207="","",IF($D2207&gt;$F$2,"À venir",IF($E2207&lt;$D$2,"Passé","Dans la période")))</f>
        <v/>
      </c>
      <c r="K2207">
        <f>IF(OR($B2207="",NOT(ISNUMBER($D2207))),"",IF(AND($E2207&lt;$D$2,$G2207&lt;&gt;"X",$F2207&lt;&gt;"Réalisé",$F2207&lt;&gt;"Clôturé"),"RETARD",""))</f>
        <v/>
      </c>
      <c r="L2207">
        <f>IF(OR($B2207="",NOT(ISNUMBER($D2207))),"",IF(AND($D2207&gt;=$D$2,$D2207&lt;=$H$2,$G2207&lt;&gt;"X",$F2207&lt;&gt;"Réalisé",$F2207&lt;&gt;"Clôturé"),"≤ 7 j",""))</f>
        <v/>
      </c>
      <c r="M2207" s="29">
        <f>IF($B2207="","",IFERROR(INDEX($T$4:$T$3183,MATCH(SMALL($V$4:$V$3183,2204),$V$4:$V$3183,0)),""))</f>
        <v/>
      </c>
      <c r="O2207">
        <f>IF(INDEX(Suivi!$B:$B,2249)="","",INDEX(Suivi!$B:$B,2249))</f>
        <v/>
      </c>
      <c r="P2207">
        <f>IF($O2207="","",IF(INDEX(Suivi!$D:$D,2249)="",INDEX(Suivi!$C:$C,2249),INDEX(Suivi!$D:$D,2249)))</f>
        <v/>
      </c>
      <c r="Q2207">
        <f>IF($O2207="","",INDEX(Suivi!$E:$E,2249))</f>
        <v/>
      </c>
      <c r="R2207">
        <f>IF($O2207="","",INDEX(Suivi!$F:$F,2249))</f>
        <v/>
      </c>
      <c r="S2207">
        <f>IF($O2207="","",INDEX(Suivi!$G:$G,2249))</f>
        <v/>
      </c>
      <c r="T2207">
        <f>IF($O2207="","",IF(INDEX(Dossiers!$F$4:$F$63,42)="","",INDEX(Dossiers!$F$4:$F$63,42)))</f>
        <v/>
      </c>
      <c r="U2207">
        <f>IF($O2207="","",IF(INDEX(Dossiers!$G$4:$G$63,42)="","",INDEX(Dossiers!$G$4:$G$63,42)))</f>
        <v/>
      </c>
      <c r="V2207">
        <f>IF(OR($O2207="",NOT(ISNUMBER($Q2207))),"",$Q2207*1000000+2207)</f>
        <v/>
      </c>
      <c r="W2207" s="29">
        <f>IF($B2207="","",IFERROR(INDEX($U$4:$U$3183,MATCH(SMALL($V$4:$V$3183,2204),$V$4:$V$3183,0)),""))</f>
        <v/>
      </c>
    </row>
    <row r="2208">
      <c r="A2208">
        <f>IFERROR(INDEX($N$4:$N$3183,MATCH(SMALL($V$4:$V$3183,2205),$V$4:$V$3183,0)),"")</f>
        <v/>
      </c>
      <c r="B2208">
        <f>IFERROR(INDEX($O$4:$O$3183,MATCH(SMALL($V$4:$V$3183,2205),$V$4:$V$3183,0)),"")</f>
        <v/>
      </c>
      <c r="C2208">
        <f>IFERROR(INDEX($P$4:$P$3183,MATCH(SMALL($V$4:$V$3183,2205),$V$4:$V$3183,0)),"")</f>
        <v/>
      </c>
      <c r="D2208" s="29">
        <f>IFERROR(INDEX($Q$4:$Q$3183,MATCH(SMALL($V$4:$V$3183,2205),$V$4:$V$3183,0)),"")</f>
        <v/>
      </c>
      <c r="E2208" s="29">
        <f>IFERROR(INDEX($R$4:$R$3183,MATCH(SMALL($V$4:$V$3183,2205),$V$4:$V$3183,0)),"")</f>
        <v/>
      </c>
      <c r="F2208">
        <f>IFERROR(INDEX($S$4:$S$3183,MATCH(SMALL($V$4:$V$3183,2205),$V$4:$V$3183,0)),"")</f>
        <v/>
      </c>
      <c r="I2208" s="29">
        <f>IF($B2208="","",IFERROR(INDEX($U$4:$U$3183,MATCH(SMALL($V$4:$V$3183,2205),$V$4:$V$3183,0)),""))</f>
        <v/>
      </c>
      <c r="J2208">
        <f>IF($B2208="","",IF($D2208&gt;$F$2,"À venir",IF($E2208&lt;$D$2,"Passé","Dans la période")))</f>
        <v/>
      </c>
      <c r="K2208">
        <f>IF(OR($B2208="",NOT(ISNUMBER($D2208))),"",IF(AND($E2208&lt;$D$2,$G2208&lt;&gt;"X",$F2208&lt;&gt;"Réalisé",$F2208&lt;&gt;"Clôturé"),"RETARD",""))</f>
        <v/>
      </c>
      <c r="L2208">
        <f>IF(OR($B2208="",NOT(ISNUMBER($D2208))),"",IF(AND($D2208&gt;=$D$2,$D2208&lt;=$H$2,$G2208&lt;&gt;"X",$F2208&lt;&gt;"Réalisé",$F2208&lt;&gt;"Clôturé"),"≤ 7 j",""))</f>
        <v/>
      </c>
      <c r="M2208" s="29">
        <f>IF($B2208="","",IFERROR(INDEX($T$4:$T$3183,MATCH(SMALL($V$4:$V$3183,2205),$V$4:$V$3183,0)),""))</f>
        <v/>
      </c>
      <c r="O2208">
        <f>IF(INDEX(Suivi!$B:$B,2250)="","",INDEX(Suivi!$B:$B,2250))</f>
        <v/>
      </c>
      <c r="P2208">
        <f>IF($O2208="","",IF(INDEX(Suivi!$D:$D,2250)="",INDEX(Suivi!$C:$C,2250),INDEX(Suivi!$D:$D,2250)))</f>
        <v/>
      </c>
      <c r="Q2208">
        <f>IF($O2208="","",INDEX(Suivi!$E:$E,2250))</f>
        <v/>
      </c>
      <c r="R2208">
        <f>IF($O2208="","",INDEX(Suivi!$F:$F,2250))</f>
        <v/>
      </c>
      <c r="S2208">
        <f>IF($O2208="","",INDEX(Suivi!$G:$G,2250))</f>
        <v/>
      </c>
      <c r="T2208">
        <f>IF($O2208="","",IF(INDEX(Dossiers!$F$4:$F$63,42)="","",INDEX(Dossiers!$F$4:$F$63,42)))</f>
        <v/>
      </c>
      <c r="U2208">
        <f>IF($O2208="","",IF(INDEX(Dossiers!$G$4:$G$63,42)="","",INDEX(Dossiers!$G$4:$G$63,42)))</f>
        <v/>
      </c>
      <c r="V2208">
        <f>IF(OR($O2208="",NOT(ISNUMBER($Q2208))),"",$Q2208*1000000+2208)</f>
        <v/>
      </c>
      <c r="W2208" s="29">
        <f>IF($B2208="","",IFERROR(INDEX($U$4:$U$3183,MATCH(SMALL($V$4:$V$3183,2205),$V$4:$V$3183,0)),""))</f>
        <v/>
      </c>
    </row>
    <row r="2209">
      <c r="A2209">
        <f>IFERROR(INDEX($N$4:$N$3183,MATCH(SMALL($V$4:$V$3183,2206),$V$4:$V$3183,0)),"")</f>
        <v/>
      </c>
      <c r="B2209">
        <f>IFERROR(INDEX($O$4:$O$3183,MATCH(SMALL($V$4:$V$3183,2206),$V$4:$V$3183,0)),"")</f>
        <v/>
      </c>
      <c r="C2209">
        <f>IFERROR(INDEX($P$4:$P$3183,MATCH(SMALL($V$4:$V$3183,2206),$V$4:$V$3183,0)),"")</f>
        <v/>
      </c>
      <c r="D2209" s="29">
        <f>IFERROR(INDEX($Q$4:$Q$3183,MATCH(SMALL($V$4:$V$3183,2206),$V$4:$V$3183,0)),"")</f>
        <v/>
      </c>
      <c r="E2209" s="29">
        <f>IFERROR(INDEX($R$4:$R$3183,MATCH(SMALL($V$4:$V$3183,2206),$V$4:$V$3183,0)),"")</f>
        <v/>
      </c>
      <c r="F2209">
        <f>IFERROR(INDEX($S$4:$S$3183,MATCH(SMALL($V$4:$V$3183,2206),$V$4:$V$3183,0)),"")</f>
        <v/>
      </c>
      <c r="I2209" s="29">
        <f>IF($B2209="","",IFERROR(INDEX($U$4:$U$3183,MATCH(SMALL($V$4:$V$3183,2206),$V$4:$V$3183,0)),""))</f>
        <v/>
      </c>
      <c r="J2209">
        <f>IF($B2209="","",IF($D2209&gt;$F$2,"À venir",IF($E2209&lt;$D$2,"Passé","Dans la période")))</f>
        <v/>
      </c>
      <c r="K2209">
        <f>IF(OR($B2209="",NOT(ISNUMBER($D2209))),"",IF(AND($E2209&lt;$D$2,$G2209&lt;&gt;"X",$F2209&lt;&gt;"Réalisé",$F2209&lt;&gt;"Clôturé"),"RETARD",""))</f>
        <v/>
      </c>
      <c r="L2209">
        <f>IF(OR($B2209="",NOT(ISNUMBER($D2209))),"",IF(AND($D2209&gt;=$D$2,$D2209&lt;=$H$2,$G2209&lt;&gt;"X",$F2209&lt;&gt;"Réalisé",$F2209&lt;&gt;"Clôturé"),"≤ 7 j",""))</f>
        <v/>
      </c>
      <c r="M2209" s="29">
        <f>IF($B2209="","",IFERROR(INDEX($T$4:$T$3183,MATCH(SMALL($V$4:$V$3183,2206),$V$4:$V$3183,0)),""))</f>
        <v/>
      </c>
      <c r="O2209">
        <f>IF(INDEX(Suivi!$B:$B,2251)="","",INDEX(Suivi!$B:$B,2251))</f>
        <v/>
      </c>
      <c r="P2209">
        <f>IF($O2209="","",IF(INDEX(Suivi!$D:$D,2251)="",INDEX(Suivi!$C:$C,2251),INDEX(Suivi!$D:$D,2251)))</f>
        <v/>
      </c>
      <c r="Q2209">
        <f>IF($O2209="","",INDEX(Suivi!$E:$E,2251))</f>
        <v/>
      </c>
      <c r="R2209">
        <f>IF($O2209="","",INDEX(Suivi!$F:$F,2251))</f>
        <v/>
      </c>
      <c r="S2209">
        <f>IF($O2209="","",INDEX(Suivi!$G:$G,2251))</f>
        <v/>
      </c>
      <c r="T2209">
        <f>IF($O2209="","",IF(INDEX(Dossiers!$F$4:$F$63,42)="","",INDEX(Dossiers!$F$4:$F$63,42)))</f>
        <v/>
      </c>
      <c r="U2209">
        <f>IF($O2209="","",IF(INDEX(Dossiers!$G$4:$G$63,42)="","",INDEX(Dossiers!$G$4:$G$63,42)))</f>
        <v/>
      </c>
      <c r="V2209">
        <f>IF(OR($O2209="",NOT(ISNUMBER($Q2209))),"",$Q2209*1000000+2209)</f>
        <v/>
      </c>
      <c r="W2209" s="29">
        <f>IF($B2209="","",IFERROR(INDEX($U$4:$U$3183,MATCH(SMALL($V$4:$V$3183,2206),$V$4:$V$3183,0)),""))</f>
        <v/>
      </c>
    </row>
    <row r="2210">
      <c r="A2210">
        <f>IFERROR(INDEX($N$4:$N$3183,MATCH(SMALL($V$4:$V$3183,2207),$V$4:$V$3183,0)),"")</f>
        <v/>
      </c>
      <c r="B2210">
        <f>IFERROR(INDEX($O$4:$O$3183,MATCH(SMALL($V$4:$V$3183,2207),$V$4:$V$3183,0)),"")</f>
        <v/>
      </c>
      <c r="C2210">
        <f>IFERROR(INDEX($P$4:$P$3183,MATCH(SMALL($V$4:$V$3183,2207),$V$4:$V$3183,0)),"")</f>
        <v/>
      </c>
      <c r="D2210" s="29">
        <f>IFERROR(INDEX($Q$4:$Q$3183,MATCH(SMALL($V$4:$V$3183,2207),$V$4:$V$3183,0)),"")</f>
        <v/>
      </c>
      <c r="E2210" s="29">
        <f>IFERROR(INDEX($R$4:$R$3183,MATCH(SMALL($V$4:$V$3183,2207),$V$4:$V$3183,0)),"")</f>
        <v/>
      </c>
      <c r="F2210">
        <f>IFERROR(INDEX($S$4:$S$3183,MATCH(SMALL($V$4:$V$3183,2207),$V$4:$V$3183,0)),"")</f>
        <v/>
      </c>
      <c r="I2210" s="29">
        <f>IF($B2210="","",IFERROR(INDEX($U$4:$U$3183,MATCH(SMALL($V$4:$V$3183,2207),$V$4:$V$3183,0)),""))</f>
        <v/>
      </c>
      <c r="J2210">
        <f>IF($B2210="","",IF($D2210&gt;$F$2,"À venir",IF($E2210&lt;$D$2,"Passé","Dans la période")))</f>
        <v/>
      </c>
      <c r="K2210">
        <f>IF(OR($B2210="",NOT(ISNUMBER($D2210))),"",IF(AND($E2210&lt;$D$2,$G2210&lt;&gt;"X",$F2210&lt;&gt;"Réalisé",$F2210&lt;&gt;"Clôturé"),"RETARD",""))</f>
        <v/>
      </c>
      <c r="L2210">
        <f>IF(OR($B2210="",NOT(ISNUMBER($D2210))),"",IF(AND($D2210&gt;=$D$2,$D2210&lt;=$H$2,$G2210&lt;&gt;"X",$F2210&lt;&gt;"Réalisé",$F2210&lt;&gt;"Clôturé"),"≤ 7 j",""))</f>
        <v/>
      </c>
      <c r="M2210" s="29">
        <f>IF($B2210="","",IFERROR(INDEX($T$4:$T$3183,MATCH(SMALL($V$4:$V$3183,2207),$V$4:$V$3183,0)),""))</f>
        <v/>
      </c>
      <c r="O2210">
        <f>IF(INDEX(Suivi!$B:$B,2252)="","",INDEX(Suivi!$B:$B,2252))</f>
        <v/>
      </c>
      <c r="P2210">
        <f>IF($O2210="","",IF(INDEX(Suivi!$D:$D,2252)="",INDEX(Suivi!$C:$C,2252),INDEX(Suivi!$D:$D,2252)))</f>
        <v/>
      </c>
      <c r="Q2210">
        <f>IF($O2210="","",INDEX(Suivi!$E:$E,2252))</f>
        <v/>
      </c>
      <c r="R2210">
        <f>IF($O2210="","",INDEX(Suivi!$F:$F,2252))</f>
        <v/>
      </c>
      <c r="S2210">
        <f>IF($O2210="","",INDEX(Suivi!$G:$G,2252))</f>
        <v/>
      </c>
      <c r="T2210">
        <f>IF($O2210="","",IF(INDEX(Dossiers!$F$4:$F$63,42)="","",INDEX(Dossiers!$F$4:$F$63,42)))</f>
        <v/>
      </c>
      <c r="U2210">
        <f>IF($O2210="","",IF(INDEX(Dossiers!$G$4:$G$63,42)="","",INDEX(Dossiers!$G$4:$G$63,42)))</f>
        <v/>
      </c>
      <c r="V2210">
        <f>IF(OR($O2210="",NOT(ISNUMBER($Q2210))),"",$Q2210*1000000+2210)</f>
        <v/>
      </c>
      <c r="W2210" s="29">
        <f>IF($B2210="","",IFERROR(INDEX($U$4:$U$3183,MATCH(SMALL($V$4:$V$3183,2207),$V$4:$V$3183,0)),""))</f>
        <v/>
      </c>
    </row>
    <row r="2211">
      <c r="A2211">
        <f>IFERROR(INDEX($N$4:$N$3183,MATCH(SMALL($V$4:$V$3183,2208),$V$4:$V$3183,0)),"")</f>
        <v/>
      </c>
      <c r="B2211">
        <f>IFERROR(INDEX($O$4:$O$3183,MATCH(SMALL($V$4:$V$3183,2208),$V$4:$V$3183,0)),"")</f>
        <v/>
      </c>
      <c r="C2211">
        <f>IFERROR(INDEX($P$4:$P$3183,MATCH(SMALL($V$4:$V$3183,2208),$V$4:$V$3183,0)),"")</f>
        <v/>
      </c>
      <c r="D2211" s="29">
        <f>IFERROR(INDEX($Q$4:$Q$3183,MATCH(SMALL($V$4:$V$3183,2208),$V$4:$V$3183,0)),"")</f>
        <v/>
      </c>
      <c r="E2211" s="29">
        <f>IFERROR(INDEX($R$4:$R$3183,MATCH(SMALL($V$4:$V$3183,2208),$V$4:$V$3183,0)),"")</f>
        <v/>
      </c>
      <c r="F2211">
        <f>IFERROR(INDEX($S$4:$S$3183,MATCH(SMALL($V$4:$V$3183,2208),$V$4:$V$3183,0)),"")</f>
        <v/>
      </c>
      <c r="I2211" s="29">
        <f>IF($B2211="","",IFERROR(INDEX($U$4:$U$3183,MATCH(SMALL($V$4:$V$3183,2208),$V$4:$V$3183,0)),""))</f>
        <v/>
      </c>
      <c r="J2211">
        <f>IF($B2211="","",IF($D2211&gt;$F$2,"À venir",IF($E2211&lt;$D$2,"Passé","Dans la période")))</f>
        <v/>
      </c>
      <c r="K2211">
        <f>IF(OR($B2211="",NOT(ISNUMBER($D2211))),"",IF(AND($E2211&lt;$D$2,$G2211&lt;&gt;"X",$F2211&lt;&gt;"Réalisé",$F2211&lt;&gt;"Clôturé"),"RETARD",""))</f>
        <v/>
      </c>
      <c r="L2211">
        <f>IF(OR($B2211="",NOT(ISNUMBER($D2211))),"",IF(AND($D2211&gt;=$D$2,$D2211&lt;=$H$2,$G2211&lt;&gt;"X",$F2211&lt;&gt;"Réalisé",$F2211&lt;&gt;"Clôturé"),"≤ 7 j",""))</f>
        <v/>
      </c>
      <c r="M2211" s="29">
        <f>IF($B2211="","",IFERROR(INDEX($T$4:$T$3183,MATCH(SMALL($V$4:$V$3183,2208),$V$4:$V$3183,0)),""))</f>
        <v/>
      </c>
      <c r="O2211">
        <f>IF(INDEX(Suivi!$B:$B,2253)="","",INDEX(Suivi!$B:$B,2253))</f>
        <v/>
      </c>
      <c r="P2211">
        <f>IF($O2211="","",IF(INDEX(Suivi!$D:$D,2253)="",INDEX(Suivi!$C:$C,2253),INDEX(Suivi!$D:$D,2253)))</f>
        <v/>
      </c>
      <c r="Q2211">
        <f>IF($O2211="","",INDEX(Suivi!$E:$E,2253))</f>
        <v/>
      </c>
      <c r="R2211">
        <f>IF($O2211="","",INDEX(Suivi!$F:$F,2253))</f>
        <v/>
      </c>
      <c r="S2211">
        <f>IF($O2211="","",INDEX(Suivi!$G:$G,2253))</f>
        <v/>
      </c>
      <c r="T2211">
        <f>IF($O2211="","",IF(INDEX(Dossiers!$F$4:$F$63,42)="","",INDEX(Dossiers!$F$4:$F$63,42)))</f>
        <v/>
      </c>
      <c r="U2211">
        <f>IF($O2211="","",IF(INDEX(Dossiers!$G$4:$G$63,42)="","",INDEX(Dossiers!$G$4:$G$63,42)))</f>
        <v/>
      </c>
      <c r="V2211">
        <f>IF(OR($O2211="",NOT(ISNUMBER($Q2211))),"",$Q2211*1000000+2211)</f>
        <v/>
      </c>
      <c r="W2211" s="29">
        <f>IF($B2211="","",IFERROR(INDEX($U$4:$U$3183,MATCH(SMALL($V$4:$V$3183,2208),$V$4:$V$3183,0)),""))</f>
        <v/>
      </c>
    </row>
    <row r="2212">
      <c r="A2212">
        <f>IFERROR(INDEX($N$4:$N$3183,MATCH(SMALL($V$4:$V$3183,2209),$V$4:$V$3183,0)),"")</f>
        <v/>
      </c>
      <c r="B2212">
        <f>IFERROR(INDEX($O$4:$O$3183,MATCH(SMALL($V$4:$V$3183,2209),$V$4:$V$3183,0)),"")</f>
        <v/>
      </c>
      <c r="C2212">
        <f>IFERROR(INDEX($P$4:$P$3183,MATCH(SMALL($V$4:$V$3183,2209),$V$4:$V$3183,0)),"")</f>
        <v/>
      </c>
      <c r="D2212" s="29">
        <f>IFERROR(INDEX($Q$4:$Q$3183,MATCH(SMALL($V$4:$V$3183,2209),$V$4:$V$3183,0)),"")</f>
        <v/>
      </c>
      <c r="E2212" s="29">
        <f>IFERROR(INDEX($R$4:$R$3183,MATCH(SMALL($V$4:$V$3183,2209),$V$4:$V$3183,0)),"")</f>
        <v/>
      </c>
      <c r="F2212">
        <f>IFERROR(INDEX($S$4:$S$3183,MATCH(SMALL($V$4:$V$3183,2209),$V$4:$V$3183,0)),"")</f>
        <v/>
      </c>
      <c r="I2212" s="29">
        <f>IF($B2212="","",IFERROR(INDEX($U$4:$U$3183,MATCH(SMALL($V$4:$V$3183,2209),$V$4:$V$3183,0)),""))</f>
        <v/>
      </c>
      <c r="J2212">
        <f>IF($B2212="","",IF($D2212&gt;$F$2,"À venir",IF($E2212&lt;$D$2,"Passé","Dans la période")))</f>
        <v/>
      </c>
      <c r="K2212">
        <f>IF(OR($B2212="",NOT(ISNUMBER($D2212))),"",IF(AND($E2212&lt;$D$2,$G2212&lt;&gt;"X",$F2212&lt;&gt;"Réalisé",$F2212&lt;&gt;"Clôturé"),"RETARD",""))</f>
        <v/>
      </c>
      <c r="L2212">
        <f>IF(OR($B2212="",NOT(ISNUMBER($D2212))),"",IF(AND($D2212&gt;=$D$2,$D2212&lt;=$H$2,$G2212&lt;&gt;"X",$F2212&lt;&gt;"Réalisé",$F2212&lt;&gt;"Clôturé"),"≤ 7 j",""))</f>
        <v/>
      </c>
      <c r="M2212" s="29">
        <f>IF($B2212="","",IFERROR(INDEX($T$4:$T$3183,MATCH(SMALL($V$4:$V$3183,2209),$V$4:$V$3183,0)),""))</f>
        <v/>
      </c>
      <c r="O2212">
        <f>IF(INDEX(Suivi!$B:$B,2254)="","",INDEX(Suivi!$B:$B,2254))</f>
        <v/>
      </c>
      <c r="P2212">
        <f>IF($O2212="","",IF(INDEX(Suivi!$D:$D,2254)="",INDEX(Suivi!$C:$C,2254),INDEX(Suivi!$D:$D,2254)))</f>
        <v/>
      </c>
      <c r="Q2212">
        <f>IF($O2212="","",INDEX(Suivi!$E:$E,2254))</f>
        <v/>
      </c>
      <c r="R2212">
        <f>IF($O2212="","",INDEX(Suivi!$F:$F,2254))</f>
        <v/>
      </c>
      <c r="S2212">
        <f>IF($O2212="","",INDEX(Suivi!$G:$G,2254))</f>
        <v/>
      </c>
      <c r="T2212">
        <f>IF($O2212="","",IF(INDEX(Dossiers!$F$4:$F$63,42)="","",INDEX(Dossiers!$F$4:$F$63,42)))</f>
        <v/>
      </c>
      <c r="U2212">
        <f>IF($O2212="","",IF(INDEX(Dossiers!$G$4:$G$63,42)="","",INDEX(Dossiers!$G$4:$G$63,42)))</f>
        <v/>
      </c>
      <c r="V2212">
        <f>IF(OR($O2212="",NOT(ISNUMBER($Q2212))),"",$Q2212*1000000+2212)</f>
        <v/>
      </c>
      <c r="W2212" s="29">
        <f>IF($B2212="","",IFERROR(INDEX($U$4:$U$3183,MATCH(SMALL($V$4:$V$3183,2209),$V$4:$V$3183,0)),""))</f>
        <v/>
      </c>
    </row>
    <row r="2213">
      <c r="A2213">
        <f>IFERROR(INDEX($N$4:$N$3183,MATCH(SMALL($V$4:$V$3183,2210),$V$4:$V$3183,0)),"")</f>
        <v/>
      </c>
      <c r="B2213">
        <f>IFERROR(INDEX($O$4:$O$3183,MATCH(SMALL($V$4:$V$3183,2210),$V$4:$V$3183,0)),"")</f>
        <v/>
      </c>
      <c r="C2213">
        <f>IFERROR(INDEX($P$4:$P$3183,MATCH(SMALL($V$4:$V$3183,2210),$V$4:$V$3183,0)),"")</f>
        <v/>
      </c>
      <c r="D2213" s="29">
        <f>IFERROR(INDEX($Q$4:$Q$3183,MATCH(SMALL($V$4:$V$3183,2210),$V$4:$V$3183,0)),"")</f>
        <v/>
      </c>
      <c r="E2213" s="29">
        <f>IFERROR(INDEX($R$4:$R$3183,MATCH(SMALL($V$4:$V$3183,2210),$V$4:$V$3183,0)),"")</f>
        <v/>
      </c>
      <c r="F2213">
        <f>IFERROR(INDEX($S$4:$S$3183,MATCH(SMALL($V$4:$V$3183,2210),$V$4:$V$3183,0)),"")</f>
        <v/>
      </c>
      <c r="I2213" s="29">
        <f>IF($B2213="","",IFERROR(INDEX($U$4:$U$3183,MATCH(SMALL($V$4:$V$3183,2210),$V$4:$V$3183,0)),""))</f>
        <v/>
      </c>
      <c r="J2213">
        <f>IF($B2213="","",IF($D2213&gt;$F$2,"À venir",IF($E2213&lt;$D$2,"Passé","Dans la période")))</f>
        <v/>
      </c>
      <c r="K2213">
        <f>IF(OR($B2213="",NOT(ISNUMBER($D2213))),"",IF(AND($E2213&lt;$D$2,$G2213&lt;&gt;"X",$F2213&lt;&gt;"Réalisé",$F2213&lt;&gt;"Clôturé"),"RETARD",""))</f>
        <v/>
      </c>
      <c r="L2213">
        <f>IF(OR($B2213="",NOT(ISNUMBER($D2213))),"",IF(AND($D2213&gt;=$D$2,$D2213&lt;=$H$2,$G2213&lt;&gt;"X",$F2213&lt;&gt;"Réalisé",$F2213&lt;&gt;"Clôturé"),"≤ 7 j",""))</f>
        <v/>
      </c>
      <c r="M2213" s="29">
        <f>IF($B2213="","",IFERROR(INDEX($T$4:$T$3183,MATCH(SMALL($V$4:$V$3183,2210),$V$4:$V$3183,0)),""))</f>
        <v/>
      </c>
      <c r="O2213">
        <f>IF(INDEX(Suivi!$B:$B,2255)="","",INDEX(Suivi!$B:$B,2255))</f>
        <v/>
      </c>
      <c r="P2213">
        <f>IF($O2213="","",IF(INDEX(Suivi!$D:$D,2255)="",INDEX(Suivi!$C:$C,2255),INDEX(Suivi!$D:$D,2255)))</f>
        <v/>
      </c>
      <c r="Q2213">
        <f>IF($O2213="","",INDEX(Suivi!$E:$E,2255))</f>
        <v/>
      </c>
      <c r="R2213">
        <f>IF($O2213="","",INDEX(Suivi!$F:$F,2255))</f>
        <v/>
      </c>
      <c r="S2213">
        <f>IF($O2213="","",INDEX(Suivi!$G:$G,2255))</f>
        <v/>
      </c>
      <c r="T2213">
        <f>IF($O2213="","",IF(INDEX(Dossiers!$F$4:$F$63,42)="","",INDEX(Dossiers!$F$4:$F$63,42)))</f>
        <v/>
      </c>
      <c r="U2213">
        <f>IF($O2213="","",IF(INDEX(Dossiers!$G$4:$G$63,42)="","",INDEX(Dossiers!$G$4:$G$63,42)))</f>
        <v/>
      </c>
      <c r="V2213">
        <f>IF(OR($O2213="",NOT(ISNUMBER($Q2213))),"",$Q2213*1000000+2213)</f>
        <v/>
      </c>
      <c r="W2213" s="29">
        <f>IF($B2213="","",IFERROR(INDEX($U$4:$U$3183,MATCH(SMALL($V$4:$V$3183,2210),$V$4:$V$3183,0)),""))</f>
        <v/>
      </c>
    </row>
    <row r="2214">
      <c r="A2214">
        <f>IFERROR(INDEX($N$4:$N$3183,MATCH(SMALL($V$4:$V$3183,2211),$V$4:$V$3183,0)),"")</f>
        <v/>
      </c>
      <c r="B2214">
        <f>IFERROR(INDEX($O$4:$O$3183,MATCH(SMALL($V$4:$V$3183,2211),$V$4:$V$3183,0)),"")</f>
        <v/>
      </c>
      <c r="C2214">
        <f>IFERROR(INDEX($P$4:$P$3183,MATCH(SMALL($V$4:$V$3183,2211),$V$4:$V$3183,0)),"")</f>
        <v/>
      </c>
      <c r="D2214" s="29">
        <f>IFERROR(INDEX($Q$4:$Q$3183,MATCH(SMALL($V$4:$V$3183,2211),$V$4:$V$3183,0)),"")</f>
        <v/>
      </c>
      <c r="E2214" s="29">
        <f>IFERROR(INDEX($R$4:$R$3183,MATCH(SMALL($V$4:$V$3183,2211),$V$4:$V$3183,0)),"")</f>
        <v/>
      </c>
      <c r="F2214">
        <f>IFERROR(INDEX($S$4:$S$3183,MATCH(SMALL($V$4:$V$3183,2211),$V$4:$V$3183,0)),"")</f>
        <v/>
      </c>
      <c r="I2214" s="29">
        <f>IF($B2214="","",IFERROR(INDEX($U$4:$U$3183,MATCH(SMALL($V$4:$V$3183,2211),$V$4:$V$3183,0)),""))</f>
        <v/>
      </c>
      <c r="J2214">
        <f>IF($B2214="","",IF($D2214&gt;$F$2,"À venir",IF($E2214&lt;$D$2,"Passé","Dans la période")))</f>
        <v/>
      </c>
      <c r="K2214">
        <f>IF(OR($B2214="",NOT(ISNUMBER($D2214))),"",IF(AND($E2214&lt;$D$2,$G2214&lt;&gt;"X",$F2214&lt;&gt;"Réalisé",$F2214&lt;&gt;"Clôturé"),"RETARD",""))</f>
        <v/>
      </c>
      <c r="L2214">
        <f>IF(OR($B2214="",NOT(ISNUMBER($D2214))),"",IF(AND($D2214&gt;=$D$2,$D2214&lt;=$H$2,$G2214&lt;&gt;"X",$F2214&lt;&gt;"Réalisé",$F2214&lt;&gt;"Clôturé"),"≤ 7 j",""))</f>
        <v/>
      </c>
      <c r="M2214" s="29">
        <f>IF($B2214="","",IFERROR(INDEX($T$4:$T$3183,MATCH(SMALL($V$4:$V$3183,2211),$V$4:$V$3183,0)),""))</f>
        <v/>
      </c>
      <c r="O2214">
        <f>IF(INDEX(Suivi!$B:$B,2256)="","",INDEX(Suivi!$B:$B,2256))</f>
        <v/>
      </c>
      <c r="P2214">
        <f>IF($O2214="","",IF(INDEX(Suivi!$D:$D,2256)="",INDEX(Suivi!$C:$C,2256),INDEX(Suivi!$D:$D,2256)))</f>
        <v/>
      </c>
      <c r="Q2214">
        <f>IF($O2214="","",INDEX(Suivi!$E:$E,2256))</f>
        <v/>
      </c>
      <c r="R2214">
        <f>IF($O2214="","",INDEX(Suivi!$F:$F,2256))</f>
        <v/>
      </c>
      <c r="S2214">
        <f>IF($O2214="","",INDEX(Suivi!$G:$G,2256))</f>
        <v/>
      </c>
      <c r="T2214">
        <f>IF($O2214="","",IF(INDEX(Dossiers!$F$4:$F$63,42)="","",INDEX(Dossiers!$F$4:$F$63,42)))</f>
        <v/>
      </c>
      <c r="U2214">
        <f>IF($O2214="","",IF(INDEX(Dossiers!$G$4:$G$63,42)="","",INDEX(Dossiers!$G$4:$G$63,42)))</f>
        <v/>
      </c>
      <c r="V2214">
        <f>IF(OR($O2214="",NOT(ISNUMBER($Q2214))),"",$Q2214*1000000+2214)</f>
        <v/>
      </c>
      <c r="W2214" s="29">
        <f>IF($B2214="","",IFERROR(INDEX($U$4:$U$3183,MATCH(SMALL($V$4:$V$3183,2211),$V$4:$V$3183,0)),""))</f>
        <v/>
      </c>
    </row>
    <row r="2215">
      <c r="A2215">
        <f>IFERROR(INDEX($N$4:$N$3183,MATCH(SMALL($V$4:$V$3183,2212),$V$4:$V$3183,0)),"")</f>
        <v/>
      </c>
      <c r="B2215">
        <f>IFERROR(INDEX($O$4:$O$3183,MATCH(SMALL($V$4:$V$3183,2212),$V$4:$V$3183,0)),"")</f>
        <v/>
      </c>
      <c r="C2215">
        <f>IFERROR(INDEX($P$4:$P$3183,MATCH(SMALL($V$4:$V$3183,2212),$V$4:$V$3183,0)),"")</f>
        <v/>
      </c>
      <c r="D2215" s="29">
        <f>IFERROR(INDEX($Q$4:$Q$3183,MATCH(SMALL($V$4:$V$3183,2212),$V$4:$V$3183,0)),"")</f>
        <v/>
      </c>
      <c r="E2215" s="29">
        <f>IFERROR(INDEX($R$4:$R$3183,MATCH(SMALL($V$4:$V$3183,2212),$V$4:$V$3183,0)),"")</f>
        <v/>
      </c>
      <c r="F2215">
        <f>IFERROR(INDEX($S$4:$S$3183,MATCH(SMALL($V$4:$V$3183,2212),$V$4:$V$3183,0)),"")</f>
        <v/>
      </c>
      <c r="I2215" s="29">
        <f>IF($B2215="","",IFERROR(INDEX($U$4:$U$3183,MATCH(SMALL($V$4:$V$3183,2212),$V$4:$V$3183,0)),""))</f>
        <v/>
      </c>
      <c r="J2215">
        <f>IF($B2215="","",IF($D2215&gt;$F$2,"À venir",IF($E2215&lt;$D$2,"Passé","Dans la période")))</f>
        <v/>
      </c>
      <c r="K2215">
        <f>IF(OR($B2215="",NOT(ISNUMBER($D2215))),"",IF(AND($E2215&lt;$D$2,$G2215&lt;&gt;"X",$F2215&lt;&gt;"Réalisé",$F2215&lt;&gt;"Clôturé"),"RETARD",""))</f>
        <v/>
      </c>
      <c r="L2215">
        <f>IF(OR($B2215="",NOT(ISNUMBER($D2215))),"",IF(AND($D2215&gt;=$D$2,$D2215&lt;=$H$2,$G2215&lt;&gt;"X",$F2215&lt;&gt;"Réalisé",$F2215&lt;&gt;"Clôturé"),"≤ 7 j",""))</f>
        <v/>
      </c>
      <c r="M2215" s="29">
        <f>IF($B2215="","",IFERROR(INDEX($T$4:$T$3183,MATCH(SMALL($V$4:$V$3183,2212),$V$4:$V$3183,0)),""))</f>
        <v/>
      </c>
      <c r="O2215">
        <f>IF(INDEX(Suivi!$B:$B,2257)="","",INDEX(Suivi!$B:$B,2257))</f>
        <v/>
      </c>
      <c r="P2215">
        <f>IF($O2215="","",IF(INDEX(Suivi!$D:$D,2257)="",INDEX(Suivi!$C:$C,2257),INDEX(Suivi!$D:$D,2257)))</f>
        <v/>
      </c>
      <c r="Q2215">
        <f>IF($O2215="","",INDEX(Suivi!$E:$E,2257))</f>
        <v/>
      </c>
      <c r="R2215">
        <f>IF($O2215="","",INDEX(Suivi!$F:$F,2257))</f>
        <v/>
      </c>
      <c r="S2215">
        <f>IF($O2215="","",INDEX(Suivi!$G:$G,2257))</f>
        <v/>
      </c>
      <c r="T2215">
        <f>IF($O2215="","",IF(INDEX(Dossiers!$F$4:$F$63,42)="","",INDEX(Dossiers!$F$4:$F$63,42)))</f>
        <v/>
      </c>
      <c r="U2215">
        <f>IF($O2215="","",IF(INDEX(Dossiers!$G$4:$G$63,42)="","",INDEX(Dossiers!$G$4:$G$63,42)))</f>
        <v/>
      </c>
      <c r="V2215">
        <f>IF(OR($O2215="",NOT(ISNUMBER($Q2215))),"",$Q2215*1000000+2215)</f>
        <v/>
      </c>
      <c r="W2215" s="29">
        <f>IF($B2215="","",IFERROR(INDEX($U$4:$U$3183,MATCH(SMALL($V$4:$V$3183,2212),$V$4:$V$3183,0)),""))</f>
        <v/>
      </c>
    </row>
    <row r="2216">
      <c r="A2216">
        <f>IFERROR(INDEX($N$4:$N$3183,MATCH(SMALL($V$4:$V$3183,2213),$V$4:$V$3183,0)),"")</f>
        <v/>
      </c>
      <c r="B2216">
        <f>IFERROR(INDEX($O$4:$O$3183,MATCH(SMALL($V$4:$V$3183,2213),$V$4:$V$3183,0)),"")</f>
        <v/>
      </c>
      <c r="C2216">
        <f>IFERROR(INDEX($P$4:$P$3183,MATCH(SMALL($V$4:$V$3183,2213),$V$4:$V$3183,0)),"")</f>
        <v/>
      </c>
      <c r="D2216" s="29">
        <f>IFERROR(INDEX($Q$4:$Q$3183,MATCH(SMALL($V$4:$V$3183,2213),$V$4:$V$3183,0)),"")</f>
        <v/>
      </c>
      <c r="E2216" s="29">
        <f>IFERROR(INDEX($R$4:$R$3183,MATCH(SMALL($V$4:$V$3183,2213),$V$4:$V$3183,0)),"")</f>
        <v/>
      </c>
      <c r="F2216">
        <f>IFERROR(INDEX($S$4:$S$3183,MATCH(SMALL($V$4:$V$3183,2213),$V$4:$V$3183,0)),"")</f>
        <v/>
      </c>
      <c r="I2216" s="29">
        <f>IF($B2216="","",IFERROR(INDEX($U$4:$U$3183,MATCH(SMALL($V$4:$V$3183,2213),$V$4:$V$3183,0)),""))</f>
        <v/>
      </c>
      <c r="J2216">
        <f>IF($B2216="","",IF($D2216&gt;$F$2,"À venir",IF($E2216&lt;$D$2,"Passé","Dans la période")))</f>
        <v/>
      </c>
      <c r="K2216">
        <f>IF(OR($B2216="",NOT(ISNUMBER($D2216))),"",IF(AND($E2216&lt;$D$2,$G2216&lt;&gt;"X",$F2216&lt;&gt;"Réalisé",$F2216&lt;&gt;"Clôturé"),"RETARD",""))</f>
        <v/>
      </c>
      <c r="L2216">
        <f>IF(OR($B2216="",NOT(ISNUMBER($D2216))),"",IF(AND($D2216&gt;=$D$2,$D2216&lt;=$H$2,$G2216&lt;&gt;"X",$F2216&lt;&gt;"Réalisé",$F2216&lt;&gt;"Clôturé"),"≤ 7 j",""))</f>
        <v/>
      </c>
      <c r="M2216" s="29">
        <f>IF($B2216="","",IFERROR(INDEX($T$4:$T$3183,MATCH(SMALL($V$4:$V$3183,2213),$V$4:$V$3183,0)),""))</f>
        <v/>
      </c>
      <c r="O2216">
        <f>IF(INDEX(Suivi!$B:$B,2258)="","",INDEX(Suivi!$B:$B,2258))</f>
        <v/>
      </c>
      <c r="P2216">
        <f>IF($O2216="","",IF(INDEX(Suivi!$D:$D,2258)="",INDEX(Suivi!$C:$C,2258),INDEX(Suivi!$D:$D,2258)))</f>
        <v/>
      </c>
      <c r="Q2216">
        <f>IF($O2216="","",INDEX(Suivi!$E:$E,2258))</f>
        <v/>
      </c>
      <c r="R2216">
        <f>IF($O2216="","",INDEX(Suivi!$F:$F,2258))</f>
        <v/>
      </c>
      <c r="S2216">
        <f>IF($O2216="","",INDEX(Suivi!$G:$G,2258))</f>
        <v/>
      </c>
      <c r="T2216">
        <f>IF($O2216="","",IF(INDEX(Dossiers!$F$4:$F$63,42)="","",INDEX(Dossiers!$F$4:$F$63,42)))</f>
        <v/>
      </c>
      <c r="U2216">
        <f>IF($O2216="","",IF(INDEX(Dossiers!$G$4:$G$63,42)="","",INDEX(Dossiers!$G$4:$G$63,42)))</f>
        <v/>
      </c>
      <c r="V2216">
        <f>IF(OR($O2216="",NOT(ISNUMBER($Q2216))),"",$Q2216*1000000+2216)</f>
        <v/>
      </c>
      <c r="W2216" s="29">
        <f>IF($B2216="","",IFERROR(INDEX($U$4:$U$3183,MATCH(SMALL($V$4:$V$3183,2213),$V$4:$V$3183,0)),""))</f>
        <v/>
      </c>
    </row>
    <row r="2217">
      <c r="A2217">
        <f>IFERROR(INDEX($N$4:$N$3183,MATCH(SMALL($V$4:$V$3183,2214),$V$4:$V$3183,0)),"")</f>
        <v/>
      </c>
      <c r="B2217">
        <f>IFERROR(INDEX($O$4:$O$3183,MATCH(SMALL($V$4:$V$3183,2214),$V$4:$V$3183,0)),"")</f>
        <v/>
      </c>
      <c r="C2217">
        <f>IFERROR(INDEX($P$4:$P$3183,MATCH(SMALL($V$4:$V$3183,2214),$V$4:$V$3183,0)),"")</f>
        <v/>
      </c>
      <c r="D2217" s="29">
        <f>IFERROR(INDEX($Q$4:$Q$3183,MATCH(SMALL($V$4:$V$3183,2214),$V$4:$V$3183,0)),"")</f>
        <v/>
      </c>
      <c r="E2217" s="29">
        <f>IFERROR(INDEX($R$4:$R$3183,MATCH(SMALL($V$4:$V$3183,2214),$V$4:$V$3183,0)),"")</f>
        <v/>
      </c>
      <c r="F2217">
        <f>IFERROR(INDEX($S$4:$S$3183,MATCH(SMALL($V$4:$V$3183,2214),$V$4:$V$3183,0)),"")</f>
        <v/>
      </c>
      <c r="I2217" s="29">
        <f>IF($B2217="","",IFERROR(INDEX($U$4:$U$3183,MATCH(SMALL($V$4:$V$3183,2214),$V$4:$V$3183,0)),""))</f>
        <v/>
      </c>
      <c r="J2217">
        <f>IF($B2217="","",IF($D2217&gt;$F$2,"À venir",IF($E2217&lt;$D$2,"Passé","Dans la période")))</f>
        <v/>
      </c>
      <c r="K2217">
        <f>IF(OR($B2217="",NOT(ISNUMBER($D2217))),"",IF(AND($E2217&lt;$D$2,$G2217&lt;&gt;"X",$F2217&lt;&gt;"Réalisé",$F2217&lt;&gt;"Clôturé"),"RETARD",""))</f>
        <v/>
      </c>
      <c r="L2217">
        <f>IF(OR($B2217="",NOT(ISNUMBER($D2217))),"",IF(AND($D2217&gt;=$D$2,$D2217&lt;=$H$2,$G2217&lt;&gt;"X",$F2217&lt;&gt;"Réalisé",$F2217&lt;&gt;"Clôturé"),"≤ 7 j",""))</f>
        <v/>
      </c>
      <c r="M2217" s="29">
        <f>IF($B2217="","",IFERROR(INDEX($T$4:$T$3183,MATCH(SMALL($V$4:$V$3183,2214),$V$4:$V$3183,0)),""))</f>
        <v/>
      </c>
      <c r="O2217">
        <f>IF(INDEX(Suivi!$B:$B,2259)="","",INDEX(Suivi!$B:$B,2259))</f>
        <v/>
      </c>
      <c r="P2217">
        <f>IF($O2217="","",IF(INDEX(Suivi!$D:$D,2259)="",INDEX(Suivi!$C:$C,2259),INDEX(Suivi!$D:$D,2259)))</f>
        <v/>
      </c>
      <c r="Q2217">
        <f>IF($O2217="","",INDEX(Suivi!$E:$E,2259))</f>
        <v/>
      </c>
      <c r="R2217">
        <f>IF($O2217="","",INDEX(Suivi!$F:$F,2259))</f>
        <v/>
      </c>
      <c r="S2217">
        <f>IF($O2217="","",INDEX(Suivi!$G:$G,2259))</f>
        <v/>
      </c>
      <c r="T2217">
        <f>IF($O2217="","",IF(INDEX(Dossiers!$F$4:$F$63,42)="","",INDEX(Dossiers!$F$4:$F$63,42)))</f>
        <v/>
      </c>
      <c r="U2217">
        <f>IF($O2217="","",IF(INDEX(Dossiers!$G$4:$G$63,42)="","",INDEX(Dossiers!$G$4:$G$63,42)))</f>
        <v/>
      </c>
      <c r="V2217">
        <f>IF(OR($O2217="",NOT(ISNUMBER($Q2217))),"",$Q2217*1000000+2217)</f>
        <v/>
      </c>
      <c r="W2217" s="29">
        <f>IF($B2217="","",IFERROR(INDEX($U$4:$U$3183,MATCH(SMALL($V$4:$V$3183,2214),$V$4:$V$3183,0)),""))</f>
        <v/>
      </c>
    </row>
    <row r="2218">
      <c r="A2218">
        <f>IFERROR(INDEX($N$4:$N$3183,MATCH(SMALL($V$4:$V$3183,2215),$V$4:$V$3183,0)),"")</f>
        <v/>
      </c>
      <c r="B2218">
        <f>IFERROR(INDEX($O$4:$O$3183,MATCH(SMALL($V$4:$V$3183,2215),$V$4:$V$3183,0)),"")</f>
        <v/>
      </c>
      <c r="C2218">
        <f>IFERROR(INDEX($P$4:$P$3183,MATCH(SMALL($V$4:$V$3183,2215),$V$4:$V$3183,0)),"")</f>
        <v/>
      </c>
      <c r="D2218" s="29">
        <f>IFERROR(INDEX($Q$4:$Q$3183,MATCH(SMALL($V$4:$V$3183,2215),$V$4:$V$3183,0)),"")</f>
        <v/>
      </c>
      <c r="E2218" s="29">
        <f>IFERROR(INDEX($R$4:$R$3183,MATCH(SMALL($V$4:$V$3183,2215),$V$4:$V$3183,0)),"")</f>
        <v/>
      </c>
      <c r="F2218">
        <f>IFERROR(INDEX($S$4:$S$3183,MATCH(SMALL($V$4:$V$3183,2215),$V$4:$V$3183,0)),"")</f>
        <v/>
      </c>
      <c r="I2218" s="29">
        <f>IF($B2218="","",IFERROR(INDEX($U$4:$U$3183,MATCH(SMALL($V$4:$V$3183,2215),$V$4:$V$3183,0)),""))</f>
        <v/>
      </c>
      <c r="J2218">
        <f>IF($B2218="","",IF($D2218&gt;$F$2,"À venir",IF($E2218&lt;$D$2,"Passé","Dans la période")))</f>
        <v/>
      </c>
      <c r="K2218">
        <f>IF(OR($B2218="",NOT(ISNUMBER($D2218))),"",IF(AND($E2218&lt;$D$2,$G2218&lt;&gt;"X",$F2218&lt;&gt;"Réalisé",$F2218&lt;&gt;"Clôturé"),"RETARD",""))</f>
        <v/>
      </c>
      <c r="L2218">
        <f>IF(OR($B2218="",NOT(ISNUMBER($D2218))),"",IF(AND($D2218&gt;=$D$2,$D2218&lt;=$H$2,$G2218&lt;&gt;"X",$F2218&lt;&gt;"Réalisé",$F2218&lt;&gt;"Clôturé"),"≤ 7 j",""))</f>
        <v/>
      </c>
      <c r="M2218" s="29">
        <f>IF($B2218="","",IFERROR(INDEX($T$4:$T$3183,MATCH(SMALL($V$4:$V$3183,2215),$V$4:$V$3183,0)),""))</f>
        <v/>
      </c>
      <c r="O2218">
        <f>IF(INDEX(Suivi!$B:$B,2260)="","",INDEX(Suivi!$B:$B,2260))</f>
        <v/>
      </c>
      <c r="P2218">
        <f>IF($O2218="","",IF(INDEX(Suivi!$D:$D,2260)="",INDEX(Suivi!$C:$C,2260),INDEX(Suivi!$D:$D,2260)))</f>
        <v/>
      </c>
      <c r="Q2218">
        <f>IF($O2218="","",INDEX(Suivi!$E:$E,2260))</f>
        <v/>
      </c>
      <c r="R2218">
        <f>IF($O2218="","",INDEX(Suivi!$F:$F,2260))</f>
        <v/>
      </c>
      <c r="S2218">
        <f>IF($O2218="","",INDEX(Suivi!$G:$G,2260))</f>
        <v/>
      </c>
      <c r="T2218">
        <f>IF($O2218="","",IF(INDEX(Dossiers!$F$4:$F$63,42)="","",INDEX(Dossiers!$F$4:$F$63,42)))</f>
        <v/>
      </c>
      <c r="U2218">
        <f>IF($O2218="","",IF(INDEX(Dossiers!$G$4:$G$63,42)="","",INDEX(Dossiers!$G$4:$G$63,42)))</f>
        <v/>
      </c>
      <c r="V2218">
        <f>IF(OR($O2218="",NOT(ISNUMBER($Q2218))),"",$Q2218*1000000+2218)</f>
        <v/>
      </c>
      <c r="W2218" s="29">
        <f>IF($B2218="","",IFERROR(INDEX($U$4:$U$3183,MATCH(SMALL($V$4:$V$3183,2215),$V$4:$V$3183,0)),""))</f>
        <v/>
      </c>
    </row>
    <row r="2219">
      <c r="A2219">
        <f>IFERROR(INDEX($N$4:$N$3183,MATCH(SMALL($V$4:$V$3183,2216),$V$4:$V$3183,0)),"")</f>
        <v/>
      </c>
      <c r="B2219">
        <f>IFERROR(INDEX($O$4:$O$3183,MATCH(SMALL($V$4:$V$3183,2216),$V$4:$V$3183,0)),"")</f>
        <v/>
      </c>
      <c r="C2219">
        <f>IFERROR(INDEX($P$4:$P$3183,MATCH(SMALL($V$4:$V$3183,2216),$V$4:$V$3183,0)),"")</f>
        <v/>
      </c>
      <c r="D2219" s="29">
        <f>IFERROR(INDEX($Q$4:$Q$3183,MATCH(SMALL($V$4:$V$3183,2216),$V$4:$V$3183,0)),"")</f>
        <v/>
      </c>
      <c r="E2219" s="29">
        <f>IFERROR(INDEX($R$4:$R$3183,MATCH(SMALL($V$4:$V$3183,2216),$V$4:$V$3183,0)),"")</f>
        <v/>
      </c>
      <c r="F2219">
        <f>IFERROR(INDEX($S$4:$S$3183,MATCH(SMALL($V$4:$V$3183,2216),$V$4:$V$3183,0)),"")</f>
        <v/>
      </c>
      <c r="I2219" s="29">
        <f>IF($B2219="","",IFERROR(INDEX($U$4:$U$3183,MATCH(SMALL($V$4:$V$3183,2216),$V$4:$V$3183,0)),""))</f>
        <v/>
      </c>
      <c r="J2219">
        <f>IF($B2219="","",IF($D2219&gt;$F$2,"À venir",IF($E2219&lt;$D$2,"Passé","Dans la période")))</f>
        <v/>
      </c>
      <c r="K2219">
        <f>IF(OR($B2219="",NOT(ISNUMBER($D2219))),"",IF(AND($E2219&lt;$D$2,$G2219&lt;&gt;"X",$F2219&lt;&gt;"Réalisé",$F2219&lt;&gt;"Clôturé"),"RETARD",""))</f>
        <v/>
      </c>
      <c r="L2219">
        <f>IF(OR($B2219="",NOT(ISNUMBER($D2219))),"",IF(AND($D2219&gt;=$D$2,$D2219&lt;=$H$2,$G2219&lt;&gt;"X",$F2219&lt;&gt;"Réalisé",$F2219&lt;&gt;"Clôturé"),"≤ 7 j",""))</f>
        <v/>
      </c>
      <c r="M2219" s="29">
        <f>IF($B2219="","",IFERROR(INDEX($T$4:$T$3183,MATCH(SMALL($V$4:$V$3183,2216),$V$4:$V$3183,0)),""))</f>
        <v/>
      </c>
      <c r="O2219">
        <f>IF(INDEX(Suivi!$B:$B,2261)="","",INDEX(Suivi!$B:$B,2261))</f>
        <v/>
      </c>
      <c r="P2219">
        <f>IF($O2219="","",IF(INDEX(Suivi!$D:$D,2261)="",INDEX(Suivi!$C:$C,2261),INDEX(Suivi!$D:$D,2261)))</f>
        <v/>
      </c>
      <c r="Q2219">
        <f>IF($O2219="","",INDEX(Suivi!$E:$E,2261))</f>
        <v/>
      </c>
      <c r="R2219">
        <f>IF($O2219="","",INDEX(Suivi!$F:$F,2261))</f>
        <v/>
      </c>
      <c r="S2219">
        <f>IF($O2219="","",INDEX(Suivi!$G:$G,2261))</f>
        <v/>
      </c>
      <c r="T2219">
        <f>IF($O2219="","",IF(INDEX(Dossiers!$F$4:$F$63,42)="","",INDEX(Dossiers!$F$4:$F$63,42)))</f>
        <v/>
      </c>
      <c r="U2219">
        <f>IF($O2219="","",IF(INDEX(Dossiers!$G$4:$G$63,42)="","",INDEX(Dossiers!$G$4:$G$63,42)))</f>
        <v/>
      </c>
      <c r="V2219">
        <f>IF(OR($O2219="",NOT(ISNUMBER($Q2219))),"",$Q2219*1000000+2219)</f>
        <v/>
      </c>
      <c r="W2219" s="29">
        <f>IF($B2219="","",IFERROR(INDEX($U$4:$U$3183,MATCH(SMALL($V$4:$V$3183,2216),$V$4:$V$3183,0)),""))</f>
        <v/>
      </c>
    </row>
    <row r="2220">
      <c r="A2220">
        <f>IFERROR(INDEX($N$4:$N$3183,MATCH(SMALL($V$4:$V$3183,2217),$V$4:$V$3183,0)),"")</f>
        <v/>
      </c>
      <c r="B2220">
        <f>IFERROR(INDEX($O$4:$O$3183,MATCH(SMALL($V$4:$V$3183,2217),$V$4:$V$3183,0)),"")</f>
        <v/>
      </c>
      <c r="C2220">
        <f>IFERROR(INDEX($P$4:$P$3183,MATCH(SMALL($V$4:$V$3183,2217),$V$4:$V$3183,0)),"")</f>
        <v/>
      </c>
      <c r="D2220" s="29">
        <f>IFERROR(INDEX($Q$4:$Q$3183,MATCH(SMALL($V$4:$V$3183,2217),$V$4:$V$3183,0)),"")</f>
        <v/>
      </c>
      <c r="E2220" s="29">
        <f>IFERROR(INDEX($R$4:$R$3183,MATCH(SMALL($V$4:$V$3183,2217),$V$4:$V$3183,0)),"")</f>
        <v/>
      </c>
      <c r="F2220">
        <f>IFERROR(INDEX($S$4:$S$3183,MATCH(SMALL($V$4:$V$3183,2217),$V$4:$V$3183,0)),"")</f>
        <v/>
      </c>
      <c r="I2220" s="29">
        <f>IF($B2220="","",IFERROR(INDEX($U$4:$U$3183,MATCH(SMALL($V$4:$V$3183,2217),$V$4:$V$3183,0)),""))</f>
        <v/>
      </c>
      <c r="J2220">
        <f>IF($B2220="","",IF($D2220&gt;$F$2,"À venir",IF($E2220&lt;$D$2,"Passé","Dans la période")))</f>
        <v/>
      </c>
      <c r="K2220">
        <f>IF(OR($B2220="",NOT(ISNUMBER($D2220))),"",IF(AND($E2220&lt;$D$2,$G2220&lt;&gt;"X",$F2220&lt;&gt;"Réalisé",$F2220&lt;&gt;"Clôturé"),"RETARD",""))</f>
        <v/>
      </c>
      <c r="L2220">
        <f>IF(OR($B2220="",NOT(ISNUMBER($D2220))),"",IF(AND($D2220&gt;=$D$2,$D2220&lt;=$H$2,$G2220&lt;&gt;"X",$F2220&lt;&gt;"Réalisé",$F2220&lt;&gt;"Clôturé"),"≤ 7 j",""))</f>
        <v/>
      </c>
      <c r="M2220" s="29">
        <f>IF($B2220="","",IFERROR(INDEX($T$4:$T$3183,MATCH(SMALL($V$4:$V$3183,2217),$V$4:$V$3183,0)),""))</f>
        <v/>
      </c>
      <c r="O2220">
        <f>IF(INDEX(Suivi!$B:$B,2262)="","",INDEX(Suivi!$B:$B,2262))</f>
        <v/>
      </c>
      <c r="P2220">
        <f>IF($O2220="","",IF(INDEX(Suivi!$D:$D,2262)="",INDEX(Suivi!$C:$C,2262),INDEX(Suivi!$D:$D,2262)))</f>
        <v/>
      </c>
      <c r="Q2220">
        <f>IF($O2220="","",INDEX(Suivi!$E:$E,2262))</f>
        <v/>
      </c>
      <c r="R2220">
        <f>IF($O2220="","",INDEX(Suivi!$F:$F,2262))</f>
        <v/>
      </c>
      <c r="S2220">
        <f>IF($O2220="","",INDEX(Suivi!$G:$G,2262))</f>
        <v/>
      </c>
      <c r="T2220">
        <f>IF($O2220="","",IF(INDEX(Dossiers!$F$4:$F$63,42)="","",INDEX(Dossiers!$F$4:$F$63,42)))</f>
        <v/>
      </c>
      <c r="U2220">
        <f>IF($O2220="","",IF(INDEX(Dossiers!$G$4:$G$63,42)="","",INDEX(Dossiers!$G$4:$G$63,42)))</f>
        <v/>
      </c>
      <c r="V2220">
        <f>IF(OR($O2220="",NOT(ISNUMBER($Q2220))),"",$Q2220*1000000+2220)</f>
        <v/>
      </c>
      <c r="W2220" s="29">
        <f>IF($B2220="","",IFERROR(INDEX($U$4:$U$3183,MATCH(SMALL($V$4:$V$3183,2217),$V$4:$V$3183,0)),""))</f>
        <v/>
      </c>
    </row>
    <row r="2221">
      <c r="A2221">
        <f>IFERROR(INDEX($N$4:$N$3183,MATCH(SMALL($V$4:$V$3183,2218),$V$4:$V$3183,0)),"")</f>
        <v/>
      </c>
      <c r="B2221">
        <f>IFERROR(INDEX($O$4:$O$3183,MATCH(SMALL($V$4:$V$3183,2218),$V$4:$V$3183,0)),"")</f>
        <v/>
      </c>
      <c r="C2221">
        <f>IFERROR(INDEX($P$4:$P$3183,MATCH(SMALL($V$4:$V$3183,2218),$V$4:$V$3183,0)),"")</f>
        <v/>
      </c>
      <c r="D2221" s="29">
        <f>IFERROR(INDEX($Q$4:$Q$3183,MATCH(SMALL($V$4:$V$3183,2218),$V$4:$V$3183,0)),"")</f>
        <v/>
      </c>
      <c r="E2221" s="29">
        <f>IFERROR(INDEX($R$4:$R$3183,MATCH(SMALL($V$4:$V$3183,2218),$V$4:$V$3183,0)),"")</f>
        <v/>
      </c>
      <c r="F2221">
        <f>IFERROR(INDEX($S$4:$S$3183,MATCH(SMALL($V$4:$V$3183,2218),$V$4:$V$3183,0)),"")</f>
        <v/>
      </c>
      <c r="I2221" s="29">
        <f>IF($B2221="","",IFERROR(INDEX($U$4:$U$3183,MATCH(SMALL($V$4:$V$3183,2218),$V$4:$V$3183,0)),""))</f>
        <v/>
      </c>
      <c r="J2221">
        <f>IF($B2221="","",IF($D2221&gt;$F$2,"À venir",IF($E2221&lt;$D$2,"Passé","Dans la période")))</f>
        <v/>
      </c>
      <c r="K2221">
        <f>IF(OR($B2221="",NOT(ISNUMBER($D2221))),"",IF(AND($E2221&lt;$D$2,$G2221&lt;&gt;"X",$F2221&lt;&gt;"Réalisé",$F2221&lt;&gt;"Clôturé"),"RETARD",""))</f>
        <v/>
      </c>
      <c r="L2221">
        <f>IF(OR($B2221="",NOT(ISNUMBER($D2221))),"",IF(AND($D2221&gt;=$D$2,$D2221&lt;=$H$2,$G2221&lt;&gt;"X",$F2221&lt;&gt;"Réalisé",$F2221&lt;&gt;"Clôturé"),"≤ 7 j",""))</f>
        <v/>
      </c>
      <c r="M2221" s="29">
        <f>IF($B2221="","",IFERROR(INDEX($T$4:$T$3183,MATCH(SMALL($V$4:$V$3183,2218),$V$4:$V$3183,0)),""))</f>
        <v/>
      </c>
      <c r="O2221">
        <f>IF(INDEX(Suivi!$B:$B,2263)="","",INDEX(Suivi!$B:$B,2263))</f>
        <v/>
      </c>
      <c r="P2221">
        <f>IF($O2221="","",IF(INDEX(Suivi!$D:$D,2263)="",INDEX(Suivi!$C:$C,2263),INDEX(Suivi!$D:$D,2263)))</f>
        <v/>
      </c>
      <c r="Q2221">
        <f>IF($O2221="","",INDEX(Suivi!$E:$E,2263))</f>
        <v/>
      </c>
      <c r="R2221">
        <f>IF($O2221="","",INDEX(Suivi!$F:$F,2263))</f>
        <v/>
      </c>
      <c r="S2221">
        <f>IF($O2221="","",INDEX(Suivi!$G:$G,2263))</f>
        <v/>
      </c>
      <c r="T2221">
        <f>IF($O2221="","",IF(INDEX(Dossiers!$F$4:$F$63,42)="","",INDEX(Dossiers!$F$4:$F$63,42)))</f>
        <v/>
      </c>
      <c r="U2221">
        <f>IF($O2221="","",IF(INDEX(Dossiers!$G$4:$G$63,42)="","",INDEX(Dossiers!$G$4:$G$63,42)))</f>
        <v/>
      </c>
      <c r="V2221">
        <f>IF(OR($O2221="",NOT(ISNUMBER($Q2221))),"",$Q2221*1000000+2221)</f>
        <v/>
      </c>
      <c r="W2221" s="29">
        <f>IF($B2221="","",IFERROR(INDEX($U$4:$U$3183,MATCH(SMALL($V$4:$V$3183,2218),$V$4:$V$3183,0)),""))</f>
        <v/>
      </c>
    </row>
    <row r="2222">
      <c r="A2222">
        <f>IFERROR(INDEX($N$4:$N$3183,MATCH(SMALL($V$4:$V$3183,2219),$V$4:$V$3183,0)),"")</f>
        <v/>
      </c>
      <c r="B2222">
        <f>IFERROR(INDEX($O$4:$O$3183,MATCH(SMALL($V$4:$V$3183,2219),$V$4:$V$3183,0)),"")</f>
        <v/>
      </c>
      <c r="C2222">
        <f>IFERROR(INDEX($P$4:$P$3183,MATCH(SMALL($V$4:$V$3183,2219),$V$4:$V$3183,0)),"")</f>
        <v/>
      </c>
      <c r="D2222" s="29">
        <f>IFERROR(INDEX($Q$4:$Q$3183,MATCH(SMALL($V$4:$V$3183,2219),$V$4:$V$3183,0)),"")</f>
        <v/>
      </c>
      <c r="E2222" s="29">
        <f>IFERROR(INDEX($R$4:$R$3183,MATCH(SMALL($V$4:$V$3183,2219),$V$4:$V$3183,0)),"")</f>
        <v/>
      </c>
      <c r="F2222">
        <f>IFERROR(INDEX($S$4:$S$3183,MATCH(SMALL($V$4:$V$3183,2219),$V$4:$V$3183,0)),"")</f>
        <v/>
      </c>
      <c r="I2222" s="29">
        <f>IF($B2222="","",IFERROR(INDEX($U$4:$U$3183,MATCH(SMALL($V$4:$V$3183,2219),$V$4:$V$3183,0)),""))</f>
        <v/>
      </c>
      <c r="J2222">
        <f>IF($B2222="","",IF($D2222&gt;$F$2,"À venir",IF($E2222&lt;$D$2,"Passé","Dans la période")))</f>
        <v/>
      </c>
      <c r="K2222">
        <f>IF(OR($B2222="",NOT(ISNUMBER($D2222))),"",IF(AND($E2222&lt;$D$2,$G2222&lt;&gt;"X",$F2222&lt;&gt;"Réalisé",$F2222&lt;&gt;"Clôturé"),"RETARD",""))</f>
        <v/>
      </c>
      <c r="L2222">
        <f>IF(OR($B2222="",NOT(ISNUMBER($D2222))),"",IF(AND($D2222&gt;=$D$2,$D2222&lt;=$H$2,$G2222&lt;&gt;"X",$F2222&lt;&gt;"Réalisé",$F2222&lt;&gt;"Clôturé"),"≤ 7 j",""))</f>
        <v/>
      </c>
      <c r="M2222" s="29">
        <f>IF($B2222="","",IFERROR(INDEX($T$4:$T$3183,MATCH(SMALL($V$4:$V$3183,2219),$V$4:$V$3183,0)),""))</f>
        <v/>
      </c>
      <c r="O2222">
        <f>IF(INDEX(Suivi!$B:$B,2264)="","",INDEX(Suivi!$B:$B,2264))</f>
        <v/>
      </c>
      <c r="P2222">
        <f>IF($O2222="","",IF(INDEX(Suivi!$D:$D,2264)="",INDEX(Suivi!$C:$C,2264),INDEX(Suivi!$D:$D,2264)))</f>
        <v/>
      </c>
      <c r="Q2222">
        <f>IF($O2222="","",INDEX(Suivi!$E:$E,2264))</f>
        <v/>
      </c>
      <c r="R2222">
        <f>IF($O2222="","",INDEX(Suivi!$F:$F,2264))</f>
        <v/>
      </c>
      <c r="S2222">
        <f>IF($O2222="","",INDEX(Suivi!$G:$G,2264))</f>
        <v/>
      </c>
      <c r="T2222">
        <f>IF($O2222="","",IF(INDEX(Dossiers!$F$4:$F$63,42)="","",INDEX(Dossiers!$F$4:$F$63,42)))</f>
        <v/>
      </c>
      <c r="U2222">
        <f>IF($O2222="","",IF(INDEX(Dossiers!$G$4:$G$63,42)="","",INDEX(Dossiers!$G$4:$G$63,42)))</f>
        <v/>
      </c>
      <c r="V2222">
        <f>IF(OR($O2222="",NOT(ISNUMBER($Q2222))),"",$Q2222*1000000+2222)</f>
        <v/>
      </c>
      <c r="W2222" s="29">
        <f>IF($B2222="","",IFERROR(INDEX($U$4:$U$3183,MATCH(SMALL($V$4:$V$3183,2219),$V$4:$V$3183,0)),""))</f>
        <v/>
      </c>
    </row>
    <row r="2223">
      <c r="A2223">
        <f>IFERROR(INDEX($N$4:$N$3183,MATCH(SMALL($V$4:$V$3183,2220),$V$4:$V$3183,0)),"")</f>
        <v/>
      </c>
      <c r="B2223">
        <f>IFERROR(INDEX($O$4:$O$3183,MATCH(SMALL($V$4:$V$3183,2220),$V$4:$V$3183,0)),"")</f>
        <v/>
      </c>
      <c r="C2223">
        <f>IFERROR(INDEX($P$4:$P$3183,MATCH(SMALL($V$4:$V$3183,2220),$V$4:$V$3183,0)),"")</f>
        <v/>
      </c>
      <c r="D2223" s="29">
        <f>IFERROR(INDEX($Q$4:$Q$3183,MATCH(SMALL($V$4:$V$3183,2220),$V$4:$V$3183,0)),"")</f>
        <v/>
      </c>
      <c r="E2223" s="29">
        <f>IFERROR(INDEX($R$4:$R$3183,MATCH(SMALL($V$4:$V$3183,2220),$V$4:$V$3183,0)),"")</f>
        <v/>
      </c>
      <c r="F2223">
        <f>IFERROR(INDEX($S$4:$S$3183,MATCH(SMALL($V$4:$V$3183,2220),$V$4:$V$3183,0)),"")</f>
        <v/>
      </c>
      <c r="I2223" s="29">
        <f>IF($B2223="","",IFERROR(INDEX($U$4:$U$3183,MATCH(SMALL($V$4:$V$3183,2220),$V$4:$V$3183,0)),""))</f>
        <v/>
      </c>
      <c r="J2223">
        <f>IF($B2223="","",IF($D2223&gt;$F$2,"À venir",IF($E2223&lt;$D$2,"Passé","Dans la période")))</f>
        <v/>
      </c>
      <c r="K2223">
        <f>IF(OR($B2223="",NOT(ISNUMBER($D2223))),"",IF(AND($E2223&lt;$D$2,$G2223&lt;&gt;"X",$F2223&lt;&gt;"Réalisé",$F2223&lt;&gt;"Clôturé"),"RETARD",""))</f>
        <v/>
      </c>
      <c r="L2223">
        <f>IF(OR($B2223="",NOT(ISNUMBER($D2223))),"",IF(AND($D2223&gt;=$D$2,$D2223&lt;=$H$2,$G2223&lt;&gt;"X",$F2223&lt;&gt;"Réalisé",$F2223&lt;&gt;"Clôturé"),"≤ 7 j",""))</f>
        <v/>
      </c>
      <c r="M2223" s="29">
        <f>IF($B2223="","",IFERROR(INDEX($T$4:$T$3183,MATCH(SMALL($V$4:$V$3183,2220),$V$4:$V$3183,0)),""))</f>
        <v/>
      </c>
      <c r="O2223">
        <f>IF(INDEX(Suivi!$B:$B,2265)="","",INDEX(Suivi!$B:$B,2265))</f>
        <v/>
      </c>
      <c r="P2223">
        <f>IF($O2223="","",IF(INDEX(Suivi!$D:$D,2265)="",INDEX(Suivi!$C:$C,2265),INDEX(Suivi!$D:$D,2265)))</f>
        <v/>
      </c>
      <c r="Q2223">
        <f>IF($O2223="","",INDEX(Suivi!$E:$E,2265))</f>
        <v/>
      </c>
      <c r="R2223">
        <f>IF($O2223="","",INDEX(Suivi!$F:$F,2265))</f>
        <v/>
      </c>
      <c r="S2223">
        <f>IF($O2223="","",INDEX(Suivi!$G:$G,2265))</f>
        <v/>
      </c>
      <c r="T2223">
        <f>IF($O2223="","",IF(INDEX(Dossiers!$F$4:$F$63,42)="","",INDEX(Dossiers!$F$4:$F$63,42)))</f>
        <v/>
      </c>
      <c r="U2223">
        <f>IF($O2223="","",IF(INDEX(Dossiers!$G$4:$G$63,42)="","",INDEX(Dossiers!$G$4:$G$63,42)))</f>
        <v/>
      </c>
      <c r="V2223">
        <f>IF(OR($O2223="",NOT(ISNUMBER($Q2223))),"",$Q2223*1000000+2223)</f>
        <v/>
      </c>
      <c r="W2223" s="29">
        <f>IF($B2223="","",IFERROR(INDEX($U$4:$U$3183,MATCH(SMALL($V$4:$V$3183,2220),$V$4:$V$3183,0)),""))</f>
        <v/>
      </c>
    </row>
    <row r="2224">
      <c r="A2224">
        <f>IFERROR(INDEX($N$4:$N$3183,MATCH(SMALL($V$4:$V$3183,2221),$V$4:$V$3183,0)),"")</f>
        <v/>
      </c>
      <c r="B2224">
        <f>IFERROR(INDEX($O$4:$O$3183,MATCH(SMALL($V$4:$V$3183,2221),$V$4:$V$3183,0)),"")</f>
        <v/>
      </c>
      <c r="C2224">
        <f>IFERROR(INDEX($P$4:$P$3183,MATCH(SMALL($V$4:$V$3183,2221),$V$4:$V$3183,0)),"")</f>
        <v/>
      </c>
      <c r="D2224" s="29">
        <f>IFERROR(INDEX($Q$4:$Q$3183,MATCH(SMALL($V$4:$V$3183,2221),$V$4:$V$3183,0)),"")</f>
        <v/>
      </c>
      <c r="E2224" s="29">
        <f>IFERROR(INDEX($R$4:$R$3183,MATCH(SMALL($V$4:$V$3183,2221),$V$4:$V$3183,0)),"")</f>
        <v/>
      </c>
      <c r="F2224">
        <f>IFERROR(INDEX($S$4:$S$3183,MATCH(SMALL($V$4:$V$3183,2221),$V$4:$V$3183,0)),"")</f>
        <v/>
      </c>
      <c r="I2224" s="29">
        <f>IF($B2224="","",IFERROR(INDEX($U$4:$U$3183,MATCH(SMALL($V$4:$V$3183,2221),$V$4:$V$3183,0)),""))</f>
        <v/>
      </c>
      <c r="J2224">
        <f>IF($B2224="","",IF($D2224&gt;$F$2,"À venir",IF($E2224&lt;$D$2,"Passé","Dans la période")))</f>
        <v/>
      </c>
      <c r="K2224">
        <f>IF(OR($B2224="",NOT(ISNUMBER($D2224))),"",IF(AND($E2224&lt;$D$2,$G2224&lt;&gt;"X",$F2224&lt;&gt;"Réalisé",$F2224&lt;&gt;"Clôturé"),"RETARD",""))</f>
        <v/>
      </c>
      <c r="L2224">
        <f>IF(OR($B2224="",NOT(ISNUMBER($D2224))),"",IF(AND($D2224&gt;=$D$2,$D2224&lt;=$H$2,$G2224&lt;&gt;"X",$F2224&lt;&gt;"Réalisé",$F2224&lt;&gt;"Clôturé"),"≤ 7 j",""))</f>
        <v/>
      </c>
      <c r="M2224" s="29">
        <f>IF($B2224="","",IFERROR(INDEX($T$4:$T$3183,MATCH(SMALL($V$4:$V$3183,2221),$V$4:$V$3183,0)),""))</f>
        <v/>
      </c>
      <c r="O2224">
        <f>IF(INDEX(Suivi!$B:$B,2266)="","",INDEX(Suivi!$B:$B,2266))</f>
        <v/>
      </c>
      <c r="P2224">
        <f>IF($O2224="","",IF(INDEX(Suivi!$D:$D,2266)="",INDEX(Suivi!$C:$C,2266),INDEX(Suivi!$D:$D,2266)))</f>
        <v/>
      </c>
      <c r="Q2224">
        <f>IF($O2224="","",INDEX(Suivi!$E:$E,2266))</f>
        <v/>
      </c>
      <c r="R2224">
        <f>IF($O2224="","",INDEX(Suivi!$F:$F,2266))</f>
        <v/>
      </c>
      <c r="S2224">
        <f>IF($O2224="","",INDEX(Suivi!$G:$G,2266))</f>
        <v/>
      </c>
      <c r="T2224">
        <f>IF($O2224="","",IF(INDEX(Dossiers!$F$4:$F$63,42)="","",INDEX(Dossiers!$F$4:$F$63,42)))</f>
        <v/>
      </c>
      <c r="U2224">
        <f>IF($O2224="","",IF(INDEX(Dossiers!$G$4:$G$63,42)="","",INDEX(Dossiers!$G$4:$G$63,42)))</f>
        <v/>
      </c>
      <c r="V2224">
        <f>IF(OR($O2224="",NOT(ISNUMBER($Q2224))),"",$Q2224*1000000+2224)</f>
        <v/>
      </c>
      <c r="W2224" s="29">
        <f>IF($B2224="","",IFERROR(INDEX($U$4:$U$3183,MATCH(SMALL($V$4:$V$3183,2221),$V$4:$V$3183,0)),""))</f>
        <v/>
      </c>
    </row>
    <row r="2225">
      <c r="A2225">
        <f>IFERROR(INDEX($N$4:$N$3183,MATCH(SMALL($V$4:$V$3183,2222),$V$4:$V$3183,0)),"")</f>
        <v/>
      </c>
      <c r="B2225">
        <f>IFERROR(INDEX($O$4:$O$3183,MATCH(SMALL($V$4:$V$3183,2222),$V$4:$V$3183,0)),"")</f>
        <v/>
      </c>
      <c r="C2225">
        <f>IFERROR(INDEX($P$4:$P$3183,MATCH(SMALL($V$4:$V$3183,2222),$V$4:$V$3183,0)),"")</f>
        <v/>
      </c>
      <c r="D2225" s="29">
        <f>IFERROR(INDEX($Q$4:$Q$3183,MATCH(SMALL($V$4:$V$3183,2222),$V$4:$V$3183,0)),"")</f>
        <v/>
      </c>
      <c r="E2225" s="29">
        <f>IFERROR(INDEX($R$4:$R$3183,MATCH(SMALL($V$4:$V$3183,2222),$V$4:$V$3183,0)),"")</f>
        <v/>
      </c>
      <c r="F2225">
        <f>IFERROR(INDEX($S$4:$S$3183,MATCH(SMALL($V$4:$V$3183,2222),$V$4:$V$3183,0)),"")</f>
        <v/>
      </c>
      <c r="I2225" s="29">
        <f>IF($B2225="","",IFERROR(INDEX($U$4:$U$3183,MATCH(SMALL($V$4:$V$3183,2222),$V$4:$V$3183,0)),""))</f>
        <v/>
      </c>
      <c r="J2225">
        <f>IF($B2225="","",IF($D2225&gt;$F$2,"À venir",IF($E2225&lt;$D$2,"Passé","Dans la période")))</f>
        <v/>
      </c>
      <c r="K2225">
        <f>IF(OR($B2225="",NOT(ISNUMBER($D2225))),"",IF(AND($E2225&lt;$D$2,$G2225&lt;&gt;"X",$F2225&lt;&gt;"Réalisé",$F2225&lt;&gt;"Clôturé"),"RETARD",""))</f>
        <v/>
      </c>
      <c r="L2225">
        <f>IF(OR($B2225="",NOT(ISNUMBER($D2225))),"",IF(AND($D2225&gt;=$D$2,$D2225&lt;=$H$2,$G2225&lt;&gt;"X",$F2225&lt;&gt;"Réalisé",$F2225&lt;&gt;"Clôturé"),"≤ 7 j",""))</f>
        <v/>
      </c>
      <c r="M2225" s="29">
        <f>IF($B2225="","",IFERROR(INDEX($T$4:$T$3183,MATCH(SMALL($V$4:$V$3183,2222),$V$4:$V$3183,0)),""))</f>
        <v/>
      </c>
      <c r="O2225">
        <f>IF(INDEX(Suivi!$B:$B,2267)="","",INDEX(Suivi!$B:$B,2267))</f>
        <v/>
      </c>
      <c r="P2225">
        <f>IF($O2225="","",IF(INDEX(Suivi!$D:$D,2267)="",INDEX(Suivi!$C:$C,2267),INDEX(Suivi!$D:$D,2267)))</f>
        <v/>
      </c>
      <c r="Q2225">
        <f>IF($O2225="","",INDEX(Suivi!$E:$E,2267))</f>
        <v/>
      </c>
      <c r="R2225">
        <f>IF($O2225="","",INDEX(Suivi!$F:$F,2267))</f>
        <v/>
      </c>
      <c r="S2225">
        <f>IF($O2225="","",INDEX(Suivi!$G:$G,2267))</f>
        <v/>
      </c>
      <c r="T2225">
        <f>IF($O2225="","",IF(INDEX(Dossiers!$F$4:$F$63,42)="","",INDEX(Dossiers!$F$4:$F$63,42)))</f>
        <v/>
      </c>
      <c r="U2225">
        <f>IF($O2225="","",IF(INDEX(Dossiers!$G$4:$G$63,42)="","",INDEX(Dossiers!$G$4:$G$63,42)))</f>
        <v/>
      </c>
      <c r="V2225">
        <f>IF(OR($O2225="",NOT(ISNUMBER($Q2225))),"",$Q2225*1000000+2225)</f>
        <v/>
      </c>
      <c r="W2225" s="29">
        <f>IF($B2225="","",IFERROR(INDEX($U$4:$U$3183,MATCH(SMALL($V$4:$V$3183,2222),$V$4:$V$3183,0)),""))</f>
        <v/>
      </c>
    </row>
    <row r="2226">
      <c r="A2226">
        <f>IFERROR(INDEX($N$4:$N$3183,MATCH(SMALL($V$4:$V$3183,2223),$V$4:$V$3183,0)),"")</f>
        <v/>
      </c>
      <c r="B2226">
        <f>IFERROR(INDEX($O$4:$O$3183,MATCH(SMALL($V$4:$V$3183,2223),$V$4:$V$3183,0)),"")</f>
        <v/>
      </c>
      <c r="C2226">
        <f>IFERROR(INDEX($P$4:$P$3183,MATCH(SMALL($V$4:$V$3183,2223),$V$4:$V$3183,0)),"")</f>
        <v/>
      </c>
      <c r="D2226" s="29">
        <f>IFERROR(INDEX($Q$4:$Q$3183,MATCH(SMALL($V$4:$V$3183,2223),$V$4:$V$3183,0)),"")</f>
        <v/>
      </c>
      <c r="E2226" s="29">
        <f>IFERROR(INDEX($R$4:$R$3183,MATCH(SMALL($V$4:$V$3183,2223),$V$4:$V$3183,0)),"")</f>
        <v/>
      </c>
      <c r="F2226">
        <f>IFERROR(INDEX($S$4:$S$3183,MATCH(SMALL($V$4:$V$3183,2223),$V$4:$V$3183,0)),"")</f>
        <v/>
      </c>
      <c r="I2226" s="29">
        <f>IF($B2226="","",IFERROR(INDEX($U$4:$U$3183,MATCH(SMALL($V$4:$V$3183,2223),$V$4:$V$3183,0)),""))</f>
        <v/>
      </c>
      <c r="J2226">
        <f>IF($B2226="","",IF($D2226&gt;$F$2,"À venir",IF($E2226&lt;$D$2,"Passé","Dans la période")))</f>
        <v/>
      </c>
      <c r="K2226">
        <f>IF(OR($B2226="",NOT(ISNUMBER($D2226))),"",IF(AND($E2226&lt;$D$2,$G2226&lt;&gt;"X",$F2226&lt;&gt;"Réalisé",$F2226&lt;&gt;"Clôturé"),"RETARD",""))</f>
        <v/>
      </c>
      <c r="L2226">
        <f>IF(OR($B2226="",NOT(ISNUMBER($D2226))),"",IF(AND($D2226&gt;=$D$2,$D2226&lt;=$H$2,$G2226&lt;&gt;"X",$F2226&lt;&gt;"Réalisé",$F2226&lt;&gt;"Clôturé"),"≤ 7 j",""))</f>
        <v/>
      </c>
      <c r="M2226" s="29">
        <f>IF($B2226="","",IFERROR(INDEX($T$4:$T$3183,MATCH(SMALL($V$4:$V$3183,2223),$V$4:$V$3183,0)),""))</f>
        <v/>
      </c>
      <c r="O2226">
        <f>IF(INDEX(Suivi!$B:$B,2268)="","",INDEX(Suivi!$B:$B,2268))</f>
        <v/>
      </c>
      <c r="P2226">
        <f>IF($O2226="","",IF(INDEX(Suivi!$D:$D,2268)="",INDEX(Suivi!$C:$C,2268),INDEX(Suivi!$D:$D,2268)))</f>
        <v/>
      </c>
      <c r="Q2226">
        <f>IF($O2226="","",INDEX(Suivi!$E:$E,2268))</f>
        <v/>
      </c>
      <c r="R2226">
        <f>IF($O2226="","",INDEX(Suivi!$F:$F,2268))</f>
        <v/>
      </c>
      <c r="S2226">
        <f>IF($O2226="","",INDEX(Suivi!$G:$G,2268))</f>
        <v/>
      </c>
      <c r="T2226">
        <f>IF($O2226="","",IF(INDEX(Dossiers!$F$4:$F$63,42)="","",INDEX(Dossiers!$F$4:$F$63,42)))</f>
        <v/>
      </c>
      <c r="U2226">
        <f>IF($O2226="","",IF(INDEX(Dossiers!$G$4:$G$63,42)="","",INDEX(Dossiers!$G$4:$G$63,42)))</f>
        <v/>
      </c>
      <c r="V2226">
        <f>IF(OR($O2226="",NOT(ISNUMBER($Q2226))),"",$Q2226*1000000+2226)</f>
        <v/>
      </c>
      <c r="W2226" s="29">
        <f>IF($B2226="","",IFERROR(INDEX($U$4:$U$3183,MATCH(SMALL($V$4:$V$3183,2223),$V$4:$V$3183,0)),""))</f>
        <v/>
      </c>
    </row>
    <row r="2227">
      <c r="A2227">
        <f>IFERROR(INDEX($N$4:$N$3183,MATCH(SMALL($V$4:$V$3183,2224),$V$4:$V$3183,0)),"")</f>
        <v/>
      </c>
      <c r="B2227">
        <f>IFERROR(INDEX($O$4:$O$3183,MATCH(SMALL($V$4:$V$3183,2224),$V$4:$V$3183,0)),"")</f>
        <v/>
      </c>
      <c r="C2227">
        <f>IFERROR(INDEX($P$4:$P$3183,MATCH(SMALL($V$4:$V$3183,2224),$V$4:$V$3183,0)),"")</f>
        <v/>
      </c>
      <c r="D2227" s="29">
        <f>IFERROR(INDEX($Q$4:$Q$3183,MATCH(SMALL($V$4:$V$3183,2224),$V$4:$V$3183,0)),"")</f>
        <v/>
      </c>
      <c r="E2227" s="29">
        <f>IFERROR(INDEX($R$4:$R$3183,MATCH(SMALL($V$4:$V$3183,2224),$V$4:$V$3183,0)),"")</f>
        <v/>
      </c>
      <c r="F2227">
        <f>IFERROR(INDEX($S$4:$S$3183,MATCH(SMALL($V$4:$V$3183,2224),$V$4:$V$3183,0)),"")</f>
        <v/>
      </c>
      <c r="I2227" s="29">
        <f>IF($B2227="","",IFERROR(INDEX($U$4:$U$3183,MATCH(SMALL($V$4:$V$3183,2224),$V$4:$V$3183,0)),""))</f>
        <v/>
      </c>
      <c r="J2227">
        <f>IF($B2227="","",IF($D2227&gt;$F$2,"À venir",IF($E2227&lt;$D$2,"Passé","Dans la période")))</f>
        <v/>
      </c>
      <c r="K2227">
        <f>IF(OR($B2227="",NOT(ISNUMBER($D2227))),"",IF(AND($E2227&lt;$D$2,$G2227&lt;&gt;"X",$F2227&lt;&gt;"Réalisé",$F2227&lt;&gt;"Clôturé"),"RETARD",""))</f>
        <v/>
      </c>
      <c r="L2227">
        <f>IF(OR($B2227="",NOT(ISNUMBER($D2227))),"",IF(AND($D2227&gt;=$D$2,$D2227&lt;=$H$2,$G2227&lt;&gt;"X",$F2227&lt;&gt;"Réalisé",$F2227&lt;&gt;"Clôturé"),"≤ 7 j",""))</f>
        <v/>
      </c>
      <c r="M2227" s="29">
        <f>IF($B2227="","",IFERROR(INDEX($T$4:$T$3183,MATCH(SMALL($V$4:$V$3183,2224),$V$4:$V$3183,0)),""))</f>
        <v/>
      </c>
      <c r="O2227">
        <f>IF(INDEX(Suivi!$B:$B,2269)="","",INDEX(Suivi!$B:$B,2269))</f>
        <v/>
      </c>
      <c r="P2227">
        <f>IF($O2227="","",IF(INDEX(Suivi!$D:$D,2269)="",INDEX(Suivi!$C:$C,2269),INDEX(Suivi!$D:$D,2269)))</f>
        <v/>
      </c>
      <c r="Q2227">
        <f>IF($O2227="","",INDEX(Suivi!$E:$E,2269))</f>
        <v/>
      </c>
      <c r="R2227">
        <f>IF($O2227="","",INDEX(Suivi!$F:$F,2269))</f>
        <v/>
      </c>
      <c r="S2227">
        <f>IF($O2227="","",INDEX(Suivi!$G:$G,2269))</f>
        <v/>
      </c>
      <c r="T2227">
        <f>IF($O2227="","",IF(INDEX(Dossiers!$F$4:$F$63,42)="","",INDEX(Dossiers!$F$4:$F$63,42)))</f>
        <v/>
      </c>
      <c r="U2227">
        <f>IF($O2227="","",IF(INDEX(Dossiers!$G$4:$G$63,42)="","",INDEX(Dossiers!$G$4:$G$63,42)))</f>
        <v/>
      </c>
      <c r="V2227">
        <f>IF(OR($O2227="",NOT(ISNUMBER($Q2227))),"",$Q2227*1000000+2227)</f>
        <v/>
      </c>
      <c r="W2227" s="29">
        <f>IF($B2227="","",IFERROR(INDEX($U$4:$U$3183,MATCH(SMALL($V$4:$V$3183,2224),$V$4:$V$3183,0)),""))</f>
        <v/>
      </c>
    </row>
    <row r="2228">
      <c r="A2228">
        <f>IFERROR(INDEX($N$4:$N$3183,MATCH(SMALL($V$4:$V$3183,2225),$V$4:$V$3183,0)),"")</f>
        <v/>
      </c>
      <c r="B2228">
        <f>IFERROR(INDEX($O$4:$O$3183,MATCH(SMALL($V$4:$V$3183,2225),$V$4:$V$3183,0)),"")</f>
        <v/>
      </c>
      <c r="C2228">
        <f>IFERROR(INDEX($P$4:$P$3183,MATCH(SMALL($V$4:$V$3183,2225),$V$4:$V$3183,0)),"")</f>
        <v/>
      </c>
      <c r="D2228" s="29">
        <f>IFERROR(INDEX($Q$4:$Q$3183,MATCH(SMALL($V$4:$V$3183,2225),$V$4:$V$3183,0)),"")</f>
        <v/>
      </c>
      <c r="E2228" s="29">
        <f>IFERROR(INDEX($R$4:$R$3183,MATCH(SMALL($V$4:$V$3183,2225),$V$4:$V$3183,0)),"")</f>
        <v/>
      </c>
      <c r="F2228">
        <f>IFERROR(INDEX($S$4:$S$3183,MATCH(SMALL($V$4:$V$3183,2225),$V$4:$V$3183,0)),"")</f>
        <v/>
      </c>
      <c r="I2228" s="29">
        <f>IF($B2228="","",IFERROR(INDEX($U$4:$U$3183,MATCH(SMALL($V$4:$V$3183,2225),$V$4:$V$3183,0)),""))</f>
        <v/>
      </c>
      <c r="J2228">
        <f>IF($B2228="","",IF($D2228&gt;$F$2,"À venir",IF($E2228&lt;$D$2,"Passé","Dans la période")))</f>
        <v/>
      </c>
      <c r="K2228">
        <f>IF(OR($B2228="",NOT(ISNUMBER($D2228))),"",IF(AND($E2228&lt;$D$2,$G2228&lt;&gt;"X",$F2228&lt;&gt;"Réalisé",$F2228&lt;&gt;"Clôturé"),"RETARD",""))</f>
        <v/>
      </c>
      <c r="L2228">
        <f>IF(OR($B2228="",NOT(ISNUMBER($D2228))),"",IF(AND($D2228&gt;=$D$2,$D2228&lt;=$H$2,$G2228&lt;&gt;"X",$F2228&lt;&gt;"Réalisé",$F2228&lt;&gt;"Clôturé"),"≤ 7 j",""))</f>
        <v/>
      </c>
      <c r="M2228" s="29">
        <f>IF($B2228="","",IFERROR(INDEX($T$4:$T$3183,MATCH(SMALL($V$4:$V$3183,2225),$V$4:$V$3183,0)),""))</f>
        <v/>
      </c>
      <c r="O2228">
        <f>IF(INDEX(Suivi!$B:$B,2270)="","",INDEX(Suivi!$B:$B,2270))</f>
        <v/>
      </c>
      <c r="P2228">
        <f>IF($O2228="","",IF(INDEX(Suivi!$D:$D,2270)="",INDEX(Suivi!$C:$C,2270),INDEX(Suivi!$D:$D,2270)))</f>
        <v/>
      </c>
      <c r="Q2228">
        <f>IF($O2228="","",INDEX(Suivi!$E:$E,2270))</f>
        <v/>
      </c>
      <c r="R2228">
        <f>IF($O2228="","",INDEX(Suivi!$F:$F,2270))</f>
        <v/>
      </c>
      <c r="S2228">
        <f>IF($O2228="","",INDEX(Suivi!$G:$G,2270))</f>
        <v/>
      </c>
      <c r="T2228">
        <f>IF($O2228="","",IF(INDEX(Dossiers!$F$4:$F$63,42)="","",INDEX(Dossiers!$F$4:$F$63,42)))</f>
        <v/>
      </c>
      <c r="U2228">
        <f>IF($O2228="","",IF(INDEX(Dossiers!$G$4:$G$63,42)="","",INDEX(Dossiers!$G$4:$G$63,42)))</f>
        <v/>
      </c>
      <c r="V2228">
        <f>IF(OR($O2228="",NOT(ISNUMBER($Q2228))),"",$Q2228*1000000+2228)</f>
        <v/>
      </c>
      <c r="W2228" s="29">
        <f>IF($B2228="","",IFERROR(INDEX($U$4:$U$3183,MATCH(SMALL($V$4:$V$3183,2225),$V$4:$V$3183,0)),""))</f>
        <v/>
      </c>
    </row>
    <row r="2229">
      <c r="A2229">
        <f>IFERROR(INDEX($N$4:$N$3183,MATCH(SMALL($V$4:$V$3183,2226),$V$4:$V$3183,0)),"")</f>
        <v/>
      </c>
      <c r="B2229">
        <f>IFERROR(INDEX($O$4:$O$3183,MATCH(SMALL($V$4:$V$3183,2226),$V$4:$V$3183,0)),"")</f>
        <v/>
      </c>
      <c r="C2229">
        <f>IFERROR(INDEX($P$4:$P$3183,MATCH(SMALL($V$4:$V$3183,2226),$V$4:$V$3183,0)),"")</f>
        <v/>
      </c>
      <c r="D2229" s="29">
        <f>IFERROR(INDEX($Q$4:$Q$3183,MATCH(SMALL($V$4:$V$3183,2226),$V$4:$V$3183,0)),"")</f>
        <v/>
      </c>
      <c r="E2229" s="29">
        <f>IFERROR(INDEX($R$4:$R$3183,MATCH(SMALL($V$4:$V$3183,2226),$V$4:$V$3183,0)),"")</f>
        <v/>
      </c>
      <c r="F2229">
        <f>IFERROR(INDEX($S$4:$S$3183,MATCH(SMALL($V$4:$V$3183,2226),$V$4:$V$3183,0)),"")</f>
        <v/>
      </c>
      <c r="I2229" s="29">
        <f>IF($B2229="","",IFERROR(INDEX($U$4:$U$3183,MATCH(SMALL($V$4:$V$3183,2226),$V$4:$V$3183,0)),""))</f>
        <v/>
      </c>
      <c r="J2229">
        <f>IF($B2229="","",IF($D2229&gt;$F$2,"À venir",IF($E2229&lt;$D$2,"Passé","Dans la période")))</f>
        <v/>
      </c>
      <c r="K2229">
        <f>IF(OR($B2229="",NOT(ISNUMBER($D2229))),"",IF(AND($E2229&lt;$D$2,$G2229&lt;&gt;"X",$F2229&lt;&gt;"Réalisé",$F2229&lt;&gt;"Clôturé"),"RETARD",""))</f>
        <v/>
      </c>
      <c r="L2229">
        <f>IF(OR($B2229="",NOT(ISNUMBER($D2229))),"",IF(AND($D2229&gt;=$D$2,$D2229&lt;=$H$2,$G2229&lt;&gt;"X",$F2229&lt;&gt;"Réalisé",$F2229&lt;&gt;"Clôturé"),"≤ 7 j",""))</f>
        <v/>
      </c>
      <c r="M2229" s="29">
        <f>IF($B2229="","",IFERROR(INDEX($T$4:$T$3183,MATCH(SMALL($V$4:$V$3183,2226),$V$4:$V$3183,0)),""))</f>
        <v/>
      </c>
      <c r="O2229">
        <f>IF(INDEX(Suivi!$B:$B,2271)="","",INDEX(Suivi!$B:$B,2271))</f>
        <v/>
      </c>
      <c r="P2229">
        <f>IF($O2229="","",IF(INDEX(Suivi!$D:$D,2271)="",INDEX(Suivi!$C:$C,2271),INDEX(Suivi!$D:$D,2271)))</f>
        <v/>
      </c>
      <c r="Q2229">
        <f>IF($O2229="","",INDEX(Suivi!$E:$E,2271))</f>
        <v/>
      </c>
      <c r="R2229">
        <f>IF($O2229="","",INDEX(Suivi!$F:$F,2271))</f>
        <v/>
      </c>
      <c r="S2229">
        <f>IF($O2229="","",INDEX(Suivi!$G:$G,2271))</f>
        <v/>
      </c>
      <c r="T2229">
        <f>IF($O2229="","",IF(INDEX(Dossiers!$F$4:$F$63,42)="","",INDEX(Dossiers!$F$4:$F$63,42)))</f>
        <v/>
      </c>
      <c r="U2229">
        <f>IF($O2229="","",IF(INDEX(Dossiers!$G$4:$G$63,42)="","",INDEX(Dossiers!$G$4:$G$63,42)))</f>
        <v/>
      </c>
      <c r="V2229">
        <f>IF(OR($O2229="",NOT(ISNUMBER($Q2229))),"",$Q2229*1000000+2229)</f>
        <v/>
      </c>
      <c r="W2229" s="29">
        <f>IF($B2229="","",IFERROR(INDEX($U$4:$U$3183,MATCH(SMALL($V$4:$V$3183,2226),$V$4:$V$3183,0)),""))</f>
        <v/>
      </c>
    </row>
    <row r="2230">
      <c r="A2230">
        <f>IFERROR(INDEX($N$4:$N$3183,MATCH(SMALL($V$4:$V$3183,2227),$V$4:$V$3183,0)),"")</f>
        <v/>
      </c>
      <c r="B2230">
        <f>IFERROR(INDEX($O$4:$O$3183,MATCH(SMALL($V$4:$V$3183,2227),$V$4:$V$3183,0)),"")</f>
        <v/>
      </c>
      <c r="C2230">
        <f>IFERROR(INDEX($P$4:$P$3183,MATCH(SMALL($V$4:$V$3183,2227),$V$4:$V$3183,0)),"")</f>
        <v/>
      </c>
      <c r="D2230" s="29">
        <f>IFERROR(INDEX($Q$4:$Q$3183,MATCH(SMALL($V$4:$V$3183,2227),$V$4:$V$3183,0)),"")</f>
        <v/>
      </c>
      <c r="E2230" s="29">
        <f>IFERROR(INDEX($R$4:$R$3183,MATCH(SMALL($V$4:$V$3183,2227),$V$4:$V$3183,0)),"")</f>
        <v/>
      </c>
      <c r="F2230">
        <f>IFERROR(INDEX($S$4:$S$3183,MATCH(SMALL($V$4:$V$3183,2227),$V$4:$V$3183,0)),"")</f>
        <v/>
      </c>
      <c r="I2230" s="29">
        <f>IF($B2230="","",IFERROR(INDEX($U$4:$U$3183,MATCH(SMALL($V$4:$V$3183,2227),$V$4:$V$3183,0)),""))</f>
        <v/>
      </c>
      <c r="J2230">
        <f>IF($B2230="","",IF($D2230&gt;$F$2,"À venir",IF($E2230&lt;$D$2,"Passé","Dans la période")))</f>
        <v/>
      </c>
      <c r="K2230">
        <f>IF(OR($B2230="",NOT(ISNUMBER($D2230))),"",IF(AND($E2230&lt;$D$2,$G2230&lt;&gt;"X",$F2230&lt;&gt;"Réalisé",$F2230&lt;&gt;"Clôturé"),"RETARD",""))</f>
        <v/>
      </c>
      <c r="L2230">
        <f>IF(OR($B2230="",NOT(ISNUMBER($D2230))),"",IF(AND($D2230&gt;=$D$2,$D2230&lt;=$H$2,$G2230&lt;&gt;"X",$F2230&lt;&gt;"Réalisé",$F2230&lt;&gt;"Clôturé"),"≤ 7 j",""))</f>
        <v/>
      </c>
      <c r="M2230" s="29">
        <f>IF($B2230="","",IFERROR(INDEX($T$4:$T$3183,MATCH(SMALL($V$4:$V$3183,2227),$V$4:$V$3183,0)),""))</f>
        <v/>
      </c>
      <c r="O2230">
        <f>IF(INDEX(Suivi!$B:$B,2273)="","",INDEX(Suivi!$B:$B,2273))</f>
        <v/>
      </c>
      <c r="P2230">
        <f>IF($O2230="","",IF(INDEX(Suivi!$D:$D,2273)="",INDEX(Suivi!$C:$C,2273),INDEX(Suivi!$D:$D,2273)))</f>
        <v/>
      </c>
      <c r="Q2230">
        <f>IF($O2230="","",INDEX(Suivi!$E:$E,2273))</f>
        <v/>
      </c>
      <c r="R2230">
        <f>IF($O2230="","",INDEX(Suivi!$F:$F,2273))</f>
        <v/>
      </c>
      <c r="S2230">
        <f>IF($O2230="","",INDEX(Suivi!$G:$G,2273))</f>
        <v/>
      </c>
      <c r="T2230">
        <f>IF($O2230="","",IF(INDEX(Dossiers!$F$4:$F$63,43)="","",INDEX(Dossiers!$F$4:$F$63,43)))</f>
        <v/>
      </c>
      <c r="U2230">
        <f>IF($O2230="","",IF(INDEX(Dossiers!$G$4:$G$63,43)="","",INDEX(Dossiers!$G$4:$G$63,43)))</f>
        <v/>
      </c>
      <c r="V2230">
        <f>IF(OR($O2230="",NOT(ISNUMBER($Q2230))),"",$Q2230*1000000+2230)</f>
        <v/>
      </c>
      <c r="W2230" s="29">
        <f>IF($B2230="","",IFERROR(INDEX($U$4:$U$3183,MATCH(SMALL($V$4:$V$3183,2227),$V$4:$V$3183,0)),""))</f>
        <v/>
      </c>
    </row>
    <row r="2231">
      <c r="A2231">
        <f>IFERROR(INDEX($N$4:$N$3183,MATCH(SMALL($V$4:$V$3183,2228),$V$4:$V$3183,0)),"")</f>
        <v/>
      </c>
      <c r="B2231">
        <f>IFERROR(INDEX($O$4:$O$3183,MATCH(SMALL($V$4:$V$3183,2228),$V$4:$V$3183,0)),"")</f>
        <v/>
      </c>
      <c r="C2231">
        <f>IFERROR(INDEX($P$4:$P$3183,MATCH(SMALL($V$4:$V$3183,2228),$V$4:$V$3183,0)),"")</f>
        <v/>
      </c>
      <c r="D2231" s="29">
        <f>IFERROR(INDEX($Q$4:$Q$3183,MATCH(SMALL($V$4:$V$3183,2228),$V$4:$V$3183,0)),"")</f>
        <v/>
      </c>
      <c r="E2231" s="29">
        <f>IFERROR(INDEX($R$4:$R$3183,MATCH(SMALL($V$4:$V$3183,2228),$V$4:$V$3183,0)),"")</f>
        <v/>
      </c>
      <c r="F2231">
        <f>IFERROR(INDEX($S$4:$S$3183,MATCH(SMALL($V$4:$V$3183,2228),$V$4:$V$3183,0)),"")</f>
        <v/>
      </c>
      <c r="I2231" s="29">
        <f>IF($B2231="","",IFERROR(INDEX($U$4:$U$3183,MATCH(SMALL($V$4:$V$3183,2228),$V$4:$V$3183,0)),""))</f>
        <v/>
      </c>
      <c r="J2231">
        <f>IF($B2231="","",IF($D2231&gt;$F$2,"À venir",IF($E2231&lt;$D$2,"Passé","Dans la période")))</f>
        <v/>
      </c>
      <c r="K2231">
        <f>IF(OR($B2231="",NOT(ISNUMBER($D2231))),"",IF(AND($E2231&lt;$D$2,$G2231&lt;&gt;"X",$F2231&lt;&gt;"Réalisé",$F2231&lt;&gt;"Clôturé"),"RETARD",""))</f>
        <v/>
      </c>
      <c r="L2231">
        <f>IF(OR($B2231="",NOT(ISNUMBER($D2231))),"",IF(AND($D2231&gt;=$D$2,$D2231&lt;=$H$2,$G2231&lt;&gt;"X",$F2231&lt;&gt;"Réalisé",$F2231&lt;&gt;"Clôturé"),"≤ 7 j",""))</f>
        <v/>
      </c>
      <c r="M2231" s="29">
        <f>IF($B2231="","",IFERROR(INDEX($T$4:$T$3183,MATCH(SMALL($V$4:$V$3183,2228),$V$4:$V$3183,0)),""))</f>
        <v/>
      </c>
      <c r="O2231">
        <f>IF(INDEX(Suivi!$B:$B,2274)="","",INDEX(Suivi!$B:$B,2274))</f>
        <v/>
      </c>
      <c r="P2231">
        <f>IF($O2231="","",IF(INDEX(Suivi!$D:$D,2274)="",INDEX(Suivi!$C:$C,2274),INDEX(Suivi!$D:$D,2274)))</f>
        <v/>
      </c>
      <c r="Q2231">
        <f>IF($O2231="","",INDEX(Suivi!$E:$E,2274))</f>
        <v/>
      </c>
      <c r="R2231">
        <f>IF($O2231="","",INDEX(Suivi!$F:$F,2274))</f>
        <v/>
      </c>
      <c r="S2231">
        <f>IF($O2231="","",INDEX(Suivi!$G:$G,2274))</f>
        <v/>
      </c>
      <c r="T2231">
        <f>IF($O2231="","",IF(INDEX(Dossiers!$F$4:$F$63,43)="","",INDEX(Dossiers!$F$4:$F$63,43)))</f>
        <v/>
      </c>
      <c r="U2231">
        <f>IF($O2231="","",IF(INDEX(Dossiers!$G$4:$G$63,43)="","",INDEX(Dossiers!$G$4:$G$63,43)))</f>
        <v/>
      </c>
      <c r="V2231">
        <f>IF(OR($O2231="",NOT(ISNUMBER($Q2231))),"",$Q2231*1000000+2231)</f>
        <v/>
      </c>
      <c r="W2231" s="29">
        <f>IF($B2231="","",IFERROR(INDEX($U$4:$U$3183,MATCH(SMALL($V$4:$V$3183,2228),$V$4:$V$3183,0)),""))</f>
        <v/>
      </c>
    </row>
    <row r="2232">
      <c r="A2232">
        <f>IFERROR(INDEX($N$4:$N$3183,MATCH(SMALL($V$4:$V$3183,2229),$V$4:$V$3183,0)),"")</f>
        <v/>
      </c>
      <c r="B2232">
        <f>IFERROR(INDEX($O$4:$O$3183,MATCH(SMALL($V$4:$V$3183,2229),$V$4:$V$3183,0)),"")</f>
        <v/>
      </c>
      <c r="C2232">
        <f>IFERROR(INDEX($P$4:$P$3183,MATCH(SMALL($V$4:$V$3183,2229),$V$4:$V$3183,0)),"")</f>
        <v/>
      </c>
      <c r="D2232" s="29">
        <f>IFERROR(INDEX($Q$4:$Q$3183,MATCH(SMALL($V$4:$V$3183,2229),$V$4:$V$3183,0)),"")</f>
        <v/>
      </c>
      <c r="E2232" s="29">
        <f>IFERROR(INDEX($R$4:$R$3183,MATCH(SMALL($V$4:$V$3183,2229),$V$4:$V$3183,0)),"")</f>
        <v/>
      </c>
      <c r="F2232">
        <f>IFERROR(INDEX($S$4:$S$3183,MATCH(SMALL($V$4:$V$3183,2229),$V$4:$V$3183,0)),"")</f>
        <v/>
      </c>
      <c r="I2232" s="29">
        <f>IF($B2232="","",IFERROR(INDEX($U$4:$U$3183,MATCH(SMALL($V$4:$V$3183,2229),$V$4:$V$3183,0)),""))</f>
        <v/>
      </c>
      <c r="J2232">
        <f>IF($B2232="","",IF($D2232&gt;$F$2,"À venir",IF($E2232&lt;$D$2,"Passé","Dans la période")))</f>
        <v/>
      </c>
      <c r="K2232">
        <f>IF(OR($B2232="",NOT(ISNUMBER($D2232))),"",IF(AND($E2232&lt;$D$2,$G2232&lt;&gt;"X",$F2232&lt;&gt;"Réalisé",$F2232&lt;&gt;"Clôturé"),"RETARD",""))</f>
        <v/>
      </c>
      <c r="L2232">
        <f>IF(OR($B2232="",NOT(ISNUMBER($D2232))),"",IF(AND($D2232&gt;=$D$2,$D2232&lt;=$H$2,$G2232&lt;&gt;"X",$F2232&lt;&gt;"Réalisé",$F2232&lt;&gt;"Clôturé"),"≤ 7 j",""))</f>
        <v/>
      </c>
      <c r="M2232" s="29">
        <f>IF($B2232="","",IFERROR(INDEX($T$4:$T$3183,MATCH(SMALL($V$4:$V$3183,2229),$V$4:$V$3183,0)),""))</f>
        <v/>
      </c>
      <c r="O2232">
        <f>IF(INDEX(Suivi!$B:$B,2275)="","",INDEX(Suivi!$B:$B,2275))</f>
        <v/>
      </c>
      <c r="P2232">
        <f>IF($O2232="","",IF(INDEX(Suivi!$D:$D,2275)="",INDEX(Suivi!$C:$C,2275),INDEX(Suivi!$D:$D,2275)))</f>
        <v/>
      </c>
      <c r="Q2232">
        <f>IF($O2232="","",INDEX(Suivi!$E:$E,2275))</f>
        <v/>
      </c>
      <c r="R2232">
        <f>IF($O2232="","",INDEX(Suivi!$F:$F,2275))</f>
        <v/>
      </c>
      <c r="S2232">
        <f>IF($O2232="","",INDEX(Suivi!$G:$G,2275))</f>
        <v/>
      </c>
      <c r="T2232">
        <f>IF($O2232="","",IF(INDEX(Dossiers!$F$4:$F$63,43)="","",INDEX(Dossiers!$F$4:$F$63,43)))</f>
        <v/>
      </c>
      <c r="U2232">
        <f>IF($O2232="","",IF(INDEX(Dossiers!$G$4:$G$63,43)="","",INDEX(Dossiers!$G$4:$G$63,43)))</f>
        <v/>
      </c>
      <c r="V2232">
        <f>IF(OR($O2232="",NOT(ISNUMBER($Q2232))),"",$Q2232*1000000+2232)</f>
        <v/>
      </c>
      <c r="W2232" s="29">
        <f>IF($B2232="","",IFERROR(INDEX($U$4:$U$3183,MATCH(SMALL($V$4:$V$3183,2229),$V$4:$V$3183,0)),""))</f>
        <v/>
      </c>
    </row>
    <row r="2233">
      <c r="A2233">
        <f>IFERROR(INDEX($N$4:$N$3183,MATCH(SMALL($V$4:$V$3183,2230),$V$4:$V$3183,0)),"")</f>
        <v/>
      </c>
      <c r="B2233">
        <f>IFERROR(INDEX($O$4:$O$3183,MATCH(SMALL($V$4:$V$3183,2230),$V$4:$V$3183,0)),"")</f>
        <v/>
      </c>
      <c r="C2233">
        <f>IFERROR(INDEX($P$4:$P$3183,MATCH(SMALL($V$4:$V$3183,2230),$V$4:$V$3183,0)),"")</f>
        <v/>
      </c>
      <c r="D2233" s="29">
        <f>IFERROR(INDEX($Q$4:$Q$3183,MATCH(SMALL($V$4:$V$3183,2230),$V$4:$V$3183,0)),"")</f>
        <v/>
      </c>
      <c r="E2233" s="29">
        <f>IFERROR(INDEX($R$4:$R$3183,MATCH(SMALL($V$4:$V$3183,2230),$V$4:$V$3183,0)),"")</f>
        <v/>
      </c>
      <c r="F2233">
        <f>IFERROR(INDEX($S$4:$S$3183,MATCH(SMALL($V$4:$V$3183,2230),$V$4:$V$3183,0)),"")</f>
        <v/>
      </c>
      <c r="I2233" s="29">
        <f>IF($B2233="","",IFERROR(INDEX($U$4:$U$3183,MATCH(SMALL($V$4:$V$3183,2230),$V$4:$V$3183,0)),""))</f>
        <v/>
      </c>
      <c r="J2233">
        <f>IF($B2233="","",IF($D2233&gt;$F$2,"À venir",IF($E2233&lt;$D$2,"Passé","Dans la période")))</f>
        <v/>
      </c>
      <c r="K2233">
        <f>IF(OR($B2233="",NOT(ISNUMBER($D2233))),"",IF(AND($E2233&lt;$D$2,$G2233&lt;&gt;"X",$F2233&lt;&gt;"Réalisé",$F2233&lt;&gt;"Clôturé"),"RETARD",""))</f>
        <v/>
      </c>
      <c r="L2233">
        <f>IF(OR($B2233="",NOT(ISNUMBER($D2233))),"",IF(AND($D2233&gt;=$D$2,$D2233&lt;=$H$2,$G2233&lt;&gt;"X",$F2233&lt;&gt;"Réalisé",$F2233&lt;&gt;"Clôturé"),"≤ 7 j",""))</f>
        <v/>
      </c>
      <c r="M2233" s="29">
        <f>IF($B2233="","",IFERROR(INDEX($T$4:$T$3183,MATCH(SMALL($V$4:$V$3183,2230),$V$4:$V$3183,0)),""))</f>
        <v/>
      </c>
      <c r="O2233">
        <f>IF(INDEX(Suivi!$B:$B,2276)="","",INDEX(Suivi!$B:$B,2276))</f>
        <v/>
      </c>
      <c r="P2233">
        <f>IF($O2233="","",IF(INDEX(Suivi!$D:$D,2276)="",INDEX(Suivi!$C:$C,2276),INDEX(Suivi!$D:$D,2276)))</f>
        <v/>
      </c>
      <c r="Q2233">
        <f>IF($O2233="","",INDEX(Suivi!$E:$E,2276))</f>
        <v/>
      </c>
      <c r="R2233">
        <f>IF($O2233="","",INDEX(Suivi!$F:$F,2276))</f>
        <v/>
      </c>
      <c r="S2233">
        <f>IF($O2233="","",INDEX(Suivi!$G:$G,2276))</f>
        <v/>
      </c>
      <c r="T2233">
        <f>IF($O2233="","",IF(INDEX(Dossiers!$F$4:$F$63,43)="","",INDEX(Dossiers!$F$4:$F$63,43)))</f>
        <v/>
      </c>
      <c r="U2233">
        <f>IF($O2233="","",IF(INDEX(Dossiers!$G$4:$G$63,43)="","",INDEX(Dossiers!$G$4:$G$63,43)))</f>
        <v/>
      </c>
      <c r="V2233">
        <f>IF(OR($O2233="",NOT(ISNUMBER($Q2233))),"",$Q2233*1000000+2233)</f>
        <v/>
      </c>
      <c r="W2233" s="29">
        <f>IF($B2233="","",IFERROR(INDEX($U$4:$U$3183,MATCH(SMALL($V$4:$V$3183,2230),$V$4:$V$3183,0)),""))</f>
        <v/>
      </c>
    </row>
    <row r="2234">
      <c r="A2234">
        <f>IFERROR(INDEX($N$4:$N$3183,MATCH(SMALL($V$4:$V$3183,2231),$V$4:$V$3183,0)),"")</f>
        <v/>
      </c>
      <c r="B2234">
        <f>IFERROR(INDEX($O$4:$O$3183,MATCH(SMALL($V$4:$V$3183,2231),$V$4:$V$3183,0)),"")</f>
        <v/>
      </c>
      <c r="C2234">
        <f>IFERROR(INDEX($P$4:$P$3183,MATCH(SMALL($V$4:$V$3183,2231),$V$4:$V$3183,0)),"")</f>
        <v/>
      </c>
      <c r="D2234" s="29">
        <f>IFERROR(INDEX($Q$4:$Q$3183,MATCH(SMALL($V$4:$V$3183,2231),$V$4:$V$3183,0)),"")</f>
        <v/>
      </c>
      <c r="E2234" s="29">
        <f>IFERROR(INDEX($R$4:$R$3183,MATCH(SMALL($V$4:$V$3183,2231),$V$4:$V$3183,0)),"")</f>
        <v/>
      </c>
      <c r="F2234">
        <f>IFERROR(INDEX($S$4:$S$3183,MATCH(SMALL($V$4:$V$3183,2231),$V$4:$V$3183,0)),"")</f>
        <v/>
      </c>
      <c r="I2234" s="29">
        <f>IF($B2234="","",IFERROR(INDEX($U$4:$U$3183,MATCH(SMALL($V$4:$V$3183,2231),$V$4:$V$3183,0)),""))</f>
        <v/>
      </c>
      <c r="J2234">
        <f>IF($B2234="","",IF($D2234&gt;$F$2,"À venir",IF($E2234&lt;$D$2,"Passé","Dans la période")))</f>
        <v/>
      </c>
      <c r="K2234">
        <f>IF(OR($B2234="",NOT(ISNUMBER($D2234))),"",IF(AND($E2234&lt;$D$2,$G2234&lt;&gt;"X",$F2234&lt;&gt;"Réalisé",$F2234&lt;&gt;"Clôturé"),"RETARD",""))</f>
        <v/>
      </c>
      <c r="L2234">
        <f>IF(OR($B2234="",NOT(ISNUMBER($D2234))),"",IF(AND($D2234&gt;=$D$2,$D2234&lt;=$H$2,$G2234&lt;&gt;"X",$F2234&lt;&gt;"Réalisé",$F2234&lt;&gt;"Clôturé"),"≤ 7 j",""))</f>
        <v/>
      </c>
      <c r="M2234" s="29">
        <f>IF($B2234="","",IFERROR(INDEX($T$4:$T$3183,MATCH(SMALL($V$4:$V$3183,2231),$V$4:$V$3183,0)),""))</f>
        <v/>
      </c>
      <c r="O2234">
        <f>IF(INDEX(Suivi!$B:$B,2277)="","",INDEX(Suivi!$B:$B,2277))</f>
        <v/>
      </c>
      <c r="P2234">
        <f>IF($O2234="","",IF(INDEX(Suivi!$D:$D,2277)="",INDEX(Suivi!$C:$C,2277),INDEX(Suivi!$D:$D,2277)))</f>
        <v/>
      </c>
      <c r="Q2234">
        <f>IF($O2234="","",INDEX(Suivi!$E:$E,2277))</f>
        <v/>
      </c>
      <c r="R2234">
        <f>IF($O2234="","",INDEX(Suivi!$F:$F,2277))</f>
        <v/>
      </c>
      <c r="S2234">
        <f>IF($O2234="","",INDEX(Suivi!$G:$G,2277))</f>
        <v/>
      </c>
      <c r="T2234">
        <f>IF($O2234="","",IF(INDEX(Dossiers!$F$4:$F$63,43)="","",INDEX(Dossiers!$F$4:$F$63,43)))</f>
        <v/>
      </c>
      <c r="U2234">
        <f>IF($O2234="","",IF(INDEX(Dossiers!$G$4:$G$63,43)="","",INDEX(Dossiers!$G$4:$G$63,43)))</f>
        <v/>
      </c>
      <c r="V2234">
        <f>IF(OR($O2234="",NOT(ISNUMBER($Q2234))),"",$Q2234*1000000+2234)</f>
        <v/>
      </c>
      <c r="W2234" s="29">
        <f>IF($B2234="","",IFERROR(INDEX($U$4:$U$3183,MATCH(SMALL($V$4:$V$3183,2231),$V$4:$V$3183,0)),""))</f>
        <v/>
      </c>
    </row>
    <row r="2235">
      <c r="A2235">
        <f>IFERROR(INDEX($N$4:$N$3183,MATCH(SMALL($V$4:$V$3183,2232),$V$4:$V$3183,0)),"")</f>
        <v/>
      </c>
      <c r="B2235">
        <f>IFERROR(INDEX($O$4:$O$3183,MATCH(SMALL($V$4:$V$3183,2232),$V$4:$V$3183,0)),"")</f>
        <v/>
      </c>
      <c r="C2235">
        <f>IFERROR(INDEX($P$4:$P$3183,MATCH(SMALL($V$4:$V$3183,2232),$V$4:$V$3183,0)),"")</f>
        <v/>
      </c>
      <c r="D2235" s="29">
        <f>IFERROR(INDEX($Q$4:$Q$3183,MATCH(SMALL($V$4:$V$3183,2232),$V$4:$V$3183,0)),"")</f>
        <v/>
      </c>
      <c r="E2235" s="29">
        <f>IFERROR(INDEX($R$4:$R$3183,MATCH(SMALL($V$4:$V$3183,2232),$V$4:$V$3183,0)),"")</f>
        <v/>
      </c>
      <c r="F2235">
        <f>IFERROR(INDEX($S$4:$S$3183,MATCH(SMALL($V$4:$V$3183,2232),$V$4:$V$3183,0)),"")</f>
        <v/>
      </c>
      <c r="I2235" s="29">
        <f>IF($B2235="","",IFERROR(INDEX($U$4:$U$3183,MATCH(SMALL($V$4:$V$3183,2232),$V$4:$V$3183,0)),""))</f>
        <v/>
      </c>
      <c r="J2235">
        <f>IF($B2235="","",IF($D2235&gt;$F$2,"À venir",IF($E2235&lt;$D$2,"Passé","Dans la période")))</f>
        <v/>
      </c>
      <c r="K2235">
        <f>IF(OR($B2235="",NOT(ISNUMBER($D2235))),"",IF(AND($E2235&lt;$D$2,$G2235&lt;&gt;"X",$F2235&lt;&gt;"Réalisé",$F2235&lt;&gt;"Clôturé"),"RETARD",""))</f>
        <v/>
      </c>
      <c r="L2235">
        <f>IF(OR($B2235="",NOT(ISNUMBER($D2235))),"",IF(AND($D2235&gt;=$D$2,$D2235&lt;=$H$2,$G2235&lt;&gt;"X",$F2235&lt;&gt;"Réalisé",$F2235&lt;&gt;"Clôturé"),"≤ 7 j",""))</f>
        <v/>
      </c>
      <c r="M2235" s="29">
        <f>IF($B2235="","",IFERROR(INDEX($T$4:$T$3183,MATCH(SMALL($V$4:$V$3183,2232),$V$4:$V$3183,0)),""))</f>
        <v/>
      </c>
      <c r="O2235">
        <f>IF(INDEX(Suivi!$B:$B,2278)="","",INDEX(Suivi!$B:$B,2278))</f>
        <v/>
      </c>
      <c r="P2235">
        <f>IF($O2235="","",IF(INDEX(Suivi!$D:$D,2278)="",INDEX(Suivi!$C:$C,2278),INDEX(Suivi!$D:$D,2278)))</f>
        <v/>
      </c>
      <c r="Q2235">
        <f>IF($O2235="","",INDEX(Suivi!$E:$E,2278))</f>
        <v/>
      </c>
      <c r="R2235">
        <f>IF($O2235="","",INDEX(Suivi!$F:$F,2278))</f>
        <v/>
      </c>
      <c r="S2235">
        <f>IF($O2235="","",INDEX(Suivi!$G:$G,2278))</f>
        <v/>
      </c>
      <c r="T2235">
        <f>IF($O2235="","",IF(INDEX(Dossiers!$F$4:$F$63,43)="","",INDEX(Dossiers!$F$4:$F$63,43)))</f>
        <v/>
      </c>
      <c r="U2235">
        <f>IF($O2235="","",IF(INDEX(Dossiers!$G$4:$G$63,43)="","",INDEX(Dossiers!$G$4:$G$63,43)))</f>
        <v/>
      </c>
      <c r="V2235">
        <f>IF(OR($O2235="",NOT(ISNUMBER($Q2235))),"",$Q2235*1000000+2235)</f>
        <v/>
      </c>
      <c r="W2235" s="29">
        <f>IF($B2235="","",IFERROR(INDEX($U$4:$U$3183,MATCH(SMALL($V$4:$V$3183,2232),$V$4:$V$3183,0)),""))</f>
        <v/>
      </c>
    </row>
    <row r="2236">
      <c r="A2236">
        <f>IFERROR(INDEX($N$4:$N$3183,MATCH(SMALL($V$4:$V$3183,2233),$V$4:$V$3183,0)),"")</f>
        <v/>
      </c>
      <c r="B2236">
        <f>IFERROR(INDEX($O$4:$O$3183,MATCH(SMALL($V$4:$V$3183,2233),$V$4:$V$3183,0)),"")</f>
        <v/>
      </c>
      <c r="C2236">
        <f>IFERROR(INDEX($P$4:$P$3183,MATCH(SMALL($V$4:$V$3183,2233),$V$4:$V$3183,0)),"")</f>
        <v/>
      </c>
      <c r="D2236" s="29">
        <f>IFERROR(INDEX($Q$4:$Q$3183,MATCH(SMALL($V$4:$V$3183,2233),$V$4:$V$3183,0)),"")</f>
        <v/>
      </c>
      <c r="E2236" s="29">
        <f>IFERROR(INDEX($R$4:$R$3183,MATCH(SMALL($V$4:$V$3183,2233),$V$4:$V$3183,0)),"")</f>
        <v/>
      </c>
      <c r="F2236">
        <f>IFERROR(INDEX($S$4:$S$3183,MATCH(SMALL($V$4:$V$3183,2233),$V$4:$V$3183,0)),"")</f>
        <v/>
      </c>
      <c r="I2236" s="29">
        <f>IF($B2236="","",IFERROR(INDEX($U$4:$U$3183,MATCH(SMALL($V$4:$V$3183,2233),$V$4:$V$3183,0)),""))</f>
        <v/>
      </c>
      <c r="J2236">
        <f>IF($B2236="","",IF($D2236&gt;$F$2,"À venir",IF($E2236&lt;$D$2,"Passé","Dans la période")))</f>
        <v/>
      </c>
      <c r="K2236">
        <f>IF(OR($B2236="",NOT(ISNUMBER($D2236))),"",IF(AND($E2236&lt;$D$2,$G2236&lt;&gt;"X",$F2236&lt;&gt;"Réalisé",$F2236&lt;&gt;"Clôturé"),"RETARD",""))</f>
        <v/>
      </c>
      <c r="L2236">
        <f>IF(OR($B2236="",NOT(ISNUMBER($D2236))),"",IF(AND($D2236&gt;=$D$2,$D2236&lt;=$H$2,$G2236&lt;&gt;"X",$F2236&lt;&gt;"Réalisé",$F2236&lt;&gt;"Clôturé"),"≤ 7 j",""))</f>
        <v/>
      </c>
      <c r="M2236" s="29">
        <f>IF($B2236="","",IFERROR(INDEX($T$4:$T$3183,MATCH(SMALL($V$4:$V$3183,2233),$V$4:$V$3183,0)),""))</f>
        <v/>
      </c>
      <c r="O2236">
        <f>IF(INDEX(Suivi!$B:$B,2279)="","",INDEX(Suivi!$B:$B,2279))</f>
        <v/>
      </c>
      <c r="P2236">
        <f>IF($O2236="","",IF(INDEX(Suivi!$D:$D,2279)="",INDEX(Suivi!$C:$C,2279),INDEX(Suivi!$D:$D,2279)))</f>
        <v/>
      </c>
      <c r="Q2236">
        <f>IF($O2236="","",INDEX(Suivi!$E:$E,2279))</f>
        <v/>
      </c>
      <c r="R2236">
        <f>IF($O2236="","",INDEX(Suivi!$F:$F,2279))</f>
        <v/>
      </c>
      <c r="S2236">
        <f>IF($O2236="","",INDEX(Suivi!$G:$G,2279))</f>
        <v/>
      </c>
      <c r="T2236">
        <f>IF($O2236="","",IF(INDEX(Dossiers!$F$4:$F$63,43)="","",INDEX(Dossiers!$F$4:$F$63,43)))</f>
        <v/>
      </c>
      <c r="U2236">
        <f>IF($O2236="","",IF(INDEX(Dossiers!$G$4:$G$63,43)="","",INDEX(Dossiers!$G$4:$G$63,43)))</f>
        <v/>
      </c>
      <c r="V2236">
        <f>IF(OR($O2236="",NOT(ISNUMBER($Q2236))),"",$Q2236*1000000+2236)</f>
        <v/>
      </c>
      <c r="W2236" s="29">
        <f>IF($B2236="","",IFERROR(INDEX($U$4:$U$3183,MATCH(SMALL($V$4:$V$3183,2233),$V$4:$V$3183,0)),""))</f>
        <v/>
      </c>
    </row>
    <row r="2237">
      <c r="A2237">
        <f>IFERROR(INDEX($N$4:$N$3183,MATCH(SMALL($V$4:$V$3183,2234),$V$4:$V$3183,0)),"")</f>
        <v/>
      </c>
      <c r="B2237">
        <f>IFERROR(INDEX($O$4:$O$3183,MATCH(SMALL($V$4:$V$3183,2234),$V$4:$V$3183,0)),"")</f>
        <v/>
      </c>
      <c r="C2237">
        <f>IFERROR(INDEX($P$4:$P$3183,MATCH(SMALL($V$4:$V$3183,2234),$V$4:$V$3183,0)),"")</f>
        <v/>
      </c>
      <c r="D2237" s="29">
        <f>IFERROR(INDEX($Q$4:$Q$3183,MATCH(SMALL($V$4:$V$3183,2234),$V$4:$V$3183,0)),"")</f>
        <v/>
      </c>
      <c r="E2237" s="29">
        <f>IFERROR(INDEX($R$4:$R$3183,MATCH(SMALL($V$4:$V$3183,2234),$V$4:$V$3183,0)),"")</f>
        <v/>
      </c>
      <c r="F2237">
        <f>IFERROR(INDEX($S$4:$S$3183,MATCH(SMALL($V$4:$V$3183,2234),$V$4:$V$3183,0)),"")</f>
        <v/>
      </c>
      <c r="I2237" s="29">
        <f>IF($B2237="","",IFERROR(INDEX($U$4:$U$3183,MATCH(SMALL($V$4:$V$3183,2234),$V$4:$V$3183,0)),""))</f>
        <v/>
      </c>
      <c r="J2237">
        <f>IF($B2237="","",IF($D2237&gt;$F$2,"À venir",IF($E2237&lt;$D$2,"Passé","Dans la période")))</f>
        <v/>
      </c>
      <c r="K2237">
        <f>IF(OR($B2237="",NOT(ISNUMBER($D2237))),"",IF(AND($E2237&lt;$D$2,$G2237&lt;&gt;"X",$F2237&lt;&gt;"Réalisé",$F2237&lt;&gt;"Clôturé"),"RETARD",""))</f>
        <v/>
      </c>
      <c r="L2237">
        <f>IF(OR($B2237="",NOT(ISNUMBER($D2237))),"",IF(AND($D2237&gt;=$D$2,$D2237&lt;=$H$2,$G2237&lt;&gt;"X",$F2237&lt;&gt;"Réalisé",$F2237&lt;&gt;"Clôturé"),"≤ 7 j",""))</f>
        <v/>
      </c>
      <c r="M2237" s="29">
        <f>IF($B2237="","",IFERROR(INDEX($T$4:$T$3183,MATCH(SMALL($V$4:$V$3183,2234),$V$4:$V$3183,0)),""))</f>
        <v/>
      </c>
      <c r="O2237">
        <f>IF(INDEX(Suivi!$B:$B,2280)="","",INDEX(Suivi!$B:$B,2280))</f>
        <v/>
      </c>
      <c r="P2237">
        <f>IF($O2237="","",IF(INDEX(Suivi!$D:$D,2280)="",INDEX(Suivi!$C:$C,2280),INDEX(Suivi!$D:$D,2280)))</f>
        <v/>
      </c>
      <c r="Q2237">
        <f>IF($O2237="","",INDEX(Suivi!$E:$E,2280))</f>
        <v/>
      </c>
      <c r="R2237">
        <f>IF($O2237="","",INDEX(Suivi!$F:$F,2280))</f>
        <v/>
      </c>
      <c r="S2237">
        <f>IF($O2237="","",INDEX(Suivi!$G:$G,2280))</f>
        <v/>
      </c>
      <c r="T2237">
        <f>IF($O2237="","",IF(INDEX(Dossiers!$F$4:$F$63,43)="","",INDEX(Dossiers!$F$4:$F$63,43)))</f>
        <v/>
      </c>
      <c r="U2237">
        <f>IF($O2237="","",IF(INDEX(Dossiers!$G$4:$G$63,43)="","",INDEX(Dossiers!$G$4:$G$63,43)))</f>
        <v/>
      </c>
      <c r="V2237">
        <f>IF(OR($O2237="",NOT(ISNUMBER($Q2237))),"",$Q2237*1000000+2237)</f>
        <v/>
      </c>
      <c r="W2237" s="29">
        <f>IF($B2237="","",IFERROR(INDEX($U$4:$U$3183,MATCH(SMALL($V$4:$V$3183,2234),$V$4:$V$3183,0)),""))</f>
        <v/>
      </c>
    </row>
    <row r="2238">
      <c r="A2238">
        <f>IFERROR(INDEX($N$4:$N$3183,MATCH(SMALL($V$4:$V$3183,2235),$V$4:$V$3183,0)),"")</f>
        <v/>
      </c>
      <c r="B2238">
        <f>IFERROR(INDEX($O$4:$O$3183,MATCH(SMALL($V$4:$V$3183,2235),$V$4:$V$3183,0)),"")</f>
        <v/>
      </c>
      <c r="C2238">
        <f>IFERROR(INDEX($P$4:$P$3183,MATCH(SMALL($V$4:$V$3183,2235),$V$4:$V$3183,0)),"")</f>
        <v/>
      </c>
      <c r="D2238" s="29">
        <f>IFERROR(INDEX($Q$4:$Q$3183,MATCH(SMALL($V$4:$V$3183,2235),$V$4:$V$3183,0)),"")</f>
        <v/>
      </c>
      <c r="E2238" s="29">
        <f>IFERROR(INDEX($R$4:$R$3183,MATCH(SMALL($V$4:$V$3183,2235),$V$4:$V$3183,0)),"")</f>
        <v/>
      </c>
      <c r="F2238">
        <f>IFERROR(INDEX($S$4:$S$3183,MATCH(SMALL($V$4:$V$3183,2235),$V$4:$V$3183,0)),"")</f>
        <v/>
      </c>
      <c r="I2238" s="29">
        <f>IF($B2238="","",IFERROR(INDEX($U$4:$U$3183,MATCH(SMALL($V$4:$V$3183,2235),$V$4:$V$3183,0)),""))</f>
        <v/>
      </c>
      <c r="J2238">
        <f>IF($B2238="","",IF($D2238&gt;$F$2,"À venir",IF($E2238&lt;$D$2,"Passé","Dans la période")))</f>
        <v/>
      </c>
      <c r="K2238">
        <f>IF(OR($B2238="",NOT(ISNUMBER($D2238))),"",IF(AND($E2238&lt;$D$2,$G2238&lt;&gt;"X",$F2238&lt;&gt;"Réalisé",$F2238&lt;&gt;"Clôturé"),"RETARD",""))</f>
        <v/>
      </c>
      <c r="L2238">
        <f>IF(OR($B2238="",NOT(ISNUMBER($D2238))),"",IF(AND($D2238&gt;=$D$2,$D2238&lt;=$H$2,$G2238&lt;&gt;"X",$F2238&lt;&gt;"Réalisé",$F2238&lt;&gt;"Clôturé"),"≤ 7 j",""))</f>
        <v/>
      </c>
      <c r="M2238" s="29">
        <f>IF($B2238="","",IFERROR(INDEX($T$4:$T$3183,MATCH(SMALL($V$4:$V$3183,2235),$V$4:$V$3183,0)),""))</f>
        <v/>
      </c>
      <c r="O2238">
        <f>IF(INDEX(Suivi!$B:$B,2281)="","",INDEX(Suivi!$B:$B,2281))</f>
        <v/>
      </c>
      <c r="P2238">
        <f>IF($O2238="","",IF(INDEX(Suivi!$D:$D,2281)="",INDEX(Suivi!$C:$C,2281),INDEX(Suivi!$D:$D,2281)))</f>
        <v/>
      </c>
      <c r="Q2238">
        <f>IF($O2238="","",INDEX(Suivi!$E:$E,2281))</f>
        <v/>
      </c>
      <c r="R2238">
        <f>IF($O2238="","",INDEX(Suivi!$F:$F,2281))</f>
        <v/>
      </c>
      <c r="S2238">
        <f>IF($O2238="","",INDEX(Suivi!$G:$G,2281))</f>
        <v/>
      </c>
      <c r="T2238">
        <f>IF($O2238="","",IF(INDEX(Dossiers!$F$4:$F$63,43)="","",INDEX(Dossiers!$F$4:$F$63,43)))</f>
        <v/>
      </c>
      <c r="U2238">
        <f>IF($O2238="","",IF(INDEX(Dossiers!$G$4:$G$63,43)="","",INDEX(Dossiers!$G$4:$G$63,43)))</f>
        <v/>
      </c>
      <c r="V2238">
        <f>IF(OR($O2238="",NOT(ISNUMBER($Q2238))),"",$Q2238*1000000+2238)</f>
        <v/>
      </c>
      <c r="W2238" s="29">
        <f>IF($B2238="","",IFERROR(INDEX($U$4:$U$3183,MATCH(SMALL($V$4:$V$3183,2235),$V$4:$V$3183,0)),""))</f>
        <v/>
      </c>
    </row>
    <row r="2239">
      <c r="A2239">
        <f>IFERROR(INDEX($N$4:$N$3183,MATCH(SMALL($V$4:$V$3183,2236),$V$4:$V$3183,0)),"")</f>
        <v/>
      </c>
      <c r="B2239">
        <f>IFERROR(INDEX($O$4:$O$3183,MATCH(SMALL($V$4:$V$3183,2236),$V$4:$V$3183,0)),"")</f>
        <v/>
      </c>
      <c r="C2239">
        <f>IFERROR(INDEX($P$4:$P$3183,MATCH(SMALL($V$4:$V$3183,2236),$V$4:$V$3183,0)),"")</f>
        <v/>
      </c>
      <c r="D2239" s="29">
        <f>IFERROR(INDEX($Q$4:$Q$3183,MATCH(SMALL($V$4:$V$3183,2236),$V$4:$V$3183,0)),"")</f>
        <v/>
      </c>
      <c r="E2239" s="29">
        <f>IFERROR(INDEX($R$4:$R$3183,MATCH(SMALL($V$4:$V$3183,2236),$V$4:$V$3183,0)),"")</f>
        <v/>
      </c>
      <c r="F2239">
        <f>IFERROR(INDEX($S$4:$S$3183,MATCH(SMALL($V$4:$V$3183,2236),$V$4:$V$3183,0)),"")</f>
        <v/>
      </c>
      <c r="I2239" s="29">
        <f>IF($B2239="","",IFERROR(INDEX($U$4:$U$3183,MATCH(SMALL($V$4:$V$3183,2236),$V$4:$V$3183,0)),""))</f>
        <v/>
      </c>
      <c r="J2239">
        <f>IF($B2239="","",IF($D2239&gt;$F$2,"À venir",IF($E2239&lt;$D$2,"Passé","Dans la période")))</f>
        <v/>
      </c>
      <c r="K2239">
        <f>IF(OR($B2239="",NOT(ISNUMBER($D2239))),"",IF(AND($E2239&lt;$D$2,$G2239&lt;&gt;"X",$F2239&lt;&gt;"Réalisé",$F2239&lt;&gt;"Clôturé"),"RETARD",""))</f>
        <v/>
      </c>
      <c r="L2239">
        <f>IF(OR($B2239="",NOT(ISNUMBER($D2239))),"",IF(AND($D2239&gt;=$D$2,$D2239&lt;=$H$2,$G2239&lt;&gt;"X",$F2239&lt;&gt;"Réalisé",$F2239&lt;&gt;"Clôturé"),"≤ 7 j",""))</f>
        <v/>
      </c>
      <c r="M2239" s="29">
        <f>IF($B2239="","",IFERROR(INDEX($T$4:$T$3183,MATCH(SMALL($V$4:$V$3183,2236),$V$4:$V$3183,0)),""))</f>
        <v/>
      </c>
      <c r="O2239">
        <f>IF(INDEX(Suivi!$B:$B,2282)="","",INDEX(Suivi!$B:$B,2282))</f>
        <v/>
      </c>
      <c r="P2239">
        <f>IF($O2239="","",IF(INDEX(Suivi!$D:$D,2282)="",INDEX(Suivi!$C:$C,2282),INDEX(Suivi!$D:$D,2282)))</f>
        <v/>
      </c>
      <c r="Q2239">
        <f>IF($O2239="","",INDEX(Suivi!$E:$E,2282))</f>
        <v/>
      </c>
      <c r="R2239">
        <f>IF($O2239="","",INDEX(Suivi!$F:$F,2282))</f>
        <v/>
      </c>
      <c r="S2239">
        <f>IF($O2239="","",INDEX(Suivi!$G:$G,2282))</f>
        <v/>
      </c>
      <c r="T2239">
        <f>IF($O2239="","",IF(INDEX(Dossiers!$F$4:$F$63,43)="","",INDEX(Dossiers!$F$4:$F$63,43)))</f>
        <v/>
      </c>
      <c r="U2239">
        <f>IF($O2239="","",IF(INDEX(Dossiers!$G$4:$G$63,43)="","",INDEX(Dossiers!$G$4:$G$63,43)))</f>
        <v/>
      </c>
      <c r="V2239">
        <f>IF(OR($O2239="",NOT(ISNUMBER($Q2239))),"",$Q2239*1000000+2239)</f>
        <v/>
      </c>
      <c r="W2239" s="29">
        <f>IF($B2239="","",IFERROR(INDEX($U$4:$U$3183,MATCH(SMALL($V$4:$V$3183,2236),$V$4:$V$3183,0)),""))</f>
        <v/>
      </c>
    </row>
    <row r="2240">
      <c r="A2240">
        <f>IFERROR(INDEX($N$4:$N$3183,MATCH(SMALL($V$4:$V$3183,2237),$V$4:$V$3183,0)),"")</f>
        <v/>
      </c>
      <c r="B2240">
        <f>IFERROR(INDEX($O$4:$O$3183,MATCH(SMALL($V$4:$V$3183,2237),$V$4:$V$3183,0)),"")</f>
        <v/>
      </c>
      <c r="C2240">
        <f>IFERROR(INDEX($P$4:$P$3183,MATCH(SMALL($V$4:$V$3183,2237),$V$4:$V$3183,0)),"")</f>
        <v/>
      </c>
      <c r="D2240" s="29">
        <f>IFERROR(INDEX($Q$4:$Q$3183,MATCH(SMALL($V$4:$V$3183,2237),$V$4:$V$3183,0)),"")</f>
        <v/>
      </c>
      <c r="E2240" s="29">
        <f>IFERROR(INDEX($R$4:$R$3183,MATCH(SMALL($V$4:$V$3183,2237),$V$4:$V$3183,0)),"")</f>
        <v/>
      </c>
      <c r="F2240">
        <f>IFERROR(INDEX($S$4:$S$3183,MATCH(SMALL($V$4:$V$3183,2237),$V$4:$V$3183,0)),"")</f>
        <v/>
      </c>
      <c r="I2240" s="29">
        <f>IF($B2240="","",IFERROR(INDEX($U$4:$U$3183,MATCH(SMALL($V$4:$V$3183,2237),$V$4:$V$3183,0)),""))</f>
        <v/>
      </c>
      <c r="J2240">
        <f>IF($B2240="","",IF($D2240&gt;$F$2,"À venir",IF($E2240&lt;$D$2,"Passé","Dans la période")))</f>
        <v/>
      </c>
      <c r="K2240">
        <f>IF(OR($B2240="",NOT(ISNUMBER($D2240))),"",IF(AND($E2240&lt;$D$2,$G2240&lt;&gt;"X",$F2240&lt;&gt;"Réalisé",$F2240&lt;&gt;"Clôturé"),"RETARD",""))</f>
        <v/>
      </c>
      <c r="L2240">
        <f>IF(OR($B2240="",NOT(ISNUMBER($D2240))),"",IF(AND($D2240&gt;=$D$2,$D2240&lt;=$H$2,$G2240&lt;&gt;"X",$F2240&lt;&gt;"Réalisé",$F2240&lt;&gt;"Clôturé"),"≤ 7 j",""))</f>
        <v/>
      </c>
      <c r="M2240" s="29">
        <f>IF($B2240="","",IFERROR(INDEX($T$4:$T$3183,MATCH(SMALL($V$4:$V$3183,2237),$V$4:$V$3183,0)),""))</f>
        <v/>
      </c>
      <c r="O2240">
        <f>IF(INDEX(Suivi!$B:$B,2283)="","",INDEX(Suivi!$B:$B,2283))</f>
        <v/>
      </c>
      <c r="P2240">
        <f>IF($O2240="","",IF(INDEX(Suivi!$D:$D,2283)="",INDEX(Suivi!$C:$C,2283),INDEX(Suivi!$D:$D,2283)))</f>
        <v/>
      </c>
      <c r="Q2240">
        <f>IF($O2240="","",INDEX(Suivi!$E:$E,2283))</f>
        <v/>
      </c>
      <c r="R2240">
        <f>IF($O2240="","",INDEX(Suivi!$F:$F,2283))</f>
        <v/>
      </c>
      <c r="S2240">
        <f>IF($O2240="","",INDEX(Suivi!$G:$G,2283))</f>
        <v/>
      </c>
      <c r="T2240">
        <f>IF($O2240="","",IF(INDEX(Dossiers!$F$4:$F$63,43)="","",INDEX(Dossiers!$F$4:$F$63,43)))</f>
        <v/>
      </c>
      <c r="U2240">
        <f>IF($O2240="","",IF(INDEX(Dossiers!$G$4:$G$63,43)="","",INDEX(Dossiers!$G$4:$G$63,43)))</f>
        <v/>
      </c>
      <c r="V2240">
        <f>IF(OR($O2240="",NOT(ISNUMBER($Q2240))),"",$Q2240*1000000+2240)</f>
        <v/>
      </c>
      <c r="W2240" s="29">
        <f>IF($B2240="","",IFERROR(INDEX($U$4:$U$3183,MATCH(SMALL($V$4:$V$3183,2237),$V$4:$V$3183,0)),""))</f>
        <v/>
      </c>
    </row>
    <row r="2241">
      <c r="A2241">
        <f>IFERROR(INDEX($N$4:$N$3183,MATCH(SMALL($V$4:$V$3183,2238),$V$4:$V$3183,0)),"")</f>
        <v/>
      </c>
      <c r="B2241">
        <f>IFERROR(INDEX($O$4:$O$3183,MATCH(SMALL($V$4:$V$3183,2238),$V$4:$V$3183,0)),"")</f>
        <v/>
      </c>
      <c r="C2241">
        <f>IFERROR(INDEX($P$4:$P$3183,MATCH(SMALL($V$4:$V$3183,2238),$V$4:$V$3183,0)),"")</f>
        <v/>
      </c>
      <c r="D2241" s="29">
        <f>IFERROR(INDEX($Q$4:$Q$3183,MATCH(SMALL($V$4:$V$3183,2238),$V$4:$V$3183,0)),"")</f>
        <v/>
      </c>
      <c r="E2241" s="29">
        <f>IFERROR(INDEX($R$4:$R$3183,MATCH(SMALL($V$4:$V$3183,2238),$V$4:$V$3183,0)),"")</f>
        <v/>
      </c>
      <c r="F2241">
        <f>IFERROR(INDEX($S$4:$S$3183,MATCH(SMALL($V$4:$V$3183,2238),$V$4:$V$3183,0)),"")</f>
        <v/>
      </c>
      <c r="I2241" s="29">
        <f>IF($B2241="","",IFERROR(INDEX($U$4:$U$3183,MATCH(SMALL($V$4:$V$3183,2238),$V$4:$V$3183,0)),""))</f>
        <v/>
      </c>
      <c r="J2241">
        <f>IF($B2241="","",IF($D2241&gt;$F$2,"À venir",IF($E2241&lt;$D$2,"Passé","Dans la période")))</f>
        <v/>
      </c>
      <c r="K2241">
        <f>IF(OR($B2241="",NOT(ISNUMBER($D2241))),"",IF(AND($E2241&lt;$D$2,$G2241&lt;&gt;"X",$F2241&lt;&gt;"Réalisé",$F2241&lt;&gt;"Clôturé"),"RETARD",""))</f>
        <v/>
      </c>
      <c r="L2241">
        <f>IF(OR($B2241="",NOT(ISNUMBER($D2241))),"",IF(AND($D2241&gt;=$D$2,$D2241&lt;=$H$2,$G2241&lt;&gt;"X",$F2241&lt;&gt;"Réalisé",$F2241&lt;&gt;"Clôturé"),"≤ 7 j",""))</f>
        <v/>
      </c>
      <c r="M2241" s="29">
        <f>IF($B2241="","",IFERROR(INDEX($T$4:$T$3183,MATCH(SMALL($V$4:$V$3183,2238),$V$4:$V$3183,0)),""))</f>
        <v/>
      </c>
      <c r="O2241">
        <f>IF(INDEX(Suivi!$B:$B,2284)="","",INDEX(Suivi!$B:$B,2284))</f>
        <v/>
      </c>
      <c r="P2241">
        <f>IF($O2241="","",IF(INDEX(Suivi!$D:$D,2284)="",INDEX(Suivi!$C:$C,2284),INDEX(Suivi!$D:$D,2284)))</f>
        <v/>
      </c>
      <c r="Q2241">
        <f>IF($O2241="","",INDEX(Suivi!$E:$E,2284))</f>
        <v/>
      </c>
      <c r="R2241">
        <f>IF($O2241="","",INDEX(Suivi!$F:$F,2284))</f>
        <v/>
      </c>
      <c r="S2241">
        <f>IF($O2241="","",INDEX(Suivi!$G:$G,2284))</f>
        <v/>
      </c>
      <c r="T2241">
        <f>IF($O2241="","",IF(INDEX(Dossiers!$F$4:$F$63,43)="","",INDEX(Dossiers!$F$4:$F$63,43)))</f>
        <v/>
      </c>
      <c r="U2241">
        <f>IF($O2241="","",IF(INDEX(Dossiers!$G$4:$G$63,43)="","",INDEX(Dossiers!$G$4:$G$63,43)))</f>
        <v/>
      </c>
      <c r="V2241">
        <f>IF(OR($O2241="",NOT(ISNUMBER($Q2241))),"",$Q2241*1000000+2241)</f>
        <v/>
      </c>
      <c r="W2241" s="29">
        <f>IF($B2241="","",IFERROR(INDEX($U$4:$U$3183,MATCH(SMALL($V$4:$V$3183,2238),$V$4:$V$3183,0)),""))</f>
        <v/>
      </c>
    </row>
    <row r="2242">
      <c r="A2242">
        <f>IFERROR(INDEX($N$4:$N$3183,MATCH(SMALL($V$4:$V$3183,2239),$V$4:$V$3183,0)),"")</f>
        <v/>
      </c>
      <c r="B2242">
        <f>IFERROR(INDEX($O$4:$O$3183,MATCH(SMALL($V$4:$V$3183,2239),$V$4:$V$3183,0)),"")</f>
        <v/>
      </c>
      <c r="C2242">
        <f>IFERROR(INDEX($P$4:$P$3183,MATCH(SMALL($V$4:$V$3183,2239),$V$4:$V$3183,0)),"")</f>
        <v/>
      </c>
      <c r="D2242" s="29">
        <f>IFERROR(INDEX($Q$4:$Q$3183,MATCH(SMALL($V$4:$V$3183,2239),$V$4:$V$3183,0)),"")</f>
        <v/>
      </c>
      <c r="E2242" s="29">
        <f>IFERROR(INDEX($R$4:$R$3183,MATCH(SMALL($V$4:$V$3183,2239),$V$4:$V$3183,0)),"")</f>
        <v/>
      </c>
      <c r="F2242">
        <f>IFERROR(INDEX($S$4:$S$3183,MATCH(SMALL($V$4:$V$3183,2239),$V$4:$V$3183,0)),"")</f>
        <v/>
      </c>
      <c r="I2242" s="29">
        <f>IF($B2242="","",IFERROR(INDEX($U$4:$U$3183,MATCH(SMALL($V$4:$V$3183,2239),$V$4:$V$3183,0)),""))</f>
        <v/>
      </c>
      <c r="J2242">
        <f>IF($B2242="","",IF($D2242&gt;$F$2,"À venir",IF($E2242&lt;$D$2,"Passé","Dans la période")))</f>
        <v/>
      </c>
      <c r="K2242">
        <f>IF(OR($B2242="",NOT(ISNUMBER($D2242))),"",IF(AND($E2242&lt;$D$2,$G2242&lt;&gt;"X",$F2242&lt;&gt;"Réalisé",$F2242&lt;&gt;"Clôturé"),"RETARD",""))</f>
        <v/>
      </c>
      <c r="L2242">
        <f>IF(OR($B2242="",NOT(ISNUMBER($D2242))),"",IF(AND($D2242&gt;=$D$2,$D2242&lt;=$H$2,$G2242&lt;&gt;"X",$F2242&lt;&gt;"Réalisé",$F2242&lt;&gt;"Clôturé"),"≤ 7 j",""))</f>
        <v/>
      </c>
      <c r="M2242" s="29">
        <f>IF($B2242="","",IFERROR(INDEX($T$4:$T$3183,MATCH(SMALL($V$4:$V$3183,2239),$V$4:$V$3183,0)),""))</f>
        <v/>
      </c>
      <c r="O2242">
        <f>IF(INDEX(Suivi!$B:$B,2285)="","",INDEX(Suivi!$B:$B,2285))</f>
        <v/>
      </c>
      <c r="P2242">
        <f>IF($O2242="","",IF(INDEX(Suivi!$D:$D,2285)="",INDEX(Suivi!$C:$C,2285),INDEX(Suivi!$D:$D,2285)))</f>
        <v/>
      </c>
      <c r="Q2242">
        <f>IF($O2242="","",INDEX(Suivi!$E:$E,2285))</f>
        <v/>
      </c>
      <c r="R2242">
        <f>IF($O2242="","",INDEX(Suivi!$F:$F,2285))</f>
        <v/>
      </c>
      <c r="S2242">
        <f>IF($O2242="","",INDEX(Suivi!$G:$G,2285))</f>
        <v/>
      </c>
      <c r="T2242">
        <f>IF($O2242="","",IF(INDEX(Dossiers!$F$4:$F$63,43)="","",INDEX(Dossiers!$F$4:$F$63,43)))</f>
        <v/>
      </c>
      <c r="U2242">
        <f>IF($O2242="","",IF(INDEX(Dossiers!$G$4:$G$63,43)="","",INDEX(Dossiers!$G$4:$G$63,43)))</f>
        <v/>
      </c>
      <c r="V2242">
        <f>IF(OR($O2242="",NOT(ISNUMBER($Q2242))),"",$Q2242*1000000+2242)</f>
        <v/>
      </c>
      <c r="W2242" s="29">
        <f>IF($B2242="","",IFERROR(INDEX($U$4:$U$3183,MATCH(SMALL($V$4:$V$3183,2239),$V$4:$V$3183,0)),""))</f>
        <v/>
      </c>
    </row>
    <row r="2243">
      <c r="A2243">
        <f>IFERROR(INDEX($N$4:$N$3183,MATCH(SMALL($V$4:$V$3183,2240),$V$4:$V$3183,0)),"")</f>
        <v/>
      </c>
      <c r="B2243">
        <f>IFERROR(INDEX($O$4:$O$3183,MATCH(SMALL($V$4:$V$3183,2240),$V$4:$V$3183,0)),"")</f>
        <v/>
      </c>
      <c r="C2243">
        <f>IFERROR(INDEX($P$4:$P$3183,MATCH(SMALL($V$4:$V$3183,2240),$V$4:$V$3183,0)),"")</f>
        <v/>
      </c>
      <c r="D2243" s="29">
        <f>IFERROR(INDEX($Q$4:$Q$3183,MATCH(SMALL($V$4:$V$3183,2240),$V$4:$V$3183,0)),"")</f>
        <v/>
      </c>
      <c r="E2243" s="29">
        <f>IFERROR(INDEX($R$4:$R$3183,MATCH(SMALL($V$4:$V$3183,2240),$V$4:$V$3183,0)),"")</f>
        <v/>
      </c>
      <c r="F2243">
        <f>IFERROR(INDEX($S$4:$S$3183,MATCH(SMALL($V$4:$V$3183,2240),$V$4:$V$3183,0)),"")</f>
        <v/>
      </c>
      <c r="I2243" s="29">
        <f>IF($B2243="","",IFERROR(INDEX($U$4:$U$3183,MATCH(SMALL($V$4:$V$3183,2240),$V$4:$V$3183,0)),""))</f>
        <v/>
      </c>
      <c r="J2243">
        <f>IF($B2243="","",IF($D2243&gt;$F$2,"À venir",IF($E2243&lt;$D$2,"Passé","Dans la période")))</f>
        <v/>
      </c>
      <c r="K2243">
        <f>IF(OR($B2243="",NOT(ISNUMBER($D2243))),"",IF(AND($E2243&lt;$D$2,$G2243&lt;&gt;"X",$F2243&lt;&gt;"Réalisé",$F2243&lt;&gt;"Clôturé"),"RETARD",""))</f>
        <v/>
      </c>
      <c r="L2243">
        <f>IF(OR($B2243="",NOT(ISNUMBER($D2243))),"",IF(AND($D2243&gt;=$D$2,$D2243&lt;=$H$2,$G2243&lt;&gt;"X",$F2243&lt;&gt;"Réalisé",$F2243&lt;&gt;"Clôturé"),"≤ 7 j",""))</f>
        <v/>
      </c>
      <c r="M2243" s="29">
        <f>IF($B2243="","",IFERROR(INDEX($T$4:$T$3183,MATCH(SMALL($V$4:$V$3183,2240),$V$4:$V$3183,0)),""))</f>
        <v/>
      </c>
      <c r="O2243">
        <f>IF(INDEX(Suivi!$B:$B,2286)="","",INDEX(Suivi!$B:$B,2286))</f>
        <v/>
      </c>
      <c r="P2243">
        <f>IF($O2243="","",IF(INDEX(Suivi!$D:$D,2286)="",INDEX(Suivi!$C:$C,2286),INDEX(Suivi!$D:$D,2286)))</f>
        <v/>
      </c>
      <c r="Q2243">
        <f>IF($O2243="","",INDEX(Suivi!$E:$E,2286))</f>
        <v/>
      </c>
      <c r="R2243">
        <f>IF($O2243="","",INDEX(Suivi!$F:$F,2286))</f>
        <v/>
      </c>
      <c r="S2243">
        <f>IF($O2243="","",INDEX(Suivi!$G:$G,2286))</f>
        <v/>
      </c>
      <c r="T2243">
        <f>IF($O2243="","",IF(INDEX(Dossiers!$F$4:$F$63,43)="","",INDEX(Dossiers!$F$4:$F$63,43)))</f>
        <v/>
      </c>
      <c r="U2243">
        <f>IF($O2243="","",IF(INDEX(Dossiers!$G$4:$G$63,43)="","",INDEX(Dossiers!$G$4:$G$63,43)))</f>
        <v/>
      </c>
      <c r="V2243">
        <f>IF(OR($O2243="",NOT(ISNUMBER($Q2243))),"",$Q2243*1000000+2243)</f>
        <v/>
      </c>
      <c r="W2243" s="29">
        <f>IF($B2243="","",IFERROR(INDEX($U$4:$U$3183,MATCH(SMALL($V$4:$V$3183,2240),$V$4:$V$3183,0)),""))</f>
        <v/>
      </c>
    </row>
    <row r="2244">
      <c r="A2244">
        <f>IFERROR(INDEX($N$4:$N$3183,MATCH(SMALL($V$4:$V$3183,2241),$V$4:$V$3183,0)),"")</f>
        <v/>
      </c>
      <c r="B2244">
        <f>IFERROR(INDEX($O$4:$O$3183,MATCH(SMALL($V$4:$V$3183,2241),$V$4:$V$3183,0)),"")</f>
        <v/>
      </c>
      <c r="C2244">
        <f>IFERROR(INDEX($P$4:$P$3183,MATCH(SMALL($V$4:$V$3183,2241),$V$4:$V$3183,0)),"")</f>
        <v/>
      </c>
      <c r="D2244" s="29">
        <f>IFERROR(INDEX($Q$4:$Q$3183,MATCH(SMALL($V$4:$V$3183,2241),$V$4:$V$3183,0)),"")</f>
        <v/>
      </c>
      <c r="E2244" s="29">
        <f>IFERROR(INDEX($R$4:$R$3183,MATCH(SMALL($V$4:$V$3183,2241),$V$4:$V$3183,0)),"")</f>
        <v/>
      </c>
      <c r="F2244">
        <f>IFERROR(INDEX($S$4:$S$3183,MATCH(SMALL($V$4:$V$3183,2241),$V$4:$V$3183,0)),"")</f>
        <v/>
      </c>
      <c r="I2244" s="29">
        <f>IF($B2244="","",IFERROR(INDEX($U$4:$U$3183,MATCH(SMALL($V$4:$V$3183,2241),$V$4:$V$3183,0)),""))</f>
        <v/>
      </c>
      <c r="J2244">
        <f>IF($B2244="","",IF($D2244&gt;$F$2,"À venir",IF($E2244&lt;$D$2,"Passé","Dans la période")))</f>
        <v/>
      </c>
      <c r="K2244">
        <f>IF(OR($B2244="",NOT(ISNUMBER($D2244))),"",IF(AND($E2244&lt;$D$2,$G2244&lt;&gt;"X",$F2244&lt;&gt;"Réalisé",$F2244&lt;&gt;"Clôturé"),"RETARD",""))</f>
        <v/>
      </c>
      <c r="L2244">
        <f>IF(OR($B2244="",NOT(ISNUMBER($D2244))),"",IF(AND($D2244&gt;=$D$2,$D2244&lt;=$H$2,$G2244&lt;&gt;"X",$F2244&lt;&gt;"Réalisé",$F2244&lt;&gt;"Clôturé"),"≤ 7 j",""))</f>
        <v/>
      </c>
      <c r="M2244" s="29">
        <f>IF($B2244="","",IFERROR(INDEX($T$4:$T$3183,MATCH(SMALL($V$4:$V$3183,2241),$V$4:$V$3183,0)),""))</f>
        <v/>
      </c>
      <c r="O2244">
        <f>IF(INDEX(Suivi!$B:$B,2287)="","",INDEX(Suivi!$B:$B,2287))</f>
        <v/>
      </c>
      <c r="P2244">
        <f>IF($O2244="","",IF(INDEX(Suivi!$D:$D,2287)="",INDEX(Suivi!$C:$C,2287),INDEX(Suivi!$D:$D,2287)))</f>
        <v/>
      </c>
      <c r="Q2244">
        <f>IF($O2244="","",INDEX(Suivi!$E:$E,2287))</f>
        <v/>
      </c>
      <c r="R2244">
        <f>IF($O2244="","",INDEX(Suivi!$F:$F,2287))</f>
        <v/>
      </c>
      <c r="S2244">
        <f>IF($O2244="","",INDEX(Suivi!$G:$G,2287))</f>
        <v/>
      </c>
      <c r="T2244">
        <f>IF($O2244="","",IF(INDEX(Dossiers!$F$4:$F$63,43)="","",INDEX(Dossiers!$F$4:$F$63,43)))</f>
        <v/>
      </c>
      <c r="U2244">
        <f>IF($O2244="","",IF(INDEX(Dossiers!$G$4:$G$63,43)="","",INDEX(Dossiers!$G$4:$G$63,43)))</f>
        <v/>
      </c>
      <c r="V2244">
        <f>IF(OR($O2244="",NOT(ISNUMBER($Q2244))),"",$Q2244*1000000+2244)</f>
        <v/>
      </c>
      <c r="W2244" s="29">
        <f>IF($B2244="","",IFERROR(INDEX($U$4:$U$3183,MATCH(SMALL($V$4:$V$3183,2241),$V$4:$V$3183,0)),""))</f>
        <v/>
      </c>
    </row>
    <row r="2245">
      <c r="A2245">
        <f>IFERROR(INDEX($N$4:$N$3183,MATCH(SMALL($V$4:$V$3183,2242),$V$4:$V$3183,0)),"")</f>
        <v/>
      </c>
      <c r="B2245">
        <f>IFERROR(INDEX($O$4:$O$3183,MATCH(SMALL($V$4:$V$3183,2242),$V$4:$V$3183,0)),"")</f>
        <v/>
      </c>
      <c r="C2245">
        <f>IFERROR(INDEX($P$4:$P$3183,MATCH(SMALL($V$4:$V$3183,2242),$V$4:$V$3183,0)),"")</f>
        <v/>
      </c>
      <c r="D2245" s="29">
        <f>IFERROR(INDEX($Q$4:$Q$3183,MATCH(SMALL($V$4:$V$3183,2242),$V$4:$V$3183,0)),"")</f>
        <v/>
      </c>
      <c r="E2245" s="29">
        <f>IFERROR(INDEX($R$4:$R$3183,MATCH(SMALL($V$4:$V$3183,2242),$V$4:$V$3183,0)),"")</f>
        <v/>
      </c>
      <c r="F2245">
        <f>IFERROR(INDEX($S$4:$S$3183,MATCH(SMALL($V$4:$V$3183,2242),$V$4:$V$3183,0)),"")</f>
        <v/>
      </c>
      <c r="I2245" s="29">
        <f>IF($B2245="","",IFERROR(INDEX($U$4:$U$3183,MATCH(SMALL($V$4:$V$3183,2242),$V$4:$V$3183,0)),""))</f>
        <v/>
      </c>
      <c r="J2245">
        <f>IF($B2245="","",IF($D2245&gt;$F$2,"À venir",IF($E2245&lt;$D$2,"Passé","Dans la période")))</f>
        <v/>
      </c>
      <c r="K2245">
        <f>IF(OR($B2245="",NOT(ISNUMBER($D2245))),"",IF(AND($E2245&lt;$D$2,$G2245&lt;&gt;"X",$F2245&lt;&gt;"Réalisé",$F2245&lt;&gt;"Clôturé"),"RETARD",""))</f>
        <v/>
      </c>
      <c r="L2245">
        <f>IF(OR($B2245="",NOT(ISNUMBER($D2245))),"",IF(AND($D2245&gt;=$D$2,$D2245&lt;=$H$2,$G2245&lt;&gt;"X",$F2245&lt;&gt;"Réalisé",$F2245&lt;&gt;"Clôturé"),"≤ 7 j",""))</f>
        <v/>
      </c>
      <c r="M2245" s="29">
        <f>IF($B2245="","",IFERROR(INDEX($T$4:$T$3183,MATCH(SMALL($V$4:$V$3183,2242),$V$4:$V$3183,0)),""))</f>
        <v/>
      </c>
      <c r="O2245">
        <f>IF(INDEX(Suivi!$B:$B,2288)="","",INDEX(Suivi!$B:$B,2288))</f>
        <v/>
      </c>
      <c r="P2245">
        <f>IF($O2245="","",IF(INDEX(Suivi!$D:$D,2288)="",INDEX(Suivi!$C:$C,2288),INDEX(Suivi!$D:$D,2288)))</f>
        <v/>
      </c>
      <c r="Q2245">
        <f>IF($O2245="","",INDEX(Suivi!$E:$E,2288))</f>
        <v/>
      </c>
      <c r="R2245">
        <f>IF($O2245="","",INDEX(Suivi!$F:$F,2288))</f>
        <v/>
      </c>
      <c r="S2245">
        <f>IF($O2245="","",INDEX(Suivi!$G:$G,2288))</f>
        <v/>
      </c>
      <c r="T2245">
        <f>IF($O2245="","",IF(INDEX(Dossiers!$F$4:$F$63,43)="","",INDEX(Dossiers!$F$4:$F$63,43)))</f>
        <v/>
      </c>
      <c r="U2245">
        <f>IF($O2245="","",IF(INDEX(Dossiers!$G$4:$G$63,43)="","",INDEX(Dossiers!$G$4:$G$63,43)))</f>
        <v/>
      </c>
      <c r="V2245">
        <f>IF(OR($O2245="",NOT(ISNUMBER($Q2245))),"",$Q2245*1000000+2245)</f>
        <v/>
      </c>
      <c r="W2245" s="29">
        <f>IF($B2245="","",IFERROR(INDEX($U$4:$U$3183,MATCH(SMALL($V$4:$V$3183,2242),$V$4:$V$3183,0)),""))</f>
        <v/>
      </c>
    </row>
    <row r="2246">
      <c r="A2246">
        <f>IFERROR(INDEX($N$4:$N$3183,MATCH(SMALL($V$4:$V$3183,2243),$V$4:$V$3183,0)),"")</f>
        <v/>
      </c>
      <c r="B2246">
        <f>IFERROR(INDEX($O$4:$O$3183,MATCH(SMALL($V$4:$V$3183,2243),$V$4:$V$3183,0)),"")</f>
        <v/>
      </c>
      <c r="C2246">
        <f>IFERROR(INDEX($P$4:$P$3183,MATCH(SMALL($V$4:$V$3183,2243),$V$4:$V$3183,0)),"")</f>
        <v/>
      </c>
      <c r="D2246" s="29">
        <f>IFERROR(INDEX($Q$4:$Q$3183,MATCH(SMALL($V$4:$V$3183,2243),$V$4:$V$3183,0)),"")</f>
        <v/>
      </c>
      <c r="E2246" s="29">
        <f>IFERROR(INDEX($R$4:$R$3183,MATCH(SMALL($V$4:$V$3183,2243),$V$4:$V$3183,0)),"")</f>
        <v/>
      </c>
      <c r="F2246">
        <f>IFERROR(INDEX($S$4:$S$3183,MATCH(SMALL($V$4:$V$3183,2243),$V$4:$V$3183,0)),"")</f>
        <v/>
      </c>
      <c r="I2246" s="29">
        <f>IF($B2246="","",IFERROR(INDEX($U$4:$U$3183,MATCH(SMALL($V$4:$V$3183,2243),$V$4:$V$3183,0)),""))</f>
        <v/>
      </c>
      <c r="J2246">
        <f>IF($B2246="","",IF($D2246&gt;$F$2,"À venir",IF($E2246&lt;$D$2,"Passé","Dans la période")))</f>
        <v/>
      </c>
      <c r="K2246">
        <f>IF(OR($B2246="",NOT(ISNUMBER($D2246))),"",IF(AND($E2246&lt;$D$2,$G2246&lt;&gt;"X",$F2246&lt;&gt;"Réalisé",$F2246&lt;&gt;"Clôturé"),"RETARD",""))</f>
        <v/>
      </c>
      <c r="L2246">
        <f>IF(OR($B2246="",NOT(ISNUMBER($D2246))),"",IF(AND($D2246&gt;=$D$2,$D2246&lt;=$H$2,$G2246&lt;&gt;"X",$F2246&lt;&gt;"Réalisé",$F2246&lt;&gt;"Clôturé"),"≤ 7 j",""))</f>
        <v/>
      </c>
      <c r="M2246" s="29">
        <f>IF($B2246="","",IFERROR(INDEX($T$4:$T$3183,MATCH(SMALL($V$4:$V$3183,2243),$V$4:$V$3183,0)),""))</f>
        <v/>
      </c>
      <c r="O2246">
        <f>IF(INDEX(Suivi!$B:$B,2289)="","",INDEX(Suivi!$B:$B,2289))</f>
        <v/>
      </c>
      <c r="P2246">
        <f>IF($O2246="","",IF(INDEX(Suivi!$D:$D,2289)="",INDEX(Suivi!$C:$C,2289),INDEX(Suivi!$D:$D,2289)))</f>
        <v/>
      </c>
      <c r="Q2246">
        <f>IF($O2246="","",INDEX(Suivi!$E:$E,2289))</f>
        <v/>
      </c>
      <c r="R2246">
        <f>IF($O2246="","",INDEX(Suivi!$F:$F,2289))</f>
        <v/>
      </c>
      <c r="S2246">
        <f>IF($O2246="","",INDEX(Suivi!$G:$G,2289))</f>
        <v/>
      </c>
      <c r="T2246">
        <f>IF($O2246="","",IF(INDEX(Dossiers!$F$4:$F$63,43)="","",INDEX(Dossiers!$F$4:$F$63,43)))</f>
        <v/>
      </c>
      <c r="U2246">
        <f>IF($O2246="","",IF(INDEX(Dossiers!$G$4:$G$63,43)="","",INDEX(Dossiers!$G$4:$G$63,43)))</f>
        <v/>
      </c>
      <c r="V2246">
        <f>IF(OR($O2246="",NOT(ISNUMBER($Q2246))),"",$Q2246*1000000+2246)</f>
        <v/>
      </c>
      <c r="W2246" s="29">
        <f>IF($B2246="","",IFERROR(INDEX($U$4:$U$3183,MATCH(SMALL($V$4:$V$3183,2243),$V$4:$V$3183,0)),""))</f>
        <v/>
      </c>
    </row>
    <row r="2247">
      <c r="A2247">
        <f>IFERROR(INDEX($N$4:$N$3183,MATCH(SMALL($V$4:$V$3183,2244),$V$4:$V$3183,0)),"")</f>
        <v/>
      </c>
      <c r="B2247">
        <f>IFERROR(INDEX($O$4:$O$3183,MATCH(SMALL($V$4:$V$3183,2244),$V$4:$V$3183,0)),"")</f>
        <v/>
      </c>
      <c r="C2247">
        <f>IFERROR(INDEX($P$4:$P$3183,MATCH(SMALL($V$4:$V$3183,2244),$V$4:$V$3183,0)),"")</f>
        <v/>
      </c>
      <c r="D2247" s="29">
        <f>IFERROR(INDEX($Q$4:$Q$3183,MATCH(SMALL($V$4:$V$3183,2244),$V$4:$V$3183,0)),"")</f>
        <v/>
      </c>
      <c r="E2247" s="29">
        <f>IFERROR(INDEX($R$4:$R$3183,MATCH(SMALL($V$4:$V$3183,2244),$V$4:$V$3183,0)),"")</f>
        <v/>
      </c>
      <c r="F2247">
        <f>IFERROR(INDEX($S$4:$S$3183,MATCH(SMALL($V$4:$V$3183,2244),$V$4:$V$3183,0)),"")</f>
        <v/>
      </c>
      <c r="I2247" s="29">
        <f>IF($B2247="","",IFERROR(INDEX($U$4:$U$3183,MATCH(SMALL($V$4:$V$3183,2244),$V$4:$V$3183,0)),""))</f>
        <v/>
      </c>
      <c r="J2247">
        <f>IF($B2247="","",IF($D2247&gt;$F$2,"À venir",IF($E2247&lt;$D$2,"Passé","Dans la période")))</f>
        <v/>
      </c>
      <c r="K2247">
        <f>IF(OR($B2247="",NOT(ISNUMBER($D2247))),"",IF(AND($E2247&lt;$D$2,$G2247&lt;&gt;"X",$F2247&lt;&gt;"Réalisé",$F2247&lt;&gt;"Clôturé"),"RETARD",""))</f>
        <v/>
      </c>
      <c r="L2247">
        <f>IF(OR($B2247="",NOT(ISNUMBER($D2247))),"",IF(AND($D2247&gt;=$D$2,$D2247&lt;=$H$2,$G2247&lt;&gt;"X",$F2247&lt;&gt;"Réalisé",$F2247&lt;&gt;"Clôturé"),"≤ 7 j",""))</f>
        <v/>
      </c>
      <c r="M2247" s="29">
        <f>IF($B2247="","",IFERROR(INDEX($T$4:$T$3183,MATCH(SMALL($V$4:$V$3183,2244),$V$4:$V$3183,0)),""))</f>
        <v/>
      </c>
      <c r="O2247">
        <f>IF(INDEX(Suivi!$B:$B,2290)="","",INDEX(Suivi!$B:$B,2290))</f>
        <v/>
      </c>
      <c r="P2247">
        <f>IF($O2247="","",IF(INDEX(Suivi!$D:$D,2290)="",INDEX(Suivi!$C:$C,2290),INDEX(Suivi!$D:$D,2290)))</f>
        <v/>
      </c>
      <c r="Q2247">
        <f>IF($O2247="","",INDEX(Suivi!$E:$E,2290))</f>
        <v/>
      </c>
      <c r="R2247">
        <f>IF($O2247="","",INDEX(Suivi!$F:$F,2290))</f>
        <v/>
      </c>
      <c r="S2247">
        <f>IF($O2247="","",INDEX(Suivi!$G:$G,2290))</f>
        <v/>
      </c>
      <c r="T2247">
        <f>IF($O2247="","",IF(INDEX(Dossiers!$F$4:$F$63,43)="","",INDEX(Dossiers!$F$4:$F$63,43)))</f>
        <v/>
      </c>
      <c r="U2247">
        <f>IF($O2247="","",IF(INDEX(Dossiers!$G$4:$G$63,43)="","",INDEX(Dossiers!$G$4:$G$63,43)))</f>
        <v/>
      </c>
      <c r="V2247">
        <f>IF(OR($O2247="",NOT(ISNUMBER($Q2247))),"",$Q2247*1000000+2247)</f>
        <v/>
      </c>
      <c r="W2247" s="29">
        <f>IF($B2247="","",IFERROR(INDEX($U$4:$U$3183,MATCH(SMALL($V$4:$V$3183,2244),$V$4:$V$3183,0)),""))</f>
        <v/>
      </c>
    </row>
    <row r="2248">
      <c r="A2248">
        <f>IFERROR(INDEX($N$4:$N$3183,MATCH(SMALL($V$4:$V$3183,2245),$V$4:$V$3183,0)),"")</f>
        <v/>
      </c>
      <c r="B2248">
        <f>IFERROR(INDEX($O$4:$O$3183,MATCH(SMALL($V$4:$V$3183,2245),$V$4:$V$3183,0)),"")</f>
        <v/>
      </c>
      <c r="C2248">
        <f>IFERROR(INDEX($P$4:$P$3183,MATCH(SMALL($V$4:$V$3183,2245),$V$4:$V$3183,0)),"")</f>
        <v/>
      </c>
      <c r="D2248" s="29">
        <f>IFERROR(INDEX($Q$4:$Q$3183,MATCH(SMALL($V$4:$V$3183,2245),$V$4:$V$3183,0)),"")</f>
        <v/>
      </c>
      <c r="E2248" s="29">
        <f>IFERROR(INDEX($R$4:$R$3183,MATCH(SMALL($V$4:$V$3183,2245),$V$4:$V$3183,0)),"")</f>
        <v/>
      </c>
      <c r="F2248">
        <f>IFERROR(INDEX($S$4:$S$3183,MATCH(SMALL($V$4:$V$3183,2245),$V$4:$V$3183,0)),"")</f>
        <v/>
      </c>
      <c r="I2248" s="29">
        <f>IF($B2248="","",IFERROR(INDEX($U$4:$U$3183,MATCH(SMALL($V$4:$V$3183,2245),$V$4:$V$3183,0)),""))</f>
        <v/>
      </c>
      <c r="J2248">
        <f>IF($B2248="","",IF($D2248&gt;$F$2,"À venir",IF($E2248&lt;$D$2,"Passé","Dans la période")))</f>
        <v/>
      </c>
      <c r="K2248">
        <f>IF(OR($B2248="",NOT(ISNUMBER($D2248))),"",IF(AND($E2248&lt;$D$2,$G2248&lt;&gt;"X",$F2248&lt;&gt;"Réalisé",$F2248&lt;&gt;"Clôturé"),"RETARD",""))</f>
        <v/>
      </c>
      <c r="L2248">
        <f>IF(OR($B2248="",NOT(ISNUMBER($D2248))),"",IF(AND($D2248&gt;=$D$2,$D2248&lt;=$H$2,$G2248&lt;&gt;"X",$F2248&lt;&gt;"Réalisé",$F2248&lt;&gt;"Clôturé"),"≤ 7 j",""))</f>
        <v/>
      </c>
      <c r="M2248" s="29">
        <f>IF($B2248="","",IFERROR(INDEX($T$4:$T$3183,MATCH(SMALL($V$4:$V$3183,2245),$V$4:$V$3183,0)),""))</f>
        <v/>
      </c>
      <c r="O2248">
        <f>IF(INDEX(Suivi!$B:$B,2291)="","",INDEX(Suivi!$B:$B,2291))</f>
        <v/>
      </c>
      <c r="P2248">
        <f>IF($O2248="","",IF(INDEX(Suivi!$D:$D,2291)="",INDEX(Suivi!$C:$C,2291),INDEX(Suivi!$D:$D,2291)))</f>
        <v/>
      </c>
      <c r="Q2248">
        <f>IF($O2248="","",INDEX(Suivi!$E:$E,2291))</f>
        <v/>
      </c>
      <c r="R2248">
        <f>IF($O2248="","",INDEX(Suivi!$F:$F,2291))</f>
        <v/>
      </c>
      <c r="S2248">
        <f>IF($O2248="","",INDEX(Suivi!$G:$G,2291))</f>
        <v/>
      </c>
      <c r="T2248">
        <f>IF($O2248="","",IF(INDEX(Dossiers!$F$4:$F$63,43)="","",INDEX(Dossiers!$F$4:$F$63,43)))</f>
        <v/>
      </c>
      <c r="U2248">
        <f>IF($O2248="","",IF(INDEX(Dossiers!$G$4:$G$63,43)="","",INDEX(Dossiers!$G$4:$G$63,43)))</f>
        <v/>
      </c>
      <c r="V2248">
        <f>IF(OR($O2248="",NOT(ISNUMBER($Q2248))),"",$Q2248*1000000+2248)</f>
        <v/>
      </c>
      <c r="W2248" s="29">
        <f>IF($B2248="","",IFERROR(INDEX($U$4:$U$3183,MATCH(SMALL($V$4:$V$3183,2245),$V$4:$V$3183,0)),""))</f>
        <v/>
      </c>
    </row>
    <row r="2249">
      <c r="A2249">
        <f>IFERROR(INDEX($N$4:$N$3183,MATCH(SMALL($V$4:$V$3183,2246),$V$4:$V$3183,0)),"")</f>
        <v/>
      </c>
      <c r="B2249">
        <f>IFERROR(INDEX($O$4:$O$3183,MATCH(SMALL($V$4:$V$3183,2246),$V$4:$V$3183,0)),"")</f>
        <v/>
      </c>
      <c r="C2249">
        <f>IFERROR(INDEX($P$4:$P$3183,MATCH(SMALL($V$4:$V$3183,2246),$V$4:$V$3183,0)),"")</f>
        <v/>
      </c>
      <c r="D2249" s="29">
        <f>IFERROR(INDEX($Q$4:$Q$3183,MATCH(SMALL($V$4:$V$3183,2246),$V$4:$V$3183,0)),"")</f>
        <v/>
      </c>
      <c r="E2249" s="29">
        <f>IFERROR(INDEX($R$4:$R$3183,MATCH(SMALL($V$4:$V$3183,2246),$V$4:$V$3183,0)),"")</f>
        <v/>
      </c>
      <c r="F2249">
        <f>IFERROR(INDEX($S$4:$S$3183,MATCH(SMALL($V$4:$V$3183,2246),$V$4:$V$3183,0)),"")</f>
        <v/>
      </c>
      <c r="I2249" s="29">
        <f>IF($B2249="","",IFERROR(INDEX($U$4:$U$3183,MATCH(SMALL($V$4:$V$3183,2246),$V$4:$V$3183,0)),""))</f>
        <v/>
      </c>
      <c r="J2249">
        <f>IF($B2249="","",IF($D2249&gt;$F$2,"À venir",IF($E2249&lt;$D$2,"Passé","Dans la période")))</f>
        <v/>
      </c>
      <c r="K2249">
        <f>IF(OR($B2249="",NOT(ISNUMBER($D2249))),"",IF(AND($E2249&lt;$D$2,$G2249&lt;&gt;"X",$F2249&lt;&gt;"Réalisé",$F2249&lt;&gt;"Clôturé"),"RETARD",""))</f>
        <v/>
      </c>
      <c r="L2249">
        <f>IF(OR($B2249="",NOT(ISNUMBER($D2249))),"",IF(AND($D2249&gt;=$D$2,$D2249&lt;=$H$2,$G2249&lt;&gt;"X",$F2249&lt;&gt;"Réalisé",$F2249&lt;&gt;"Clôturé"),"≤ 7 j",""))</f>
        <v/>
      </c>
      <c r="M2249" s="29">
        <f>IF($B2249="","",IFERROR(INDEX($T$4:$T$3183,MATCH(SMALL($V$4:$V$3183,2246),$V$4:$V$3183,0)),""))</f>
        <v/>
      </c>
      <c r="O2249">
        <f>IF(INDEX(Suivi!$B:$B,2292)="","",INDEX(Suivi!$B:$B,2292))</f>
        <v/>
      </c>
      <c r="P2249">
        <f>IF($O2249="","",IF(INDEX(Suivi!$D:$D,2292)="",INDEX(Suivi!$C:$C,2292),INDEX(Suivi!$D:$D,2292)))</f>
        <v/>
      </c>
      <c r="Q2249">
        <f>IF($O2249="","",INDEX(Suivi!$E:$E,2292))</f>
        <v/>
      </c>
      <c r="R2249">
        <f>IF($O2249="","",INDEX(Suivi!$F:$F,2292))</f>
        <v/>
      </c>
      <c r="S2249">
        <f>IF($O2249="","",INDEX(Suivi!$G:$G,2292))</f>
        <v/>
      </c>
      <c r="T2249">
        <f>IF($O2249="","",IF(INDEX(Dossiers!$F$4:$F$63,43)="","",INDEX(Dossiers!$F$4:$F$63,43)))</f>
        <v/>
      </c>
      <c r="U2249">
        <f>IF($O2249="","",IF(INDEX(Dossiers!$G$4:$G$63,43)="","",INDEX(Dossiers!$G$4:$G$63,43)))</f>
        <v/>
      </c>
      <c r="V2249">
        <f>IF(OR($O2249="",NOT(ISNUMBER($Q2249))),"",$Q2249*1000000+2249)</f>
        <v/>
      </c>
      <c r="W2249" s="29">
        <f>IF($B2249="","",IFERROR(INDEX($U$4:$U$3183,MATCH(SMALL($V$4:$V$3183,2246),$V$4:$V$3183,0)),""))</f>
        <v/>
      </c>
    </row>
    <row r="2250">
      <c r="A2250">
        <f>IFERROR(INDEX($N$4:$N$3183,MATCH(SMALL($V$4:$V$3183,2247),$V$4:$V$3183,0)),"")</f>
        <v/>
      </c>
      <c r="B2250">
        <f>IFERROR(INDEX($O$4:$O$3183,MATCH(SMALL($V$4:$V$3183,2247),$V$4:$V$3183,0)),"")</f>
        <v/>
      </c>
      <c r="C2250">
        <f>IFERROR(INDEX($P$4:$P$3183,MATCH(SMALL($V$4:$V$3183,2247),$V$4:$V$3183,0)),"")</f>
        <v/>
      </c>
      <c r="D2250" s="29">
        <f>IFERROR(INDEX($Q$4:$Q$3183,MATCH(SMALL($V$4:$V$3183,2247),$V$4:$V$3183,0)),"")</f>
        <v/>
      </c>
      <c r="E2250" s="29">
        <f>IFERROR(INDEX($R$4:$R$3183,MATCH(SMALL($V$4:$V$3183,2247),$V$4:$V$3183,0)),"")</f>
        <v/>
      </c>
      <c r="F2250">
        <f>IFERROR(INDEX($S$4:$S$3183,MATCH(SMALL($V$4:$V$3183,2247),$V$4:$V$3183,0)),"")</f>
        <v/>
      </c>
      <c r="I2250" s="29">
        <f>IF($B2250="","",IFERROR(INDEX($U$4:$U$3183,MATCH(SMALL($V$4:$V$3183,2247),$V$4:$V$3183,0)),""))</f>
        <v/>
      </c>
      <c r="J2250">
        <f>IF($B2250="","",IF($D2250&gt;$F$2,"À venir",IF($E2250&lt;$D$2,"Passé","Dans la période")))</f>
        <v/>
      </c>
      <c r="K2250">
        <f>IF(OR($B2250="",NOT(ISNUMBER($D2250))),"",IF(AND($E2250&lt;$D$2,$G2250&lt;&gt;"X",$F2250&lt;&gt;"Réalisé",$F2250&lt;&gt;"Clôturé"),"RETARD",""))</f>
        <v/>
      </c>
      <c r="L2250">
        <f>IF(OR($B2250="",NOT(ISNUMBER($D2250))),"",IF(AND($D2250&gt;=$D$2,$D2250&lt;=$H$2,$G2250&lt;&gt;"X",$F2250&lt;&gt;"Réalisé",$F2250&lt;&gt;"Clôturé"),"≤ 7 j",""))</f>
        <v/>
      </c>
      <c r="M2250" s="29">
        <f>IF($B2250="","",IFERROR(INDEX($T$4:$T$3183,MATCH(SMALL($V$4:$V$3183,2247),$V$4:$V$3183,0)),""))</f>
        <v/>
      </c>
      <c r="O2250">
        <f>IF(INDEX(Suivi!$B:$B,2293)="","",INDEX(Suivi!$B:$B,2293))</f>
        <v/>
      </c>
      <c r="P2250">
        <f>IF($O2250="","",IF(INDEX(Suivi!$D:$D,2293)="",INDEX(Suivi!$C:$C,2293),INDEX(Suivi!$D:$D,2293)))</f>
        <v/>
      </c>
      <c r="Q2250">
        <f>IF($O2250="","",INDEX(Suivi!$E:$E,2293))</f>
        <v/>
      </c>
      <c r="R2250">
        <f>IF($O2250="","",INDEX(Suivi!$F:$F,2293))</f>
        <v/>
      </c>
      <c r="S2250">
        <f>IF($O2250="","",INDEX(Suivi!$G:$G,2293))</f>
        <v/>
      </c>
      <c r="T2250">
        <f>IF($O2250="","",IF(INDEX(Dossiers!$F$4:$F$63,43)="","",INDEX(Dossiers!$F$4:$F$63,43)))</f>
        <v/>
      </c>
      <c r="U2250">
        <f>IF($O2250="","",IF(INDEX(Dossiers!$G$4:$G$63,43)="","",INDEX(Dossiers!$G$4:$G$63,43)))</f>
        <v/>
      </c>
      <c r="V2250">
        <f>IF(OR($O2250="",NOT(ISNUMBER($Q2250))),"",$Q2250*1000000+2250)</f>
        <v/>
      </c>
      <c r="W2250" s="29">
        <f>IF($B2250="","",IFERROR(INDEX($U$4:$U$3183,MATCH(SMALL($V$4:$V$3183,2247),$V$4:$V$3183,0)),""))</f>
        <v/>
      </c>
    </row>
    <row r="2251">
      <c r="A2251">
        <f>IFERROR(INDEX($N$4:$N$3183,MATCH(SMALL($V$4:$V$3183,2248),$V$4:$V$3183,0)),"")</f>
        <v/>
      </c>
      <c r="B2251">
        <f>IFERROR(INDEX($O$4:$O$3183,MATCH(SMALL($V$4:$V$3183,2248),$V$4:$V$3183,0)),"")</f>
        <v/>
      </c>
      <c r="C2251">
        <f>IFERROR(INDEX($P$4:$P$3183,MATCH(SMALL($V$4:$V$3183,2248),$V$4:$V$3183,0)),"")</f>
        <v/>
      </c>
      <c r="D2251" s="29">
        <f>IFERROR(INDEX($Q$4:$Q$3183,MATCH(SMALL($V$4:$V$3183,2248),$V$4:$V$3183,0)),"")</f>
        <v/>
      </c>
      <c r="E2251" s="29">
        <f>IFERROR(INDEX($R$4:$R$3183,MATCH(SMALL($V$4:$V$3183,2248),$V$4:$V$3183,0)),"")</f>
        <v/>
      </c>
      <c r="F2251">
        <f>IFERROR(INDEX($S$4:$S$3183,MATCH(SMALL($V$4:$V$3183,2248),$V$4:$V$3183,0)),"")</f>
        <v/>
      </c>
      <c r="I2251" s="29">
        <f>IF($B2251="","",IFERROR(INDEX($U$4:$U$3183,MATCH(SMALL($V$4:$V$3183,2248),$V$4:$V$3183,0)),""))</f>
        <v/>
      </c>
      <c r="J2251">
        <f>IF($B2251="","",IF($D2251&gt;$F$2,"À venir",IF($E2251&lt;$D$2,"Passé","Dans la période")))</f>
        <v/>
      </c>
      <c r="K2251">
        <f>IF(OR($B2251="",NOT(ISNUMBER($D2251))),"",IF(AND($E2251&lt;$D$2,$G2251&lt;&gt;"X",$F2251&lt;&gt;"Réalisé",$F2251&lt;&gt;"Clôturé"),"RETARD",""))</f>
        <v/>
      </c>
      <c r="L2251">
        <f>IF(OR($B2251="",NOT(ISNUMBER($D2251))),"",IF(AND($D2251&gt;=$D$2,$D2251&lt;=$H$2,$G2251&lt;&gt;"X",$F2251&lt;&gt;"Réalisé",$F2251&lt;&gt;"Clôturé"),"≤ 7 j",""))</f>
        <v/>
      </c>
      <c r="M2251" s="29">
        <f>IF($B2251="","",IFERROR(INDEX($T$4:$T$3183,MATCH(SMALL($V$4:$V$3183,2248),$V$4:$V$3183,0)),""))</f>
        <v/>
      </c>
      <c r="O2251">
        <f>IF(INDEX(Suivi!$B:$B,2294)="","",INDEX(Suivi!$B:$B,2294))</f>
        <v/>
      </c>
      <c r="P2251">
        <f>IF($O2251="","",IF(INDEX(Suivi!$D:$D,2294)="",INDEX(Suivi!$C:$C,2294),INDEX(Suivi!$D:$D,2294)))</f>
        <v/>
      </c>
      <c r="Q2251">
        <f>IF($O2251="","",INDEX(Suivi!$E:$E,2294))</f>
        <v/>
      </c>
      <c r="R2251">
        <f>IF($O2251="","",INDEX(Suivi!$F:$F,2294))</f>
        <v/>
      </c>
      <c r="S2251">
        <f>IF($O2251="","",INDEX(Suivi!$G:$G,2294))</f>
        <v/>
      </c>
      <c r="T2251">
        <f>IF($O2251="","",IF(INDEX(Dossiers!$F$4:$F$63,43)="","",INDEX(Dossiers!$F$4:$F$63,43)))</f>
        <v/>
      </c>
      <c r="U2251">
        <f>IF($O2251="","",IF(INDEX(Dossiers!$G$4:$G$63,43)="","",INDEX(Dossiers!$G$4:$G$63,43)))</f>
        <v/>
      </c>
      <c r="V2251">
        <f>IF(OR($O2251="",NOT(ISNUMBER($Q2251))),"",$Q2251*1000000+2251)</f>
        <v/>
      </c>
      <c r="W2251" s="29">
        <f>IF($B2251="","",IFERROR(INDEX($U$4:$U$3183,MATCH(SMALL($V$4:$V$3183,2248),$V$4:$V$3183,0)),""))</f>
        <v/>
      </c>
    </row>
    <row r="2252">
      <c r="A2252">
        <f>IFERROR(INDEX($N$4:$N$3183,MATCH(SMALL($V$4:$V$3183,2249),$V$4:$V$3183,0)),"")</f>
        <v/>
      </c>
      <c r="B2252">
        <f>IFERROR(INDEX($O$4:$O$3183,MATCH(SMALL($V$4:$V$3183,2249),$V$4:$V$3183,0)),"")</f>
        <v/>
      </c>
      <c r="C2252">
        <f>IFERROR(INDEX($P$4:$P$3183,MATCH(SMALL($V$4:$V$3183,2249),$V$4:$V$3183,0)),"")</f>
        <v/>
      </c>
      <c r="D2252" s="29">
        <f>IFERROR(INDEX($Q$4:$Q$3183,MATCH(SMALL($V$4:$V$3183,2249),$V$4:$V$3183,0)),"")</f>
        <v/>
      </c>
      <c r="E2252" s="29">
        <f>IFERROR(INDEX($R$4:$R$3183,MATCH(SMALL($V$4:$V$3183,2249),$V$4:$V$3183,0)),"")</f>
        <v/>
      </c>
      <c r="F2252">
        <f>IFERROR(INDEX($S$4:$S$3183,MATCH(SMALL($V$4:$V$3183,2249),$V$4:$V$3183,0)),"")</f>
        <v/>
      </c>
      <c r="I2252" s="29">
        <f>IF($B2252="","",IFERROR(INDEX($U$4:$U$3183,MATCH(SMALL($V$4:$V$3183,2249),$V$4:$V$3183,0)),""))</f>
        <v/>
      </c>
      <c r="J2252">
        <f>IF($B2252="","",IF($D2252&gt;$F$2,"À venir",IF($E2252&lt;$D$2,"Passé","Dans la période")))</f>
        <v/>
      </c>
      <c r="K2252">
        <f>IF(OR($B2252="",NOT(ISNUMBER($D2252))),"",IF(AND($E2252&lt;$D$2,$G2252&lt;&gt;"X",$F2252&lt;&gt;"Réalisé",$F2252&lt;&gt;"Clôturé"),"RETARD",""))</f>
        <v/>
      </c>
      <c r="L2252">
        <f>IF(OR($B2252="",NOT(ISNUMBER($D2252))),"",IF(AND($D2252&gt;=$D$2,$D2252&lt;=$H$2,$G2252&lt;&gt;"X",$F2252&lt;&gt;"Réalisé",$F2252&lt;&gt;"Clôturé"),"≤ 7 j",""))</f>
        <v/>
      </c>
      <c r="M2252" s="29">
        <f>IF($B2252="","",IFERROR(INDEX($T$4:$T$3183,MATCH(SMALL($V$4:$V$3183,2249),$V$4:$V$3183,0)),""))</f>
        <v/>
      </c>
      <c r="O2252">
        <f>IF(INDEX(Suivi!$B:$B,2295)="","",INDEX(Suivi!$B:$B,2295))</f>
        <v/>
      </c>
      <c r="P2252">
        <f>IF($O2252="","",IF(INDEX(Suivi!$D:$D,2295)="",INDEX(Suivi!$C:$C,2295),INDEX(Suivi!$D:$D,2295)))</f>
        <v/>
      </c>
      <c r="Q2252">
        <f>IF($O2252="","",INDEX(Suivi!$E:$E,2295))</f>
        <v/>
      </c>
      <c r="R2252">
        <f>IF($O2252="","",INDEX(Suivi!$F:$F,2295))</f>
        <v/>
      </c>
      <c r="S2252">
        <f>IF($O2252="","",INDEX(Suivi!$G:$G,2295))</f>
        <v/>
      </c>
      <c r="T2252">
        <f>IF($O2252="","",IF(INDEX(Dossiers!$F$4:$F$63,43)="","",INDEX(Dossiers!$F$4:$F$63,43)))</f>
        <v/>
      </c>
      <c r="U2252">
        <f>IF($O2252="","",IF(INDEX(Dossiers!$G$4:$G$63,43)="","",INDEX(Dossiers!$G$4:$G$63,43)))</f>
        <v/>
      </c>
      <c r="V2252">
        <f>IF(OR($O2252="",NOT(ISNUMBER($Q2252))),"",$Q2252*1000000+2252)</f>
        <v/>
      </c>
      <c r="W2252" s="29">
        <f>IF($B2252="","",IFERROR(INDEX($U$4:$U$3183,MATCH(SMALL($V$4:$V$3183,2249),$V$4:$V$3183,0)),""))</f>
        <v/>
      </c>
    </row>
    <row r="2253">
      <c r="A2253">
        <f>IFERROR(INDEX($N$4:$N$3183,MATCH(SMALL($V$4:$V$3183,2250),$V$4:$V$3183,0)),"")</f>
        <v/>
      </c>
      <c r="B2253">
        <f>IFERROR(INDEX($O$4:$O$3183,MATCH(SMALL($V$4:$V$3183,2250),$V$4:$V$3183,0)),"")</f>
        <v/>
      </c>
      <c r="C2253">
        <f>IFERROR(INDEX($P$4:$P$3183,MATCH(SMALL($V$4:$V$3183,2250),$V$4:$V$3183,0)),"")</f>
        <v/>
      </c>
      <c r="D2253" s="29">
        <f>IFERROR(INDEX($Q$4:$Q$3183,MATCH(SMALL($V$4:$V$3183,2250),$V$4:$V$3183,0)),"")</f>
        <v/>
      </c>
      <c r="E2253" s="29">
        <f>IFERROR(INDEX($R$4:$R$3183,MATCH(SMALL($V$4:$V$3183,2250),$V$4:$V$3183,0)),"")</f>
        <v/>
      </c>
      <c r="F2253">
        <f>IFERROR(INDEX($S$4:$S$3183,MATCH(SMALL($V$4:$V$3183,2250),$V$4:$V$3183,0)),"")</f>
        <v/>
      </c>
      <c r="I2253" s="29">
        <f>IF($B2253="","",IFERROR(INDEX($U$4:$U$3183,MATCH(SMALL($V$4:$V$3183,2250),$V$4:$V$3183,0)),""))</f>
        <v/>
      </c>
      <c r="J2253">
        <f>IF($B2253="","",IF($D2253&gt;$F$2,"À venir",IF($E2253&lt;$D$2,"Passé","Dans la période")))</f>
        <v/>
      </c>
      <c r="K2253">
        <f>IF(OR($B2253="",NOT(ISNUMBER($D2253))),"",IF(AND($E2253&lt;$D$2,$G2253&lt;&gt;"X",$F2253&lt;&gt;"Réalisé",$F2253&lt;&gt;"Clôturé"),"RETARD",""))</f>
        <v/>
      </c>
      <c r="L2253">
        <f>IF(OR($B2253="",NOT(ISNUMBER($D2253))),"",IF(AND($D2253&gt;=$D$2,$D2253&lt;=$H$2,$G2253&lt;&gt;"X",$F2253&lt;&gt;"Réalisé",$F2253&lt;&gt;"Clôturé"),"≤ 7 j",""))</f>
        <v/>
      </c>
      <c r="M2253" s="29">
        <f>IF($B2253="","",IFERROR(INDEX($T$4:$T$3183,MATCH(SMALL($V$4:$V$3183,2250),$V$4:$V$3183,0)),""))</f>
        <v/>
      </c>
      <c r="O2253">
        <f>IF(INDEX(Suivi!$B:$B,2296)="","",INDEX(Suivi!$B:$B,2296))</f>
        <v/>
      </c>
      <c r="P2253">
        <f>IF($O2253="","",IF(INDEX(Suivi!$D:$D,2296)="",INDEX(Suivi!$C:$C,2296),INDEX(Suivi!$D:$D,2296)))</f>
        <v/>
      </c>
      <c r="Q2253">
        <f>IF($O2253="","",INDEX(Suivi!$E:$E,2296))</f>
        <v/>
      </c>
      <c r="R2253">
        <f>IF($O2253="","",INDEX(Suivi!$F:$F,2296))</f>
        <v/>
      </c>
      <c r="S2253">
        <f>IF($O2253="","",INDEX(Suivi!$G:$G,2296))</f>
        <v/>
      </c>
      <c r="T2253">
        <f>IF($O2253="","",IF(INDEX(Dossiers!$F$4:$F$63,43)="","",INDEX(Dossiers!$F$4:$F$63,43)))</f>
        <v/>
      </c>
      <c r="U2253">
        <f>IF($O2253="","",IF(INDEX(Dossiers!$G$4:$G$63,43)="","",INDEX(Dossiers!$G$4:$G$63,43)))</f>
        <v/>
      </c>
      <c r="V2253">
        <f>IF(OR($O2253="",NOT(ISNUMBER($Q2253))),"",$Q2253*1000000+2253)</f>
        <v/>
      </c>
      <c r="W2253" s="29">
        <f>IF($B2253="","",IFERROR(INDEX($U$4:$U$3183,MATCH(SMALL($V$4:$V$3183,2250),$V$4:$V$3183,0)),""))</f>
        <v/>
      </c>
    </row>
    <row r="2254">
      <c r="A2254">
        <f>IFERROR(INDEX($N$4:$N$3183,MATCH(SMALL($V$4:$V$3183,2251),$V$4:$V$3183,0)),"")</f>
        <v/>
      </c>
      <c r="B2254">
        <f>IFERROR(INDEX($O$4:$O$3183,MATCH(SMALL($V$4:$V$3183,2251),$V$4:$V$3183,0)),"")</f>
        <v/>
      </c>
      <c r="C2254">
        <f>IFERROR(INDEX($P$4:$P$3183,MATCH(SMALL($V$4:$V$3183,2251),$V$4:$V$3183,0)),"")</f>
        <v/>
      </c>
      <c r="D2254" s="29">
        <f>IFERROR(INDEX($Q$4:$Q$3183,MATCH(SMALL($V$4:$V$3183,2251),$V$4:$V$3183,0)),"")</f>
        <v/>
      </c>
      <c r="E2254" s="29">
        <f>IFERROR(INDEX($R$4:$R$3183,MATCH(SMALL($V$4:$V$3183,2251),$V$4:$V$3183,0)),"")</f>
        <v/>
      </c>
      <c r="F2254">
        <f>IFERROR(INDEX($S$4:$S$3183,MATCH(SMALL($V$4:$V$3183,2251),$V$4:$V$3183,0)),"")</f>
        <v/>
      </c>
      <c r="I2254" s="29">
        <f>IF($B2254="","",IFERROR(INDEX($U$4:$U$3183,MATCH(SMALL($V$4:$V$3183,2251),$V$4:$V$3183,0)),""))</f>
        <v/>
      </c>
      <c r="J2254">
        <f>IF($B2254="","",IF($D2254&gt;$F$2,"À venir",IF($E2254&lt;$D$2,"Passé","Dans la période")))</f>
        <v/>
      </c>
      <c r="K2254">
        <f>IF(OR($B2254="",NOT(ISNUMBER($D2254))),"",IF(AND($E2254&lt;$D$2,$G2254&lt;&gt;"X",$F2254&lt;&gt;"Réalisé",$F2254&lt;&gt;"Clôturé"),"RETARD",""))</f>
        <v/>
      </c>
      <c r="L2254">
        <f>IF(OR($B2254="",NOT(ISNUMBER($D2254))),"",IF(AND($D2254&gt;=$D$2,$D2254&lt;=$H$2,$G2254&lt;&gt;"X",$F2254&lt;&gt;"Réalisé",$F2254&lt;&gt;"Clôturé"),"≤ 7 j",""))</f>
        <v/>
      </c>
      <c r="M2254" s="29">
        <f>IF($B2254="","",IFERROR(INDEX($T$4:$T$3183,MATCH(SMALL($V$4:$V$3183,2251),$V$4:$V$3183,0)),""))</f>
        <v/>
      </c>
      <c r="O2254">
        <f>IF(INDEX(Suivi!$B:$B,2297)="","",INDEX(Suivi!$B:$B,2297))</f>
        <v/>
      </c>
      <c r="P2254">
        <f>IF($O2254="","",IF(INDEX(Suivi!$D:$D,2297)="",INDEX(Suivi!$C:$C,2297),INDEX(Suivi!$D:$D,2297)))</f>
        <v/>
      </c>
      <c r="Q2254">
        <f>IF($O2254="","",INDEX(Suivi!$E:$E,2297))</f>
        <v/>
      </c>
      <c r="R2254">
        <f>IF($O2254="","",INDEX(Suivi!$F:$F,2297))</f>
        <v/>
      </c>
      <c r="S2254">
        <f>IF($O2254="","",INDEX(Suivi!$G:$G,2297))</f>
        <v/>
      </c>
      <c r="T2254">
        <f>IF($O2254="","",IF(INDEX(Dossiers!$F$4:$F$63,43)="","",INDEX(Dossiers!$F$4:$F$63,43)))</f>
        <v/>
      </c>
      <c r="U2254">
        <f>IF($O2254="","",IF(INDEX(Dossiers!$G$4:$G$63,43)="","",INDEX(Dossiers!$G$4:$G$63,43)))</f>
        <v/>
      </c>
      <c r="V2254">
        <f>IF(OR($O2254="",NOT(ISNUMBER($Q2254))),"",$Q2254*1000000+2254)</f>
        <v/>
      </c>
      <c r="W2254" s="29">
        <f>IF($B2254="","",IFERROR(INDEX($U$4:$U$3183,MATCH(SMALL($V$4:$V$3183,2251),$V$4:$V$3183,0)),""))</f>
        <v/>
      </c>
    </row>
    <row r="2255">
      <c r="A2255">
        <f>IFERROR(INDEX($N$4:$N$3183,MATCH(SMALL($V$4:$V$3183,2252),$V$4:$V$3183,0)),"")</f>
        <v/>
      </c>
      <c r="B2255">
        <f>IFERROR(INDEX($O$4:$O$3183,MATCH(SMALL($V$4:$V$3183,2252),$V$4:$V$3183,0)),"")</f>
        <v/>
      </c>
      <c r="C2255">
        <f>IFERROR(INDEX($P$4:$P$3183,MATCH(SMALL($V$4:$V$3183,2252),$V$4:$V$3183,0)),"")</f>
        <v/>
      </c>
      <c r="D2255" s="29">
        <f>IFERROR(INDEX($Q$4:$Q$3183,MATCH(SMALL($V$4:$V$3183,2252),$V$4:$V$3183,0)),"")</f>
        <v/>
      </c>
      <c r="E2255" s="29">
        <f>IFERROR(INDEX($R$4:$R$3183,MATCH(SMALL($V$4:$V$3183,2252),$V$4:$V$3183,0)),"")</f>
        <v/>
      </c>
      <c r="F2255">
        <f>IFERROR(INDEX($S$4:$S$3183,MATCH(SMALL($V$4:$V$3183,2252),$V$4:$V$3183,0)),"")</f>
        <v/>
      </c>
      <c r="I2255" s="29">
        <f>IF($B2255="","",IFERROR(INDEX($U$4:$U$3183,MATCH(SMALL($V$4:$V$3183,2252),$V$4:$V$3183,0)),""))</f>
        <v/>
      </c>
      <c r="J2255">
        <f>IF($B2255="","",IF($D2255&gt;$F$2,"À venir",IF($E2255&lt;$D$2,"Passé","Dans la période")))</f>
        <v/>
      </c>
      <c r="K2255">
        <f>IF(OR($B2255="",NOT(ISNUMBER($D2255))),"",IF(AND($E2255&lt;$D$2,$G2255&lt;&gt;"X",$F2255&lt;&gt;"Réalisé",$F2255&lt;&gt;"Clôturé"),"RETARD",""))</f>
        <v/>
      </c>
      <c r="L2255">
        <f>IF(OR($B2255="",NOT(ISNUMBER($D2255))),"",IF(AND($D2255&gt;=$D$2,$D2255&lt;=$H$2,$G2255&lt;&gt;"X",$F2255&lt;&gt;"Réalisé",$F2255&lt;&gt;"Clôturé"),"≤ 7 j",""))</f>
        <v/>
      </c>
      <c r="M2255" s="29">
        <f>IF($B2255="","",IFERROR(INDEX($T$4:$T$3183,MATCH(SMALL($V$4:$V$3183,2252),$V$4:$V$3183,0)),""))</f>
        <v/>
      </c>
      <c r="O2255">
        <f>IF(INDEX(Suivi!$B:$B,2298)="","",INDEX(Suivi!$B:$B,2298))</f>
        <v/>
      </c>
      <c r="P2255">
        <f>IF($O2255="","",IF(INDEX(Suivi!$D:$D,2298)="",INDEX(Suivi!$C:$C,2298),INDEX(Suivi!$D:$D,2298)))</f>
        <v/>
      </c>
      <c r="Q2255">
        <f>IF($O2255="","",INDEX(Suivi!$E:$E,2298))</f>
        <v/>
      </c>
      <c r="R2255">
        <f>IF($O2255="","",INDEX(Suivi!$F:$F,2298))</f>
        <v/>
      </c>
      <c r="S2255">
        <f>IF($O2255="","",INDEX(Suivi!$G:$G,2298))</f>
        <v/>
      </c>
      <c r="T2255">
        <f>IF($O2255="","",IF(INDEX(Dossiers!$F$4:$F$63,43)="","",INDEX(Dossiers!$F$4:$F$63,43)))</f>
        <v/>
      </c>
      <c r="U2255">
        <f>IF($O2255="","",IF(INDEX(Dossiers!$G$4:$G$63,43)="","",INDEX(Dossiers!$G$4:$G$63,43)))</f>
        <v/>
      </c>
      <c r="V2255">
        <f>IF(OR($O2255="",NOT(ISNUMBER($Q2255))),"",$Q2255*1000000+2255)</f>
        <v/>
      </c>
      <c r="W2255" s="29">
        <f>IF($B2255="","",IFERROR(INDEX($U$4:$U$3183,MATCH(SMALL($V$4:$V$3183,2252),$V$4:$V$3183,0)),""))</f>
        <v/>
      </c>
    </row>
    <row r="2256">
      <c r="A2256">
        <f>IFERROR(INDEX($N$4:$N$3183,MATCH(SMALL($V$4:$V$3183,2253),$V$4:$V$3183,0)),"")</f>
        <v/>
      </c>
      <c r="B2256">
        <f>IFERROR(INDEX($O$4:$O$3183,MATCH(SMALL($V$4:$V$3183,2253),$V$4:$V$3183,0)),"")</f>
        <v/>
      </c>
      <c r="C2256">
        <f>IFERROR(INDEX($P$4:$P$3183,MATCH(SMALL($V$4:$V$3183,2253),$V$4:$V$3183,0)),"")</f>
        <v/>
      </c>
      <c r="D2256" s="29">
        <f>IFERROR(INDEX($Q$4:$Q$3183,MATCH(SMALL($V$4:$V$3183,2253),$V$4:$V$3183,0)),"")</f>
        <v/>
      </c>
      <c r="E2256" s="29">
        <f>IFERROR(INDEX($R$4:$R$3183,MATCH(SMALL($V$4:$V$3183,2253),$V$4:$V$3183,0)),"")</f>
        <v/>
      </c>
      <c r="F2256">
        <f>IFERROR(INDEX($S$4:$S$3183,MATCH(SMALL($V$4:$V$3183,2253),$V$4:$V$3183,0)),"")</f>
        <v/>
      </c>
      <c r="I2256" s="29">
        <f>IF($B2256="","",IFERROR(INDEX($U$4:$U$3183,MATCH(SMALL($V$4:$V$3183,2253),$V$4:$V$3183,0)),""))</f>
        <v/>
      </c>
      <c r="J2256">
        <f>IF($B2256="","",IF($D2256&gt;$F$2,"À venir",IF($E2256&lt;$D$2,"Passé","Dans la période")))</f>
        <v/>
      </c>
      <c r="K2256">
        <f>IF(OR($B2256="",NOT(ISNUMBER($D2256))),"",IF(AND($E2256&lt;$D$2,$G2256&lt;&gt;"X",$F2256&lt;&gt;"Réalisé",$F2256&lt;&gt;"Clôturé"),"RETARD",""))</f>
        <v/>
      </c>
      <c r="L2256">
        <f>IF(OR($B2256="",NOT(ISNUMBER($D2256))),"",IF(AND($D2256&gt;=$D$2,$D2256&lt;=$H$2,$G2256&lt;&gt;"X",$F2256&lt;&gt;"Réalisé",$F2256&lt;&gt;"Clôturé"),"≤ 7 j",""))</f>
        <v/>
      </c>
      <c r="M2256" s="29">
        <f>IF($B2256="","",IFERROR(INDEX($T$4:$T$3183,MATCH(SMALL($V$4:$V$3183,2253),$V$4:$V$3183,0)),""))</f>
        <v/>
      </c>
      <c r="O2256">
        <f>IF(INDEX(Suivi!$B:$B,2299)="","",INDEX(Suivi!$B:$B,2299))</f>
        <v/>
      </c>
      <c r="P2256">
        <f>IF($O2256="","",IF(INDEX(Suivi!$D:$D,2299)="",INDEX(Suivi!$C:$C,2299),INDEX(Suivi!$D:$D,2299)))</f>
        <v/>
      </c>
      <c r="Q2256">
        <f>IF($O2256="","",INDEX(Suivi!$E:$E,2299))</f>
        <v/>
      </c>
      <c r="R2256">
        <f>IF($O2256="","",INDEX(Suivi!$F:$F,2299))</f>
        <v/>
      </c>
      <c r="S2256">
        <f>IF($O2256="","",INDEX(Suivi!$G:$G,2299))</f>
        <v/>
      </c>
      <c r="T2256">
        <f>IF($O2256="","",IF(INDEX(Dossiers!$F$4:$F$63,43)="","",INDEX(Dossiers!$F$4:$F$63,43)))</f>
        <v/>
      </c>
      <c r="U2256">
        <f>IF($O2256="","",IF(INDEX(Dossiers!$G$4:$G$63,43)="","",INDEX(Dossiers!$G$4:$G$63,43)))</f>
        <v/>
      </c>
      <c r="V2256">
        <f>IF(OR($O2256="",NOT(ISNUMBER($Q2256))),"",$Q2256*1000000+2256)</f>
        <v/>
      </c>
      <c r="W2256" s="29">
        <f>IF($B2256="","",IFERROR(INDEX($U$4:$U$3183,MATCH(SMALL($V$4:$V$3183,2253),$V$4:$V$3183,0)),""))</f>
        <v/>
      </c>
    </row>
    <row r="2257">
      <c r="A2257">
        <f>IFERROR(INDEX($N$4:$N$3183,MATCH(SMALL($V$4:$V$3183,2254),$V$4:$V$3183,0)),"")</f>
        <v/>
      </c>
      <c r="B2257">
        <f>IFERROR(INDEX($O$4:$O$3183,MATCH(SMALL($V$4:$V$3183,2254),$V$4:$V$3183,0)),"")</f>
        <v/>
      </c>
      <c r="C2257">
        <f>IFERROR(INDEX($P$4:$P$3183,MATCH(SMALL($V$4:$V$3183,2254),$V$4:$V$3183,0)),"")</f>
        <v/>
      </c>
      <c r="D2257" s="29">
        <f>IFERROR(INDEX($Q$4:$Q$3183,MATCH(SMALL($V$4:$V$3183,2254),$V$4:$V$3183,0)),"")</f>
        <v/>
      </c>
      <c r="E2257" s="29">
        <f>IFERROR(INDEX($R$4:$R$3183,MATCH(SMALL($V$4:$V$3183,2254),$V$4:$V$3183,0)),"")</f>
        <v/>
      </c>
      <c r="F2257">
        <f>IFERROR(INDEX($S$4:$S$3183,MATCH(SMALL($V$4:$V$3183,2254),$V$4:$V$3183,0)),"")</f>
        <v/>
      </c>
      <c r="I2257" s="29">
        <f>IF($B2257="","",IFERROR(INDEX($U$4:$U$3183,MATCH(SMALL($V$4:$V$3183,2254),$V$4:$V$3183,0)),""))</f>
        <v/>
      </c>
      <c r="J2257">
        <f>IF($B2257="","",IF($D2257&gt;$F$2,"À venir",IF($E2257&lt;$D$2,"Passé","Dans la période")))</f>
        <v/>
      </c>
      <c r="K2257">
        <f>IF(OR($B2257="",NOT(ISNUMBER($D2257))),"",IF(AND($E2257&lt;$D$2,$G2257&lt;&gt;"X",$F2257&lt;&gt;"Réalisé",$F2257&lt;&gt;"Clôturé"),"RETARD",""))</f>
        <v/>
      </c>
      <c r="L2257">
        <f>IF(OR($B2257="",NOT(ISNUMBER($D2257))),"",IF(AND($D2257&gt;=$D$2,$D2257&lt;=$H$2,$G2257&lt;&gt;"X",$F2257&lt;&gt;"Réalisé",$F2257&lt;&gt;"Clôturé"),"≤ 7 j",""))</f>
        <v/>
      </c>
      <c r="M2257" s="29">
        <f>IF($B2257="","",IFERROR(INDEX($T$4:$T$3183,MATCH(SMALL($V$4:$V$3183,2254),$V$4:$V$3183,0)),""))</f>
        <v/>
      </c>
      <c r="O2257">
        <f>IF(INDEX(Suivi!$B:$B,2300)="","",INDEX(Suivi!$B:$B,2300))</f>
        <v/>
      </c>
      <c r="P2257">
        <f>IF($O2257="","",IF(INDEX(Suivi!$D:$D,2300)="",INDEX(Suivi!$C:$C,2300),INDEX(Suivi!$D:$D,2300)))</f>
        <v/>
      </c>
      <c r="Q2257">
        <f>IF($O2257="","",INDEX(Suivi!$E:$E,2300))</f>
        <v/>
      </c>
      <c r="R2257">
        <f>IF($O2257="","",INDEX(Suivi!$F:$F,2300))</f>
        <v/>
      </c>
      <c r="S2257">
        <f>IF($O2257="","",INDEX(Suivi!$G:$G,2300))</f>
        <v/>
      </c>
      <c r="T2257">
        <f>IF($O2257="","",IF(INDEX(Dossiers!$F$4:$F$63,43)="","",INDEX(Dossiers!$F$4:$F$63,43)))</f>
        <v/>
      </c>
      <c r="U2257">
        <f>IF($O2257="","",IF(INDEX(Dossiers!$G$4:$G$63,43)="","",INDEX(Dossiers!$G$4:$G$63,43)))</f>
        <v/>
      </c>
      <c r="V2257">
        <f>IF(OR($O2257="",NOT(ISNUMBER($Q2257))),"",$Q2257*1000000+2257)</f>
        <v/>
      </c>
      <c r="W2257" s="29">
        <f>IF($B2257="","",IFERROR(INDEX($U$4:$U$3183,MATCH(SMALL($V$4:$V$3183,2254),$V$4:$V$3183,0)),""))</f>
        <v/>
      </c>
    </row>
    <row r="2258">
      <c r="A2258">
        <f>IFERROR(INDEX($N$4:$N$3183,MATCH(SMALL($V$4:$V$3183,2255),$V$4:$V$3183,0)),"")</f>
        <v/>
      </c>
      <c r="B2258">
        <f>IFERROR(INDEX($O$4:$O$3183,MATCH(SMALL($V$4:$V$3183,2255),$V$4:$V$3183,0)),"")</f>
        <v/>
      </c>
      <c r="C2258">
        <f>IFERROR(INDEX($P$4:$P$3183,MATCH(SMALL($V$4:$V$3183,2255),$V$4:$V$3183,0)),"")</f>
        <v/>
      </c>
      <c r="D2258" s="29">
        <f>IFERROR(INDEX($Q$4:$Q$3183,MATCH(SMALL($V$4:$V$3183,2255),$V$4:$V$3183,0)),"")</f>
        <v/>
      </c>
      <c r="E2258" s="29">
        <f>IFERROR(INDEX($R$4:$R$3183,MATCH(SMALL($V$4:$V$3183,2255),$V$4:$V$3183,0)),"")</f>
        <v/>
      </c>
      <c r="F2258">
        <f>IFERROR(INDEX($S$4:$S$3183,MATCH(SMALL($V$4:$V$3183,2255),$V$4:$V$3183,0)),"")</f>
        <v/>
      </c>
      <c r="I2258" s="29">
        <f>IF($B2258="","",IFERROR(INDEX($U$4:$U$3183,MATCH(SMALL($V$4:$V$3183,2255),$V$4:$V$3183,0)),""))</f>
        <v/>
      </c>
      <c r="J2258">
        <f>IF($B2258="","",IF($D2258&gt;$F$2,"À venir",IF($E2258&lt;$D$2,"Passé","Dans la période")))</f>
        <v/>
      </c>
      <c r="K2258">
        <f>IF(OR($B2258="",NOT(ISNUMBER($D2258))),"",IF(AND($E2258&lt;$D$2,$G2258&lt;&gt;"X",$F2258&lt;&gt;"Réalisé",$F2258&lt;&gt;"Clôturé"),"RETARD",""))</f>
        <v/>
      </c>
      <c r="L2258">
        <f>IF(OR($B2258="",NOT(ISNUMBER($D2258))),"",IF(AND($D2258&gt;=$D$2,$D2258&lt;=$H$2,$G2258&lt;&gt;"X",$F2258&lt;&gt;"Réalisé",$F2258&lt;&gt;"Clôturé"),"≤ 7 j",""))</f>
        <v/>
      </c>
      <c r="M2258" s="29">
        <f>IF($B2258="","",IFERROR(INDEX($T$4:$T$3183,MATCH(SMALL($V$4:$V$3183,2255),$V$4:$V$3183,0)),""))</f>
        <v/>
      </c>
      <c r="O2258">
        <f>IF(INDEX(Suivi!$B:$B,2301)="","",INDEX(Suivi!$B:$B,2301))</f>
        <v/>
      </c>
      <c r="P2258">
        <f>IF($O2258="","",IF(INDEX(Suivi!$D:$D,2301)="",INDEX(Suivi!$C:$C,2301),INDEX(Suivi!$D:$D,2301)))</f>
        <v/>
      </c>
      <c r="Q2258">
        <f>IF($O2258="","",INDEX(Suivi!$E:$E,2301))</f>
        <v/>
      </c>
      <c r="R2258">
        <f>IF($O2258="","",INDEX(Suivi!$F:$F,2301))</f>
        <v/>
      </c>
      <c r="S2258">
        <f>IF($O2258="","",INDEX(Suivi!$G:$G,2301))</f>
        <v/>
      </c>
      <c r="T2258">
        <f>IF($O2258="","",IF(INDEX(Dossiers!$F$4:$F$63,43)="","",INDEX(Dossiers!$F$4:$F$63,43)))</f>
        <v/>
      </c>
      <c r="U2258">
        <f>IF($O2258="","",IF(INDEX(Dossiers!$G$4:$G$63,43)="","",INDEX(Dossiers!$G$4:$G$63,43)))</f>
        <v/>
      </c>
      <c r="V2258">
        <f>IF(OR($O2258="",NOT(ISNUMBER($Q2258))),"",$Q2258*1000000+2258)</f>
        <v/>
      </c>
      <c r="W2258" s="29">
        <f>IF($B2258="","",IFERROR(INDEX($U$4:$U$3183,MATCH(SMALL($V$4:$V$3183,2255),$V$4:$V$3183,0)),""))</f>
        <v/>
      </c>
    </row>
    <row r="2259">
      <c r="A2259">
        <f>IFERROR(INDEX($N$4:$N$3183,MATCH(SMALL($V$4:$V$3183,2256),$V$4:$V$3183,0)),"")</f>
        <v/>
      </c>
      <c r="B2259">
        <f>IFERROR(INDEX($O$4:$O$3183,MATCH(SMALL($V$4:$V$3183,2256),$V$4:$V$3183,0)),"")</f>
        <v/>
      </c>
      <c r="C2259">
        <f>IFERROR(INDEX($P$4:$P$3183,MATCH(SMALL($V$4:$V$3183,2256),$V$4:$V$3183,0)),"")</f>
        <v/>
      </c>
      <c r="D2259" s="29">
        <f>IFERROR(INDEX($Q$4:$Q$3183,MATCH(SMALL($V$4:$V$3183,2256),$V$4:$V$3183,0)),"")</f>
        <v/>
      </c>
      <c r="E2259" s="29">
        <f>IFERROR(INDEX($R$4:$R$3183,MATCH(SMALL($V$4:$V$3183,2256),$V$4:$V$3183,0)),"")</f>
        <v/>
      </c>
      <c r="F2259">
        <f>IFERROR(INDEX($S$4:$S$3183,MATCH(SMALL($V$4:$V$3183,2256),$V$4:$V$3183,0)),"")</f>
        <v/>
      </c>
      <c r="I2259" s="29">
        <f>IF($B2259="","",IFERROR(INDEX($U$4:$U$3183,MATCH(SMALL($V$4:$V$3183,2256),$V$4:$V$3183,0)),""))</f>
        <v/>
      </c>
      <c r="J2259">
        <f>IF($B2259="","",IF($D2259&gt;$F$2,"À venir",IF($E2259&lt;$D$2,"Passé","Dans la période")))</f>
        <v/>
      </c>
      <c r="K2259">
        <f>IF(OR($B2259="",NOT(ISNUMBER($D2259))),"",IF(AND($E2259&lt;$D$2,$G2259&lt;&gt;"X",$F2259&lt;&gt;"Réalisé",$F2259&lt;&gt;"Clôturé"),"RETARD",""))</f>
        <v/>
      </c>
      <c r="L2259">
        <f>IF(OR($B2259="",NOT(ISNUMBER($D2259))),"",IF(AND($D2259&gt;=$D$2,$D2259&lt;=$H$2,$G2259&lt;&gt;"X",$F2259&lt;&gt;"Réalisé",$F2259&lt;&gt;"Clôturé"),"≤ 7 j",""))</f>
        <v/>
      </c>
      <c r="M2259" s="29">
        <f>IF($B2259="","",IFERROR(INDEX($T$4:$T$3183,MATCH(SMALL($V$4:$V$3183,2256),$V$4:$V$3183,0)),""))</f>
        <v/>
      </c>
      <c r="O2259">
        <f>IF(INDEX(Suivi!$B:$B,2302)="","",INDEX(Suivi!$B:$B,2302))</f>
        <v/>
      </c>
      <c r="P2259">
        <f>IF($O2259="","",IF(INDEX(Suivi!$D:$D,2302)="",INDEX(Suivi!$C:$C,2302),INDEX(Suivi!$D:$D,2302)))</f>
        <v/>
      </c>
      <c r="Q2259">
        <f>IF($O2259="","",INDEX(Suivi!$E:$E,2302))</f>
        <v/>
      </c>
      <c r="R2259">
        <f>IF($O2259="","",INDEX(Suivi!$F:$F,2302))</f>
        <v/>
      </c>
      <c r="S2259">
        <f>IF($O2259="","",INDEX(Suivi!$G:$G,2302))</f>
        <v/>
      </c>
      <c r="T2259">
        <f>IF($O2259="","",IF(INDEX(Dossiers!$F$4:$F$63,43)="","",INDEX(Dossiers!$F$4:$F$63,43)))</f>
        <v/>
      </c>
      <c r="U2259">
        <f>IF($O2259="","",IF(INDEX(Dossiers!$G$4:$G$63,43)="","",INDEX(Dossiers!$G$4:$G$63,43)))</f>
        <v/>
      </c>
      <c r="V2259">
        <f>IF(OR($O2259="",NOT(ISNUMBER($Q2259))),"",$Q2259*1000000+2259)</f>
        <v/>
      </c>
      <c r="W2259" s="29">
        <f>IF($B2259="","",IFERROR(INDEX($U$4:$U$3183,MATCH(SMALL($V$4:$V$3183,2256),$V$4:$V$3183,0)),""))</f>
        <v/>
      </c>
    </row>
    <row r="2260">
      <c r="A2260">
        <f>IFERROR(INDEX($N$4:$N$3183,MATCH(SMALL($V$4:$V$3183,2257),$V$4:$V$3183,0)),"")</f>
        <v/>
      </c>
      <c r="B2260">
        <f>IFERROR(INDEX($O$4:$O$3183,MATCH(SMALL($V$4:$V$3183,2257),$V$4:$V$3183,0)),"")</f>
        <v/>
      </c>
      <c r="C2260">
        <f>IFERROR(INDEX($P$4:$P$3183,MATCH(SMALL($V$4:$V$3183,2257),$V$4:$V$3183,0)),"")</f>
        <v/>
      </c>
      <c r="D2260" s="29">
        <f>IFERROR(INDEX($Q$4:$Q$3183,MATCH(SMALL($V$4:$V$3183,2257),$V$4:$V$3183,0)),"")</f>
        <v/>
      </c>
      <c r="E2260" s="29">
        <f>IFERROR(INDEX($R$4:$R$3183,MATCH(SMALL($V$4:$V$3183,2257),$V$4:$V$3183,0)),"")</f>
        <v/>
      </c>
      <c r="F2260">
        <f>IFERROR(INDEX($S$4:$S$3183,MATCH(SMALL($V$4:$V$3183,2257),$V$4:$V$3183,0)),"")</f>
        <v/>
      </c>
      <c r="I2260" s="29">
        <f>IF($B2260="","",IFERROR(INDEX($U$4:$U$3183,MATCH(SMALL($V$4:$V$3183,2257),$V$4:$V$3183,0)),""))</f>
        <v/>
      </c>
      <c r="J2260">
        <f>IF($B2260="","",IF($D2260&gt;$F$2,"À venir",IF($E2260&lt;$D$2,"Passé","Dans la période")))</f>
        <v/>
      </c>
      <c r="K2260">
        <f>IF(OR($B2260="",NOT(ISNUMBER($D2260))),"",IF(AND($E2260&lt;$D$2,$G2260&lt;&gt;"X",$F2260&lt;&gt;"Réalisé",$F2260&lt;&gt;"Clôturé"),"RETARD",""))</f>
        <v/>
      </c>
      <c r="L2260">
        <f>IF(OR($B2260="",NOT(ISNUMBER($D2260))),"",IF(AND($D2260&gt;=$D$2,$D2260&lt;=$H$2,$G2260&lt;&gt;"X",$F2260&lt;&gt;"Réalisé",$F2260&lt;&gt;"Clôturé"),"≤ 7 j",""))</f>
        <v/>
      </c>
      <c r="M2260" s="29">
        <f>IF($B2260="","",IFERROR(INDEX($T$4:$T$3183,MATCH(SMALL($V$4:$V$3183,2257),$V$4:$V$3183,0)),""))</f>
        <v/>
      </c>
      <c r="O2260">
        <f>IF(INDEX(Suivi!$B:$B,2303)="","",INDEX(Suivi!$B:$B,2303))</f>
        <v/>
      </c>
      <c r="P2260">
        <f>IF($O2260="","",IF(INDEX(Suivi!$D:$D,2303)="",INDEX(Suivi!$C:$C,2303),INDEX(Suivi!$D:$D,2303)))</f>
        <v/>
      </c>
      <c r="Q2260">
        <f>IF($O2260="","",INDEX(Suivi!$E:$E,2303))</f>
        <v/>
      </c>
      <c r="R2260">
        <f>IF($O2260="","",INDEX(Suivi!$F:$F,2303))</f>
        <v/>
      </c>
      <c r="S2260">
        <f>IF($O2260="","",INDEX(Suivi!$G:$G,2303))</f>
        <v/>
      </c>
      <c r="T2260">
        <f>IF($O2260="","",IF(INDEX(Dossiers!$F$4:$F$63,43)="","",INDEX(Dossiers!$F$4:$F$63,43)))</f>
        <v/>
      </c>
      <c r="U2260">
        <f>IF($O2260="","",IF(INDEX(Dossiers!$G$4:$G$63,43)="","",INDEX(Dossiers!$G$4:$G$63,43)))</f>
        <v/>
      </c>
      <c r="V2260">
        <f>IF(OR($O2260="",NOT(ISNUMBER($Q2260))),"",$Q2260*1000000+2260)</f>
        <v/>
      </c>
      <c r="W2260" s="29">
        <f>IF($B2260="","",IFERROR(INDEX($U$4:$U$3183,MATCH(SMALL($V$4:$V$3183,2257),$V$4:$V$3183,0)),""))</f>
        <v/>
      </c>
    </row>
    <row r="2261">
      <c r="A2261">
        <f>IFERROR(INDEX($N$4:$N$3183,MATCH(SMALL($V$4:$V$3183,2258),$V$4:$V$3183,0)),"")</f>
        <v/>
      </c>
      <c r="B2261">
        <f>IFERROR(INDEX($O$4:$O$3183,MATCH(SMALL($V$4:$V$3183,2258),$V$4:$V$3183,0)),"")</f>
        <v/>
      </c>
      <c r="C2261">
        <f>IFERROR(INDEX($P$4:$P$3183,MATCH(SMALL($V$4:$V$3183,2258),$V$4:$V$3183,0)),"")</f>
        <v/>
      </c>
      <c r="D2261" s="29">
        <f>IFERROR(INDEX($Q$4:$Q$3183,MATCH(SMALL($V$4:$V$3183,2258),$V$4:$V$3183,0)),"")</f>
        <v/>
      </c>
      <c r="E2261" s="29">
        <f>IFERROR(INDEX($R$4:$R$3183,MATCH(SMALL($V$4:$V$3183,2258),$V$4:$V$3183,0)),"")</f>
        <v/>
      </c>
      <c r="F2261">
        <f>IFERROR(INDEX($S$4:$S$3183,MATCH(SMALL($V$4:$V$3183,2258),$V$4:$V$3183,0)),"")</f>
        <v/>
      </c>
      <c r="I2261" s="29">
        <f>IF($B2261="","",IFERROR(INDEX($U$4:$U$3183,MATCH(SMALL($V$4:$V$3183,2258),$V$4:$V$3183,0)),""))</f>
        <v/>
      </c>
      <c r="J2261">
        <f>IF($B2261="","",IF($D2261&gt;$F$2,"À venir",IF($E2261&lt;$D$2,"Passé","Dans la période")))</f>
        <v/>
      </c>
      <c r="K2261">
        <f>IF(OR($B2261="",NOT(ISNUMBER($D2261))),"",IF(AND($E2261&lt;$D$2,$G2261&lt;&gt;"X",$F2261&lt;&gt;"Réalisé",$F2261&lt;&gt;"Clôturé"),"RETARD",""))</f>
        <v/>
      </c>
      <c r="L2261">
        <f>IF(OR($B2261="",NOT(ISNUMBER($D2261))),"",IF(AND($D2261&gt;=$D$2,$D2261&lt;=$H$2,$G2261&lt;&gt;"X",$F2261&lt;&gt;"Réalisé",$F2261&lt;&gt;"Clôturé"),"≤ 7 j",""))</f>
        <v/>
      </c>
      <c r="M2261" s="29">
        <f>IF($B2261="","",IFERROR(INDEX($T$4:$T$3183,MATCH(SMALL($V$4:$V$3183,2258),$V$4:$V$3183,0)),""))</f>
        <v/>
      </c>
      <c r="O2261">
        <f>IF(INDEX(Suivi!$B:$B,2304)="","",INDEX(Suivi!$B:$B,2304))</f>
        <v/>
      </c>
      <c r="P2261">
        <f>IF($O2261="","",IF(INDEX(Suivi!$D:$D,2304)="",INDEX(Suivi!$C:$C,2304),INDEX(Suivi!$D:$D,2304)))</f>
        <v/>
      </c>
      <c r="Q2261">
        <f>IF($O2261="","",INDEX(Suivi!$E:$E,2304))</f>
        <v/>
      </c>
      <c r="R2261">
        <f>IF($O2261="","",INDEX(Suivi!$F:$F,2304))</f>
        <v/>
      </c>
      <c r="S2261">
        <f>IF($O2261="","",INDEX(Suivi!$G:$G,2304))</f>
        <v/>
      </c>
      <c r="T2261">
        <f>IF($O2261="","",IF(INDEX(Dossiers!$F$4:$F$63,43)="","",INDEX(Dossiers!$F$4:$F$63,43)))</f>
        <v/>
      </c>
      <c r="U2261">
        <f>IF($O2261="","",IF(INDEX(Dossiers!$G$4:$G$63,43)="","",INDEX(Dossiers!$G$4:$G$63,43)))</f>
        <v/>
      </c>
      <c r="V2261">
        <f>IF(OR($O2261="",NOT(ISNUMBER($Q2261))),"",$Q2261*1000000+2261)</f>
        <v/>
      </c>
      <c r="W2261" s="29">
        <f>IF($B2261="","",IFERROR(INDEX($U$4:$U$3183,MATCH(SMALL($V$4:$V$3183,2258),$V$4:$V$3183,0)),""))</f>
        <v/>
      </c>
    </row>
    <row r="2262">
      <c r="A2262">
        <f>IFERROR(INDEX($N$4:$N$3183,MATCH(SMALL($V$4:$V$3183,2259),$V$4:$V$3183,0)),"")</f>
        <v/>
      </c>
      <c r="B2262">
        <f>IFERROR(INDEX($O$4:$O$3183,MATCH(SMALL($V$4:$V$3183,2259),$V$4:$V$3183,0)),"")</f>
        <v/>
      </c>
      <c r="C2262">
        <f>IFERROR(INDEX($P$4:$P$3183,MATCH(SMALL($V$4:$V$3183,2259),$V$4:$V$3183,0)),"")</f>
        <v/>
      </c>
      <c r="D2262" s="29">
        <f>IFERROR(INDEX($Q$4:$Q$3183,MATCH(SMALL($V$4:$V$3183,2259),$V$4:$V$3183,0)),"")</f>
        <v/>
      </c>
      <c r="E2262" s="29">
        <f>IFERROR(INDEX($R$4:$R$3183,MATCH(SMALL($V$4:$V$3183,2259),$V$4:$V$3183,0)),"")</f>
        <v/>
      </c>
      <c r="F2262">
        <f>IFERROR(INDEX($S$4:$S$3183,MATCH(SMALL($V$4:$V$3183,2259),$V$4:$V$3183,0)),"")</f>
        <v/>
      </c>
      <c r="I2262" s="29">
        <f>IF($B2262="","",IFERROR(INDEX($U$4:$U$3183,MATCH(SMALL($V$4:$V$3183,2259),$V$4:$V$3183,0)),""))</f>
        <v/>
      </c>
      <c r="J2262">
        <f>IF($B2262="","",IF($D2262&gt;$F$2,"À venir",IF($E2262&lt;$D$2,"Passé","Dans la période")))</f>
        <v/>
      </c>
      <c r="K2262">
        <f>IF(OR($B2262="",NOT(ISNUMBER($D2262))),"",IF(AND($E2262&lt;$D$2,$G2262&lt;&gt;"X",$F2262&lt;&gt;"Réalisé",$F2262&lt;&gt;"Clôturé"),"RETARD",""))</f>
        <v/>
      </c>
      <c r="L2262">
        <f>IF(OR($B2262="",NOT(ISNUMBER($D2262))),"",IF(AND($D2262&gt;=$D$2,$D2262&lt;=$H$2,$G2262&lt;&gt;"X",$F2262&lt;&gt;"Réalisé",$F2262&lt;&gt;"Clôturé"),"≤ 7 j",""))</f>
        <v/>
      </c>
      <c r="M2262" s="29">
        <f>IF($B2262="","",IFERROR(INDEX($T$4:$T$3183,MATCH(SMALL($V$4:$V$3183,2259),$V$4:$V$3183,0)),""))</f>
        <v/>
      </c>
      <c r="O2262">
        <f>IF(INDEX(Suivi!$B:$B,2305)="","",INDEX(Suivi!$B:$B,2305))</f>
        <v/>
      </c>
      <c r="P2262">
        <f>IF($O2262="","",IF(INDEX(Suivi!$D:$D,2305)="",INDEX(Suivi!$C:$C,2305),INDEX(Suivi!$D:$D,2305)))</f>
        <v/>
      </c>
      <c r="Q2262">
        <f>IF($O2262="","",INDEX(Suivi!$E:$E,2305))</f>
        <v/>
      </c>
      <c r="R2262">
        <f>IF($O2262="","",INDEX(Suivi!$F:$F,2305))</f>
        <v/>
      </c>
      <c r="S2262">
        <f>IF($O2262="","",INDEX(Suivi!$G:$G,2305))</f>
        <v/>
      </c>
      <c r="T2262">
        <f>IF($O2262="","",IF(INDEX(Dossiers!$F$4:$F$63,43)="","",INDEX(Dossiers!$F$4:$F$63,43)))</f>
        <v/>
      </c>
      <c r="U2262">
        <f>IF($O2262="","",IF(INDEX(Dossiers!$G$4:$G$63,43)="","",INDEX(Dossiers!$G$4:$G$63,43)))</f>
        <v/>
      </c>
      <c r="V2262">
        <f>IF(OR($O2262="",NOT(ISNUMBER($Q2262))),"",$Q2262*1000000+2262)</f>
        <v/>
      </c>
      <c r="W2262" s="29">
        <f>IF($B2262="","",IFERROR(INDEX($U$4:$U$3183,MATCH(SMALL($V$4:$V$3183,2259),$V$4:$V$3183,0)),""))</f>
        <v/>
      </c>
    </row>
    <row r="2263">
      <c r="A2263">
        <f>IFERROR(INDEX($N$4:$N$3183,MATCH(SMALL($V$4:$V$3183,2260),$V$4:$V$3183,0)),"")</f>
        <v/>
      </c>
      <c r="B2263">
        <f>IFERROR(INDEX($O$4:$O$3183,MATCH(SMALL($V$4:$V$3183,2260),$V$4:$V$3183,0)),"")</f>
        <v/>
      </c>
      <c r="C2263">
        <f>IFERROR(INDEX($P$4:$P$3183,MATCH(SMALL($V$4:$V$3183,2260),$V$4:$V$3183,0)),"")</f>
        <v/>
      </c>
      <c r="D2263" s="29">
        <f>IFERROR(INDEX($Q$4:$Q$3183,MATCH(SMALL($V$4:$V$3183,2260),$V$4:$V$3183,0)),"")</f>
        <v/>
      </c>
      <c r="E2263" s="29">
        <f>IFERROR(INDEX($R$4:$R$3183,MATCH(SMALL($V$4:$V$3183,2260),$V$4:$V$3183,0)),"")</f>
        <v/>
      </c>
      <c r="F2263">
        <f>IFERROR(INDEX($S$4:$S$3183,MATCH(SMALL($V$4:$V$3183,2260),$V$4:$V$3183,0)),"")</f>
        <v/>
      </c>
      <c r="I2263" s="29">
        <f>IF($B2263="","",IFERROR(INDEX($U$4:$U$3183,MATCH(SMALL($V$4:$V$3183,2260),$V$4:$V$3183,0)),""))</f>
        <v/>
      </c>
      <c r="J2263">
        <f>IF($B2263="","",IF($D2263&gt;$F$2,"À venir",IF($E2263&lt;$D$2,"Passé","Dans la période")))</f>
        <v/>
      </c>
      <c r="K2263">
        <f>IF(OR($B2263="",NOT(ISNUMBER($D2263))),"",IF(AND($E2263&lt;$D$2,$G2263&lt;&gt;"X",$F2263&lt;&gt;"Réalisé",$F2263&lt;&gt;"Clôturé"),"RETARD",""))</f>
        <v/>
      </c>
      <c r="L2263">
        <f>IF(OR($B2263="",NOT(ISNUMBER($D2263))),"",IF(AND($D2263&gt;=$D$2,$D2263&lt;=$H$2,$G2263&lt;&gt;"X",$F2263&lt;&gt;"Réalisé",$F2263&lt;&gt;"Clôturé"),"≤ 7 j",""))</f>
        <v/>
      </c>
      <c r="M2263" s="29">
        <f>IF($B2263="","",IFERROR(INDEX($T$4:$T$3183,MATCH(SMALL($V$4:$V$3183,2260),$V$4:$V$3183,0)),""))</f>
        <v/>
      </c>
      <c r="O2263">
        <f>IF(INDEX(Suivi!$B:$B,2306)="","",INDEX(Suivi!$B:$B,2306))</f>
        <v/>
      </c>
      <c r="P2263">
        <f>IF($O2263="","",IF(INDEX(Suivi!$D:$D,2306)="",INDEX(Suivi!$C:$C,2306),INDEX(Suivi!$D:$D,2306)))</f>
        <v/>
      </c>
      <c r="Q2263">
        <f>IF($O2263="","",INDEX(Suivi!$E:$E,2306))</f>
        <v/>
      </c>
      <c r="R2263">
        <f>IF($O2263="","",INDEX(Suivi!$F:$F,2306))</f>
        <v/>
      </c>
      <c r="S2263">
        <f>IF($O2263="","",INDEX(Suivi!$G:$G,2306))</f>
        <v/>
      </c>
      <c r="T2263">
        <f>IF($O2263="","",IF(INDEX(Dossiers!$F$4:$F$63,43)="","",INDEX(Dossiers!$F$4:$F$63,43)))</f>
        <v/>
      </c>
      <c r="U2263">
        <f>IF($O2263="","",IF(INDEX(Dossiers!$G$4:$G$63,43)="","",INDEX(Dossiers!$G$4:$G$63,43)))</f>
        <v/>
      </c>
      <c r="V2263">
        <f>IF(OR($O2263="",NOT(ISNUMBER($Q2263))),"",$Q2263*1000000+2263)</f>
        <v/>
      </c>
      <c r="W2263" s="29">
        <f>IF($B2263="","",IFERROR(INDEX($U$4:$U$3183,MATCH(SMALL($V$4:$V$3183,2260),$V$4:$V$3183,0)),""))</f>
        <v/>
      </c>
    </row>
    <row r="2264">
      <c r="A2264">
        <f>IFERROR(INDEX($N$4:$N$3183,MATCH(SMALL($V$4:$V$3183,2261),$V$4:$V$3183,0)),"")</f>
        <v/>
      </c>
      <c r="B2264">
        <f>IFERROR(INDEX($O$4:$O$3183,MATCH(SMALL($V$4:$V$3183,2261),$V$4:$V$3183,0)),"")</f>
        <v/>
      </c>
      <c r="C2264">
        <f>IFERROR(INDEX($P$4:$P$3183,MATCH(SMALL($V$4:$V$3183,2261),$V$4:$V$3183,0)),"")</f>
        <v/>
      </c>
      <c r="D2264" s="29">
        <f>IFERROR(INDEX($Q$4:$Q$3183,MATCH(SMALL($V$4:$V$3183,2261),$V$4:$V$3183,0)),"")</f>
        <v/>
      </c>
      <c r="E2264" s="29">
        <f>IFERROR(INDEX($R$4:$R$3183,MATCH(SMALL($V$4:$V$3183,2261),$V$4:$V$3183,0)),"")</f>
        <v/>
      </c>
      <c r="F2264">
        <f>IFERROR(INDEX($S$4:$S$3183,MATCH(SMALL($V$4:$V$3183,2261),$V$4:$V$3183,0)),"")</f>
        <v/>
      </c>
      <c r="I2264" s="29">
        <f>IF($B2264="","",IFERROR(INDEX($U$4:$U$3183,MATCH(SMALL($V$4:$V$3183,2261),$V$4:$V$3183,0)),""))</f>
        <v/>
      </c>
      <c r="J2264">
        <f>IF($B2264="","",IF($D2264&gt;$F$2,"À venir",IF($E2264&lt;$D$2,"Passé","Dans la période")))</f>
        <v/>
      </c>
      <c r="K2264">
        <f>IF(OR($B2264="",NOT(ISNUMBER($D2264))),"",IF(AND($E2264&lt;$D$2,$G2264&lt;&gt;"X",$F2264&lt;&gt;"Réalisé",$F2264&lt;&gt;"Clôturé"),"RETARD",""))</f>
        <v/>
      </c>
      <c r="L2264">
        <f>IF(OR($B2264="",NOT(ISNUMBER($D2264))),"",IF(AND($D2264&gt;=$D$2,$D2264&lt;=$H$2,$G2264&lt;&gt;"X",$F2264&lt;&gt;"Réalisé",$F2264&lt;&gt;"Clôturé"),"≤ 7 j",""))</f>
        <v/>
      </c>
      <c r="M2264" s="29">
        <f>IF($B2264="","",IFERROR(INDEX($T$4:$T$3183,MATCH(SMALL($V$4:$V$3183,2261),$V$4:$V$3183,0)),""))</f>
        <v/>
      </c>
      <c r="O2264">
        <f>IF(INDEX(Suivi!$B:$B,2307)="","",INDEX(Suivi!$B:$B,2307))</f>
        <v/>
      </c>
      <c r="P2264">
        <f>IF($O2264="","",IF(INDEX(Suivi!$D:$D,2307)="",INDEX(Suivi!$C:$C,2307),INDEX(Suivi!$D:$D,2307)))</f>
        <v/>
      </c>
      <c r="Q2264">
        <f>IF($O2264="","",INDEX(Suivi!$E:$E,2307))</f>
        <v/>
      </c>
      <c r="R2264">
        <f>IF($O2264="","",INDEX(Suivi!$F:$F,2307))</f>
        <v/>
      </c>
      <c r="S2264">
        <f>IF($O2264="","",INDEX(Suivi!$G:$G,2307))</f>
        <v/>
      </c>
      <c r="T2264">
        <f>IF($O2264="","",IF(INDEX(Dossiers!$F$4:$F$63,43)="","",INDEX(Dossiers!$F$4:$F$63,43)))</f>
        <v/>
      </c>
      <c r="U2264">
        <f>IF($O2264="","",IF(INDEX(Dossiers!$G$4:$G$63,43)="","",INDEX(Dossiers!$G$4:$G$63,43)))</f>
        <v/>
      </c>
      <c r="V2264">
        <f>IF(OR($O2264="",NOT(ISNUMBER($Q2264))),"",$Q2264*1000000+2264)</f>
        <v/>
      </c>
      <c r="W2264" s="29">
        <f>IF($B2264="","",IFERROR(INDEX($U$4:$U$3183,MATCH(SMALL($V$4:$V$3183,2261),$V$4:$V$3183,0)),""))</f>
        <v/>
      </c>
    </row>
    <row r="2265">
      <c r="A2265">
        <f>IFERROR(INDEX($N$4:$N$3183,MATCH(SMALL($V$4:$V$3183,2262),$V$4:$V$3183,0)),"")</f>
        <v/>
      </c>
      <c r="B2265">
        <f>IFERROR(INDEX($O$4:$O$3183,MATCH(SMALL($V$4:$V$3183,2262),$V$4:$V$3183,0)),"")</f>
        <v/>
      </c>
      <c r="C2265">
        <f>IFERROR(INDEX($P$4:$P$3183,MATCH(SMALL($V$4:$V$3183,2262),$V$4:$V$3183,0)),"")</f>
        <v/>
      </c>
      <c r="D2265" s="29">
        <f>IFERROR(INDEX($Q$4:$Q$3183,MATCH(SMALL($V$4:$V$3183,2262),$V$4:$V$3183,0)),"")</f>
        <v/>
      </c>
      <c r="E2265" s="29">
        <f>IFERROR(INDEX($R$4:$R$3183,MATCH(SMALL($V$4:$V$3183,2262),$V$4:$V$3183,0)),"")</f>
        <v/>
      </c>
      <c r="F2265">
        <f>IFERROR(INDEX($S$4:$S$3183,MATCH(SMALL($V$4:$V$3183,2262),$V$4:$V$3183,0)),"")</f>
        <v/>
      </c>
      <c r="I2265" s="29">
        <f>IF($B2265="","",IFERROR(INDEX($U$4:$U$3183,MATCH(SMALL($V$4:$V$3183,2262),$V$4:$V$3183,0)),""))</f>
        <v/>
      </c>
      <c r="J2265">
        <f>IF($B2265="","",IF($D2265&gt;$F$2,"À venir",IF($E2265&lt;$D$2,"Passé","Dans la période")))</f>
        <v/>
      </c>
      <c r="K2265">
        <f>IF(OR($B2265="",NOT(ISNUMBER($D2265))),"",IF(AND($E2265&lt;$D$2,$G2265&lt;&gt;"X",$F2265&lt;&gt;"Réalisé",$F2265&lt;&gt;"Clôturé"),"RETARD",""))</f>
        <v/>
      </c>
      <c r="L2265">
        <f>IF(OR($B2265="",NOT(ISNUMBER($D2265))),"",IF(AND($D2265&gt;=$D$2,$D2265&lt;=$H$2,$G2265&lt;&gt;"X",$F2265&lt;&gt;"Réalisé",$F2265&lt;&gt;"Clôturé"),"≤ 7 j",""))</f>
        <v/>
      </c>
      <c r="M2265" s="29">
        <f>IF($B2265="","",IFERROR(INDEX($T$4:$T$3183,MATCH(SMALL($V$4:$V$3183,2262),$V$4:$V$3183,0)),""))</f>
        <v/>
      </c>
      <c r="O2265">
        <f>IF(INDEX(Suivi!$B:$B,2308)="","",INDEX(Suivi!$B:$B,2308))</f>
        <v/>
      </c>
      <c r="P2265">
        <f>IF($O2265="","",IF(INDEX(Suivi!$D:$D,2308)="",INDEX(Suivi!$C:$C,2308),INDEX(Suivi!$D:$D,2308)))</f>
        <v/>
      </c>
      <c r="Q2265">
        <f>IF($O2265="","",INDEX(Suivi!$E:$E,2308))</f>
        <v/>
      </c>
      <c r="R2265">
        <f>IF($O2265="","",INDEX(Suivi!$F:$F,2308))</f>
        <v/>
      </c>
      <c r="S2265">
        <f>IF($O2265="","",INDEX(Suivi!$G:$G,2308))</f>
        <v/>
      </c>
      <c r="T2265">
        <f>IF($O2265="","",IF(INDEX(Dossiers!$F$4:$F$63,43)="","",INDEX(Dossiers!$F$4:$F$63,43)))</f>
        <v/>
      </c>
      <c r="U2265">
        <f>IF($O2265="","",IF(INDEX(Dossiers!$G$4:$G$63,43)="","",INDEX(Dossiers!$G$4:$G$63,43)))</f>
        <v/>
      </c>
      <c r="V2265">
        <f>IF(OR($O2265="",NOT(ISNUMBER($Q2265))),"",$Q2265*1000000+2265)</f>
        <v/>
      </c>
      <c r="W2265" s="29">
        <f>IF($B2265="","",IFERROR(INDEX($U$4:$U$3183,MATCH(SMALL($V$4:$V$3183,2262),$V$4:$V$3183,0)),""))</f>
        <v/>
      </c>
    </row>
    <row r="2266">
      <c r="A2266">
        <f>IFERROR(INDEX($N$4:$N$3183,MATCH(SMALL($V$4:$V$3183,2263),$V$4:$V$3183,0)),"")</f>
        <v/>
      </c>
      <c r="B2266">
        <f>IFERROR(INDEX($O$4:$O$3183,MATCH(SMALL($V$4:$V$3183,2263),$V$4:$V$3183,0)),"")</f>
        <v/>
      </c>
      <c r="C2266">
        <f>IFERROR(INDEX($P$4:$P$3183,MATCH(SMALL($V$4:$V$3183,2263),$V$4:$V$3183,0)),"")</f>
        <v/>
      </c>
      <c r="D2266" s="29">
        <f>IFERROR(INDEX($Q$4:$Q$3183,MATCH(SMALL($V$4:$V$3183,2263),$V$4:$V$3183,0)),"")</f>
        <v/>
      </c>
      <c r="E2266" s="29">
        <f>IFERROR(INDEX($R$4:$R$3183,MATCH(SMALL($V$4:$V$3183,2263),$V$4:$V$3183,0)),"")</f>
        <v/>
      </c>
      <c r="F2266">
        <f>IFERROR(INDEX($S$4:$S$3183,MATCH(SMALL($V$4:$V$3183,2263),$V$4:$V$3183,0)),"")</f>
        <v/>
      </c>
      <c r="I2266" s="29">
        <f>IF($B2266="","",IFERROR(INDEX($U$4:$U$3183,MATCH(SMALL($V$4:$V$3183,2263),$V$4:$V$3183,0)),""))</f>
        <v/>
      </c>
      <c r="J2266">
        <f>IF($B2266="","",IF($D2266&gt;$F$2,"À venir",IF($E2266&lt;$D$2,"Passé","Dans la période")))</f>
        <v/>
      </c>
      <c r="K2266">
        <f>IF(OR($B2266="",NOT(ISNUMBER($D2266))),"",IF(AND($E2266&lt;$D$2,$G2266&lt;&gt;"X",$F2266&lt;&gt;"Réalisé",$F2266&lt;&gt;"Clôturé"),"RETARD",""))</f>
        <v/>
      </c>
      <c r="L2266">
        <f>IF(OR($B2266="",NOT(ISNUMBER($D2266))),"",IF(AND($D2266&gt;=$D$2,$D2266&lt;=$H$2,$G2266&lt;&gt;"X",$F2266&lt;&gt;"Réalisé",$F2266&lt;&gt;"Clôturé"),"≤ 7 j",""))</f>
        <v/>
      </c>
      <c r="M2266" s="29">
        <f>IF($B2266="","",IFERROR(INDEX($T$4:$T$3183,MATCH(SMALL($V$4:$V$3183,2263),$V$4:$V$3183,0)),""))</f>
        <v/>
      </c>
      <c r="O2266">
        <f>IF(INDEX(Suivi!$B:$B,2309)="","",INDEX(Suivi!$B:$B,2309))</f>
        <v/>
      </c>
      <c r="P2266">
        <f>IF($O2266="","",IF(INDEX(Suivi!$D:$D,2309)="",INDEX(Suivi!$C:$C,2309),INDEX(Suivi!$D:$D,2309)))</f>
        <v/>
      </c>
      <c r="Q2266">
        <f>IF($O2266="","",INDEX(Suivi!$E:$E,2309))</f>
        <v/>
      </c>
      <c r="R2266">
        <f>IF($O2266="","",INDEX(Suivi!$F:$F,2309))</f>
        <v/>
      </c>
      <c r="S2266">
        <f>IF($O2266="","",INDEX(Suivi!$G:$G,2309))</f>
        <v/>
      </c>
      <c r="T2266">
        <f>IF($O2266="","",IF(INDEX(Dossiers!$F$4:$F$63,43)="","",INDEX(Dossiers!$F$4:$F$63,43)))</f>
        <v/>
      </c>
      <c r="U2266">
        <f>IF($O2266="","",IF(INDEX(Dossiers!$G$4:$G$63,43)="","",INDEX(Dossiers!$G$4:$G$63,43)))</f>
        <v/>
      </c>
      <c r="V2266">
        <f>IF(OR($O2266="",NOT(ISNUMBER($Q2266))),"",$Q2266*1000000+2266)</f>
        <v/>
      </c>
      <c r="W2266" s="29">
        <f>IF($B2266="","",IFERROR(INDEX($U$4:$U$3183,MATCH(SMALL($V$4:$V$3183,2263),$V$4:$V$3183,0)),""))</f>
        <v/>
      </c>
    </row>
    <row r="2267">
      <c r="A2267">
        <f>IFERROR(INDEX($N$4:$N$3183,MATCH(SMALL($V$4:$V$3183,2264),$V$4:$V$3183,0)),"")</f>
        <v/>
      </c>
      <c r="B2267">
        <f>IFERROR(INDEX($O$4:$O$3183,MATCH(SMALL($V$4:$V$3183,2264),$V$4:$V$3183,0)),"")</f>
        <v/>
      </c>
      <c r="C2267">
        <f>IFERROR(INDEX($P$4:$P$3183,MATCH(SMALL($V$4:$V$3183,2264),$V$4:$V$3183,0)),"")</f>
        <v/>
      </c>
      <c r="D2267" s="29">
        <f>IFERROR(INDEX($Q$4:$Q$3183,MATCH(SMALL($V$4:$V$3183,2264),$V$4:$V$3183,0)),"")</f>
        <v/>
      </c>
      <c r="E2267" s="29">
        <f>IFERROR(INDEX($R$4:$R$3183,MATCH(SMALL($V$4:$V$3183,2264),$V$4:$V$3183,0)),"")</f>
        <v/>
      </c>
      <c r="F2267">
        <f>IFERROR(INDEX($S$4:$S$3183,MATCH(SMALL($V$4:$V$3183,2264),$V$4:$V$3183,0)),"")</f>
        <v/>
      </c>
      <c r="I2267" s="29">
        <f>IF($B2267="","",IFERROR(INDEX($U$4:$U$3183,MATCH(SMALL($V$4:$V$3183,2264),$V$4:$V$3183,0)),""))</f>
        <v/>
      </c>
      <c r="J2267">
        <f>IF($B2267="","",IF($D2267&gt;$F$2,"À venir",IF($E2267&lt;$D$2,"Passé","Dans la période")))</f>
        <v/>
      </c>
      <c r="K2267">
        <f>IF(OR($B2267="",NOT(ISNUMBER($D2267))),"",IF(AND($E2267&lt;$D$2,$G2267&lt;&gt;"X",$F2267&lt;&gt;"Réalisé",$F2267&lt;&gt;"Clôturé"),"RETARD",""))</f>
        <v/>
      </c>
      <c r="L2267">
        <f>IF(OR($B2267="",NOT(ISNUMBER($D2267))),"",IF(AND($D2267&gt;=$D$2,$D2267&lt;=$H$2,$G2267&lt;&gt;"X",$F2267&lt;&gt;"Réalisé",$F2267&lt;&gt;"Clôturé"),"≤ 7 j",""))</f>
        <v/>
      </c>
      <c r="M2267" s="29">
        <f>IF($B2267="","",IFERROR(INDEX($T$4:$T$3183,MATCH(SMALL($V$4:$V$3183,2264),$V$4:$V$3183,0)),""))</f>
        <v/>
      </c>
      <c r="O2267">
        <f>IF(INDEX(Suivi!$B:$B,2310)="","",INDEX(Suivi!$B:$B,2310))</f>
        <v/>
      </c>
      <c r="P2267">
        <f>IF($O2267="","",IF(INDEX(Suivi!$D:$D,2310)="",INDEX(Suivi!$C:$C,2310),INDEX(Suivi!$D:$D,2310)))</f>
        <v/>
      </c>
      <c r="Q2267">
        <f>IF($O2267="","",INDEX(Suivi!$E:$E,2310))</f>
        <v/>
      </c>
      <c r="R2267">
        <f>IF($O2267="","",INDEX(Suivi!$F:$F,2310))</f>
        <v/>
      </c>
      <c r="S2267">
        <f>IF($O2267="","",INDEX(Suivi!$G:$G,2310))</f>
        <v/>
      </c>
      <c r="T2267">
        <f>IF($O2267="","",IF(INDEX(Dossiers!$F$4:$F$63,43)="","",INDEX(Dossiers!$F$4:$F$63,43)))</f>
        <v/>
      </c>
      <c r="U2267">
        <f>IF($O2267="","",IF(INDEX(Dossiers!$G$4:$G$63,43)="","",INDEX(Dossiers!$G$4:$G$63,43)))</f>
        <v/>
      </c>
      <c r="V2267">
        <f>IF(OR($O2267="",NOT(ISNUMBER($Q2267))),"",$Q2267*1000000+2267)</f>
        <v/>
      </c>
      <c r="W2267" s="29">
        <f>IF($B2267="","",IFERROR(INDEX($U$4:$U$3183,MATCH(SMALL($V$4:$V$3183,2264),$V$4:$V$3183,0)),""))</f>
        <v/>
      </c>
    </row>
    <row r="2268">
      <c r="A2268">
        <f>IFERROR(INDEX($N$4:$N$3183,MATCH(SMALL($V$4:$V$3183,2265),$V$4:$V$3183,0)),"")</f>
        <v/>
      </c>
      <c r="B2268">
        <f>IFERROR(INDEX($O$4:$O$3183,MATCH(SMALL($V$4:$V$3183,2265),$V$4:$V$3183,0)),"")</f>
        <v/>
      </c>
      <c r="C2268">
        <f>IFERROR(INDEX($P$4:$P$3183,MATCH(SMALL($V$4:$V$3183,2265),$V$4:$V$3183,0)),"")</f>
        <v/>
      </c>
      <c r="D2268" s="29">
        <f>IFERROR(INDEX($Q$4:$Q$3183,MATCH(SMALL($V$4:$V$3183,2265),$V$4:$V$3183,0)),"")</f>
        <v/>
      </c>
      <c r="E2268" s="29">
        <f>IFERROR(INDEX($R$4:$R$3183,MATCH(SMALL($V$4:$V$3183,2265),$V$4:$V$3183,0)),"")</f>
        <v/>
      </c>
      <c r="F2268">
        <f>IFERROR(INDEX($S$4:$S$3183,MATCH(SMALL($V$4:$V$3183,2265),$V$4:$V$3183,0)),"")</f>
        <v/>
      </c>
      <c r="I2268" s="29">
        <f>IF($B2268="","",IFERROR(INDEX($U$4:$U$3183,MATCH(SMALL($V$4:$V$3183,2265),$V$4:$V$3183,0)),""))</f>
        <v/>
      </c>
      <c r="J2268">
        <f>IF($B2268="","",IF($D2268&gt;$F$2,"À venir",IF($E2268&lt;$D$2,"Passé","Dans la période")))</f>
        <v/>
      </c>
      <c r="K2268">
        <f>IF(OR($B2268="",NOT(ISNUMBER($D2268))),"",IF(AND($E2268&lt;$D$2,$G2268&lt;&gt;"X",$F2268&lt;&gt;"Réalisé",$F2268&lt;&gt;"Clôturé"),"RETARD",""))</f>
        <v/>
      </c>
      <c r="L2268">
        <f>IF(OR($B2268="",NOT(ISNUMBER($D2268))),"",IF(AND($D2268&gt;=$D$2,$D2268&lt;=$H$2,$G2268&lt;&gt;"X",$F2268&lt;&gt;"Réalisé",$F2268&lt;&gt;"Clôturé"),"≤ 7 j",""))</f>
        <v/>
      </c>
      <c r="M2268" s="29">
        <f>IF($B2268="","",IFERROR(INDEX($T$4:$T$3183,MATCH(SMALL($V$4:$V$3183,2265),$V$4:$V$3183,0)),""))</f>
        <v/>
      </c>
      <c r="O2268">
        <f>IF(INDEX(Suivi!$B:$B,2311)="","",INDEX(Suivi!$B:$B,2311))</f>
        <v/>
      </c>
      <c r="P2268">
        <f>IF($O2268="","",IF(INDEX(Suivi!$D:$D,2311)="",INDEX(Suivi!$C:$C,2311),INDEX(Suivi!$D:$D,2311)))</f>
        <v/>
      </c>
      <c r="Q2268">
        <f>IF($O2268="","",INDEX(Suivi!$E:$E,2311))</f>
        <v/>
      </c>
      <c r="R2268">
        <f>IF($O2268="","",INDEX(Suivi!$F:$F,2311))</f>
        <v/>
      </c>
      <c r="S2268">
        <f>IF($O2268="","",INDEX(Suivi!$G:$G,2311))</f>
        <v/>
      </c>
      <c r="T2268">
        <f>IF($O2268="","",IF(INDEX(Dossiers!$F$4:$F$63,43)="","",INDEX(Dossiers!$F$4:$F$63,43)))</f>
        <v/>
      </c>
      <c r="U2268">
        <f>IF($O2268="","",IF(INDEX(Dossiers!$G$4:$G$63,43)="","",INDEX(Dossiers!$G$4:$G$63,43)))</f>
        <v/>
      </c>
      <c r="V2268">
        <f>IF(OR($O2268="",NOT(ISNUMBER($Q2268))),"",$Q2268*1000000+2268)</f>
        <v/>
      </c>
      <c r="W2268" s="29">
        <f>IF($B2268="","",IFERROR(INDEX($U$4:$U$3183,MATCH(SMALL($V$4:$V$3183,2265),$V$4:$V$3183,0)),""))</f>
        <v/>
      </c>
    </row>
    <row r="2269">
      <c r="A2269">
        <f>IFERROR(INDEX($N$4:$N$3183,MATCH(SMALL($V$4:$V$3183,2266),$V$4:$V$3183,0)),"")</f>
        <v/>
      </c>
      <c r="B2269">
        <f>IFERROR(INDEX($O$4:$O$3183,MATCH(SMALL($V$4:$V$3183,2266),$V$4:$V$3183,0)),"")</f>
        <v/>
      </c>
      <c r="C2269">
        <f>IFERROR(INDEX($P$4:$P$3183,MATCH(SMALL($V$4:$V$3183,2266),$V$4:$V$3183,0)),"")</f>
        <v/>
      </c>
      <c r="D2269" s="29">
        <f>IFERROR(INDEX($Q$4:$Q$3183,MATCH(SMALL($V$4:$V$3183,2266),$V$4:$V$3183,0)),"")</f>
        <v/>
      </c>
      <c r="E2269" s="29">
        <f>IFERROR(INDEX($R$4:$R$3183,MATCH(SMALL($V$4:$V$3183,2266),$V$4:$V$3183,0)),"")</f>
        <v/>
      </c>
      <c r="F2269">
        <f>IFERROR(INDEX($S$4:$S$3183,MATCH(SMALL($V$4:$V$3183,2266),$V$4:$V$3183,0)),"")</f>
        <v/>
      </c>
      <c r="I2269" s="29">
        <f>IF($B2269="","",IFERROR(INDEX($U$4:$U$3183,MATCH(SMALL($V$4:$V$3183,2266),$V$4:$V$3183,0)),""))</f>
        <v/>
      </c>
      <c r="J2269">
        <f>IF($B2269="","",IF($D2269&gt;$F$2,"À venir",IF($E2269&lt;$D$2,"Passé","Dans la période")))</f>
        <v/>
      </c>
      <c r="K2269">
        <f>IF(OR($B2269="",NOT(ISNUMBER($D2269))),"",IF(AND($E2269&lt;$D$2,$G2269&lt;&gt;"X",$F2269&lt;&gt;"Réalisé",$F2269&lt;&gt;"Clôturé"),"RETARD",""))</f>
        <v/>
      </c>
      <c r="L2269">
        <f>IF(OR($B2269="",NOT(ISNUMBER($D2269))),"",IF(AND($D2269&gt;=$D$2,$D2269&lt;=$H$2,$G2269&lt;&gt;"X",$F2269&lt;&gt;"Réalisé",$F2269&lt;&gt;"Clôturé"),"≤ 7 j",""))</f>
        <v/>
      </c>
      <c r="M2269" s="29">
        <f>IF($B2269="","",IFERROR(INDEX($T$4:$T$3183,MATCH(SMALL($V$4:$V$3183,2266),$V$4:$V$3183,0)),""))</f>
        <v/>
      </c>
      <c r="O2269">
        <f>IF(INDEX(Suivi!$B:$B,2312)="","",INDEX(Suivi!$B:$B,2312))</f>
        <v/>
      </c>
      <c r="P2269">
        <f>IF($O2269="","",IF(INDEX(Suivi!$D:$D,2312)="",INDEX(Suivi!$C:$C,2312),INDEX(Suivi!$D:$D,2312)))</f>
        <v/>
      </c>
      <c r="Q2269">
        <f>IF($O2269="","",INDEX(Suivi!$E:$E,2312))</f>
        <v/>
      </c>
      <c r="R2269">
        <f>IF($O2269="","",INDEX(Suivi!$F:$F,2312))</f>
        <v/>
      </c>
      <c r="S2269">
        <f>IF($O2269="","",INDEX(Suivi!$G:$G,2312))</f>
        <v/>
      </c>
      <c r="T2269">
        <f>IF($O2269="","",IF(INDEX(Dossiers!$F$4:$F$63,43)="","",INDEX(Dossiers!$F$4:$F$63,43)))</f>
        <v/>
      </c>
      <c r="U2269">
        <f>IF($O2269="","",IF(INDEX(Dossiers!$G$4:$G$63,43)="","",INDEX(Dossiers!$G$4:$G$63,43)))</f>
        <v/>
      </c>
      <c r="V2269">
        <f>IF(OR($O2269="",NOT(ISNUMBER($Q2269))),"",$Q2269*1000000+2269)</f>
        <v/>
      </c>
      <c r="W2269" s="29">
        <f>IF($B2269="","",IFERROR(INDEX($U$4:$U$3183,MATCH(SMALL($V$4:$V$3183,2266),$V$4:$V$3183,0)),""))</f>
        <v/>
      </c>
    </row>
    <row r="2270">
      <c r="A2270">
        <f>IFERROR(INDEX($N$4:$N$3183,MATCH(SMALL($V$4:$V$3183,2267),$V$4:$V$3183,0)),"")</f>
        <v/>
      </c>
      <c r="B2270">
        <f>IFERROR(INDEX($O$4:$O$3183,MATCH(SMALL($V$4:$V$3183,2267),$V$4:$V$3183,0)),"")</f>
        <v/>
      </c>
      <c r="C2270">
        <f>IFERROR(INDEX($P$4:$P$3183,MATCH(SMALL($V$4:$V$3183,2267),$V$4:$V$3183,0)),"")</f>
        <v/>
      </c>
      <c r="D2270" s="29">
        <f>IFERROR(INDEX($Q$4:$Q$3183,MATCH(SMALL($V$4:$V$3183,2267),$V$4:$V$3183,0)),"")</f>
        <v/>
      </c>
      <c r="E2270" s="29">
        <f>IFERROR(INDEX($R$4:$R$3183,MATCH(SMALL($V$4:$V$3183,2267),$V$4:$V$3183,0)),"")</f>
        <v/>
      </c>
      <c r="F2270">
        <f>IFERROR(INDEX($S$4:$S$3183,MATCH(SMALL($V$4:$V$3183,2267),$V$4:$V$3183,0)),"")</f>
        <v/>
      </c>
      <c r="I2270" s="29">
        <f>IF($B2270="","",IFERROR(INDEX($U$4:$U$3183,MATCH(SMALL($V$4:$V$3183,2267),$V$4:$V$3183,0)),""))</f>
        <v/>
      </c>
      <c r="J2270">
        <f>IF($B2270="","",IF($D2270&gt;$F$2,"À venir",IF($E2270&lt;$D$2,"Passé","Dans la période")))</f>
        <v/>
      </c>
      <c r="K2270">
        <f>IF(OR($B2270="",NOT(ISNUMBER($D2270))),"",IF(AND($E2270&lt;$D$2,$G2270&lt;&gt;"X",$F2270&lt;&gt;"Réalisé",$F2270&lt;&gt;"Clôturé"),"RETARD",""))</f>
        <v/>
      </c>
      <c r="L2270">
        <f>IF(OR($B2270="",NOT(ISNUMBER($D2270))),"",IF(AND($D2270&gt;=$D$2,$D2270&lt;=$H$2,$G2270&lt;&gt;"X",$F2270&lt;&gt;"Réalisé",$F2270&lt;&gt;"Clôturé"),"≤ 7 j",""))</f>
        <v/>
      </c>
      <c r="M2270" s="29">
        <f>IF($B2270="","",IFERROR(INDEX($T$4:$T$3183,MATCH(SMALL($V$4:$V$3183,2267),$V$4:$V$3183,0)),""))</f>
        <v/>
      </c>
      <c r="O2270">
        <f>IF(INDEX(Suivi!$B:$B,2313)="","",INDEX(Suivi!$B:$B,2313))</f>
        <v/>
      </c>
      <c r="P2270">
        <f>IF($O2270="","",IF(INDEX(Suivi!$D:$D,2313)="",INDEX(Suivi!$C:$C,2313),INDEX(Suivi!$D:$D,2313)))</f>
        <v/>
      </c>
      <c r="Q2270">
        <f>IF($O2270="","",INDEX(Suivi!$E:$E,2313))</f>
        <v/>
      </c>
      <c r="R2270">
        <f>IF($O2270="","",INDEX(Suivi!$F:$F,2313))</f>
        <v/>
      </c>
      <c r="S2270">
        <f>IF($O2270="","",INDEX(Suivi!$G:$G,2313))</f>
        <v/>
      </c>
      <c r="T2270">
        <f>IF($O2270="","",IF(INDEX(Dossiers!$F$4:$F$63,43)="","",INDEX(Dossiers!$F$4:$F$63,43)))</f>
        <v/>
      </c>
      <c r="U2270">
        <f>IF($O2270="","",IF(INDEX(Dossiers!$G$4:$G$63,43)="","",INDEX(Dossiers!$G$4:$G$63,43)))</f>
        <v/>
      </c>
      <c r="V2270">
        <f>IF(OR($O2270="",NOT(ISNUMBER($Q2270))),"",$Q2270*1000000+2270)</f>
        <v/>
      </c>
      <c r="W2270" s="29">
        <f>IF($B2270="","",IFERROR(INDEX($U$4:$U$3183,MATCH(SMALL($V$4:$V$3183,2267),$V$4:$V$3183,0)),""))</f>
        <v/>
      </c>
    </row>
    <row r="2271">
      <c r="A2271">
        <f>IFERROR(INDEX($N$4:$N$3183,MATCH(SMALL($V$4:$V$3183,2268),$V$4:$V$3183,0)),"")</f>
        <v/>
      </c>
      <c r="B2271">
        <f>IFERROR(INDEX($O$4:$O$3183,MATCH(SMALL($V$4:$V$3183,2268),$V$4:$V$3183,0)),"")</f>
        <v/>
      </c>
      <c r="C2271">
        <f>IFERROR(INDEX($P$4:$P$3183,MATCH(SMALL($V$4:$V$3183,2268),$V$4:$V$3183,0)),"")</f>
        <v/>
      </c>
      <c r="D2271" s="29">
        <f>IFERROR(INDEX($Q$4:$Q$3183,MATCH(SMALL($V$4:$V$3183,2268),$V$4:$V$3183,0)),"")</f>
        <v/>
      </c>
      <c r="E2271" s="29">
        <f>IFERROR(INDEX($R$4:$R$3183,MATCH(SMALL($V$4:$V$3183,2268),$V$4:$V$3183,0)),"")</f>
        <v/>
      </c>
      <c r="F2271">
        <f>IFERROR(INDEX($S$4:$S$3183,MATCH(SMALL($V$4:$V$3183,2268),$V$4:$V$3183,0)),"")</f>
        <v/>
      </c>
      <c r="I2271" s="29">
        <f>IF($B2271="","",IFERROR(INDEX($U$4:$U$3183,MATCH(SMALL($V$4:$V$3183,2268),$V$4:$V$3183,0)),""))</f>
        <v/>
      </c>
      <c r="J2271">
        <f>IF($B2271="","",IF($D2271&gt;$F$2,"À venir",IF($E2271&lt;$D$2,"Passé","Dans la période")))</f>
        <v/>
      </c>
      <c r="K2271">
        <f>IF(OR($B2271="",NOT(ISNUMBER($D2271))),"",IF(AND($E2271&lt;$D$2,$G2271&lt;&gt;"X",$F2271&lt;&gt;"Réalisé",$F2271&lt;&gt;"Clôturé"),"RETARD",""))</f>
        <v/>
      </c>
      <c r="L2271">
        <f>IF(OR($B2271="",NOT(ISNUMBER($D2271))),"",IF(AND($D2271&gt;=$D$2,$D2271&lt;=$H$2,$G2271&lt;&gt;"X",$F2271&lt;&gt;"Réalisé",$F2271&lt;&gt;"Clôturé"),"≤ 7 j",""))</f>
        <v/>
      </c>
      <c r="M2271" s="29">
        <f>IF($B2271="","",IFERROR(INDEX($T$4:$T$3183,MATCH(SMALL($V$4:$V$3183,2268),$V$4:$V$3183,0)),""))</f>
        <v/>
      </c>
      <c r="O2271">
        <f>IF(INDEX(Suivi!$B:$B,2314)="","",INDEX(Suivi!$B:$B,2314))</f>
        <v/>
      </c>
      <c r="P2271">
        <f>IF($O2271="","",IF(INDEX(Suivi!$D:$D,2314)="",INDEX(Suivi!$C:$C,2314),INDEX(Suivi!$D:$D,2314)))</f>
        <v/>
      </c>
      <c r="Q2271">
        <f>IF($O2271="","",INDEX(Suivi!$E:$E,2314))</f>
        <v/>
      </c>
      <c r="R2271">
        <f>IF($O2271="","",INDEX(Suivi!$F:$F,2314))</f>
        <v/>
      </c>
      <c r="S2271">
        <f>IF($O2271="","",INDEX(Suivi!$G:$G,2314))</f>
        <v/>
      </c>
      <c r="T2271">
        <f>IF($O2271="","",IF(INDEX(Dossiers!$F$4:$F$63,43)="","",INDEX(Dossiers!$F$4:$F$63,43)))</f>
        <v/>
      </c>
      <c r="U2271">
        <f>IF($O2271="","",IF(INDEX(Dossiers!$G$4:$G$63,43)="","",INDEX(Dossiers!$G$4:$G$63,43)))</f>
        <v/>
      </c>
      <c r="V2271">
        <f>IF(OR($O2271="",NOT(ISNUMBER($Q2271))),"",$Q2271*1000000+2271)</f>
        <v/>
      </c>
      <c r="W2271" s="29">
        <f>IF($B2271="","",IFERROR(INDEX($U$4:$U$3183,MATCH(SMALL($V$4:$V$3183,2268),$V$4:$V$3183,0)),""))</f>
        <v/>
      </c>
    </row>
    <row r="2272">
      <c r="A2272">
        <f>IFERROR(INDEX($N$4:$N$3183,MATCH(SMALL($V$4:$V$3183,2269),$V$4:$V$3183,0)),"")</f>
        <v/>
      </c>
      <c r="B2272">
        <f>IFERROR(INDEX($O$4:$O$3183,MATCH(SMALL($V$4:$V$3183,2269),$V$4:$V$3183,0)),"")</f>
        <v/>
      </c>
      <c r="C2272">
        <f>IFERROR(INDEX($P$4:$P$3183,MATCH(SMALL($V$4:$V$3183,2269),$V$4:$V$3183,0)),"")</f>
        <v/>
      </c>
      <c r="D2272" s="29">
        <f>IFERROR(INDEX($Q$4:$Q$3183,MATCH(SMALL($V$4:$V$3183,2269),$V$4:$V$3183,0)),"")</f>
        <v/>
      </c>
      <c r="E2272" s="29">
        <f>IFERROR(INDEX($R$4:$R$3183,MATCH(SMALL($V$4:$V$3183,2269),$V$4:$V$3183,0)),"")</f>
        <v/>
      </c>
      <c r="F2272">
        <f>IFERROR(INDEX($S$4:$S$3183,MATCH(SMALL($V$4:$V$3183,2269),$V$4:$V$3183,0)),"")</f>
        <v/>
      </c>
      <c r="I2272" s="29">
        <f>IF($B2272="","",IFERROR(INDEX($U$4:$U$3183,MATCH(SMALL($V$4:$V$3183,2269),$V$4:$V$3183,0)),""))</f>
        <v/>
      </c>
      <c r="J2272">
        <f>IF($B2272="","",IF($D2272&gt;$F$2,"À venir",IF($E2272&lt;$D$2,"Passé","Dans la période")))</f>
        <v/>
      </c>
      <c r="K2272">
        <f>IF(OR($B2272="",NOT(ISNUMBER($D2272))),"",IF(AND($E2272&lt;$D$2,$G2272&lt;&gt;"X",$F2272&lt;&gt;"Réalisé",$F2272&lt;&gt;"Clôturé"),"RETARD",""))</f>
        <v/>
      </c>
      <c r="L2272">
        <f>IF(OR($B2272="",NOT(ISNUMBER($D2272))),"",IF(AND($D2272&gt;=$D$2,$D2272&lt;=$H$2,$G2272&lt;&gt;"X",$F2272&lt;&gt;"Réalisé",$F2272&lt;&gt;"Clôturé"),"≤ 7 j",""))</f>
        <v/>
      </c>
      <c r="M2272" s="29">
        <f>IF($B2272="","",IFERROR(INDEX($T$4:$T$3183,MATCH(SMALL($V$4:$V$3183,2269),$V$4:$V$3183,0)),""))</f>
        <v/>
      </c>
      <c r="O2272">
        <f>IF(INDEX(Suivi!$B:$B,2315)="","",INDEX(Suivi!$B:$B,2315))</f>
        <v/>
      </c>
      <c r="P2272">
        <f>IF($O2272="","",IF(INDEX(Suivi!$D:$D,2315)="",INDEX(Suivi!$C:$C,2315),INDEX(Suivi!$D:$D,2315)))</f>
        <v/>
      </c>
      <c r="Q2272">
        <f>IF($O2272="","",INDEX(Suivi!$E:$E,2315))</f>
        <v/>
      </c>
      <c r="R2272">
        <f>IF($O2272="","",INDEX(Suivi!$F:$F,2315))</f>
        <v/>
      </c>
      <c r="S2272">
        <f>IF($O2272="","",INDEX(Suivi!$G:$G,2315))</f>
        <v/>
      </c>
      <c r="T2272">
        <f>IF($O2272="","",IF(INDEX(Dossiers!$F$4:$F$63,43)="","",INDEX(Dossiers!$F$4:$F$63,43)))</f>
        <v/>
      </c>
      <c r="U2272">
        <f>IF($O2272="","",IF(INDEX(Dossiers!$G$4:$G$63,43)="","",INDEX(Dossiers!$G$4:$G$63,43)))</f>
        <v/>
      </c>
      <c r="V2272">
        <f>IF(OR($O2272="",NOT(ISNUMBER($Q2272))),"",$Q2272*1000000+2272)</f>
        <v/>
      </c>
      <c r="W2272" s="29">
        <f>IF($B2272="","",IFERROR(INDEX($U$4:$U$3183,MATCH(SMALL($V$4:$V$3183,2269),$V$4:$V$3183,0)),""))</f>
        <v/>
      </c>
    </row>
    <row r="2273">
      <c r="A2273">
        <f>IFERROR(INDEX($N$4:$N$3183,MATCH(SMALL($V$4:$V$3183,2270),$V$4:$V$3183,0)),"")</f>
        <v/>
      </c>
      <c r="B2273">
        <f>IFERROR(INDEX($O$4:$O$3183,MATCH(SMALL($V$4:$V$3183,2270),$V$4:$V$3183,0)),"")</f>
        <v/>
      </c>
      <c r="C2273">
        <f>IFERROR(INDEX($P$4:$P$3183,MATCH(SMALL($V$4:$V$3183,2270),$V$4:$V$3183,0)),"")</f>
        <v/>
      </c>
      <c r="D2273" s="29">
        <f>IFERROR(INDEX($Q$4:$Q$3183,MATCH(SMALL($V$4:$V$3183,2270),$V$4:$V$3183,0)),"")</f>
        <v/>
      </c>
      <c r="E2273" s="29">
        <f>IFERROR(INDEX($R$4:$R$3183,MATCH(SMALL($V$4:$V$3183,2270),$V$4:$V$3183,0)),"")</f>
        <v/>
      </c>
      <c r="F2273">
        <f>IFERROR(INDEX($S$4:$S$3183,MATCH(SMALL($V$4:$V$3183,2270),$V$4:$V$3183,0)),"")</f>
        <v/>
      </c>
      <c r="I2273" s="29">
        <f>IF($B2273="","",IFERROR(INDEX($U$4:$U$3183,MATCH(SMALL($V$4:$V$3183,2270),$V$4:$V$3183,0)),""))</f>
        <v/>
      </c>
      <c r="J2273">
        <f>IF($B2273="","",IF($D2273&gt;$F$2,"À venir",IF($E2273&lt;$D$2,"Passé","Dans la période")))</f>
        <v/>
      </c>
      <c r="K2273">
        <f>IF(OR($B2273="",NOT(ISNUMBER($D2273))),"",IF(AND($E2273&lt;$D$2,$G2273&lt;&gt;"X",$F2273&lt;&gt;"Réalisé",$F2273&lt;&gt;"Clôturé"),"RETARD",""))</f>
        <v/>
      </c>
      <c r="L2273">
        <f>IF(OR($B2273="",NOT(ISNUMBER($D2273))),"",IF(AND($D2273&gt;=$D$2,$D2273&lt;=$H$2,$G2273&lt;&gt;"X",$F2273&lt;&gt;"Réalisé",$F2273&lt;&gt;"Clôturé"),"≤ 7 j",""))</f>
        <v/>
      </c>
      <c r="M2273" s="29">
        <f>IF($B2273="","",IFERROR(INDEX($T$4:$T$3183,MATCH(SMALL($V$4:$V$3183,2270),$V$4:$V$3183,0)),""))</f>
        <v/>
      </c>
      <c r="O2273">
        <f>IF(INDEX(Suivi!$B:$B,2316)="","",INDEX(Suivi!$B:$B,2316))</f>
        <v/>
      </c>
      <c r="P2273">
        <f>IF($O2273="","",IF(INDEX(Suivi!$D:$D,2316)="",INDEX(Suivi!$C:$C,2316),INDEX(Suivi!$D:$D,2316)))</f>
        <v/>
      </c>
      <c r="Q2273">
        <f>IF($O2273="","",INDEX(Suivi!$E:$E,2316))</f>
        <v/>
      </c>
      <c r="R2273">
        <f>IF($O2273="","",INDEX(Suivi!$F:$F,2316))</f>
        <v/>
      </c>
      <c r="S2273">
        <f>IF($O2273="","",INDEX(Suivi!$G:$G,2316))</f>
        <v/>
      </c>
      <c r="T2273">
        <f>IF($O2273="","",IF(INDEX(Dossiers!$F$4:$F$63,43)="","",INDEX(Dossiers!$F$4:$F$63,43)))</f>
        <v/>
      </c>
      <c r="U2273">
        <f>IF($O2273="","",IF(INDEX(Dossiers!$G$4:$G$63,43)="","",INDEX(Dossiers!$G$4:$G$63,43)))</f>
        <v/>
      </c>
      <c r="V2273">
        <f>IF(OR($O2273="",NOT(ISNUMBER($Q2273))),"",$Q2273*1000000+2273)</f>
        <v/>
      </c>
      <c r="W2273" s="29">
        <f>IF($B2273="","",IFERROR(INDEX($U$4:$U$3183,MATCH(SMALL($V$4:$V$3183,2270),$V$4:$V$3183,0)),""))</f>
        <v/>
      </c>
    </row>
    <row r="2274">
      <c r="A2274">
        <f>IFERROR(INDEX($N$4:$N$3183,MATCH(SMALL($V$4:$V$3183,2271),$V$4:$V$3183,0)),"")</f>
        <v/>
      </c>
      <c r="B2274">
        <f>IFERROR(INDEX($O$4:$O$3183,MATCH(SMALL($V$4:$V$3183,2271),$V$4:$V$3183,0)),"")</f>
        <v/>
      </c>
      <c r="C2274">
        <f>IFERROR(INDEX($P$4:$P$3183,MATCH(SMALL($V$4:$V$3183,2271),$V$4:$V$3183,0)),"")</f>
        <v/>
      </c>
      <c r="D2274" s="29">
        <f>IFERROR(INDEX($Q$4:$Q$3183,MATCH(SMALL($V$4:$V$3183,2271),$V$4:$V$3183,0)),"")</f>
        <v/>
      </c>
      <c r="E2274" s="29">
        <f>IFERROR(INDEX($R$4:$R$3183,MATCH(SMALL($V$4:$V$3183,2271),$V$4:$V$3183,0)),"")</f>
        <v/>
      </c>
      <c r="F2274">
        <f>IFERROR(INDEX($S$4:$S$3183,MATCH(SMALL($V$4:$V$3183,2271),$V$4:$V$3183,0)),"")</f>
        <v/>
      </c>
      <c r="I2274" s="29">
        <f>IF($B2274="","",IFERROR(INDEX($U$4:$U$3183,MATCH(SMALL($V$4:$V$3183,2271),$V$4:$V$3183,0)),""))</f>
        <v/>
      </c>
      <c r="J2274">
        <f>IF($B2274="","",IF($D2274&gt;$F$2,"À venir",IF($E2274&lt;$D$2,"Passé","Dans la période")))</f>
        <v/>
      </c>
      <c r="K2274">
        <f>IF(OR($B2274="",NOT(ISNUMBER($D2274))),"",IF(AND($E2274&lt;$D$2,$G2274&lt;&gt;"X",$F2274&lt;&gt;"Réalisé",$F2274&lt;&gt;"Clôturé"),"RETARD",""))</f>
        <v/>
      </c>
      <c r="L2274">
        <f>IF(OR($B2274="",NOT(ISNUMBER($D2274))),"",IF(AND($D2274&gt;=$D$2,$D2274&lt;=$H$2,$G2274&lt;&gt;"X",$F2274&lt;&gt;"Réalisé",$F2274&lt;&gt;"Clôturé"),"≤ 7 j",""))</f>
        <v/>
      </c>
      <c r="M2274" s="29">
        <f>IF($B2274="","",IFERROR(INDEX($T$4:$T$3183,MATCH(SMALL($V$4:$V$3183,2271),$V$4:$V$3183,0)),""))</f>
        <v/>
      </c>
      <c r="O2274">
        <f>IF(INDEX(Suivi!$B:$B,2317)="","",INDEX(Suivi!$B:$B,2317))</f>
        <v/>
      </c>
      <c r="P2274">
        <f>IF($O2274="","",IF(INDEX(Suivi!$D:$D,2317)="",INDEX(Suivi!$C:$C,2317),INDEX(Suivi!$D:$D,2317)))</f>
        <v/>
      </c>
      <c r="Q2274">
        <f>IF($O2274="","",INDEX(Suivi!$E:$E,2317))</f>
        <v/>
      </c>
      <c r="R2274">
        <f>IF($O2274="","",INDEX(Suivi!$F:$F,2317))</f>
        <v/>
      </c>
      <c r="S2274">
        <f>IF($O2274="","",INDEX(Suivi!$G:$G,2317))</f>
        <v/>
      </c>
      <c r="T2274">
        <f>IF($O2274="","",IF(INDEX(Dossiers!$F$4:$F$63,43)="","",INDEX(Dossiers!$F$4:$F$63,43)))</f>
        <v/>
      </c>
      <c r="U2274">
        <f>IF($O2274="","",IF(INDEX(Dossiers!$G$4:$G$63,43)="","",INDEX(Dossiers!$G$4:$G$63,43)))</f>
        <v/>
      </c>
      <c r="V2274">
        <f>IF(OR($O2274="",NOT(ISNUMBER($Q2274))),"",$Q2274*1000000+2274)</f>
        <v/>
      </c>
      <c r="W2274" s="29">
        <f>IF($B2274="","",IFERROR(INDEX($U$4:$U$3183,MATCH(SMALL($V$4:$V$3183,2271),$V$4:$V$3183,0)),""))</f>
        <v/>
      </c>
    </row>
    <row r="2275">
      <c r="A2275">
        <f>IFERROR(INDEX($N$4:$N$3183,MATCH(SMALL($V$4:$V$3183,2272),$V$4:$V$3183,0)),"")</f>
        <v/>
      </c>
      <c r="B2275">
        <f>IFERROR(INDEX($O$4:$O$3183,MATCH(SMALL($V$4:$V$3183,2272),$V$4:$V$3183,0)),"")</f>
        <v/>
      </c>
      <c r="C2275">
        <f>IFERROR(INDEX($P$4:$P$3183,MATCH(SMALL($V$4:$V$3183,2272),$V$4:$V$3183,0)),"")</f>
        <v/>
      </c>
      <c r="D2275" s="29">
        <f>IFERROR(INDEX($Q$4:$Q$3183,MATCH(SMALL($V$4:$V$3183,2272),$V$4:$V$3183,0)),"")</f>
        <v/>
      </c>
      <c r="E2275" s="29">
        <f>IFERROR(INDEX($R$4:$R$3183,MATCH(SMALL($V$4:$V$3183,2272),$V$4:$V$3183,0)),"")</f>
        <v/>
      </c>
      <c r="F2275">
        <f>IFERROR(INDEX($S$4:$S$3183,MATCH(SMALL($V$4:$V$3183,2272),$V$4:$V$3183,0)),"")</f>
        <v/>
      </c>
      <c r="I2275" s="29">
        <f>IF($B2275="","",IFERROR(INDEX($U$4:$U$3183,MATCH(SMALL($V$4:$V$3183,2272),$V$4:$V$3183,0)),""))</f>
        <v/>
      </c>
      <c r="J2275">
        <f>IF($B2275="","",IF($D2275&gt;$F$2,"À venir",IF($E2275&lt;$D$2,"Passé","Dans la période")))</f>
        <v/>
      </c>
      <c r="K2275">
        <f>IF(OR($B2275="",NOT(ISNUMBER($D2275))),"",IF(AND($E2275&lt;$D$2,$G2275&lt;&gt;"X",$F2275&lt;&gt;"Réalisé",$F2275&lt;&gt;"Clôturé"),"RETARD",""))</f>
        <v/>
      </c>
      <c r="L2275">
        <f>IF(OR($B2275="",NOT(ISNUMBER($D2275))),"",IF(AND($D2275&gt;=$D$2,$D2275&lt;=$H$2,$G2275&lt;&gt;"X",$F2275&lt;&gt;"Réalisé",$F2275&lt;&gt;"Clôturé"),"≤ 7 j",""))</f>
        <v/>
      </c>
      <c r="M2275" s="29">
        <f>IF($B2275="","",IFERROR(INDEX($T$4:$T$3183,MATCH(SMALL($V$4:$V$3183,2272),$V$4:$V$3183,0)),""))</f>
        <v/>
      </c>
      <c r="O2275">
        <f>IF(INDEX(Suivi!$B:$B,2318)="","",INDEX(Suivi!$B:$B,2318))</f>
        <v/>
      </c>
      <c r="P2275">
        <f>IF($O2275="","",IF(INDEX(Suivi!$D:$D,2318)="",INDEX(Suivi!$C:$C,2318),INDEX(Suivi!$D:$D,2318)))</f>
        <v/>
      </c>
      <c r="Q2275">
        <f>IF($O2275="","",INDEX(Suivi!$E:$E,2318))</f>
        <v/>
      </c>
      <c r="R2275">
        <f>IF($O2275="","",INDEX(Suivi!$F:$F,2318))</f>
        <v/>
      </c>
      <c r="S2275">
        <f>IF($O2275="","",INDEX(Suivi!$G:$G,2318))</f>
        <v/>
      </c>
      <c r="T2275">
        <f>IF($O2275="","",IF(INDEX(Dossiers!$F$4:$F$63,43)="","",INDEX(Dossiers!$F$4:$F$63,43)))</f>
        <v/>
      </c>
      <c r="U2275">
        <f>IF($O2275="","",IF(INDEX(Dossiers!$G$4:$G$63,43)="","",INDEX(Dossiers!$G$4:$G$63,43)))</f>
        <v/>
      </c>
      <c r="V2275">
        <f>IF(OR($O2275="",NOT(ISNUMBER($Q2275))),"",$Q2275*1000000+2275)</f>
        <v/>
      </c>
      <c r="W2275" s="29">
        <f>IF($B2275="","",IFERROR(INDEX($U$4:$U$3183,MATCH(SMALL($V$4:$V$3183,2272),$V$4:$V$3183,0)),""))</f>
        <v/>
      </c>
    </row>
    <row r="2276">
      <c r="A2276">
        <f>IFERROR(INDEX($N$4:$N$3183,MATCH(SMALL($V$4:$V$3183,2273),$V$4:$V$3183,0)),"")</f>
        <v/>
      </c>
      <c r="B2276">
        <f>IFERROR(INDEX($O$4:$O$3183,MATCH(SMALL($V$4:$V$3183,2273),$V$4:$V$3183,0)),"")</f>
        <v/>
      </c>
      <c r="C2276">
        <f>IFERROR(INDEX($P$4:$P$3183,MATCH(SMALL($V$4:$V$3183,2273),$V$4:$V$3183,0)),"")</f>
        <v/>
      </c>
      <c r="D2276" s="29">
        <f>IFERROR(INDEX($Q$4:$Q$3183,MATCH(SMALL($V$4:$V$3183,2273),$V$4:$V$3183,0)),"")</f>
        <v/>
      </c>
      <c r="E2276" s="29">
        <f>IFERROR(INDEX($R$4:$R$3183,MATCH(SMALL($V$4:$V$3183,2273),$V$4:$V$3183,0)),"")</f>
        <v/>
      </c>
      <c r="F2276">
        <f>IFERROR(INDEX($S$4:$S$3183,MATCH(SMALL($V$4:$V$3183,2273),$V$4:$V$3183,0)),"")</f>
        <v/>
      </c>
      <c r="I2276" s="29">
        <f>IF($B2276="","",IFERROR(INDEX($U$4:$U$3183,MATCH(SMALL($V$4:$V$3183,2273),$V$4:$V$3183,0)),""))</f>
        <v/>
      </c>
      <c r="J2276">
        <f>IF($B2276="","",IF($D2276&gt;$F$2,"À venir",IF($E2276&lt;$D$2,"Passé","Dans la période")))</f>
        <v/>
      </c>
      <c r="K2276">
        <f>IF(OR($B2276="",NOT(ISNUMBER($D2276))),"",IF(AND($E2276&lt;$D$2,$G2276&lt;&gt;"X",$F2276&lt;&gt;"Réalisé",$F2276&lt;&gt;"Clôturé"),"RETARD",""))</f>
        <v/>
      </c>
      <c r="L2276">
        <f>IF(OR($B2276="",NOT(ISNUMBER($D2276))),"",IF(AND($D2276&gt;=$D$2,$D2276&lt;=$H$2,$G2276&lt;&gt;"X",$F2276&lt;&gt;"Réalisé",$F2276&lt;&gt;"Clôturé"),"≤ 7 j",""))</f>
        <v/>
      </c>
      <c r="M2276" s="29">
        <f>IF($B2276="","",IFERROR(INDEX($T$4:$T$3183,MATCH(SMALL($V$4:$V$3183,2273),$V$4:$V$3183,0)),""))</f>
        <v/>
      </c>
      <c r="O2276">
        <f>IF(INDEX(Suivi!$B:$B,2319)="","",INDEX(Suivi!$B:$B,2319))</f>
        <v/>
      </c>
      <c r="P2276">
        <f>IF($O2276="","",IF(INDEX(Suivi!$D:$D,2319)="",INDEX(Suivi!$C:$C,2319),INDEX(Suivi!$D:$D,2319)))</f>
        <v/>
      </c>
      <c r="Q2276">
        <f>IF($O2276="","",INDEX(Suivi!$E:$E,2319))</f>
        <v/>
      </c>
      <c r="R2276">
        <f>IF($O2276="","",INDEX(Suivi!$F:$F,2319))</f>
        <v/>
      </c>
      <c r="S2276">
        <f>IF($O2276="","",INDEX(Suivi!$G:$G,2319))</f>
        <v/>
      </c>
      <c r="T2276">
        <f>IF($O2276="","",IF(INDEX(Dossiers!$F$4:$F$63,43)="","",INDEX(Dossiers!$F$4:$F$63,43)))</f>
        <v/>
      </c>
      <c r="U2276">
        <f>IF($O2276="","",IF(INDEX(Dossiers!$G$4:$G$63,43)="","",INDEX(Dossiers!$G$4:$G$63,43)))</f>
        <v/>
      </c>
      <c r="V2276">
        <f>IF(OR($O2276="",NOT(ISNUMBER($Q2276))),"",$Q2276*1000000+2276)</f>
        <v/>
      </c>
      <c r="W2276" s="29">
        <f>IF($B2276="","",IFERROR(INDEX($U$4:$U$3183,MATCH(SMALL($V$4:$V$3183,2273),$V$4:$V$3183,0)),""))</f>
        <v/>
      </c>
    </row>
    <row r="2277">
      <c r="A2277">
        <f>IFERROR(INDEX($N$4:$N$3183,MATCH(SMALL($V$4:$V$3183,2274),$V$4:$V$3183,0)),"")</f>
        <v/>
      </c>
      <c r="B2277">
        <f>IFERROR(INDEX($O$4:$O$3183,MATCH(SMALL($V$4:$V$3183,2274),$V$4:$V$3183,0)),"")</f>
        <v/>
      </c>
      <c r="C2277">
        <f>IFERROR(INDEX($P$4:$P$3183,MATCH(SMALL($V$4:$V$3183,2274),$V$4:$V$3183,0)),"")</f>
        <v/>
      </c>
      <c r="D2277" s="29">
        <f>IFERROR(INDEX($Q$4:$Q$3183,MATCH(SMALL($V$4:$V$3183,2274),$V$4:$V$3183,0)),"")</f>
        <v/>
      </c>
      <c r="E2277" s="29">
        <f>IFERROR(INDEX($R$4:$R$3183,MATCH(SMALL($V$4:$V$3183,2274),$V$4:$V$3183,0)),"")</f>
        <v/>
      </c>
      <c r="F2277">
        <f>IFERROR(INDEX($S$4:$S$3183,MATCH(SMALL($V$4:$V$3183,2274),$V$4:$V$3183,0)),"")</f>
        <v/>
      </c>
      <c r="I2277" s="29">
        <f>IF($B2277="","",IFERROR(INDEX($U$4:$U$3183,MATCH(SMALL($V$4:$V$3183,2274),$V$4:$V$3183,0)),""))</f>
        <v/>
      </c>
      <c r="J2277">
        <f>IF($B2277="","",IF($D2277&gt;$F$2,"À venir",IF($E2277&lt;$D$2,"Passé","Dans la période")))</f>
        <v/>
      </c>
      <c r="K2277">
        <f>IF(OR($B2277="",NOT(ISNUMBER($D2277))),"",IF(AND($E2277&lt;$D$2,$G2277&lt;&gt;"X",$F2277&lt;&gt;"Réalisé",$F2277&lt;&gt;"Clôturé"),"RETARD",""))</f>
        <v/>
      </c>
      <c r="L2277">
        <f>IF(OR($B2277="",NOT(ISNUMBER($D2277))),"",IF(AND($D2277&gt;=$D$2,$D2277&lt;=$H$2,$G2277&lt;&gt;"X",$F2277&lt;&gt;"Réalisé",$F2277&lt;&gt;"Clôturé"),"≤ 7 j",""))</f>
        <v/>
      </c>
      <c r="M2277" s="29">
        <f>IF($B2277="","",IFERROR(INDEX($T$4:$T$3183,MATCH(SMALL($V$4:$V$3183,2274),$V$4:$V$3183,0)),""))</f>
        <v/>
      </c>
      <c r="O2277">
        <f>IF(INDEX(Suivi!$B:$B,2320)="","",INDEX(Suivi!$B:$B,2320))</f>
        <v/>
      </c>
      <c r="P2277">
        <f>IF($O2277="","",IF(INDEX(Suivi!$D:$D,2320)="",INDEX(Suivi!$C:$C,2320),INDEX(Suivi!$D:$D,2320)))</f>
        <v/>
      </c>
      <c r="Q2277">
        <f>IF($O2277="","",INDEX(Suivi!$E:$E,2320))</f>
        <v/>
      </c>
      <c r="R2277">
        <f>IF($O2277="","",INDEX(Suivi!$F:$F,2320))</f>
        <v/>
      </c>
      <c r="S2277">
        <f>IF($O2277="","",INDEX(Suivi!$G:$G,2320))</f>
        <v/>
      </c>
      <c r="T2277">
        <f>IF($O2277="","",IF(INDEX(Dossiers!$F$4:$F$63,43)="","",INDEX(Dossiers!$F$4:$F$63,43)))</f>
        <v/>
      </c>
      <c r="U2277">
        <f>IF($O2277="","",IF(INDEX(Dossiers!$G$4:$G$63,43)="","",INDEX(Dossiers!$G$4:$G$63,43)))</f>
        <v/>
      </c>
      <c r="V2277">
        <f>IF(OR($O2277="",NOT(ISNUMBER($Q2277))),"",$Q2277*1000000+2277)</f>
        <v/>
      </c>
      <c r="W2277" s="29">
        <f>IF($B2277="","",IFERROR(INDEX($U$4:$U$3183,MATCH(SMALL($V$4:$V$3183,2274),$V$4:$V$3183,0)),""))</f>
        <v/>
      </c>
    </row>
    <row r="2278">
      <c r="A2278">
        <f>IFERROR(INDEX($N$4:$N$3183,MATCH(SMALL($V$4:$V$3183,2275),$V$4:$V$3183,0)),"")</f>
        <v/>
      </c>
      <c r="B2278">
        <f>IFERROR(INDEX($O$4:$O$3183,MATCH(SMALL($V$4:$V$3183,2275),$V$4:$V$3183,0)),"")</f>
        <v/>
      </c>
      <c r="C2278">
        <f>IFERROR(INDEX($P$4:$P$3183,MATCH(SMALL($V$4:$V$3183,2275),$V$4:$V$3183,0)),"")</f>
        <v/>
      </c>
      <c r="D2278" s="29">
        <f>IFERROR(INDEX($Q$4:$Q$3183,MATCH(SMALL($V$4:$V$3183,2275),$V$4:$V$3183,0)),"")</f>
        <v/>
      </c>
      <c r="E2278" s="29">
        <f>IFERROR(INDEX($R$4:$R$3183,MATCH(SMALL($V$4:$V$3183,2275),$V$4:$V$3183,0)),"")</f>
        <v/>
      </c>
      <c r="F2278">
        <f>IFERROR(INDEX($S$4:$S$3183,MATCH(SMALL($V$4:$V$3183,2275),$V$4:$V$3183,0)),"")</f>
        <v/>
      </c>
      <c r="I2278" s="29">
        <f>IF($B2278="","",IFERROR(INDEX($U$4:$U$3183,MATCH(SMALL($V$4:$V$3183,2275),$V$4:$V$3183,0)),""))</f>
        <v/>
      </c>
      <c r="J2278">
        <f>IF($B2278="","",IF($D2278&gt;$F$2,"À venir",IF($E2278&lt;$D$2,"Passé","Dans la période")))</f>
        <v/>
      </c>
      <c r="K2278">
        <f>IF(OR($B2278="",NOT(ISNUMBER($D2278))),"",IF(AND($E2278&lt;$D$2,$G2278&lt;&gt;"X",$F2278&lt;&gt;"Réalisé",$F2278&lt;&gt;"Clôturé"),"RETARD",""))</f>
        <v/>
      </c>
      <c r="L2278">
        <f>IF(OR($B2278="",NOT(ISNUMBER($D2278))),"",IF(AND($D2278&gt;=$D$2,$D2278&lt;=$H$2,$G2278&lt;&gt;"X",$F2278&lt;&gt;"Réalisé",$F2278&lt;&gt;"Clôturé"),"≤ 7 j",""))</f>
        <v/>
      </c>
      <c r="M2278" s="29">
        <f>IF($B2278="","",IFERROR(INDEX($T$4:$T$3183,MATCH(SMALL($V$4:$V$3183,2275),$V$4:$V$3183,0)),""))</f>
        <v/>
      </c>
      <c r="O2278">
        <f>IF(INDEX(Suivi!$B:$B,2321)="","",INDEX(Suivi!$B:$B,2321))</f>
        <v/>
      </c>
      <c r="P2278">
        <f>IF($O2278="","",IF(INDEX(Suivi!$D:$D,2321)="",INDEX(Suivi!$C:$C,2321),INDEX(Suivi!$D:$D,2321)))</f>
        <v/>
      </c>
      <c r="Q2278">
        <f>IF($O2278="","",INDEX(Suivi!$E:$E,2321))</f>
        <v/>
      </c>
      <c r="R2278">
        <f>IF($O2278="","",INDEX(Suivi!$F:$F,2321))</f>
        <v/>
      </c>
      <c r="S2278">
        <f>IF($O2278="","",INDEX(Suivi!$G:$G,2321))</f>
        <v/>
      </c>
      <c r="T2278">
        <f>IF($O2278="","",IF(INDEX(Dossiers!$F$4:$F$63,43)="","",INDEX(Dossiers!$F$4:$F$63,43)))</f>
        <v/>
      </c>
      <c r="U2278">
        <f>IF($O2278="","",IF(INDEX(Dossiers!$G$4:$G$63,43)="","",INDEX(Dossiers!$G$4:$G$63,43)))</f>
        <v/>
      </c>
      <c r="V2278">
        <f>IF(OR($O2278="",NOT(ISNUMBER($Q2278))),"",$Q2278*1000000+2278)</f>
        <v/>
      </c>
      <c r="W2278" s="29">
        <f>IF($B2278="","",IFERROR(INDEX($U$4:$U$3183,MATCH(SMALL($V$4:$V$3183,2275),$V$4:$V$3183,0)),""))</f>
        <v/>
      </c>
    </row>
    <row r="2279">
      <c r="A2279">
        <f>IFERROR(INDEX($N$4:$N$3183,MATCH(SMALL($V$4:$V$3183,2276),$V$4:$V$3183,0)),"")</f>
        <v/>
      </c>
      <c r="B2279">
        <f>IFERROR(INDEX($O$4:$O$3183,MATCH(SMALL($V$4:$V$3183,2276),$V$4:$V$3183,0)),"")</f>
        <v/>
      </c>
      <c r="C2279">
        <f>IFERROR(INDEX($P$4:$P$3183,MATCH(SMALL($V$4:$V$3183,2276),$V$4:$V$3183,0)),"")</f>
        <v/>
      </c>
      <c r="D2279" s="29">
        <f>IFERROR(INDEX($Q$4:$Q$3183,MATCH(SMALL($V$4:$V$3183,2276),$V$4:$V$3183,0)),"")</f>
        <v/>
      </c>
      <c r="E2279" s="29">
        <f>IFERROR(INDEX($R$4:$R$3183,MATCH(SMALL($V$4:$V$3183,2276),$V$4:$V$3183,0)),"")</f>
        <v/>
      </c>
      <c r="F2279">
        <f>IFERROR(INDEX($S$4:$S$3183,MATCH(SMALL($V$4:$V$3183,2276),$V$4:$V$3183,0)),"")</f>
        <v/>
      </c>
      <c r="I2279" s="29">
        <f>IF($B2279="","",IFERROR(INDEX($U$4:$U$3183,MATCH(SMALL($V$4:$V$3183,2276),$V$4:$V$3183,0)),""))</f>
        <v/>
      </c>
      <c r="J2279">
        <f>IF($B2279="","",IF($D2279&gt;$F$2,"À venir",IF($E2279&lt;$D$2,"Passé","Dans la période")))</f>
        <v/>
      </c>
      <c r="K2279">
        <f>IF(OR($B2279="",NOT(ISNUMBER($D2279))),"",IF(AND($E2279&lt;$D$2,$G2279&lt;&gt;"X",$F2279&lt;&gt;"Réalisé",$F2279&lt;&gt;"Clôturé"),"RETARD",""))</f>
        <v/>
      </c>
      <c r="L2279">
        <f>IF(OR($B2279="",NOT(ISNUMBER($D2279))),"",IF(AND($D2279&gt;=$D$2,$D2279&lt;=$H$2,$G2279&lt;&gt;"X",$F2279&lt;&gt;"Réalisé",$F2279&lt;&gt;"Clôturé"),"≤ 7 j",""))</f>
        <v/>
      </c>
      <c r="M2279" s="29">
        <f>IF($B2279="","",IFERROR(INDEX($T$4:$T$3183,MATCH(SMALL($V$4:$V$3183,2276),$V$4:$V$3183,0)),""))</f>
        <v/>
      </c>
      <c r="O2279">
        <f>IF(INDEX(Suivi!$B:$B,2322)="","",INDEX(Suivi!$B:$B,2322))</f>
        <v/>
      </c>
      <c r="P2279">
        <f>IF($O2279="","",IF(INDEX(Suivi!$D:$D,2322)="",INDEX(Suivi!$C:$C,2322),INDEX(Suivi!$D:$D,2322)))</f>
        <v/>
      </c>
      <c r="Q2279">
        <f>IF($O2279="","",INDEX(Suivi!$E:$E,2322))</f>
        <v/>
      </c>
      <c r="R2279">
        <f>IF($O2279="","",INDEX(Suivi!$F:$F,2322))</f>
        <v/>
      </c>
      <c r="S2279">
        <f>IF($O2279="","",INDEX(Suivi!$G:$G,2322))</f>
        <v/>
      </c>
      <c r="T2279">
        <f>IF($O2279="","",IF(INDEX(Dossiers!$F$4:$F$63,43)="","",INDEX(Dossiers!$F$4:$F$63,43)))</f>
        <v/>
      </c>
      <c r="U2279">
        <f>IF($O2279="","",IF(INDEX(Dossiers!$G$4:$G$63,43)="","",INDEX(Dossiers!$G$4:$G$63,43)))</f>
        <v/>
      </c>
      <c r="V2279">
        <f>IF(OR($O2279="",NOT(ISNUMBER($Q2279))),"",$Q2279*1000000+2279)</f>
        <v/>
      </c>
      <c r="W2279" s="29">
        <f>IF($B2279="","",IFERROR(INDEX($U$4:$U$3183,MATCH(SMALL($V$4:$V$3183,2276),$V$4:$V$3183,0)),""))</f>
        <v/>
      </c>
    </row>
    <row r="2280">
      <c r="A2280">
        <f>IFERROR(INDEX($N$4:$N$3183,MATCH(SMALL($V$4:$V$3183,2277),$V$4:$V$3183,0)),"")</f>
        <v/>
      </c>
      <c r="B2280">
        <f>IFERROR(INDEX($O$4:$O$3183,MATCH(SMALL($V$4:$V$3183,2277),$V$4:$V$3183,0)),"")</f>
        <v/>
      </c>
      <c r="C2280">
        <f>IFERROR(INDEX($P$4:$P$3183,MATCH(SMALL($V$4:$V$3183,2277),$V$4:$V$3183,0)),"")</f>
        <v/>
      </c>
      <c r="D2280" s="29">
        <f>IFERROR(INDEX($Q$4:$Q$3183,MATCH(SMALL($V$4:$V$3183,2277),$V$4:$V$3183,0)),"")</f>
        <v/>
      </c>
      <c r="E2280" s="29">
        <f>IFERROR(INDEX($R$4:$R$3183,MATCH(SMALL($V$4:$V$3183,2277),$V$4:$V$3183,0)),"")</f>
        <v/>
      </c>
      <c r="F2280">
        <f>IFERROR(INDEX($S$4:$S$3183,MATCH(SMALL($V$4:$V$3183,2277),$V$4:$V$3183,0)),"")</f>
        <v/>
      </c>
      <c r="I2280" s="29">
        <f>IF($B2280="","",IFERROR(INDEX($U$4:$U$3183,MATCH(SMALL($V$4:$V$3183,2277),$V$4:$V$3183,0)),""))</f>
        <v/>
      </c>
      <c r="J2280">
        <f>IF($B2280="","",IF($D2280&gt;$F$2,"À venir",IF($E2280&lt;$D$2,"Passé","Dans la période")))</f>
        <v/>
      </c>
      <c r="K2280">
        <f>IF(OR($B2280="",NOT(ISNUMBER($D2280))),"",IF(AND($E2280&lt;$D$2,$G2280&lt;&gt;"X",$F2280&lt;&gt;"Réalisé",$F2280&lt;&gt;"Clôturé"),"RETARD",""))</f>
        <v/>
      </c>
      <c r="L2280">
        <f>IF(OR($B2280="",NOT(ISNUMBER($D2280))),"",IF(AND($D2280&gt;=$D$2,$D2280&lt;=$H$2,$G2280&lt;&gt;"X",$F2280&lt;&gt;"Réalisé",$F2280&lt;&gt;"Clôturé"),"≤ 7 j",""))</f>
        <v/>
      </c>
      <c r="M2280" s="29">
        <f>IF($B2280="","",IFERROR(INDEX($T$4:$T$3183,MATCH(SMALL($V$4:$V$3183,2277),$V$4:$V$3183,0)),""))</f>
        <v/>
      </c>
      <c r="O2280">
        <f>IF(INDEX(Suivi!$B:$B,2323)="","",INDEX(Suivi!$B:$B,2323))</f>
        <v/>
      </c>
      <c r="P2280">
        <f>IF($O2280="","",IF(INDEX(Suivi!$D:$D,2323)="",INDEX(Suivi!$C:$C,2323),INDEX(Suivi!$D:$D,2323)))</f>
        <v/>
      </c>
      <c r="Q2280">
        <f>IF($O2280="","",INDEX(Suivi!$E:$E,2323))</f>
        <v/>
      </c>
      <c r="R2280">
        <f>IF($O2280="","",INDEX(Suivi!$F:$F,2323))</f>
        <v/>
      </c>
      <c r="S2280">
        <f>IF($O2280="","",INDEX(Suivi!$G:$G,2323))</f>
        <v/>
      </c>
      <c r="T2280">
        <f>IF($O2280="","",IF(INDEX(Dossiers!$F$4:$F$63,43)="","",INDEX(Dossiers!$F$4:$F$63,43)))</f>
        <v/>
      </c>
      <c r="U2280">
        <f>IF($O2280="","",IF(INDEX(Dossiers!$G$4:$G$63,43)="","",INDEX(Dossiers!$G$4:$G$63,43)))</f>
        <v/>
      </c>
      <c r="V2280">
        <f>IF(OR($O2280="",NOT(ISNUMBER($Q2280))),"",$Q2280*1000000+2280)</f>
        <v/>
      </c>
      <c r="W2280" s="29">
        <f>IF($B2280="","",IFERROR(INDEX($U$4:$U$3183,MATCH(SMALL($V$4:$V$3183,2277),$V$4:$V$3183,0)),""))</f>
        <v/>
      </c>
    </row>
    <row r="2281">
      <c r="A2281">
        <f>IFERROR(INDEX($N$4:$N$3183,MATCH(SMALL($V$4:$V$3183,2278),$V$4:$V$3183,0)),"")</f>
        <v/>
      </c>
      <c r="B2281">
        <f>IFERROR(INDEX($O$4:$O$3183,MATCH(SMALL($V$4:$V$3183,2278),$V$4:$V$3183,0)),"")</f>
        <v/>
      </c>
      <c r="C2281">
        <f>IFERROR(INDEX($P$4:$P$3183,MATCH(SMALL($V$4:$V$3183,2278),$V$4:$V$3183,0)),"")</f>
        <v/>
      </c>
      <c r="D2281" s="29">
        <f>IFERROR(INDEX($Q$4:$Q$3183,MATCH(SMALL($V$4:$V$3183,2278),$V$4:$V$3183,0)),"")</f>
        <v/>
      </c>
      <c r="E2281" s="29">
        <f>IFERROR(INDEX($R$4:$R$3183,MATCH(SMALL($V$4:$V$3183,2278),$V$4:$V$3183,0)),"")</f>
        <v/>
      </c>
      <c r="F2281">
        <f>IFERROR(INDEX($S$4:$S$3183,MATCH(SMALL($V$4:$V$3183,2278),$V$4:$V$3183,0)),"")</f>
        <v/>
      </c>
      <c r="I2281" s="29">
        <f>IF($B2281="","",IFERROR(INDEX($U$4:$U$3183,MATCH(SMALL($V$4:$V$3183,2278),$V$4:$V$3183,0)),""))</f>
        <v/>
      </c>
      <c r="J2281">
        <f>IF($B2281="","",IF($D2281&gt;$F$2,"À venir",IF($E2281&lt;$D$2,"Passé","Dans la période")))</f>
        <v/>
      </c>
      <c r="K2281">
        <f>IF(OR($B2281="",NOT(ISNUMBER($D2281))),"",IF(AND($E2281&lt;$D$2,$G2281&lt;&gt;"X",$F2281&lt;&gt;"Réalisé",$F2281&lt;&gt;"Clôturé"),"RETARD",""))</f>
        <v/>
      </c>
      <c r="L2281">
        <f>IF(OR($B2281="",NOT(ISNUMBER($D2281))),"",IF(AND($D2281&gt;=$D$2,$D2281&lt;=$H$2,$G2281&lt;&gt;"X",$F2281&lt;&gt;"Réalisé",$F2281&lt;&gt;"Clôturé"),"≤ 7 j",""))</f>
        <v/>
      </c>
      <c r="M2281" s="29">
        <f>IF($B2281="","",IFERROR(INDEX($T$4:$T$3183,MATCH(SMALL($V$4:$V$3183,2278),$V$4:$V$3183,0)),""))</f>
        <v/>
      </c>
      <c r="O2281">
        <f>IF(INDEX(Suivi!$B:$B,2324)="","",INDEX(Suivi!$B:$B,2324))</f>
        <v/>
      </c>
      <c r="P2281">
        <f>IF($O2281="","",IF(INDEX(Suivi!$D:$D,2324)="",INDEX(Suivi!$C:$C,2324),INDEX(Suivi!$D:$D,2324)))</f>
        <v/>
      </c>
      <c r="Q2281">
        <f>IF($O2281="","",INDEX(Suivi!$E:$E,2324))</f>
        <v/>
      </c>
      <c r="R2281">
        <f>IF($O2281="","",INDEX(Suivi!$F:$F,2324))</f>
        <v/>
      </c>
      <c r="S2281">
        <f>IF($O2281="","",INDEX(Suivi!$G:$G,2324))</f>
        <v/>
      </c>
      <c r="T2281">
        <f>IF($O2281="","",IF(INDEX(Dossiers!$F$4:$F$63,43)="","",INDEX(Dossiers!$F$4:$F$63,43)))</f>
        <v/>
      </c>
      <c r="U2281">
        <f>IF($O2281="","",IF(INDEX(Dossiers!$G$4:$G$63,43)="","",INDEX(Dossiers!$G$4:$G$63,43)))</f>
        <v/>
      </c>
      <c r="V2281">
        <f>IF(OR($O2281="",NOT(ISNUMBER($Q2281))),"",$Q2281*1000000+2281)</f>
        <v/>
      </c>
      <c r="W2281" s="29">
        <f>IF($B2281="","",IFERROR(INDEX($U$4:$U$3183,MATCH(SMALL($V$4:$V$3183,2278),$V$4:$V$3183,0)),""))</f>
        <v/>
      </c>
    </row>
    <row r="2282">
      <c r="A2282">
        <f>IFERROR(INDEX($N$4:$N$3183,MATCH(SMALL($V$4:$V$3183,2279),$V$4:$V$3183,0)),"")</f>
        <v/>
      </c>
      <c r="B2282">
        <f>IFERROR(INDEX($O$4:$O$3183,MATCH(SMALL($V$4:$V$3183,2279),$V$4:$V$3183,0)),"")</f>
        <v/>
      </c>
      <c r="C2282">
        <f>IFERROR(INDEX($P$4:$P$3183,MATCH(SMALL($V$4:$V$3183,2279),$V$4:$V$3183,0)),"")</f>
        <v/>
      </c>
      <c r="D2282" s="29">
        <f>IFERROR(INDEX($Q$4:$Q$3183,MATCH(SMALL($V$4:$V$3183,2279),$V$4:$V$3183,0)),"")</f>
        <v/>
      </c>
      <c r="E2282" s="29">
        <f>IFERROR(INDEX($R$4:$R$3183,MATCH(SMALL($V$4:$V$3183,2279),$V$4:$V$3183,0)),"")</f>
        <v/>
      </c>
      <c r="F2282">
        <f>IFERROR(INDEX($S$4:$S$3183,MATCH(SMALL($V$4:$V$3183,2279),$V$4:$V$3183,0)),"")</f>
        <v/>
      </c>
      <c r="I2282" s="29">
        <f>IF($B2282="","",IFERROR(INDEX($U$4:$U$3183,MATCH(SMALL($V$4:$V$3183,2279),$V$4:$V$3183,0)),""))</f>
        <v/>
      </c>
      <c r="J2282">
        <f>IF($B2282="","",IF($D2282&gt;$F$2,"À venir",IF($E2282&lt;$D$2,"Passé","Dans la période")))</f>
        <v/>
      </c>
      <c r="K2282">
        <f>IF(OR($B2282="",NOT(ISNUMBER($D2282))),"",IF(AND($E2282&lt;$D$2,$G2282&lt;&gt;"X",$F2282&lt;&gt;"Réalisé",$F2282&lt;&gt;"Clôturé"),"RETARD",""))</f>
        <v/>
      </c>
      <c r="L2282">
        <f>IF(OR($B2282="",NOT(ISNUMBER($D2282))),"",IF(AND($D2282&gt;=$D$2,$D2282&lt;=$H$2,$G2282&lt;&gt;"X",$F2282&lt;&gt;"Réalisé",$F2282&lt;&gt;"Clôturé"),"≤ 7 j",""))</f>
        <v/>
      </c>
      <c r="M2282" s="29">
        <f>IF($B2282="","",IFERROR(INDEX($T$4:$T$3183,MATCH(SMALL($V$4:$V$3183,2279),$V$4:$V$3183,0)),""))</f>
        <v/>
      </c>
      <c r="O2282">
        <f>IF(INDEX(Suivi!$B:$B,2325)="","",INDEX(Suivi!$B:$B,2325))</f>
        <v/>
      </c>
      <c r="P2282">
        <f>IF($O2282="","",IF(INDEX(Suivi!$D:$D,2325)="",INDEX(Suivi!$C:$C,2325),INDEX(Suivi!$D:$D,2325)))</f>
        <v/>
      </c>
      <c r="Q2282">
        <f>IF($O2282="","",INDEX(Suivi!$E:$E,2325))</f>
        <v/>
      </c>
      <c r="R2282">
        <f>IF($O2282="","",INDEX(Suivi!$F:$F,2325))</f>
        <v/>
      </c>
      <c r="S2282">
        <f>IF($O2282="","",INDEX(Suivi!$G:$G,2325))</f>
        <v/>
      </c>
      <c r="T2282">
        <f>IF($O2282="","",IF(INDEX(Dossiers!$F$4:$F$63,43)="","",INDEX(Dossiers!$F$4:$F$63,43)))</f>
        <v/>
      </c>
      <c r="U2282">
        <f>IF($O2282="","",IF(INDEX(Dossiers!$G$4:$G$63,43)="","",INDEX(Dossiers!$G$4:$G$63,43)))</f>
        <v/>
      </c>
      <c r="V2282">
        <f>IF(OR($O2282="",NOT(ISNUMBER($Q2282))),"",$Q2282*1000000+2282)</f>
        <v/>
      </c>
      <c r="W2282" s="29">
        <f>IF($B2282="","",IFERROR(INDEX($U$4:$U$3183,MATCH(SMALL($V$4:$V$3183,2279),$V$4:$V$3183,0)),""))</f>
        <v/>
      </c>
    </row>
    <row r="2283">
      <c r="A2283">
        <f>IFERROR(INDEX($N$4:$N$3183,MATCH(SMALL($V$4:$V$3183,2280),$V$4:$V$3183,0)),"")</f>
        <v/>
      </c>
      <c r="B2283">
        <f>IFERROR(INDEX($O$4:$O$3183,MATCH(SMALL($V$4:$V$3183,2280),$V$4:$V$3183,0)),"")</f>
        <v/>
      </c>
      <c r="C2283">
        <f>IFERROR(INDEX($P$4:$P$3183,MATCH(SMALL($V$4:$V$3183,2280),$V$4:$V$3183,0)),"")</f>
        <v/>
      </c>
      <c r="D2283" s="29">
        <f>IFERROR(INDEX($Q$4:$Q$3183,MATCH(SMALL($V$4:$V$3183,2280),$V$4:$V$3183,0)),"")</f>
        <v/>
      </c>
      <c r="E2283" s="29">
        <f>IFERROR(INDEX($R$4:$R$3183,MATCH(SMALL($V$4:$V$3183,2280),$V$4:$V$3183,0)),"")</f>
        <v/>
      </c>
      <c r="F2283">
        <f>IFERROR(INDEX($S$4:$S$3183,MATCH(SMALL($V$4:$V$3183,2280),$V$4:$V$3183,0)),"")</f>
        <v/>
      </c>
      <c r="I2283" s="29">
        <f>IF($B2283="","",IFERROR(INDEX($U$4:$U$3183,MATCH(SMALL($V$4:$V$3183,2280),$V$4:$V$3183,0)),""))</f>
        <v/>
      </c>
      <c r="J2283">
        <f>IF($B2283="","",IF($D2283&gt;$F$2,"À venir",IF($E2283&lt;$D$2,"Passé","Dans la période")))</f>
        <v/>
      </c>
      <c r="K2283">
        <f>IF(OR($B2283="",NOT(ISNUMBER($D2283))),"",IF(AND($E2283&lt;$D$2,$G2283&lt;&gt;"X",$F2283&lt;&gt;"Réalisé",$F2283&lt;&gt;"Clôturé"),"RETARD",""))</f>
        <v/>
      </c>
      <c r="L2283">
        <f>IF(OR($B2283="",NOT(ISNUMBER($D2283))),"",IF(AND($D2283&gt;=$D$2,$D2283&lt;=$H$2,$G2283&lt;&gt;"X",$F2283&lt;&gt;"Réalisé",$F2283&lt;&gt;"Clôturé"),"≤ 7 j",""))</f>
        <v/>
      </c>
      <c r="M2283" s="29">
        <f>IF($B2283="","",IFERROR(INDEX($T$4:$T$3183,MATCH(SMALL($V$4:$V$3183,2280),$V$4:$V$3183,0)),""))</f>
        <v/>
      </c>
      <c r="O2283">
        <f>IF(INDEX(Suivi!$B:$B,2327)="","",INDEX(Suivi!$B:$B,2327))</f>
        <v/>
      </c>
      <c r="P2283">
        <f>IF($O2283="","",IF(INDEX(Suivi!$D:$D,2327)="",INDEX(Suivi!$C:$C,2327),INDEX(Suivi!$D:$D,2327)))</f>
        <v/>
      </c>
      <c r="Q2283">
        <f>IF($O2283="","",INDEX(Suivi!$E:$E,2327))</f>
        <v/>
      </c>
      <c r="R2283">
        <f>IF($O2283="","",INDEX(Suivi!$F:$F,2327))</f>
        <v/>
      </c>
      <c r="S2283">
        <f>IF($O2283="","",INDEX(Suivi!$G:$G,2327))</f>
        <v/>
      </c>
      <c r="T2283">
        <f>IF($O2283="","",IF(INDEX(Dossiers!$F$4:$F$63,44)="","",INDEX(Dossiers!$F$4:$F$63,44)))</f>
        <v/>
      </c>
      <c r="U2283">
        <f>IF($O2283="","",IF(INDEX(Dossiers!$G$4:$G$63,44)="","",INDEX(Dossiers!$G$4:$G$63,44)))</f>
        <v/>
      </c>
      <c r="V2283">
        <f>IF(OR($O2283="",NOT(ISNUMBER($Q2283))),"",$Q2283*1000000+2283)</f>
        <v/>
      </c>
      <c r="W2283" s="29">
        <f>IF($B2283="","",IFERROR(INDEX($U$4:$U$3183,MATCH(SMALL($V$4:$V$3183,2280),$V$4:$V$3183,0)),""))</f>
        <v/>
      </c>
    </row>
    <row r="2284">
      <c r="A2284">
        <f>IFERROR(INDEX($N$4:$N$3183,MATCH(SMALL($V$4:$V$3183,2281),$V$4:$V$3183,0)),"")</f>
        <v/>
      </c>
      <c r="B2284">
        <f>IFERROR(INDEX($O$4:$O$3183,MATCH(SMALL($V$4:$V$3183,2281),$V$4:$V$3183,0)),"")</f>
        <v/>
      </c>
      <c r="C2284">
        <f>IFERROR(INDEX($P$4:$P$3183,MATCH(SMALL($V$4:$V$3183,2281),$V$4:$V$3183,0)),"")</f>
        <v/>
      </c>
      <c r="D2284" s="29">
        <f>IFERROR(INDEX($Q$4:$Q$3183,MATCH(SMALL($V$4:$V$3183,2281),$V$4:$V$3183,0)),"")</f>
        <v/>
      </c>
      <c r="E2284" s="29">
        <f>IFERROR(INDEX($R$4:$R$3183,MATCH(SMALL($V$4:$V$3183,2281),$V$4:$V$3183,0)),"")</f>
        <v/>
      </c>
      <c r="F2284">
        <f>IFERROR(INDEX($S$4:$S$3183,MATCH(SMALL($V$4:$V$3183,2281),$V$4:$V$3183,0)),"")</f>
        <v/>
      </c>
      <c r="I2284" s="29">
        <f>IF($B2284="","",IFERROR(INDEX($U$4:$U$3183,MATCH(SMALL($V$4:$V$3183,2281),$V$4:$V$3183,0)),""))</f>
        <v/>
      </c>
      <c r="J2284">
        <f>IF($B2284="","",IF($D2284&gt;$F$2,"À venir",IF($E2284&lt;$D$2,"Passé","Dans la période")))</f>
        <v/>
      </c>
      <c r="K2284">
        <f>IF(OR($B2284="",NOT(ISNUMBER($D2284))),"",IF(AND($E2284&lt;$D$2,$G2284&lt;&gt;"X",$F2284&lt;&gt;"Réalisé",$F2284&lt;&gt;"Clôturé"),"RETARD",""))</f>
        <v/>
      </c>
      <c r="L2284">
        <f>IF(OR($B2284="",NOT(ISNUMBER($D2284))),"",IF(AND($D2284&gt;=$D$2,$D2284&lt;=$H$2,$G2284&lt;&gt;"X",$F2284&lt;&gt;"Réalisé",$F2284&lt;&gt;"Clôturé"),"≤ 7 j",""))</f>
        <v/>
      </c>
      <c r="M2284" s="29">
        <f>IF($B2284="","",IFERROR(INDEX($T$4:$T$3183,MATCH(SMALL($V$4:$V$3183,2281),$V$4:$V$3183,0)),""))</f>
        <v/>
      </c>
      <c r="O2284">
        <f>IF(INDEX(Suivi!$B:$B,2328)="","",INDEX(Suivi!$B:$B,2328))</f>
        <v/>
      </c>
      <c r="P2284">
        <f>IF($O2284="","",IF(INDEX(Suivi!$D:$D,2328)="",INDEX(Suivi!$C:$C,2328),INDEX(Suivi!$D:$D,2328)))</f>
        <v/>
      </c>
      <c r="Q2284">
        <f>IF($O2284="","",INDEX(Suivi!$E:$E,2328))</f>
        <v/>
      </c>
      <c r="R2284">
        <f>IF($O2284="","",INDEX(Suivi!$F:$F,2328))</f>
        <v/>
      </c>
      <c r="S2284">
        <f>IF($O2284="","",INDEX(Suivi!$G:$G,2328))</f>
        <v/>
      </c>
      <c r="T2284">
        <f>IF($O2284="","",IF(INDEX(Dossiers!$F$4:$F$63,44)="","",INDEX(Dossiers!$F$4:$F$63,44)))</f>
        <v/>
      </c>
      <c r="U2284">
        <f>IF($O2284="","",IF(INDEX(Dossiers!$G$4:$G$63,44)="","",INDEX(Dossiers!$G$4:$G$63,44)))</f>
        <v/>
      </c>
      <c r="V2284">
        <f>IF(OR($O2284="",NOT(ISNUMBER($Q2284))),"",$Q2284*1000000+2284)</f>
        <v/>
      </c>
      <c r="W2284" s="29">
        <f>IF($B2284="","",IFERROR(INDEX($U$4:$U$3183,MATCH(SMALL($V$4:$V$3183,2281),$V$4:$V$3183,0)),""))</f>
        <v/>
      </c>
    </row>
    <row r="2285">
      <c r="A2285">
        <f>IFERROR(INDEX($N$4:$N$3183,MATCH(SMALL($V$4:$V$3183,2282),$V$4:$V$3183,0)),"")</f>
        <v/>
      </c>
      <c r="B2285">
        <f>IFERROR(INDEX($O$4:$O$3183,MATCH(SMALL($V$4:$V$3183,2282),$V$4:$V$3183,0)),"")</f>
        <v/>
      </c>
      <c r="C2285">
        <f>IFERROR(INDEX($P$4:$P$3183,MATCH(SMALL($V$4:$V$3183,2282),$V$4:$V$3183,0)),"")</f>
        <v/>
      </c>
      <c r="D2285" s="29">
        <f>IFERROR(INDEX($Q$4:$Q$3183,MATCH(SMALL($V$4:$V$3183,2282),$V$4:$V$3183,0)),"")</f>
        <v/>
      </c>
      <c r="E2285" s="29">
        <f>IFERROR(INDEX($R$4:$R$3183,MATCH(SMALL($V$4:$V$3183,2282),$V$4:$V$3183,0)),"")</f>
        <v/>
      </c>
      <c r="F2285">
        <f>IFERROR(INDEX($S$4:$S$3183,MATCH(SMALL($V$4:$V$3183,2282),$V$4:$V$3183,0)),"")</f>
        <v/>
      </c>
      <c r="I2285" s="29">
        <f>IF($B2285="","",IFERROR(INDEX($U$4:$U$3183,MATCH(SMALL($V$4:$V$3183,2282),$V$4:$V$3183,0)),""))</f>
        <v/>
      </c>
      <c r="J2285">
        <f>IF($B2285="","",IF($D2285&gt;$F$2,"À venir",IF($E2285&lt;$D$2,"Passé","Dans la période")))</f>
        <v/>
      </c>
      <c r="K2285">
        <f>IF(OR($B2285="",NOT(ISNUMBER($D2285))),"",IF(AND($E2285&lt;$D$2,$G2285&lt;&gt;"X",$F2285&lt;&gt;"Réalisé",$F2285&lt;&gt;"Clôturé"),"RETARD",""))</f>
        <v/>
      </c>
      <c r="L2285">
        <f>IF(OR($B2285="",NOT(ISNUMBER($D2285))),"",IF(AND($D2285&gt;=$D$2,$D2285&lt;=$H$2,$G2285&lt;&gt;"X",$F2285&lt;&gt;"Réalisé",$F2285&lt;&gt;"Clôturé"),"≤ 7 j",""))</f>
        <v/>
      </c>
      <c r="M2285" s="29">
        <f>IF($B2285="","",IFERROR(INDEX($T$4:$T$3183,MATCH(SMALL($V$4:$V$3183,2282),$V$4:$V$3183,0)),""))</f>
        <v/>
      </c>
      <c r="O2285">
        <f>IF(INDEX(Suivi!$B:$B,2329)="","",INDEX(Suivi!$B:$B,2329))</f>
        <v/>
      </c>
      <c r="P2285">
        <f>IF($O2285="","",IF(INDEX(Suivi!$D:$D,2329)="",INDEX(Suivi!$C:$C,2329),INDEX(Suivi!$D:$D,2329)))</f>
        <v/>
      </c>
      <c r="Q2285">
        <f>IF($O2285="","",INDEX(Suivi!$E:$E,2329))</f>
        <v/>
      </c>
      <c r="R2285">
        <f>IF($O2285="","",INDEX(Suivi!$F:$F,2329))</f>
        <v/>
      </c>
      <c r="S2285">
        <f>IF($O2285="","",INDEX(Suivi!$G:$G,2329))</f>
        <v/>
      </c>
      <c r="T2285">
        <f>IF($O2285="","",IF(INDEX(Dossiers!$F$4:$F$63,44)="","",INDEX(Dossiers!$F$4:$F$63,44)))</f>
        <v/>
      </c>
      <c r="U2285">
        <f>IF($O2285="","",IF(INDEX(Dossiers!$G$4:$G$63,44)="","",INDEX(Dossiers!$G$4:$G$63,44)))</f>
        <v/>
      </c>
      <c r="V2285">
        <f>IF(OR($O2285="",NOT(ISNUMBER($Q2285))),"",$Q2285*1000000+2285)</f>
        <v/>
      </c>
      <c r="W2285" s="29">
        <f>IF($B2285="","",IFERROR(INDEX($U$4:$U$3183,MATCH(SMALL($V$4:$V$3183,2282),$V$4:$V$3183,0)),""))</f>
        <v/>
      </c>
    </row>
    <row r="2286">
      <c r="A2286">
        <f>IFERROR(INDEX($N$4:$N$3183,MATCH(SMALL($V$4:$V$3183,2283),$V$4:$V$3183,0)),"")</f>
        <v/>
      </c>
      <c r="B2286">
        <f>IFERROR(INDEX($O$4:$O$3183,MATCH(SMALL($V$4:$V$3183,2283),$V$4:$V$3183,0)),"")</f>
        <v/>
      </c>
      <c r="C2286">
        <f>IFERROR(INDEX($P$4:$P$3183,MATCH(SMALL($V$4:$V$3183,2283),$V$4:$V$3183,0)),"")</f>
        <v/>
      </c>
      <c r="D2286" s="29">
        <f>IFERROR(INDEX($Q$4:$Q$3183,MATCH(SMALL($V$4:$V$3183,2283),$V$4:$V$3183,0)),"")</f>
        <v/>
      </c>
      <c r="E2286" s="29">
        <f>IFERROR(INDEX($R$4:$R$3183,MATCH(SMALL($V$4:$V$3183,2283),$V$4:$V$3183,0)),"")</f>
        <v/>
      </c>
      <c r="F2286">
        <f>IFERROR(INDEX($S$4:$S$3183,MATCH(SMALL($V$4:$V$3183,2283),$V$4:$V$3183,0)),"")</f>
        <v/>
      </c>
      <c r="I2286" s="29">
        <f>IF($B2286="","",IFERROR(INDEX($U$4:$U$3183,MATCH(SMALL($V$4:$V$3183,2283),$V$4:$V$3183,0)),""))</f>
        <v/>
      </c>
      <c r="J2286">
        <f>IF($B2286="","",IF($D2286&gt;$F$2,"À venir",IF($E2286&lt;$D$2,"Passé","Dans la période")))</f>
        <v/>
      </c>
      <c r="K2286">
        <f>IF(OR($B2286="",NOT(ISNUMBER($D2286))),"",IF(AND($E2286&lt;$D$2,$G2286&lt;&gt;"X",$F2286&lt;&gt;"Réalisé",$F2286&lt;&gt;"Clôturé"),"RETARD",""))</f>
        <v/>
      </c>
      <c r="L2286">
        <f>IF(OR($B2286="",NOT(ISNUMBER($D2286))),"",IF(AND($D2286&gt;=$D$2,$D2286&lt;=$H$2,$G2286&lt;&gt;"X",$F2286&lt;&gt;"Réalisé",$F2286&lt;&gt;"Clôturé"),"≤ 7 j",""))</f>
        <v/>
      </c>
      <c r="M2286" s="29">
        <f>IF($B2286="","",IFERROR(INDEX($T$4:$T$3183,MATCH(SMALL($V$4:$V$3183,2283),$V$4:$V$3183,0)),""))</f>
        <v/>
      </c>
      <c r="O2286">
        <f>IF(INDEX(Suivi!$B:$B,2330)="","",INDEX(Suivi!$B:$B,2330))</f>
        <v/>
      </c>
      <c r="P2286">
        <f>IF($O2286="","",IF(INDEX(Suivi!$D:$D,2330)="",INDEX(Suivi!$C:$C,2330),INDEX(Suivi!$D:$D,2330)))</f>
        <v/>
      </c>
      <c r="Q2286">
        <f>IF($O2286="","",INDEX(Suivi!$E:$E,2330))</f>
        <v/>
      </c>
      <c r="R2286">
        <f>IF($O2286="","",INDEX(Suivi!$F:$F,2330))</f>
        <v/>
      </c>
      <c r="S2286">
        <f>IF($O2286="","",INDEX(Suivi!$G:$G,2330))</f>
        <v/>
      </c>
      <c r="T2286">
        <f>IF($O2286="","",IF(INDEX(Dossiers!$F$4:$F$63,44)="","",INDEX(Dossiers!$F$4:$F$63,44)))</f>
        <v/>
      </c>
      <c r="U2286">
        <f>IF($O2286="","",IF(INDEX(Dossiers!$G$4:$G$63,44)="","",INDEX(Dossiers!$G$4:$G$63,44)))</f>
        <v/>
      </c>
      <c r="V2286">
        <f>IF(OR($O2286="",NOT(ISNUMBER($Q2286))),"",$Q2286*1000000+2286)</f>
        <v/>
      </c>
      <c r="W2286" s="29">
        <f>IF($B2286="","",IFERROR(INDEX($U$4:$U$3183,MATCH(SMALL($V$4:$V$3183,2283),$V$4:$V$3183,0)),""))</f>
        <v/>
      </c>
    </row>
    <row r="2287">
      <c r="A2287">
        <f>IFERROR(INDEX($N$4:$N$3183,MATCH(SMALL($V$4:$V$3183,2284),$V$4:$V$3183,0)),"")</f>
        <v/>
      </c>
      <c r="B2287">
        <f>IFERROR(INDEX($O$4:$O$3183,MATCH(SMALL($V$4:$V$3183,2284),$V$4:$V$3183,0)),"")</f>
        <v/>
      </c>
      <c r="C2287">
        <f>IFERROR(INDEX($P$4:$P$3183,MATCH(SMALL($V$4:$V$3183,2284),$V$4:$V$3183,0)),"")</f>
        <v/>
      </c>
      <c r="D2287" s="29">
        <f>IFERROR(INDEX($Q$4:$Q$3183,MATCH(SMALL($V$4:$V$3183,2284),$V$4:$V$3183,0)),"")</f>
        <v/>
      </c>
      <c r="E2287" s="29">
        <f>IFERROR(INDEX($R$4:$R$3183,MATCH(SMALL($V$4:$V$3183,2284),$V$4:$V$3183,0)),"")</f>
        <v/>
      </c>
      <c r="F2287">
        <f>IFERROR(INDEX($S$4:$S$3183,MATCH(SMALL($V$4:$V$3183,2284),$V$4:$V$3183,0)),"")</f>
        <v/>
      </c>
      <c r="I2287" s="29">
        <f>IF($B2287="","",IFERROR(INDEX($U$4:$U$3183,MATCH(SMALL($V$4:$V$3183,2284),$V$4:$V$3183,0)),""))</f>
        <v/>
      </c>
      <c r="J2287">
        <f>IF($B2287="","",IF($D2287&gt;$F$2,"À venir",IF($E2287&lt;$D$2,"Passé","Dans la période")))</f>
        <v/>
      </c>
      <c r="K2287">
        <f>IF(OR($B2287="",NOT(ISNUMBER($D2287))),"",IF(AND($E2287&lt;$D$2,$G2287&lt;&gt;"X",$F2287&lt;&gt;"Réalisé",$F2287&lt;&gt;"Clôturé"),"RETARD",""))</f>
        <v/>
      </c>
      <c r="L2287">
        <f>IF(OR($B2287="",NOT(ISNUMBER($D2287))),"",IF(AND($D2287&gt;=$D$2,$D2287&lt;=$H$2,$G2287&lt;&gt;"X",$F2287&lt;&gt;"Réalisé",$F2287&lt;&gt;"Clôturé"),"≤ 7 j",""))</f>
        <v/>
      </c>
      <c r="M2287" s="29">
        <f>IF($B2287="","",IFERROR(INDEX($T$4:$T$3183,MATCH(SMALL($V$4:$V$3183,2284),$V$4:$V$3183,0)),""))</f>
        <v/>
      </c>
      <c r="O2287">
        <f>IF(INDEX(Suivi!$B:$B,2331)="","",INDEX(Suivi!$B:$B,2331))</f>
        <v/>
      </c>
      <c r="P2287">
        <f>IF($O2287="","",IF(INDEX(Suivi!$D:$D,2331)="",INDEX(Suivi!$C:$C,2331),INDEX(Suivi!$D:$D,2331)))</f>
        <v/>
      </c>
      <c r="Q2287">
        <f>IF($O2287="","",INDEX(Suivi!$E:$E,2331))</f>
        <v/>
      </c>
      <c r="R2287">
        <f>IF($O2287="","",INDEX(Suivi!$F:$F,2331))</f>
        <v/>
      </c>
      <c r="S2287">
        <f>IF($O2287="","",INDEX(Suivi!$G:$G,2331))</f>
        <v/>
      </c>
      <c r="T2287">
        <f>IF($O2287="","",IF(INDEX(Dossiers!$F$4:$F$63,44)="","",INDEX(Dossiers!$F$4:$F$63,44)))</f>
        <v/>
      </c>
      <c r="U2287">
        <f>IF($O2287="","",IF(INDEX(Dossiers!$G$4:$G$63,44)="","",INDEX(Dossiers!$G$4:$G$63,44)))</f>
        <v/>
      </c>
      <c r="V2287">
        <f>IF(OR($O2287="",NOT(ISNUMBER($Q2287))),"",$Q2287*1000000+2287)</f>
        <v/>
      </c>
      <c r="W2287" s="29">
        <f>IF($B2287="","",IFERROR(INDEX($U$4:$U$3183,MATCH(SMALL($V$4:$V$3183,2284),$V$4:$V$3183,0)),""))</f>
        <v/>
      </c>
    </row>
    <row r="2288">
      <c r="A2288">
        <f>IFERROR(INDEX($N$4:$N$3183,MATCH(SMALL($V$4:$V$3183,2285),$V$4:$V$3183,0)),"")</f>
        <v/>
      </c>
      <c r="B2288">
        <f>IFERROR(INDEX($O$4:$O$3183,MATCH(SMALL($V$4:$V$3183,2285),$V$4:$V$3183,0)),"")</f>
        <v/>
      </c>
      <c r="C2288">
        <f>IFERROR(INDEX($P$4:$P$3183,MATCH(SMALL($V$4:$V$3183,2285),$V$4:$V$3183,0)),"")</f>
        <v/>
      </c>
      <c r="D2288" s="29">
        <f>IFERROR(INDEX($Q$4:$Q$3183,MATCH(SMALL($V$4:$V$3183,2285),$V$4:$V$3183,0)),"")</f>
        <v/>
      </c>
      <c r="E2288" s="29">
        <f>IFERROR(INDEX($R$4:$R$3183,MATCH(SMALL($V$4:$V$3183,2285),$V$4:$V$3183,0)),"")</f>
        <v/>
      </c>
      <c r="F2288">
        <f>IFERROR(INDEX($S$4:$S$3183,MATCH(SMALL($V$4:$V$3183,2285),$V$4:$V$3183,0)),"")</f>
        <v/>
      </c>
      <c r="I2288" s="29">
        <f>IF($B2288="","",IFERROR(INDEX($U$4:$U$3183,MATCH(SMALL($V$4:$V$3183,2285),$V$4:$V$3183,0)),""))</f>
        <v/>
      </c>
      <c r="J2288">
        <f>IF($B2288="","",IF($D2288&gt;$F$2,"À venir",IF($E2288&lt;$D$2,"Passé","Dans la période")))</f>
        <v/>
      </c>
      <c r="K2288">
        <f>IF(OR($B2288="",NOT(ISNUMBER($D2288))),"",IF(AND($E2288&lt;$D$2,$G2288&lt;&gt;"X",$F2288&lt;&gt;"Réalisé",$F2288&lt;&gt;"Clôturé"),"RETARD",""))</f>
        <v/>
      </c>
      <c r="L2288">
        <f>IF(OR($B2288="",NOT(ISNUMBER($D2288))),"",IF(AND($D2288&gt;=$D$2,$D2288&lt;=$H$2,$G2288&lt;&gt;"X",$F2288&lt;&gt;"Réalisé",$F2288&lt;&gt;"Clôturé"),"≤ 7 j",""))</f>
        <v/>
      </c>
      <c r="M2288" s="29">
        <f>IF($B2288="","",IFERROR(INDEX($T$4:$T$3183,MATCH(SMALL($V$4:$V$3183,2285),$V$4:$V$3183,0)),""))</f>
        <v/>
      </c>
      <c r="O2288">
        <f>IF(INDEX(Suivi!$B:$B,2332)="","",INDEX(Suivi!$B:$B,2332))</f>
        <v/>
      </c>
      <c r="P2288">
        <f>IF($O2288="","",IF(INDEX(Suivi!$D:$D,2332)="",INDEX(Suivi!$C:$C,2332),INDEX(Suivi!$D:$D,2332)))</f>
        <v/>
      </c>
      <c r="Q2288">
        <f>IF($O2288="","",INDEX(Suivi!$E:$E,2332))</f>
        <v/>
      </c>
      <c r="R2288">
        <f>IF($O2288="","",INDEX(Suivi!$F:$F,2332))</f>
        <v/>
      </c>
      <c r="S2288">
        <f>IF($O2288="","",INDEX(Suivi!$G:$G,2332))</f>
        <v/>
      </c>
      <c r="T2288">
        <f>IF($O2288="","",IF(INDEX(Dossiers!$F$4:$F$63,44)="","",INDEX(Dossiers!$F$4:$F$63,44)))</f>
        <v/>
      </c>
      <c r="U2288">
        <f>IF($O2288="","",IF(INDEX(Dossiers!$G$4:$G$63,44)="","",INDEX(Dossiers!$G$4:$G$63,44)))</f>
        <v/>
      </c>
      <c r="V2288">
        <f>IF(OR($O2288="",NOT(ISNUMBER($Q2288))),"",$Q2288*1000000+2288)</f>
        <v/>
      </c>
      <c r="W2288" s="29">
        <f>IF($B2288="","",IFERROR(INDEX($U$4:$U$3183,MATCH(SMALL($V$4:$V$3183,2285),$V$4:$V$3183,0)),""))</f>
        <v/>
      </c>
    </row>
    <row r="2289">
      <c r="A2289">
        <f>IFERROR(INDEX($N$4:$N$3183,MATCH(SMALL($V$4:$V$3183,2286),$V$4:$V$3183,0)),"")</f>
        <v/>
      </c>
      <c r="B2289">
        <f>IFERROR(INDEX($O$4:$O$3183,MATCH(SMALL($V$4:$V$3183,2286),$V$4:$V$3183,0)),"")</f>
        <v/>
      </c>
      <c r="C2289">
        <f>IFERROR(INDEX($P$4:$P$3183,MATCH(SMALL($V$4:$V$3183,2286),$V$4:$V$3183,0)),"")</f>
        <v/>
      </c>
      <c r="D2289" s="29">
        <f>IFERROR(INDEX($Q$4:$Q$3183,MATCH(SMALL($V$4:$V$3183,2286),$V$4:$V$3183,0)),"")</f>
        <v/>
      </c>
      <c r="E2289" s="29">
        <f>IFERROR(INDEX($R$4:$R$3183,MATCH(SMALL($V$4:$V$3183,2286),$V$4:$V$3183,0)),"")</f>
        <v/>
      </c>
      <c r="F2289">
        <f>IFERROR(INDEX($S$4:$S$3183,MATCH(SMALL($V$4:$V$3183,2286),$V$4:$V$3183,0)),"")</f>
        <v/>
      </c>
      <c r="I2289" s="29">
        <f>IF($B2289="","",IFERROR(INDEX($U$4:$U$3183,MATCH(SMALL($V$4:$V$3183,2286),$V$4:$V$3183,0)),""))</f>
        <v/>
      </c>
      <c r="J2289">
        <f>IF($B2289="","",IF($D2289&gt;$F$2,"À venir",IF($E2289&lt;$D$2,"Passé","Dans la période")))</f>
        <v/>
      </c>
      <c r="K2289">
        <f>IF(OR($B2289="",NOT(ISNUMBER($D2289))),"",IF(AND($E2289&lt;$D$2,$G2289&lt;&gt;"X",$F2289&lt;&gt;"Réalisé",$F2289&lt;&gt;"Clôturé"),"RETARD",""))</f>
        <v/>
      </c>
      <c r="L2289">
        <f>IF(OR($B2289="",NOT(ISNUMBER($D2289))),"",IF(AND($D2289&gt;=$D$2,$D2289&lt;=$H$2,$G2289&lt;&gt;"X",$F2289&lt;&gt;"Réalisé",$F2289&lt;&gt;"Clôturé"),"≤ 7 j",""))</f>
        <v/>
      </c>
      <c r="M2289" s="29">
        <f>IF($B2289="","",IFERROR(INDEX($T$4:$T$3183,MATCH(SMALL($V$4:$V$3183,2286),$V$4:$V$3183,0)),""))</f>
        <v/>
      </c>
      <c r="O2289">
        <f>IF(INDEX(Suivi!$B:$B,2333)="","",INDEX(Suivi!$B:$B,2333))</f>
        <v/>
      </c>
      <c r="P2289">
        <f>IF($O2289="","",IF(INDEX(Suivi!$D:$D,2333)="",INDEX(Suivi!$C:$C,2333),INDEX(Suivi!$D:$D,2333)))</f>
        <v/>
      </c>
      <c r="Q2289">
        <f>IF($O2289="","",INDEX(Suivi!$E:$E,2333))</f>
        <v/>
      </c>
      <c r="R2289">
        <f>IF($O2289="","",INDEX(Suivi!$F:$F,2333))</f>
        <v/>
      </c>
      <c r="S2289">
        <f>IF($O2289="","",INDEX(Suivi!$G:$G,2333))</f>
        <v/>
      </c>
      <c r="T2289">
        <f>IF($O2289="","",IF(INDEX(Dossiers!$F$4:$F$63,44)="","",INDEX(Dossiers!$F$4:$F$63,44)))</f>
        <v/>
      </c>
      <c r="U2289">
        <f>IF($O2289="","",IF(INDEX(Dossiers!$G$4:$G$63,44)="","",INDEX(Dossiers!$G$4:$G$63,44)))</f>
        <v/>
      </c>
      <c r="V2289">
        <f>IF(OR($O2289="",NOT(ISNUMBER($Q2289))),"",$Q2289*1000000+2289)</f>
        <v/>
      </c>
      <c r="W2289" s="29">
        <f>IF($B2289="","",IFERROR(INDEX($U$4:$U$3183,MATCH(SMALL($V$4:$V$3183,2286),$V$4:$V$3183,0)),""))</f>
        <v/>
      </c>
    </row>
    <row r="2290">
      <c r="A2290">
        <f>IFERROR(INDEX($N$4:$N$3183,MATCH(SMALL($V$4:$V$3183,2287),$V$4:$V$3183,0)),"")</f>
        <v/>
      </c>
      <c r="B2290">
        <f>IFERROR(INDEX($O$4:$O$3183,MATCH(SMALL($V$4:$V$3183,2287),$V$4:$V$3183,0)),"")</f>
        <v/>
      </c>
      <c r="C2290">
        <f>IFERROR(INDEX($P$4:$P$3183,MATCH(SMALL($V$4:$V$3183,2287),$V$4:$V$3183,0)),"")</f>
        <v/>
      </c>
      <c r="D2290" s="29">
        <f>IFERROR(INDEX($Q$4:$Q$3183,MATCH(SMALL($V$4:$V$3183,2287),$V$4:$V$3183,0)),"")</f>
        <v/>
      </c>
      <c r="E2290" s="29">
        <f>IFERROR(INDEX($R$4:$R$3183,MATCH(SMALL($V$4:$V$3183,2287),$V$4:$V$3183,0)),"")</f>
        <v/>
      </c>
      <c r="F2290">
        <f>IFERROR(INDEX($S$4:$S$3183,MATCH(SMALL($V$4:$V$3183,2287),$V$4:$V$3183,0)),"")</f>
        <v/>
      </c>
      <c r="I2290" s="29">
        <f>IF($B2290="","",IFERROR(INDEX($U$4:$U$3183,MATCH(SMALL($V$4:$V$3183,2287),$V$4:$V$3183,0)),""))</f>
        <v/>
      </c>
      <c r="J2290">
        <f>IF($B2290="","",IF($D2290&gt;$F$2,"À venir",IF($E2290&lt;$D$2,"Passé","Dans la période")))</f>
        <v/>
      </c>
      <c r="K2290">
        <f>IF(OR($B2290="",NOT(ISNUMBER($D2290))),"",IF(AND($E2290&lt;$D$2,$G2290&lt;&gt;"X",$F2290&lt;&gt;"Réalisé",$F2290&lt;&gt;"Clôturé"),"RETARD",""))</f>
        <v/>
      </c>
      <c r="L2290">
        <f>IF(OR($B2290="",NOT(ISNUMBER($D2290))),"",IF(AND($D2290&gt;=$D$2,$D2290&lt;=$H$2,$G2290&lt;&gt;"X",$F2290&lt;&gt;"Réalisé",$F2290&lt;&gt;"Clôturé"),"≤ 7 j",""))</f>
        <v/>
      </c>
      <c r="M2290" s="29">
        <f>IF($B2290="","",IFERROR(INDEX($T$4:$T$3183,MATCH(SMALL($V$4:$V$3183,2287),$V$4:$V$3183,0)),""))</f>
        <v/>
      </c>
      <c r="O2290">
        <f>IF(INDEX(Suivi!$B:$B,2334)="","",INDEX(Suivi!$B:$B,2334))</f>
        <v/>
      </c>
      <c r="P2290">
        <f>IF($O2290="","",IF(INDEX(Suivi!$D:$D,2334)="",INDEX(Suivi!$C:$C,2334),INDEX(Suivi!$D:$D,2334)))</f>
        <v/>
      </c>
      <c r="Q2290">
        <f>IF($O2290="","",INDEX(Suivi!$E:$E,2334))</f>
        <v/>
      </c>
      <c r="R2290">
        <f>IF($O2290="","",INDEX(Suivi!$F:$F,2334))</f>
        <v/>
      </c>
      <c r="S2290">
        <f>IF($O2290="","",INDEX(Suivi!$G:$G,2334))</f>
        <v/>
      </c>
      <c r="T2290">
        <f>IF($O2290="","",IF(INDEX(Dossiers!$F$4:$F$63,44)="","",INDEX(Dossiers!$F$4:$F$63,44)))</f>
        <v/>
      </c>
      <c r="U2290">
        <f>IF($O2290="","",IF(INDEX(Dossiers!$G$4:$G$63,44)="","",INDEX(Dossiers!$G$4:$G$63,44)))</f>
        <v/>
      </c>
      <c r="V2290">
        <f>IF(OR($O2290="",NOT(ISNUMBER($Q2290))),"",$Q2290*1000000+2290)</f>
        <v/>
      </c>
      <c r="W2290" s="29">
        <f>IF($B2290="","",IFERROR(INDEX($U$4:$U$3183,MATCH(SMALL($V$4:$V$3183,2287),$V$4:$V$3183,0)),""))</f>
        <v/>
      </c>
    </row>
    <row r="2291">
      <c r="A2291">
        <f>IFERROR(INDEX($N$4:$N$3183,MATCH(SMALL($V$4:$V$3183,2288),$V$4:$V$3183,0)),"")</f>
        <v/>
      </c>
      <c r="B2291">
        <f>IFERROR(INDEX($O$4:$O$3183,MATCH(SMALL($V$4:$V$3183,2288),$V$4:$V$3183,0)),"")</f>
        <v/>
      </c>
      <c r="C2291">
        <f>IFERROR(INDEX($P$4:$P$3183,MATCH(SMALL($V$4:$V$3183,2288),$V$4:$V$3183,0)),"")</f>
        <v/>
      </c>
      <c r="D2291" s="29">
        <f>IFERROR(INDEX($Q$4:$Q$3183,MATCH(SMALL($V$4:$V$3183,2288),$V$4:$V$3183,0)),"")</f>
        <v/>
      </c>
      <c r="E2291" s="29">
        <f>IFERROR(INDEX($R$4:$R$3183,MATCH(SMALL($V$4:$V$3183,2288),$V$4:$V$3183,0)),"")</f>
        <v/>
      </c>
      <c r="F2291">
        <f>IFERROR(INDEX($S$4:$S$3183,MATCH(SMALL($V$4:$V$3183,2288),$V$4:$V$3183,0)),"")</f>
        <v/>
      </c>
      <c r="I2291" s="29">
        <f>IF($B2291="","",IFERROR(INDEX($U$4:$U$3183,MATCH(SMALL($V$4:$V$3183,2288),$V$4:$V$3183,0)),""))</f>
        <v/>
      </c>
      <c r="J2291">
        <f>IF($B2291="","",IF($D2291&gt;$F$2,"À venir",IF($E2291&lt;$D$2,"Passé","Dans la période")))</f>
        <v/>
      </c>
      <c r="K2291">
        <f>IF(OR($B2291="",NOT(ISNUMBER($D2291))),"",IF(AND($E2291&lt;$D$2,$G2291&lt;&gt;"X",$F2291&lt;&gt;"Réalisé",$F2291&lt;&gt;"Clôturé"),"RETARD",""))</f>
        <v/>
      </c>
      <c r="L2291">
        <f>IF(OR($B2291="",NOT(ISNUMBER($D2291))),"",IF(AND($D2291&gt;=$D$2,$D2291&lt;=$H$2,$G2291&lt;&gt;"X",$F2291&lt;&gt;"Réalisé",$F2291&lt;&gt;"Clôturé"),"≤ 7 j",""))</f>
        <v/>
      </c>
      <c r="M2291" s="29">
        <f>IF($B2291="","",IFERROR(INDEX($T$4:$T$3183,MATCH(SMALL($V$4:$V$3183,2288),$V$4:$V$3183,0)),""))</f>
        <v/>
      </c>
      <c r="O2291">
        <f>IF(INDEX(Suivi!$B:$B,2335)="","",INDEX(Suivi!$B:$B,2335))</f>
        <v/>
      </c>
      <c r="P2291">
        <f>IF($O2291="","",IF(INDEX(Suivi!$D:$D,2335)="",INDEX(Suivi!$C:$C,2335),INDEX(Suivi!$D:$D,2335)))</f>
        <v/>
      </c>
      <c r="Q2291">
        <f>IF($O2291="","",INDEX(Suivi!$E:$E,2335))</f>
        <v/>
      </c>
      <c r="R2291">
        <f>IF($O2291="","",INDEX(Suivi!$F:$F,2335))</f>
        <v/>
      </c>
      <c r="S2291">
        <f>IF($O2291="","",INDEX(Suivi!$G:$G,2335))</f>
        <v/>
      </c>
      <c r="T2291">
        <f>IF($O2291="","",IF(INDEX(Dossiers!$F$4:$F$63,44)="","",INDEX(Dossiers!$F$4:$F$63,44)))</f>
        <v/>
      </c>
      <c r="U2291">
        <f>IF($O2291="","",IF(INDEX(Dossiers!$G$4:$G$63,44)="","",INDEX(Dossiers!$G$4:$G$63,44)))</f>
        <v/>
      </c>
      <c r="V2291">
        <f>IF(OR($O2291="",NOT(ISNUMBER($Q2291))),"",$Q2291*1000000+2291)</f>
        <v/>
      </c>
      <c r="W2291" s="29">
        <f>IF($B2291="","",IFERROR(INDEX($U$4:$U$3183,MATCH(SMALL($V$4:$V$3183,2288),$V$4:$V$3183,0)),""))</f>
        <v/>
      </c>
    </row>
    <row r="2292">
      <c r="A2292">
        <f>IFERROR(INDEX($N$4:$N$3183,MATCH(SMALL($V$4:$V$3183,2289),$V$4:$V$3183,0)),"")</f>
        <v/>
      </c>
      <c r="B2292">
        <f>IFERROR(INDEX($O$4:$O$3183,MATCH(SMALL($V$4:$V$3183,2289),$V$4:$V$3183,0)),"")</f>
        <v/>
      </c>
      <c r="C2292">
        <f>IFERROR(INDEX($P$4:$P$3183,MATCH(SMALL($V$4:$V$3183,2289),$V$4:$V$3183,0)),"")</f>
        <v/>
      </c>
      <c r="D2292" s="29">
        <f>IFERROR(INDEX($Q$4:$Q$3183,MATCH(SMALL($V$4:$V$3183,2289),$V$4:$V$3183,0)),"")</f>
        <v/>
      </c>
      <c r="E2292" s="29">
        <f>IFERROR(INDEX($R$4:$R$3183,MATCH(SMALL($V$4:$V$3183,2289),$V$4:$V$3183,0)),"")</f>
        <v/>
      </c>
      <c r="F2292">
        <f>IFERROR(INDEX($S$4:$S$3183,MATCH(SMALL($V$4:$V$3183,2289),$V$4:$V$3183,0)),"")</f>
        <v/>
      </c>
      <c r="I2292" s="29">
        <f>IF($B2292="","",IFERROR(INDEX($U$4:$U$3183,MATCH(SMALL($V$4:$V$3183,2289),$V$4:$V$3183,0)),""))</f>
        <v/>
      </c>
      <c r="J2292">
        <f>IF($B2292="","",IF($D2292&gt;$F$2,"À venir",IF($E2292&lt;$D$2,"Passé","Dans la période")))</f>
        <v/>
      </c>
      <c r="K2292">
        <f>IF(OR($B2292="",NOT(ISNUMBER($D2292))),"",IF(AND($E2292&lt;$D$2,$G2292&lt;&gt;"X",$F2292&lt;&gt;"Réalisé",$F2292&lt;&gt;"Clôturé"),"RETARD",""))</f>
        <v/>
      </c>
      <c r="L2292">
        <f>IF(OR($B2292="",NOT(ISNUMBER($D2292))),"",IF(AND($D2292&gt;=$D$2,$D2292&lt;=$H$2,$G2292&lt;&gt;"X",$F2292&lt;&gt;"Réalisé",$F2292&lt;&gt;"Clôturé"),"≤ 7 j",""))</f>
        <v/>
      </c>
      <c r="M2292" s="29">
        <f>IF($B2292="","",IFERROR(INDEX($T$4:$T$3183,MATCH(SMALL($V$4:$V$3183,2289),$V$4:$V$3183,0)),""))</f>
        <v/>
      </c>
      <c r="O2292">
        <f>IF(INDEX(Suivi!$B:$B,2336)="","",INDEX(Suivi!$B:$B,2336))</f>
        <v/>
      </c>
      <c r="P2292">
        <f>IF($O2292="","",IF(INDEX(Suivi!$D:$D,2336)="",INDEX(Suivi!$C:$C,2336),INDEX(Suivi!$D:$D,2336)))</f>
        <v/>
      </c>
      <c r="Q2292">
        <f>IF($O2292="","",INDEX(Suivi!$E:$E,2336))</f>
        <v/>
      </c>
      <c r="R2292">
        <f>IF($O2292="","",INDEX(Suivi!$F:$F,2336))</f>
        <v/>
      </c>
      <c r="S2292">
        <f>IF($O2292="","",INDEX(Suivi!$G:$G,2336))</f>
        <v/>
      </c>
      <c r="T2292">
        <f>IF($O2292="","",IF(INDEX(Dossiers!$F$4:$F$63,44)="","",INDEX(Dossiers!$F$4:$F$63,44)))</f>
        <v/>
      </c>
      <c r="U2292">
        <f>IF($O2292="","",IF(INDEX(Dossiers!$G$4:$G$63,44)="","",INDEX(Dossiers!$G$4:$G$63,44)))</f>
        <v/>
      </c>
      <c r="V2292">
        <f>IF(OR($O2292="",NOT(ISNUMBER($Q2292))),"",$Q2292*1000000+2292)</f>
        <v/>
      </c>
      <c r="W2292" s="29">
        <f>IF($B2292="","",IFERROR(INDEX($U$4:$U$3183,MATCH(SMALL($V$4:$V$3183,2289),$V$4:$V$3183,0)),""))</f>
        <v/>
      </c>
    </row>
    <row r="2293">
      <c r="A2293">
        <f>IFERROR(INDEX($N$4:$N$3183,MATCH(SMALL($V$4:$V$3183,2290),$V$4:$V$3183,0)),"")</f>
        <v/>
      </c>
      <c r="B2293">
        <f>IFERROR(INDEX($O$4:$O$3183,MATCH(SMALL($V$4:$V$3183,2290),$V$4:$V$3183,0)),"")</f>
        <v/>
      </c>
      <c r="C2293">
        <f>IFERROR(INDEX($P$4:$P$3183,MATCH(SMALL($V$4:$V$3183,2290),$V$4:$V$3183,0)),"")</f>
        <v/>
      </c>
      <c r="D2293" s="29">
        <f>IFERROR(INDEX($Q$4:$Q$3183,MATCH(SMALL($V$4:$V$3183,2290),$V$4:$V$3183,0)),"")</f>
        <v/>
      </c>
      <c r="E2293" s="29">
        <f>IFERROR(INDEX($R$4:$R$3183,MATCH(SMALL($V$4:$V$3183,2290),$V$4:$V$3183,0)),"")</f>
        <v/>
      </c>
      <c r="F2293">
        <f>IFERROR(INDEX($S$4:$S$3183,MATCH(SMALL($V$4:$V$3183,2290),$V$4:$V$3183,0)),"")</f>
        <v/>
      </c>
      <c r="I2293" s="29">
        <f>IF($B2293="","",IFERROR(INDEX($U$4:$U$3183,MATCH(SMALL($V$4:$V$3183,2290),$V$4:$V$3183,0)),""))</f>
        <v/>
      </c>
      <c r="J2293">
        <f>IF($B2293="","",IF($D2293&gt;$F$2,"À venir",IF($E2293&lt;$D$2,"Passé","Dans la période")))</f>
        <v/>
      </c>
      <c r="K2293">
        <f>IF(OR($B2293="",NOT(ISNUMBER($D2293))),"",IF(AND($E2293&lt;$D$2,$G2293&lt;&gt;"X",$F2293&lt;&gt;"Réalisé",$F2293&lt;&gt;"Clôturé"),"RETARD",""))</f>
        <v/>
      </c>
      <c r="L2293">
        <f>IF(OR($B2293="",NOT(ISNUMBER($D2293))),"",IF(AND($D2293&gt;=$D$2,$D2293&lt;=$H$2,$G2293&lt;&gt;"X",$F2293&lt;&gt;"Réalisé",$F2293&lt;&gt;"Clôturé"),"≤ 7 j",""))</f>
        <v/>
      </c>
      <c r="M2293" s="29">
        <f>IF($B2293="","",IFERROR(INDEX($T$4:$T$3183,MATCH(SMALL($V$4:$V$3183,2290),$V$4:$V$3183,0)),""))</f>
        <v/>
      </c>
      <c r="O2293">
        <f>IF(INDEX(Suivi!$B:$B,2337)="","",INDEX(Suivi!$B:$B,2337))</f>
        <v/>
      </c>
      <c r="P2293">
        <f>IF($O2293="","",IF(INDEX(Suivi!$D:$D,2337)="",INDEX(Suivi!$C:$C,2337),INDEX(Suivi!$D:$D,2337)))</f>
        <v/>
      </c>
      <c r="Q2293">
        <f>IF($O2293="","",INDEX(Suivi!$E:$E,2337))</f>
        <v/>
      </c>
      <c r="R2293">
        <f>IF($O2293="","",INDEX(Suivi!$F:$F,2337))</f>
        <v/>
      </c>
      <c r="S2293">
        <f>IF($O2293="","",INDEX(Suivi!$G:$G,2337))</f>
        <v/>
      </c>
      <c r="T2293">
        <f>IF($O2293="","",IF(INDEX(Dossiers!$F$4:$F$63,44)="","",INDEX(Dossiers!$F$4:$F$63,44)))</f>
        <v/>
      </c>
      <c r="U2293">
        <f>IF($O2293="","",IF(INDEX(Dossiers!$G$4:$G$63,44)="","",INDEX(Dossiers!$G$4:$G$63,44)))</f>
        <v/>
      </c>
      <c r="V2293">
        <f>IF(OR($O2293="",NOT(ISNUMBER($Q2293))),"",$Q2293*1000000+2293)</f>
        <v/>
      </c>
      <c r="W2293" s="29">
        <f>IF($B2293="","",IFERROR(INDEX($U$4:$U$3183,MATCH(SMALL($V$4:$V$3183,2290),$V$4:$V$3183,0)),""))</f>
        <v/>
      </c>
    </row>
    <row r="2294">
      <c r="A2294">
        <f>IFERROR(INDEX($N$4:$N$3183,MATCH(SMALL($V$4:$V$3183,2291),$V$4:$V$3183,0)),"")</f>
        <v/>
      </c>
      <c r="B2294">
        <f>IFERROR(INDEX($O$4:$O$3183,MATCH(SMALL($V$4:$V$3183,2291),$V$4:$V$3183,0)),"")</f>
        <v/>
      </c>
      <c r="C2294">
        <f>IFERROR(INDEX($P$4:$P$3183,MATCH(SMALL($V$4:$V$3183,2291),$V$4:$V$3183,0)),"")</f>
        <v/>
      </c>
      <c r="D2294" s="29">
        <f>IFERROR(INDEX($Q$4:$Q$3183,MATCH(SMALL($V$4:$V$3183,2291),$V$4:$V$3183,0)),"")</f>
        <v/>
      </c>
      <c r="E2294" s="29">
        <f>IFERROR(INDEX($R$4:$R$3183,MATCH(SMALL($V$4:$V$3183,2291),$V$4:$V$3183,0)),"")</f>
        <v/>
      </c>
      <c r="F2294">
        <f>IFERROR(INDEX($S$4:$S$3183,MATCH(SMALL($V$4:$V$3183,2291),$V$4:$V$3183,0)),"")</f>
        <v/>
      </c>
      <c r="I2294" s="29">
        <f>IF($B2294="","",IFERROR(INDEX($U$4:$U$3183,MATCH(SMALL($V$4:$V$3183,2291),$V$4:$V$3183,0)),""))</f>
        <v/>
      </c>
      <c r="J2294">
        <f>IF($B2294="","",IF($D2294&gt;$F$2,"À venir",IF($E2294&lt;$D$2,"Passé","Dans la période")))</f>
        <v/>
      </c>
      <c r="K2294">
        <f>IF(OR($B2294="",NOT(ISNUMBER($D2294))),"",IF(AND($E2294&lt;$D$2,$G2294&lt;&gt;"X",$F2294&lt;&gt;"Réalisé",$F2294&lt;&gt;"Clôturé"),"RETARD",""))</f>
        <v/>
      </c>
      <c r="L2294">
        <f>IF(OR($B2294="",NOT(ISNUMBER($D2294))),"",IF(AND($D2294&gt;=$D$2,$D2294&lt;=$H$2,$G2294&lt;&gt;"X",$F2294&lt;&gt;"Réalisé",$F2294&lt;&gt;"Clôturé"),"≤ 7 j",""))</f>
        <v/>
      </c>
      <c r="M2294" s="29">
        <f>IF($B2294="","",IFERROR(INDEX($T$4:$T$3183,MATCH(SMALL($V$4:$V$3183,2291),$V$4:$V$3183,0)),""))</f>
        <v/>
      </c>
      <c r="O2294">
        <f>IF(INDEX(Suivi!$B:$B,2338)="","",INDEX(Suivi!$B:$B,2338))</f>
        <v/>
      </c>
      <c r="P2294">
        <f>IF($O2294="","",IF(INDEX(Suivi!$D:$D,2338)="",INDEX(Suivi!$C:$C,2338),INDEX(Suivi!$D:$D,2338)))</f>
        <v/>
      </c>
      <c r="Q2294">
        <f>IF($O2294="","",INDEX(Suivi!$E:$E,2338))</f>
        <v/>
      </c>
      <c r="R2294">
        <f>IF($O2294="","",INDEX(Suivi!$F:$F,2338))</f>
        <v/>
      </c>
      <c r="S2294">
        <f>IF($O2294="","",INDEX(Suivi!$G:$G,2338))</f>
        <v/>
      </c>
      <c r="T2294">
        <f>IF($O2294="","",IF(INDEX(Dossiers!$F$4:$F$63,44)="","",INDEX(Dossiers!$F$4:$F$63,44)))</f>
        <v/>
      </c>
      <c r="U2294">
        <f>IF($O2294="","",IF(INDEX(Dossiers!$G$4:$G$63,44)="","",INDEX(Dossiers!$G$4:$G$63,44)))</f>
        <v/>
      </c>
      <c r="V2294">
        <f>IF(OR($O2294="",NOT(ISNUMBER($Q2294))),"",$Q2294*1000000+2294)</f>
        <v/>
      </c>
      <c r="W2294" s="29">
        <f>IF($B2294="","",IFERROR(INDEX($U$4:$U$3183,MATCH(SMALL($V$4:$V$3183,2291),$V$4:$V$3183,0)),""))</f>
        <v/>
      </c>
    </row>
    <row r="2295">
      <c r="A2295">
        <f>IFERROR(INDEX($N$4:$N$3183,MATCH(SMALL($V$4:$V$3183,2292),$V$4:$V$3183,0)),"")</f>
        <v/>
      </c>
      <c r="B2295">
        <f>IFERROR(INDEX($O$4:$O$3183,MATCH(SMALL($V$4:$V$3183,2292),$V$4:$V$3183,0)),"")</f>
        <v/>
      </c>
      <c r="C2295">
        <f>IFERROR(INDEX($P$4:$P$3183,MATCH(SMALL($V$4:$V$3183,2292),$V$4:$V$3183,0)),"")</f>
        <v/>
      </c>
      <c r="D2295" s="29">
        <f>IFERROR(INDEX($Q$4:$Q$3183,MATCH(SMALL($V$4:$V$3183,2292),$V$4:$V$3183,0)),"")</f>
        <v/>
      </c>
      <c r="E2295" s="29">
        <f>IFERROR(INDEX($R$4:$R$3183,MATCH(SMALL($V$4:$V$3183,2292),$V$4:$V$3183,0)),"")</f>
        <v/>
      </c>
      <c r="F2295">
        <f>IFERROR(INDEX($S$4:$S$3183,MATCH(SMALL($V$4:$V$3183,2292),$V$4:$V$3183,0)),"")</f>
        <v/>
      </c>
      <c r="I2295" s="29">
        <f>IF($B2295="","",IFERROR(INDEX($U$4:$U$3183,MATCH(SMALL($V$4:$V$3183,2292),$V$4:$V$3183,0)),""))</f>
        <v/>
      </c>
      <c r="J2295">
        <f>IF($B2295="","",IF($D2295&gt;$F$2,"À venir",IF($E2295&lt;$D$2,"Passé","Dans la période")))</f>
        <v/>
      </c>
      <c r="K2295">
        <f>IF(OR($B2295="",NOT(ISNUMBER($D2295))),"",IF(AND($E2295&lt;$D$2,$G2295&lt;&gt;"X",$F2295&lt;&gt;"Réalisé",$F2295&lt;&gt;"Clôturé"),"RETARD",""))</f>
        <v/>
      </c>
      <c r="L2295">
        <f>IF(OR($B2295="",NOT(ISNUMBER($D2295))),"",IF(AND($D2295&gt;=$D$2,$D2295&lt;=$H$2,$G2295&lt;&gt;"X",$F2295&lt;&gt;"Réalisé",$F2295&lt;&gt;"Clôturé"),"≤ 7 j",""))</f>
        <v/>
      </c>
      <c r="M2295" s="29">
        <f>IF($B2295="","",IFERROR(INDEX($T$4:$T$3183,MATCH(SMALL($V$4:$V$3183,2292),$V$4:$V$3183,0)),""))</f>
        <v/>
      </c>
      <c r="O2295">
        <f>IF(INDEX(Suivi!$B:$B,2339)="","",INDEX(Suivi!$B:$B,2339))</f>
        <v/>
      </c>
      <c r="P2295">
        <f>IF($O2295="","",IF(INDEX(Suivi!$D:$D,2339)="",INDEX(Suivi!$C:$C,2339),INDEX(Suivi!$D:$D,2339)))</f>
        <v/>
      </c>
      <c r="Q2295">
        <f>IF($O2295="","",INDEX(Suivi!$E:$E,2339))</f>
        <v/>
      </c>
      <c r="R2295">
        <f>IF($O2295="","",INDEX(Suivi!$F:$F,2339))</f>
        <v/>
      </c>
      <c r="S2295">
        <f>IF($O2295="","",INDEX(Suivi!$G:$G,2339))</f>
        <v/>
      </c>
      <c r="T2295">
        <f>IF($O2295="","",IF(INDEX(Dossiers!$F$4:$F$63,44)="","",INDEX(Dossiers!$F$4:$F$63,44)))</f>
        <v/>
      </c>
      <c r="U2295">
        <f>IF($O2295="","",IF(INDEX(Dossiers!$G$4:$G$63,44)="","",INDEX(Dossiers!$G$4:$G$63,44)))</f>
        <v/>
      </c>
      <c r="V2295">
        <f>IF(OR($O2295="",NOT(ISNUMBER($Q2295))),"",$Q2295*1000000+2295)</f>
        <v/>
      </c>
      <c r="W2295" s="29">
        <f>IF($B2295="","",IFERROR(INDEX($U$4:$U$3183,MATCH(SMALL($V$4:$V$3183,2292),$V$4:$V$3183,0)),""))</f>
        <v/>
      </c>
    </row>
    <row r="2296">
      <c r="A2296">
        <f>IFERROR(INDEX($N$4:$N$3183,MATCH(SMALL($V$4:$V$3183,2293),$V$4:$V$3183,0)),"")</f>
        <v/>
      </c>
      <c r="B2296">
        <f>IFERROR(INDEX($O$4:$O$3183,MATCH(SMALL($V$4:$V$3183,2293),$V$4:$V$3183,0)),"")</f>
        <v/>
      </c>
      <c r="C2296">
        <f>IFERROR(INDEX($P$4:$P$3183,MATCH(SMALL($V$4:$V$3183,2293),$V$4:$V$3183,0)),"")</f>
        <v/>
      </c>
      <c r="D2296" s="29">
        <f>IFERROR(INDEX($Q$4:$Q$3183,MATCH(SMALL($V$4:$V$3183,2293),$V$4:$V$3183,0)),"")</f>
        <v/>
      </c>
      <c r="E2296" s="29">
        <f>IFERROR(INDEX($R$4:$R$3183,MATCH(SMALL($V$4:$V$3183,2293),$V$4:$V$3183,0)),"")</f>
        <v/>
      </c>
      <c r="F2296">
        <f>IFERROR(INDEX($S$4:$S$3183,MATCH(SMALL($V$4:$V$3183,2293),$V$4:$V$3183,0)),"")</f>
        <v/>
      </c>
      <c r="I2296" s="29">
        <f>IF($B2296="","",IFERROR(INDEX($U$4:$U$3183,MATCH(SMALL($V$4:$V$3183,2293),$V$4:$V$3183,0)),""))</f>
        <v/>
      </c>
      <c r="J2296">
        <f>IF($B2296="","",IF($D2296&gt;$F$2,"À venir",IF($E2296&lt;$D$2,"Passé","Dans la période")))</f>
        <v/>
      </c>
      <c r="K2296">
        <f>IF(OR($B2296="",NOT(ISNUMBER($D2296))),"",IF(AND($E2296&lt;$D$2,$G2296&lt;&gt;"X",$F2296&lt;&gt;"Réalisé",$F2296&lt;&gt;"Clôturé"),"RETARD",""))</f>
        <v/>
      </c>
      <c r="L2296">
        <f>IF(OR($B2296="",NOT(ISNUMBER($D2296))),"",IF(AND($D2296&gt;=$D$2,$D2296&lt;=$H$2,$G2296&lt;&gt;"X",$F2296&lt;&gt;"Réalisé",$F2296&lt;&gt;"Clôturé"),"≤ 7 j",""))</f>
        <v/>
      </c>
      <c r="M2296" s="29">
        <f>IF($B2296="","",IFERROR(INDEX($T$4:$T$3183,MATCH(SMALL($V$4:$V$3183,2293),$V$4:$V$3183,0)),""))</f>
        <v/>
      </c>
      <c r="O2296">
        <f>IF(INDEX(Suivi!$B:$B,2340)="","",INDEX(Suivi!$B:$B,2340))</f>
        <v/>
      </c>
      <c r="P2296">
        <f>IF($O2296="","",IF(INDEX(Suivi!$D:$D,2340)="",INDEX(Suivi!$C:$C,2340),INDEX(Suivi!$D:$D,2340)))</f>
        <v/>
      </c>
      <c r="Q2296">
        <f>IF($O2296="","",INDEX(Suivi!$E:$E,2340))</f>
        <v/>
      </c>
      <c r="R2296">
        <f>IF($O2296="","",INDEX(Suivi!$F:$F,2340))</f>
        <v/>
      </c>
      <c r="S2296">
        <f>IF($O2296="","",INDEX(Suivi!$G:$G,2340))</f>
        <v/>
      </c>
      <c r="T2296">
        <f>IF($O2296="","",IF(INDEX(Dossiers!$F$4:$F$63,44)="","",INDEX(Dossiers!$F$4:$F$63,44)))</f>
        <v/>
      </c>
      <c r="U2296">
        <f>IF($O2296="","",IF(INDEX(Dossiers!$G$4:$G$63,44)="","",INDEX(Dossiers!$G$4:$G$63,44)))</f>
        <v/>
      </c>
      <c r="V2296">
        <f>IF(OR($O2296="",NOT(ISNUMBER($Q2296))),"",$Q2296*1000000+2296)</f>
        <v/>
      </c>
      <c r="W2296" s="29">
        <f>IF($B2296="","",IFERROR(INDEX($U$4:$U$3183,MATCH(SMALL($V$4:$V$3183,2293),$V$4:$V$3183,0)),""))</f>
        <v/>
      </c>
    </row>
    <row r="2297">
      <c r="A2297">
        <f>IFERROR(INDEX($N$4:$N$3183,MATCH(SMALL($V$4:$V$3183,2294),$V$4:$V$3183,0)),"")</f>
        <v/>
      </c>
      <c r="B2297">
        <f>IFERROR(INDEX($O$4:$O$3183,MATCH(SMALL($V$4:$V$3183,2294),$V$4:$V$3183,0)),"")</f>
        <v/>
      </c>
      <c r="C2297">
        <f>IFERROR(INDEX($P$4:$P$3183,MATCH(SMALL($V$4:$V$3183,2294),$V$4:$V$3183,0)),"")</f>
        <v/>
      </c>
      <c r="D2297" s="29">
        <f>IFERROR(INDEX($Q$4:$Q$3183,MATCH(SMALL($V$4:$V$3183,2294),$V$4:$V$3183,0)),"")</f>
        <v/>
      </c>
      <c r="E2297" s="29">
        <f>IFERROR(INDEX($R$4:$R$3183,MATCH(SMALL($V$4:$V$3183,2294),$V$4:$V$3183,0)),"")</f>
        <v/>
      </c>
      <c r="F2297">
        <f>IFERROR(INDEX($S$4:$S$3183,MATCH(SMALL($V$4:$V$3183,2294),$V$4:$V$3183,0)),"")</f>
        <v/>
      </c>
      <c r="I2297" s="29">
        <f>IF($B2297="","",IFERROR(INDEX($U$4:$U$3183,MATCH(SMALL($V$4:$V$3183,2294),$V$4:$V$3183,0)),""))</f>
        <v/>
      </c>
      <c r="J2297">
        <f>IF($B2297="","",IF($D2297&gt;$F$2,"À venir",IF($E2297&lt;$D$2,"Passé","Dans la période")))</f>
        <v/>
      </c>
      <c r="K2297">
        <f>IF(OR($B2297="",NOT(ISNUMBER($D2297))),"",IF(AND($E2297&lt;$D$2,$G2297&lt;&gt;"X",$F2297&lt;&gt;"Réalisé",$F2297&lt;&gt;"Clôturé"),"RETARD",""))</f>
        <v/>
      </c>
      <c r="L2297">
        <f>IF(OR($B2297="",NOT(ISNUMBER($D2297))),"",IF(AND($D2297&gt;=$D$2,$D2297&lt;=$H$2,$G2297&lt;&gt;"X",$F2297&lt;&gt;"Réalisé",$F2297&lt;&gt;"Clôturé"),"≤ 7 j",""))</f>
        <v/>
      </c>
      <c r="M2297" s="29">
        <f>IF($B2297="","",IFERROR(INDEX($T$4:$T$3183,MATCH(SMALL($V$4:$V$3183,2294),$V$4:$V$3183,0)),""))</f>
        <v/>
      </c>
      <c r="O2297">
        <f>IF(INDEX(Suivi!$B:$B,2341)="","",INDEX(Suivi!$B:$B,2341))</f>
        <v/>
      </c>
      <c r="P2297">
        <f>IF($O2297="","",IF(INDEX(Suivi!$D:$D,2341)="",INDEX(Suivi!$C:$C,2341),INDEX(Suivi!$D:$D,2341)))</f>
        <v/>
      </c>
      <c r="Q2297">
        <f>IF($O2297="","",INDEX(Suivi!$E:$E,2341))</f>
        <v/>
      </c>
      <c r="R2297">
        <f>IF($O2297="","",INDEX(Suivi!$F:$F,2341))</f>
        <v/>
      </c>
      <c r="S2297">
        <f>IF($O2297="","",INDEX(Suivi!$G:$G,2341))</f>
        <v/>
      </c>
      <c r="T2297">
        <f>IF($O2297="","",IF(INDEX(Dossiers!$F$4:$F$63,44)="","",INDEX(Dossiers!$F$4:$F$63,44)))</f>
        <v/>
      </c>
      <c r="U2297">
        <f>IF($O2297="","",IF(INDEX(Dossiers!$G$4:$G$63,44)="","",INDEX(Dossiers!$G$4:$G$63,44)))</f>
        <v/>
      </c>
      <c r="V2297">
        <f>IF(OR($O2297="",NOT(ISNUMBER($Q2297))),"",$Q2297*1000000+2297)</f>
        <v/>
      </c>
      <c r="W2297" s="29">
        <f>IF($B2297="","",IFERROR(INDEX($U$4:$U$3183,MATCH(SMALL($V$4:$V$3183,2294),$V$4:$V$3183,0)),""))</f>
        <v/>
      </c>
    </row>
    <row r="2298">
      <c r="A2298">
        <f>IFERROR(INDEX($N$4:$N$3183,MATCH(SMALL($V$4:$V$3183,2295),$V$4:$V$3183,0)),"")</f>
        <v/>
      </c>
      <c r="B2298">
        <f>IFERROR(INDEX($O$4:$O$3183,MATCH(SMALL($V$4:$V$3183,2295),$V$4:$V$3183,0)),"")</f>
        <v/>
      </c>
      <c r="C2298">
        <f>IFERROR(INDEX($P$4:$P$3183,MATCH(SMALL($V$4:$V$3183,2295),$V$4:$V$3183,0)),"")</f>
        <v/>
      </c>
      <c r="D2298" s="29">
        <f>IFERROR(INDEX($Q$4:$Q$3183,MATCH(SMALL($V$4:$V$3183,2295),$V$4:$V$3183,0)),"")</f>
        <v/>
      </c>
      <c r="E2298" s="29">
        <f>IFERROR(INDEX($R$4:$R$3183,MATCH(SMALL($V$4:$V$3183,2295),$V$4:$V$3183,0)),"")</f>
        <v/>
      </c>
      <c r="F2298">
        <f>IFERROR(INDEX($S$4:$S$3183,MATCH(SMALL($V$4:$V$3183,2295),$V$4:$V$3183,0)),"")</f>
        <v/>
      </c>
      <c r="I2298" s="29">
        <f>IF($B2298="","",IFERROR(INDEX($U$4:$U$3183,MATCH(SMALL($V$4:$V$3183,2295),$V$4:$V$3183,0)),""))</f>
        <v/>
      </c>
      <c r="J2298">
        <f>IF($B2298="","",IF($D2298&gt;$F$2,"À venir",IF($E2298&lt;$D$2,"Passé","Dans la période")))</f>
        <v/>
      </c>
      <c r="K2298">
        <f>IF(OR($B2298="",NOT(ISNUMBER($D2298))),"",IF(AND($E2298&lt;$D$2,$G2298&lt;&gt;"X",$F2298&lt;&gt;"Réalisé",$F2298&lt;&gt;"Clôturé"),"RETARD",""))</f>
        <v/>
      </c>
      <c r="L2298">
        <f>IF(OR($B2298="",NOT(ISNUMBER($D2298))),"",IF(AND($D2298&gt;=$D$2,$D2298&lt;=$H$2,$G2298&lt;&gt;"X",$F2298&lt;&gt;"Réalisé",$F2298&lt;&gt;"Clôturé"),"≤ 7 j",""))</f>
        <v/>
      </c>
      <c r="M2298" s="29">
        <f>IF($B2298="","",IFERROR(INDEX($T$4:$T$3183,MATCH(SMALL($V$4:$V$3183,2295),$V$4:$V$3183,0)),""))</f>
        <v/>
      </c>
      <c r="O2298">
        <f>IF(INDEX(Suivi!$B:$B,2342)="","",INDEX(Suivi!$B:$B,2342))</f>
        <v/>
      </c>
      <c r="P2298">
        <f>IF($O2298="","",IF(INDEX(Suivi!$D:$D,2342)="",INDEX(Suivi!$C:$C,2342),INDEX(Suivi!$D:$D,2342)))</f>
        <v/>
      </c>
      <c r="Q2298">
        <f>IF($O2298="","",INDEX(Suivi!$E:$E,2342))</f>
        <v/>
      </c>
      <c r="R2298">
        <f>IF($O2298="","",INDEX(Suivi!$F:$F,2342))</f>
        <v/>
      </c>
      <c r="S2298">
        <f>IF($O2298="","",INDEX(Suivi!$G:$G,2342))</f>
        <v/>
      </c>
      <c r="T2298">
        <f>IF($O2298="","",IF(INDEX(Dossiers!$F$4:$F$63,44)="","",INDEX(Dossiers!$F$4:$F$63,44)))</f>
        <v/>
      </c>
      <c r="U2298">
        <f>IF($O2298="","",IF(INDEX(Dossiers!$G$4:$G$63,44)="","",INDEX(Dossiers!$G$4:$G$63,44)))</f>
        <v/>
      </c>
      <c r="V2298">
        <f>IF(OR($O2298="",NOT(ISNUMBER($Q2298))),"",$Q2298*1000000+2298)</f>
        <v/>
      </c>
      <c r="W2298" s="29">
        <f>IF($B2298="","",IFERROR(INDEX($U$4:$U$3183,MATCH(SMALL($V$4:$V$3183,2295),$V$4:$V$3183,0)),""))</f>
        <v/>
      </c>
    </row>
    <row r="2299">
      <c r="A2299">
        <f>IFERROR(INDEX($N$4:$N$3183,MATCH(SMALL($V$4:$V$3183,2296),$V$4:$V$3183,0)),"")</f>
        <v/>
      </c>
      <c r="B2299">
        <f>IFERROR(INDEX($O$4:$O$3183,MATCH(SMALL($V$4:$V$3183,2296),$V$4:$V$3183,0)),"")</f>
        <v/>
      </c>
      <c r="C2299">
        <f>IFERROR(INDEX($P$4:$P$3183,MATCH(SMALL($V$4:$V$3183,2296),$V$4:$V$3183,0)),"")</f>
        <v/>
      </c>
      <c r="D2299" s="29">
        <f>IFERROR(INDEX($Q$4:$Q$3183,MATCH(SMALL($V$4:$V$3183,2296),$V$4:$V$3183,0)),"")</f>
        <v/>
      </c>
      <c r="E2299" s="29">
        <f>IFERROR(INDEX($R$4:$R$3183,MATCH(SMALL($V$4:$V$3183,2296),$V$4:$V$3183,0)),"")</f>
        <v/>
      </c>
      <c r="F2299">
        <f>IFERROR(INDEX($S$4:$S$3183,MATCH(SMALL($V$4:$V$3183,2296),$V$4:$V$3183,0)),"")</f>
        <v/>
      </c>
      <c r="I2299" s="29">
        <f>IF($B2299="","",IFERROR(INDEX($U$4:$U$3183,MATCH(SMALL($V$4:$V$3183,2296),$V$4:$V$3183,0)),""))</f>
        <v/>
      </c>
      <c r="J2299">
        <f>IF($B2299="","",IF($D2299&gt;$F$2,"À venir",IF($E2299&lt;$D$2,"Passé","Dans la période")))</f>
        <v/>
      </c>
      <c r="K2299">
        <f>IF(OR($B2299="",NOT(ISNUMBER($D2299))),"",IF(AND($E2299&lt;$D$2,$G2299&lt;&gt;"X",$F2299&lt;&gt;"Réalisé",$F2299&lt;&gt;"Clôturé"),"RETARD",""))</f>
        <v/>
      </c>
      <c r="L2299">
        <f>IF(OR($B2299="",NOT(ISNUMBER($D2299))),"",IF(AND($D2299&gt;=$D$2,$D2299&lt;=$H$2,$G2299&lt;&gt;"X",$F2299&lt;&gt;"Réalisé",$F2299&lt;&gt;"Clôturé"),"≤ 7 j",""))</f>
        <v/>
      </c>
      <c r="M2299" s="29">
        <f>IF($B2299="","",IFERROR(INDEX($T$4:$T$3183,MATCH(SMALL($V$4:$V$3183,2296),$V$4:$V$3183,0)),""))</f>
        <v/>
      </c>
      <c r="O2299">
        <f>IF(INDEX(Suivi!$B:$B,2343)="","",INDEX(Suivi!$B:$B,2343))</f>
        <v/>
      </c>
      <c r="P2299">
        <f>IF($O2299="","",IF(INDEX(Suivi!$D:$D,2343)="",INDEX(Suivi!$C:$C,2343),INDEX(Suivi!$D:$D,2343)))</f>
        <v/>
      </c>
      <c r="Q2299">
        <f>IF($O2299="","",INDEX(Suivi!$E:$E,2343))</f>
        <v/>
      </c>
      <c r="R2299">
        <f>IF($O2299="","",INDEX(Suivi!$F:$F,2343))</f>
        <v/>
      </c>
      <c r="S2299">
        <f>IF($O2299="","",INDEX(Suivi!$G:$G,2343))</f>
        <v/>
      </c>
      <c r="T2299">
        <f>IF($O2299="","",IF(INDEX(Dossiers!$F$4:$F$63,44)="","",INDEX(Dossiers!$F$4:$F$63,44)))</f>
        <v/>
      </c>
      <c r="U2299">
        <f>IF($O2299="","",IF(INDEX(Dossiers!$G$4:$G$63,44)="","",INDEX(Dossiers!$G$4:$G$63,44)))</f>
        <v/>
      </c>
      <c r="V2299">
        <f>IF(OR($O2299="",NOT(ISNUMBER($Q2299))),"",$Q2299*1000000+2299)</f>
        <v/>
      </c>
      <c r="W2299" s="29">
        <f>IF($B2299="","",IFERROR(INDEX($U$4:$U$3183,MATCH(SMALL($V$4:$V$3183,2296),$V$4:$V$3183,0)),""))</f>
        <v/>
      </c>
    </row>
    <row r="2300">
      <c r="A2300">
        <f>IFERROR(INDEX($N$4:$N$3183,MATCH(SMALL($V$4:$V$3183,2297),$V$4:$V$3183,0)),"")</f>
        <v/>
      </c>
      <c r="B2300">
        <f>IFERROR(INDEX($O$4:$O$3183,MATCH(SMALL($V$4:$V$3183,2297),$V$4:$V$3183,0)),"")</f>
        <v/>
      </c>
      <c r="C2300">
        <f>IFERROR(INDEX($P$4:$P$3183,MATCH(SMALL($V$4:$V$3183,2297),$V$4:$V$3183,0)),"")</f>
        <v/>
      </c>
      <c r="D2300" s="29">
        <f>IFERROR(INDEX($Q$4:$Q$3183,MATCH(SMALL($V$4:$V$3183,2297),$V$4:$V$3183,0)),"")</f>
        <v/>
      </c>
      <c r="E2300" s="29">
        <f>IFERROR(INDEX($R$4:$R$3183,MATCH(SMALL($V$4:$V$3183,2297),$V$4:$V$3183,0)),"")</f>
        <v/>
      </c>
      <c r="F2300">
        <f>IFERROR(INDEX($S$4:$S$3183,MATCH(SMALL($V$4:$V$3183,2297),$V$4:$V$3183,0)),"")</f>
        <v/>
      </c>
      <c r="I2300" s="29">
        <f>IF($B2300="","",IFERROR(INDEX($U$4:$U$3183,MATCH(SMALL($V$4:$V$3183,2297),$V$4:$V$3183,0)),""))</f>
        <v/>
      </c>
      <c r="J2300">
        <f>IF($B2300="","",IF($D2300&gt;$F$2,"À venir",IF($E2300&lt;$D$2,"Passé","Dans la période")))</f>
        <v/>
      </c>
      <c r="K2300">
        <f>IF(OR($B2300="",NOT(ISNUMBER($D2300))),"",IF(AND($E2300&lt;$D$2,$G2300&lt;&gt;"X",$F2300&lt;&gt;"Réalisé",$F2300&lt;&gt;"Clôturé"),"RETARD",""))</f>
        <v/>
      </c>
      <c r="L2300">
        <f>IF(OR($B2300="",NOT(ISNUMBER($D2300))),"",IF(AND($D2300&gt;=$D$2,$D2300&lt;=$H$2,$G2300&lt;&gt;"X",$F2300&lt;&gt;"Réalisé",$F2300&lt;&gt;"Clôturé"),"≤ 7 j",""))</f>
        <v/>
      </c>
      <c r="M2300" s="29">
        <f>IF($B2300="","",IFERROR(INDEX($T$4:$T$3183,MATCH(SMALL($V$4:$V$3183,2297),$V$4:$V$3183,0)),""))</f>
        <v/>
      </c>
      <c r="O2300">
        <f>IF(INDEX(Suivi!$B:$B,2344)="","",INDEX(Suivi!$B:$B,2344))</f>
        <v/>
      </c>
      <c r="P2300">
        <f>IF($O2300="","",IF(INDEX(Suivi!$D:$D,2344)="",INDEX(Suivi!$C:$C,2344),INDEX(Suivi!$D:$D,2344)))</f>
        <v/>
      </c>
      <c r="Q2300">
        <f>IF($O2300="","",INDEX(Suivi!$E:$E,2344))</f>
        <v/>
      </c>
      <c r="R2300">
        <f>IF($O2300="","",INDEX(Suivi!$F:$F,2344))</f>
        <v/>
      </c>
      <c r="S2300">
        <f>IF($O2300="","",INDEX(Suivi!$G:$G,2344))</f>
        <v/>
      </c>
      <c r="T2300">
        <f>IF($O2300="","",IF(INDEX(Dossiers!$F$4:$F$63,44)="","",INDEX(Dossiers!$F$4:$F$63,44)))</f>
        <v/>
      </c>
      <c r="U2300">
        <f>IF($O2300="","",IF(INDEX(Dossiers!$G$4:$G$63,44)="","",INDEX(Dossiers!$G$4:$G$63,44)))</f>
        <v/>
      </c>
      <c r="V2300">
        <f>IF(OR($O2300="",NOT(ISNUMBER($Q2300))),"",$Q2300*1000000+2300)</f>
        <v/>
      </c>
      <c r="W2300" s="29">
        <f>IF($B2300="","",IFERROR(INDEX($U$4:$U$3183,MATCH(SMALL($V$4:$V$3183,2297),$V$4:$V$3183,0)),""))</f>
        <v/>
      </c>
    </row>
    <row r="2301">
      <c r="A2301">
        <f>IFERROR(INDEX($N$4:$N$3183,MATCH(SMALL($V$4:$V$3183,2298),$V$4:$V$3183,0)),"")</f>
        <v/>
      </c>
      <c r="B2301">
        <f>IFERROR(INDEX($O$4:$O$3183,MATCH(SMALL($V$4:$V$3183,2298),$V$4:$V$3183,0)),"")</f>
        <v/>
      </c>
      <c r="C2301">
        <f>IFERROR(INDEX($P$4:$P$3183,MATCH(SMALL($V$4:$V$3183,2298),$V$4:$V$3183,0)),"")</f>
        <v/>
      </c>
      <c r="D2301" s="29">
        <f>IFERROR(INDEX($Q$4:$Q$3183,MATCH(SMALL($V$4:$V$3183,2298),$V$4:$V$3183,0)),"")</f>
        <v/>
      </c>
      <c r="E2301" s="29">
        <f>IFERROR(INDEX($R$4:$R$3183,MATCH(SMALL($V$4:$V$3183,2298),$V$4:$V$3183,0)),"")</f>
        <v/>
      </c>
      <c r="F2301">
        <f>IFERROR(INDEX($S$4:$S$3183,MATCH(SMALL($V$4:$V$3183,2298),$V$4:$V$3183,0)),"")</f>
        <v/>
      </c>
      <c r="I2301" s="29">
        <f>IF($B2301="","",IFERROR(INDEX($U$4:$U$3183,MATCH(SMALL($V$4:$V$3183,2298),$V$4:$V$3183,0)),""))</f>
        <v/>
      </c>
      <c r="J2301">
        <f>IF($B2301="","",IF($D2301&gt;$F$2,"À venir",IF($E2301&lt;$D$2,"Passé","Dans la période")))</f>
        <v/>
      </c>
      <c r="K2301">
        <f>IF(OR($B2301="",NOT(ISNUMBER($D2301))),"",IF(AND($E2301&lt;$D$2,$G2301&lt;&gt;"X",$F2301&lt;&gt;"Réalisé",$F2301&lt;&gt;"Clôturé"),"RETARD",""))</f>
        <v/>
      </c>
      <c r="L2301">
        <f>IF(OR($B2301="",NOT(ISNUMBER($D2301))),"",IF(AND($D2301&gt;=$D$2,$D2301&lt;=$H$2,$G2301&lt;&gt;"X",$F2301&lt;&gt;"Réalisé",$F2301&lt;&gt;"Clôturé"),"≤ 7 j",""))</f>
        <v/>
      </c>
      <c r="M2301" s="29">
        <f>IF($B2301="","",IFERROR(INDEX($T$4:$T$3183,MATCH(SMALL($V$4:$V$3183,2298),$V$4:$V$3183,0)),""))</f>
        <v/>
      </c>
      <c r="O2301">
        <f>IF(INDEX(Suivi!$B:$B,2345)="","",INDEX(Suivi!$B:$B,2345))</f>
        <v/>
      </c>
      <c r="P2301">
        <f>IF($O2301="","",IF(INDEX(Suivi!$D:$D,2345)="",INDEX(Suivi!$C:$C,2345),INDEX(Suivi!$D:$D,2345)))</f>
        <v/>
      </c>
      <c r="Q2301">
        <f>IF($O2301="","",INDEX(Suivi!$E:$E,2345))</f>
        <v/>
      </c>
      <c r="R2301">
        <f>IF($O2301="","",INDEX(Suivi!$F:$F,2345))</f>
        <v/>
      </c>
      <c r="S2301">
        <f>IF($O2301="","",INDEX(Suivi!$G:$G,2345))</f>
        <v/>
      </c>
      <c r="T2301">
        <f>IF($O2301="","",IF(INDEX(Dossiers!$F$4:$F$63,44)="","",INDEX(Dossiers!$F$4:$F$63,44)))</f>
        <v/>
      </c>
      <c r="U2301">
        <f>IF($O2301="","",IF(INDEX(Dossiers!$G$4:$G$63,44)="","",INDEX(Dossiers!$G$4:$G$63,44)))</f>
        <v/>
      </c>
      <c r="V2301">
        <f>IF(OR($O2301="",NOT(ISNUMBER($Q2301))),"",$Q2301*1000000+2301)</f>
        <v/>
      </c>
      <c r="W2301" s="29">
        <f>IF($B2301="","",IFERROR(INDEX($U$4:$U$3183,MATCH(SMALL($V$4:$V$3183,2298),$V$4:$V$3183,0)),""))</f>
        <v/>
      </c>
    </row>
    <row r="2302">
      <c r="A2302">
        <f>IFERROR(INDEX($N$4:$N$3183,MATCH(SMALL($V$4:$V$3183,2299),$V$4:$V$3183,0)),"")</f>
        <v/>
      </c>
      <c r="B2302">
        <f>IFERROR(INDEX($O$4:$O$3183,MATCH(SMALL($V$4:$V$3183,2299),$V$4:$V$3183,0)),"")</f>
        <v/>
      </c>
      <c r="C2302">
        <f>IFERROR(INDEX($P$4:$P$3183,MATCH(SMALL($V$4:$V$3183,2299),$V$4:$V$3183,0)),"")</f>
        <v/>
      </c>
      <c r="D2302" s="29">
        <f>IFERROR(INDEX($Q$4:$Q$3183,MATCH(SMALL($V$4:$V$3183,2299),$V$4:$V$3183,0)),"")</f>
        <v/>
      </c>
      <c r="E2302" s="29">
        <f>IFERROR(INDEX($R$4:$R$3183,MATCH(SMALL($V$4:$V$3183,2299),$V$4:$V$3183,0)),"")</f>
        <v/>
      </c>
      <c r="F2302">
        <f>IFERROR(INDEX($S$4:$S$3183,MATCH(SMALL($V$4:$V$3183,2299),$V$4:$V$3183,0)),"")</f>
        <v/>
      </c>
      <c r="I2302" s="29">
        <f>IF($B2302="","",IFERROR(INDEX($U$4:$U$3183,MATCH(SMALL($V$4:$V$3183,2299),$V$4:$V$3183,0)),""))</f>
        <v/>
      </c>
      <c r="J2302">
        <f>IF($B2302="","",IF($D2302&gt;$F$2,"À venir",IF($E2302&lt;$D$2,"Passé","Dans la période")))</f>
        <v/>
      </c>
      <c r="K2302">
        <f>IF(OR($B2302="",NOT(ISNUMBER($D2302))),"",IF(AND($E2302&lt;$D$2,$G2302&lt;&gt;"X",$F2302&lt;&gt;"Réalisé",$F2302&lt;&gt;"Clôturé"),"RETARD",""))</f>
        <v/>
      </c>
      <c r="L2302">
        <f>IF(OR($B2302="",NOT(ISNUMBER($D2302))),"",IF(AND($D2302&gt;=$D$2,$D2302&lt;=$H$2,$G2302&lt;&gt;"X",$F2302&lt;&gt;"Réalisé",$F2302&lt;&gt;"Clôturé"),"≤ 7 j",""))</f>
        <v/>
      </c>
      <c r="M2302" s="29">
        <f>IF($B2302="","",IFERROR(INDEX($T$4:$T$3183,MATCH(SMALL($V$4:$V$3183,2299),$V$4:$V$3183,0)),""))</f>
        <v/>
      </c>
      <c r="O2302">
        <f>IF(INDEX(Suivi!$B:$B,2346)="","",INDEX(Suivi!$B:$B,2346))</f>
        <v/>
      </c>
      <c r="P2302">
        <f>IF($O2302="","",IF(INDEX(Suivi!$D:$D,2346)="",INDEX(Suivi!$C:$C,2346),INDEX(Suivi!$D:$D,2346)))</f>
        <v/>
      </c>
      <c r="Q2302">
        <f>IF($O2302="","",INDEX(Suivi!$E:$E,2346))</f>
        <v/>
      </c>
      <c r="R2302">
        <f>IF($O2302="","",INDEX(Suivi!$F:$F,2346))</f>
        <v/>
      </c>
      <c r="S2302">
        <f>IF($O2302="","",INDEX(Suivi!$G:$G,2346))</f>
        <v/>
      </c>
      <c r="T2302">
        <f>IF($O2302="","",IF(INDEX(Dossiers!$F$4:$F$63,44)="","",INDEX(Dossiers!$F$4:$F$63,44)))</f>
        <v/>
      </c>
      <c r="U2302">
        <f>IF($O2302="","",IF(INDEX(Dossiers!$G$4:$G$63,44)="","",INDEX(Dossiers!$G$4:$G$63,44)))</f>
        <v/>
      </c>
      <c r="V2302">
        <f>IF(OR($O2302="",NOT(ISNUMBER($Q2302))),"",$Q2302*1000000+2302)</f>
        <v/>
      </c>
      <c r="W2302" s="29">
        <f>IF($B2302="","",IFERROR(INDEX($U$4:$U$3183,MATCH(SMALL($V$4:$V$3183,2299),$V$4:$V$3183,0)),""))</f>
        <v/>
      </c>
    </row>
    <row r="2303">
      <c r="A2303">
        <f>IFERROR(INDEX($N$4:$N$3183,MATCH(SMALL($V$4:$V$3183,2300),$V$4:$V$3183,0)),"")</f>
        <v/>
      </c>
      <c r="B2303">
        <f>IFERROR(INDEX($O$4:$O$3183,MATCH(SMALL($V$4:$V$3183,2300),$V$4:$V$3183,0)),"")</f>
        <v/>
      </c>
      <c r="C2303">
        <f>IFERROR(INDEX($P$4:$P$3183,MATCH(SMALL($V$4:$V$3183,2300),$V$4:$V$3183,0)),"")</f>
        <v/>
      </c>
      <c r="D2303" s="29">
        <f>IFERROR(INDEX($Q$4:$Q$3183,MATCH(SMALL($V$4:$V$3183,2300),$V$4:$V$3183,0)),"")</f>
        <v/>
      </c>
      <c r="E2303" s="29">
        <f>IFERROR(INDEX($R$4:$R$3183,MATCH(SMALL($V$4:$V$3183,2300),$V$4:$V$3183,0)),"")</f>
        <v/>
      </c>
      <c r="F2303">
        <f>IFERROR(INDEX($S$4:$S$3183,MATCH(SMALL($V$4:$V$3183,2300),$V$4:$V$3183,0)),"")</f>
        <v/>
      </c>
      <c r="I2303" s="29">
        <f>IF($B2303="","",IFERROR(INDEX($U$4:$U$3183,MATCH(SMALL($V$4:$V$3183,2300),$V$4:$V$3183,0)),""))</f>
        <v/>
      </c>
      <c r="J2303">
        <f>IF($B2303="","",IF($D2303&gt;$F$2,"À venir",IF($E2303&lt;$D$2,"Passé","Dans la période")))</f>
        <v/>
      </c>
      <c r="K2303">
        <f>IF(OR($B2303="",NOT(ISNUMBER($D2303))),"",IF(AND($E2303&lt;$D$2,$G2303&lt;&gt;"X",$F2303&lt;&gt;"Réalisé",$F2303&lt;&gt;"Clôturé"),"RETARD",""))</f>
        <v/>
      </c>
      <c r="L2303">
        <f>IF(OR($B2303="",NOT(ISNUMBER($D2303))),"",IF(AND($D2303&gt;=$D$2,$D2303&lt;=$H$2,$G2303&lt;&gt;"X",$F2303&lt;&gt;"Réalisé",$F2303&lt;&gt;"Clôturé"),"≤ 7 j",""))</f>
        <v/>
      </c>
      <c r="M2303" s="29">
        <f>IF($B2303="","",IFERROR(INDEX($T$4:$T$3183,MATCH(SMALL($V$4:$V$3183,2300),$V$4:$V$3183,0)),""))</f>
        <v/>
      </c>
      <c r="O2303">
        <f>IF(INDEX(Suivi!$B:$B,2347)="","",INDEX(Suivi!$B:$B,2347))</f>
        <v/>
      </c>
      <c r="P2303">
        <f>IF($O2303="","",IF(INDEX(Suivi!$D:$D,2347)="",INDEX(Suivi!$C:$C,2347),INDEX(Suivi!$D:$D,2347)))</f>
        <v/>
      </c>
      <c r="Q2303">
        <f>IF($O2303="","",INDEX(Suivi!$E:$E,2347))</f>
        <v/>
      </c>
      <c r="R2303">
        <f>IF($O2303="","",INDEX(Suivi!$F:$F,2347))</f>
        <v/>
      </c>
      <c r="S2303">
        <f>IF($O2303="","",INDEX(Suivi!$G:$G,2347))</f>
        <v/>
      </c>
      <c r="T2303">
        <f>IF($O2303="","",IF(INDEX(Dossiers!$F$4:$F$63,44)="","",INDEX(Dossiers!$F$4:$F$63,44)))</f>
        <v/>
      </c>
      <c r="U2303">
        <f>IF($O2303="","",IF(INDEX(Dossiers!$G$4:$G$63,44)="","",INDEX(Dossiers!$G$4:$G$63,44)))</f>
        <v/>
      </c>
      <c r="V2303">
        <f>IF(OR($O2303="",NOT(ISNUMBER($Q2303))),"",$Q2303*1000000+2303)</f>
        <v/>
      </c>
      <c r="W2303" s="29">
        <f>IF($B2303="","",IFERROR(INDEX($U$4:$U$3183,MATCH(SMALL($V$4:$V$3183,2300),$V$4:$V$3183,0)),""))</f>
        <v/>
      </c>
    </row>
    <row r="2304">
      <c r="A2304">
        <f>IFERROR(INDEX($N$4:$N$3183,MATCH(SMALL($V$4:$V$3183,2301),$V$4:$V$3183,0)),"")</f>
        <v/>
      </c>
      <c r="B2304">
        <f>IFERROR(INDEX($O$4:$O$3183,MATCH(SMALL($V$4:$V$3183,2301),$V$4:$V$3183,0)),"")</f>
        <v/>
      </c>
      <c r="C2304">
        <f>IFERROR(INDEX($P$4:$P$3183,MATCH(SMALL($V$4:$V$3183,2301),$V$4:$V$3183,0)),"")</f>
        <v/>
      </c>
      <c r="D2304" s="29">
        <f>IFERROR(INDEX($Q$4:$Q$3183,MATCH(SMALL($V$4:$V$3183,2301),$V$4:$V$3183,0)),"")</f>
        <v/>
      </c>
      <c r="E2304" s="29">
        <f>IFERROR(INDEX($R$4:$R$3183,MATCH(SMALL($V$4:$V$3183,2301),$V$4:$V$3183,0)),"")</f>
        <v/>
      </c>
      <c r="F2304">
        <f>IFERROR(INDEX($S$4:$S$3183,MATCH(SMALL($V$4:$V$3183,2301),$V$4:$V$3183,0)),"")</f>
        <v/>
      </c>
      <c r="I2304" s="29">
        <f>IF($B2304="","",IFERROR(INDEX($U$4:$U$3183,MATCH(SMALL($V$4:$V$3183,2301),$V$4:$V$3183,0)),""))</f>
        <v/>
      </c>
      <c r="J2304">
        <f>IF($B2304="","",IF($D2304&gt;$F$2,"À venir",IF($E2304&lt;$D$2,"Passé","Dans la période")))</f>
        <v/>
      </c>
      <c r="K2304">
        <f>IF(OR($B2304="",NOT(ISNUMBER($D2304))),"",IF(AND($E2304&lt;$D$2,$G2304&lt;&gt;"X",$F2304&lt;&gt;"Réalisé",$F2304&lt;&gt;"Clôturé"),"RETARD",""))</f>
        <v/>
      </c>
      <c r="L2304">
        <f>IF(OR($B2304="",NOT(ISNUMBER($D2304))),"",IF(AND($D2304&gt;=$D$2,$D2304&lt;=$H$2,$G2304&lt;&gt;"X",$F2304&lt;&gt;"Réalisé",$F2304&lt;&gt;"Clôturé"),"≤ 7 j",""))</f>
        <v/>
      </c>
      <c r="M2304" s="29">
        <f>IF($B2304="","",IFERROR(INDEX($T$4:$T$3183,MATCH(SMALL($V$4:$V$3183,2301),$V$4:$V$3183,0)),""))</f>
        <v/>
      </c>
      <c r="O2304">
        <f>IF(INDEX(Suivi!$B:$B,2348)="","",INDEX(Suivi!$B:$B,2348))</f>
        <v/>
      </c>
      <c r="P2304">
        <f>IF($O2304="","",IF(INDEX(Suivi!$D:$D,2348)="",INDEX(Suivi!$C:$C,2348),INDEX(Suivi!$D:$D,2348)))</f>
        <v/>
      </c>
      <c r="Q2304">
        <f>IF($O2304="","",INDEX(Suivi!$E:$E,2348))</f>
        <v/>
      </c>
      <c r="R2304">
        <f>IF($O2304="","",INDEX(Suivi!$F:$F,2348))</f>
        <v/>
      </c>
      <c r="S2304">
        <f>IF($O2304="","",INDEX(Suivi!$G:$G,2348))</f>
        <v/>
      </c>
      <c r="T2304">
        <f>IF($O2304="","",IF(INDEX(Dossiers!$F$4:$F$63,44)="","",INDEX(Dossiers!$F$4:$F$63,44)))</f>
        <v/>
      </c>
      <c r="U2304">
        <f>IF($O2304="","",IF(INDEX(Dossiers!$G$4:$G$63,44)="","",INDEX(Dossiers!$G$4:$G$63,44)))</f>
        <v/>
      </c>
      <c r="V2304">
        <f>IF(OR($O2304="",NOT(ISNUMBER($Q2304))),"",$Q2304*1000000+2304)</f>
        <v/>
      </c>
      <c r="W2304" s="29">
        <f>IF($B2304="","",IFERROR(INDEX($U$4:$U$3183,MATCH(SMALL($V$4:$V$3183,2301),$V$4:$V$3183,0)),""))</f>
        <v/>
      </c>
    </row>
    <row r="2305">
      <c r="A2305">
        <f>IFERROR(INDEX($N$4:$N$3183,MATCH(SMALL($V$4:$V$3183,2302),$V$4:$V$3183,0)),"")</f>
        <v/>
      </c>
      <c r="B2305">
        <f>IFERROR(INDEX($O$4:$O$3183,MATCH(SMALL($V$4:$V$3183,2302),$V$4:$V$3183,0)),"")</f>
        <v/>
      </c>
      <c r="C2305">
        <f>IFERROR(INDEX($P$4:$P$3183,MATCH(SMALL($V$4:$V$3183,2302),$V$4:$V$3183,0)),"")</f>
        <v/>
      </c>
      <c r="D2305" s="29">
        <f>IFERROR(INDEX($Q$4:$Q$3183,MATCH(SMALL($V$4:$V$3183,2302),$V$4:$V$3183,0)),"")</f>
        <v/>
      </c>
      <c r="E2305" s="29">
        <f>IFERROR(INDEX($R$4:$R$3183,MATCH(SMALL($V$4:$V$3183,2302),$V$4:$V$3183,0)),"")</f>
        <v/>
      </c>
      <c r="F2305">
        <f>IFERROR(INDEX($S$4:$S$3183,MATCH(SMALL($V$4:$V$3183,2302),$V$4:$V$3183,0)),"")</f>
        <v/>
      </c>
      <c r="I2305" s="29">
        <f>IF($B2305="","",IFERROR(INDEX($U$4:$U$3183,MATCH(SMALL($V$4:$V$3183,2302),$V$4:$V$3183,0)),""))</f>
        <v/>
      </c>
      <c r="J2305">
        <f>IF($B2305="","",IF($D2305&gt;$F$2,"À venir",IF($E2305&lt;$D$2,"Passé","Dans la période")))</f>
        <v/>
      </c>
      <c r="K2305">
        <f>IF(OR($B2305="",NOT(ISNUMBER($D2305))),"",IF(AND($E2305&lt;$D$2,$G2305&lt;&gt;"X",$F2305&lt;&gt;"Réalisé",$F2305&lt;&gt;"Clôturé"),"RETARD",""))</f>
        <v/>
      </c>
      <c r="L2305">
        <f>IF(OR($B2305="",NOT(ISNUMBER($D2305))),"",IF(AND($D2305&gt;=$D$2,$D2305&lt;=$H$2,$G2305&lt;&gt;"X",$F2305&lt;&gt;"Réalisé",$F2305&lt;&gt;"Clôturé"),"≤ 7 j",""))</f>
        <v/>
      </c>
      <c r="M2305" s="29">
        <f>IF($B2305="","",IFERROR(INDEX($T$4:$T$3183,MATCH(SMALL($V$4:$V$3183,2302),$V$4:$V$3183,0)),""))</f>
        <v/>
      </c>
      <c r="O2305">
        <f>IF(INDEX(Suivi!$B:$B,2349)="","",INDEX(Suivi!$B:$B,2349))</f>
        <v/>
      </c>
      <c r="P2305">
        <f>IF($O2305="","",IF(INDEX(Suivi!$D:$D,2349)="",INDEX(Suivi!$C:$C,2349),INDEX(Suivi!$D:$D,2349)))</f>
        <v/>
      </c>
      <c r="Q2305">
        <f>IF($O2305="","",INDEX(Suivi!$E:$E,2349))</f>
        <v/>
      </c>
      <c r="R2305">
        <f>IF($O2305="","",INDEX(Suivi!$F:$F,2349))</f>
        <v/>
      </c>
      <c r="S2305">
        <f>IF($O2305="","",INDEX(Suivi!$G:$G,2349))</f>
        <v/>
      </c>
      <c r="T2305">
        <f>IF($O2305="","",IF(INDEX(Dossiers!$F$4:$F$63,44)="","",INDEX(Dossiers!$F$4:$F$63,44)))</f>
        <v/>
      </c>
      <c r="U2305">
        <f>IF($O2305="","",IF(INDEX(Dossiers!$G$4:$G$63,44)="","",INDEX(Dossiers!$G$4:$G$63,44)))</f>
        <v/>
      </c>
      <c r="V2305">
        <f>IF(OR($O2305="",NOT(ISNUMBER($Q2305))),"",$Q2305*1000000+2305)</f>
        <v/>
      </c>
      <c r="W2305" s="29">
        <f>IF($B2305="","",IFERROR(INDEX($U$4:$U$3183,MATCH(SMALL($V$4:$V$3183,2302),$V$4:$V$3183,0)),""))</f>
        <v/>
      </c>
    </row>
    <row r="2306">
      <c r="A2306">
        <f>IFERROR(INDEX($N$4:$N$3183,MATCH(SMALL($V$4:$V$3183,2303),$V$4:$V$3183,0)),"")</f>
        <v/>
      </c>
      <c r="B2306">
        <f>IFERROR(INDEX($O$4:$O$3183,MATCH(SMALL($V$4:$V$3183,2303),$V$4:$V$3183,0)),"")</f>
        <v/>
      </c>
      <c r="C2306">
        <f>IFERROR(INDEX($P$4:$P$3183,MATCH(SMALL($V$4:$V$3183,2303),$V$4:$V$3183,0)),"")</f>
        <v/>
      </c>
      <c r="D2306" s="29">
        <f>IFERROR(INDEX($Q$4:$Q$3183,MATCH(SMALL($V$4:$V$3183,2303),$V$4:$V$3183,0)),"")</f>
        <v/>
      </c>
      <c r="E2306" s="29">
        <f>IFERROR(INDEX($R$4:$R$3183,MATCH(SMALL($V$4:$V$3183,2303),$V$4:$V$3183,0)),"")</f>
        <v/>
      </c>
      <c r="F2306">
        <f>IFERROR(INDEX($S$4:$S$3183,MATCH(SMALL($V$4:$V$3183,2303),$V$4:$V$3183,0)),"")</f>
        <v/>
      </c>
      <c r="I2306" s="29">
        <f>IF($B2306="","",IFERROR(INDEX($U$4:$U$3183,MATCH(SMALL($V$4:$V$3183,2303),$V$4:$V$3183,0)),""))</f>
        <v/>
      </c>
      <c r="J2306">
        <f>IF($B2306="","",IF($D2306&gt;$F$2,"À venir",IF($E2306&lt;$D$2,"Passé","Dans la période")))</f>
        <v/>
      </c>
      <c r="K2306">
        <f>IF(OR($B2306="",NOT(ISNUMBER($D2306))),"",IF(AND($E2306&lt;$D$2,$G2306&lt;&gt;"X",$F2306&lt;&gt;"Réalisé",$F2306&lt;&gt;"Clôturé"),"RETARD",""))</f>
        <v/>
      </c>
      <c r="L2306">
        <f>IF(OR($B2306="",NOT(ISNUMBER($D2306))),"",IF(AND($D2306&gt;=$D$2,$D2306&lt;=$H$2,$G2306&lt;&gt;"X",$F2306&lt;&gt;"Réalisé",$F2306&lt;&gt;"Clôturé"),"≤ 7 j",""))</f>
        <v/>
      </c>
      <c r="M2306" s="29">
        <f>IF($B2306="","",IFERROR(INDEX($T$4:$T$3183,MATCH(SMALL($V$4:$V$3183,2303),$V$4:$V$3183,0)),""))</f>
        <v/>
      </c>
      <c r="O2306">
        <f>IF(INDEX(Suivi!$B:$B,2350)="","",INDEX(Suivi!$B:$B,2350))</f>
        <v/>
      </c>
      <c r="P2306">
        <f>IF($O2306="","",IF(INDEX(Suivi!$D:$D,2350)="",INDEX(Suivi!$C:$C,2350),INDEX(Suivi!$D:$D,2350)))</f>
        <v/>
      </c>
      <c r="Q2306">
        <f>IF($O2306="","",INDEX(Suivi!$E:$E,2350))</f>
        <v/>
      </c>
      <c r="R2306">
        <f>IF($O2306="","",INDEX(Suivi!$F:$F,2350))</f>
        <v/>
      </c>
      <c r="S2306">
        <f>IF($O2306="","",INDEX(Suivi!$G:$G,2350))</f>
        <v/>
      </c>
      <c r="T2306">
        <f>IF($O2306="","",IF(INDEX(Dossiers!$F$4:$F$63,44)="","",INDEX(Dossiers!$F$4:$F$63,44)))</f>
        <v/>
      </c>
      <c r="U2306">
        <f>IF($O2306="","",IF(INDEX(Dossiers!$G$4:$G$63,44)="","",INDEX(Dossiers!$G$4:$G$63,44)))</f>
        <v/>
      </c>
      <c r="V2306">
        <f>IF(OR($O2306="",NOT(ISNUMBER($Q2306))),"",$Q2306*1000000+2306)</f>
        <v/>
      </c>
      <c r="W2306" s="29">
        <f>IF($B2306="","",IFERROR(INDEX($U$4:$U$3183,MATCH(SMALL($V$4:$V$3183,2303),$V$4:$V$3183,0)),""))</f>
        <v/>
      </c>
    </row>
    <row r="2307">
      <c r="A2307">
        <f>IFERROR(INDEX($N$4:$N$3183,MATCH(SMALL($V$4:$V$3183,2304),$V$4:$V$3183,0)),"")</f>
        <v/>
      </c>
      <c r="B2307">
        <f>IFERROR(INDEX($O$4:$O$3183,MATCH(SMALL($V$4:$V$3183,2304),$V$4:$V$3183,0)),"")</f>
        <v/>
      </c>
      <c r="C2307">
        <f>IFERROR(INDEX($P$4:$P$3183,MATCH(SMALL($V$4:$V$3183,2304),$V$4:$V$3183,0)),"")</f>
        <v/>
      </c>
      <c r="D2307" s="29">
        <f>IFERROR(INDEX($Q$4:$Q$3183,MATCH(SMALL($V$4:$V$3183,2304),$V$4:$V$3183,0)),"")</f>
        <v/>
      </c>
      <c r="E2307" s="29">
        <f>IFERROR(INDEX($R$4:$R$3183,MATCH(SMALL($V$4:$V$3183,2304),$V$4:$V$3183,0)),"")</f>
        <v/>
      </c>
      <c r="F2307">
        <f>IFERROR(INDEX($S$4:$S$3183,MATCH(SMALL($V$4:$V$3183,2304),$V$4:$V$3183,0)),"")</f>
        <v/>
      </c>
      <c r="I2307" s="29">
        <f>IF($B2307="","",IFERROR(INDEX($U$4:$U$3183,MATCH(SMALL($V$4:$V$3183,2304),$V$4:$V$3183,0)),""))</f>
        <v/>
      </c>
      <c r="J2307">
        <f>IF($B2307="","",IF($D2307&gt;$F$2,"À venir",IF($E2307&lt;$D$2,"Passé","Dans la période")))</f>
        <v/>
      </c>
      <c r="K2307">
        <f>IF(OR($B2307="",NOT(ISNUMBER($D2307))),"",IF(AND($E2307&lt;$D$2,$G2307&lt;&gt;"X",$F2307&lt;&gt;"Réalisé",$F2307&lt;&gt;"Clôturé"),"RETARD",""))</f>
        <v/>
      </c>
      <c r="L2307">
        <f>IF(OR($B2307="",NOT(ISNUMBER($D2307))),"",IF(AND($D2307&gt;=$D$2,$D2307&lt;=$H$2,$G2307&lt;&gt;"X",$F2307&lt;&gt;"Réalisé",$F2307&lt;&gt;"Clôturé"),"≤ 7 j",""))</f>
        <v/>
      </c>
      <c r="M2307" s="29">
        <f>IF($B2307="","",IFERROR(INDEX($T$4:$T$3183,MATCH(SMALL($V$4:$V$3183,2304),$V$4:$V$3183,0)),""))</f>
        <v/>
      </c>
      <c r="O2307">
        <f>IF(INDEX(Suivi!$B:$B,2351)="","",INDEX(Suivi!$B:$B,2351))</f>
        <v/>
      </c>
      <c r="P2307">
        <f>IF($O2307="","",IF(INDEX(Suivi!$D:$D,2351)="",INDEX(Suivi!$C:$C,2351),INDEX(Suivi!$D:$D,2351)))</f>
        <v/>
      </c>
      <c r="Q2307">
        <f>IF($O2307="","",INDEX(Suivi!$E:$E,2351))</f>
        <v/>
      </c>
      <c r="R2307">
        <f>IF($O2307="","",INDEX(Suivi!$F:$F,2351))</f>
        <v/>
      </c>
      <c r="S2307">
        <f>IF($O2307="","",INDEX(Suivi!$G:$G,2351))</f>
        <v/>
      </c>
      <c r="T2307">
        <f>IF($O2307="","",IF(INDEX(Dossiers!$F$4:$F$63,44)="","",INDEX(Dossiers!$F$4:$F$63,44)))</f>
        <v/>
      </c>
      <c r="U2307">
        <f>IF($O2307="","",IF(INDEX(Dossiers!$G$4:$G$63,44)="","",INDEX(Dossiers!$G$4:$G$63,44)))</f>
        <v/>
      </c>
      <c r="V2307">
        <f>IF(OR($O2307="",NOT(ISNUMBER($Q2307))),"",$Q2307*1000000+2307)</f>
        <v/>
      </c>
      <c r="W2307" s="29">
        <f>IF($B2307="","",IFERROR(INDEX($U$4:$U$3183,MATCH(SMALL($V$4:$V$3183,2304),$V$4:$V$3183,0)),""))</f>
        <v/>
      </c>
    </row>
    <row r="2308">
      <c r="A2308">
        <f>IFERROR(INDEX($N$4:$N$3183,MATCH(SMALL($V$4:$V$3183,2305),$V$4:$V$3183,0)),"")</f>
        <v/>
      </c>
      <c r="B2308">
        <f>IFERROR(INDEX($O$4:$O$3183,MATCH(SMALL($V$4:$V$3183,2305),$V$4:$V$3183,0)),"")</f>
        <v/>
      </c>
      <c r="C2308">
        <f>IFERROR(INDEX($P$4:$P$3183,MATCH(SMALL($V$4:$V$3183,2305),$V$4:$V$3183,0)),"")</f>
        <v/>
      </c>
      <c r="D2308" s="29">
        <f>IFERROR(INDEX($Q$4:$Q$3183,MATCH(SMALL($V$4:$V$3183,2305),$V$4:$V$3183,0)),"")</f>
        <v/>
      </c>
      <c r="E2308" s="29">
        <f>IFERROR(INDEX($R$4:$R$3183,MATCH(SMALL($V$4:$V$3183,2305),$V$4:$V$3183,0)),"")</f>
        <v/>
      </c>
      <c r="F2308">
        <f>IFERROR(INDEX($S$4:$S$3183,MATCH(SMALL($V$4:$V$3183,2305),$V$4:$V$3183,0)),"")</f>
        <v/>
      </c>
      <c r="I2308" s="29">
        <f>IF($B2308="","",IFERROR(INDEX($U$4:$U$3183,MATCH(SMALL($V$4:$V$3183,2305),$V$4:$V$3183,0)),""))</f>
        <v/>
      </c>
      <c r="J2308">
        <f>IF($B2308="","",IF($D2308&gt;$F$2,"À venir",IF($E2308&lt;$D$2,"Passé","Dans la période")))</f>
        <v/>
      </c>
      <c r="K2308">
        <f>IF(OR($B2308="",NOT(ISNUMBER($D2308))),"",IF(AND($E2308&lt;$D$2,$G2308&lt;&gt;"X",$F2308&lt;&gt;"Réalisé",$F2308&lt;&gt;"Clôturé"),"RETARD",""))</f>
        <v/>
      </c>
      <c r="L2308">
        <f>IF(OR($B2308="",NOT(ISNUMBER($D2308))),"",IF(AND($D2308&gt;=$D$2,$D2308&lt;=$H$2,$G2308&lt;&gt;"X",$F2308&lt;&gt;"Réalisé",$F2308&lt;&gt;"Clôturé"),"≤ 7 j",""))</f>
        <v/>
      </c>
      <c r="M2308" s="29">
        <f>IF($B2308="","",IFERROR(INDEX($T$4:$T$3183,MATCH(SMALL($V$4:$V$3183,2305),$V$4:$V$3183,0)),""))</f>
        <v/>
      </c>
      <c r="O2308">
        <f>IF(INDEX(Suivi!$B:$B,2352)="","",INDEX(Suivi!$B:$B,2352))</f>
        <v/>
      </c>
      <c r="P2308">
        <f>IF($O2308="","",IF(INDEX(Suivi!$D:$D,2352)="",INDEX(Suivi!$C:$C,2352),INDEX(Suivi!$D:$D,2352)))</f>
        <v/>
      </c>
      <c r="Q2308">
        <f>IF($O2308="","",INDEX(Suivi!$E:$E,2352))</f>
        <v/>
      </c>
      <c r="R2308">
        <f>IF($O2308="","",INDEX(Suivi!$F:$F,2352))</f>
        <v/>
      </c>
      <c r="S2308">
        <f>IF($O2308="","",INDEX(Suivi!$G:$G,2352))</f>
        <v/>
      </c>
      <c r="T2308">
        <f>IF($O2308="","",IF(INDEX(Dossiers!$F$4:$F$63,44)="","",INDEX(Dossiers!$F$4:$F$63,44)))</f>
        <v/>
      </c>
      <c r="U2308">
        <f>IF($O2308="","",IF(INDEX(Dossiers!$G$4:$G$63,44)="","",INDEX(Dossiers!$G$4:$G$63,44)))</f>
        <v/>
      </c>
      <c r="V2308">
        <f>IF(OR($O2308="",NOT(ISNUMBER($Q2308))),"",$Q2308*1000000+2308)</f>
        <v/>
      </c>
      <c r="W2308" s="29">
        <f>IF($B2308="","",IFERROR(INDEX($U$4:$U$3183,MATCH(SMALL($V$4:$V$3183,2305),$V$4:$V$3183,0)),""))</f>
        <v/>
      </c>
    </row>
    <row r="2309">
      <c r="A2309">
        <f>IFERROR(INDEX($N$4:$N$3183,MATCH(SMALL($V$4:$V$3183,2306),$V$4:$V$3183,0)),"")</f>
        <v/>
      </c>
      <c r="B2309">
        <f>IFERROR(INDEX($O$4:$O$3183,MATCH(SMALL($V$4:$V$3183,2306),$V$4:$V$3183,0)),"")</f>
        <v/>
      </c>
      <c r="C2309">
        <f>IFERROR(INDEX($P$4:$P$3183,MATCH(SMALL($V$4:$V$3183,2306),$V$4:$V$3183,0)),"")</f>
        <v/>
      </c>
      <c r="D2309" s="29">
        <f>IFERROR(INDEX($Q$4:$Q$3183,MATCH(SMALL($V$4:$V$3183,2306),$V$4:$V$3183,0)),"")</f>
        <v/>
      </c>
      <c r="E2309" s="29">
        <f>IFERROR(INDEX($R$4:$R$3183,MATCH(SMALL($V$4:$V$3183,2306),$V$4:$V$3183,0)),"")</f>
        <v/>
      </c>
      <c r="F2309">
        <f>IFERROR(INDEX($S$4:$S$3183,MATCH(SMALL($V$4:$V$3183,2306),$V$4:$V$3183,0)),"")</f>
        <v/>
      </c>
      <c r="I2309" s="29">
        <f>IF($B2309="","",IFERROR(INDEX($U$4:$U$3183,MATCH(SMALL($V$4:$V$3183,2306),$V$4:$V$3183,0)),""))</f>
        <v/>
      </c>
      <c r="J2309">
        <f>IF($B2309="","",IF($D2309&gt;$F$2,"À venir",IF($E2309&lt;$D$2,"Passé","Dans la période")))</f>
        <v/>
      </c>
      <c r="K2309">
        <f>IF(OR($B2309="",NOT(ISNUMBER($D2309))),"",IF(AND($E2309&lt;$D$2,$G2309&lt;&gt;"X",$F2309&lt;&gt;"Réalisé",$F2309&lt;&gt;"Clôturé"),"RETARD",""))</f>
        <v/>
      </c>
      <c r="L2309">
        <f>IF(OR($B2309="",NOT(ISNUMBER($D2309))),"",IF(AND($D2309&gt;=$D$2,$D2309&lt;=$H$2,$G2309&lt;&gt;"X",$F2309&lt;&gt;"Réalisé",$F2309&lt;&gt;"Clôturé"),"≤ 7 j",""))</f>
        <v/>
      </c>
      <c r="M2309" s="29">
        <f>IF($B2309="","",IFERROR(INDEX($T$4:$T$3183,MATCH(SMALL($V$4:$V$3183,2306),$V$4:$V$3183,0)),""))</f>
        <v/>
      </c>
      <c r="O2309">
        <f>IF(INDEX(Suivi!$B:$B,2353)="","",INDEX(Suivi!$B:$B,2353))</f>
        <v/>
      </c>
      <c r="P2309">
        <f>IF($O2309="","",IF(INDEX(Suivi!$D:$D,2353)="",INDEX(Suivi!$C:$C,2353),INDEX(Suivi!$D:$D,2353)))</f>
        <v/>
      </c>
      <c r="Q2309">
        <f>IF($O2309="","",INDEX(Suivi!$E:$E,2353))</f>
        <v/>
      </c>
      <c r="R2309">
        <f>IF($O2309="","",INDEX(Suivi!$F:$F,2353))</f>
        <v/>
      </c>
      <c r="S2309">
        <f>IF($O2309="","",INDEX(Suivi!$G:$G,2353))</f>
        <v/>
      </c>
      <c r="T2309">
        <f>IF($O2309="","",IF(INDEX(Dossiers!$F$4:$F$63,44)="","",INDEX(Dossiers!$F$4:$F$63,44)))</f>
        <v/>
      </c>
      <c r="U2309">
        <f>IF($O2309="","",IF(INDEX(Dossiers!$G$4:$G$63,44)="","",INDEX(Dossiers!$G$4:$G$63,44)))</f>
        <v/>
      </c>
      <c r="V2309">
        <f>IF(OR($O2309="",NOT(ISNUMBER($Q2309))),"",$Q2309*1000000+2309)</f>
        <v/>
      </c>
      <c r="W2309" s="29">
        <f>IF($B2309="","",IFERROR(INDEX($U$4:$U$3183,MATCH(SMALL($V$4:$V$3183,2306),$V$4:$V$3183,0)),""))</f>
        <v/>
      </c>
    </row>
    <row r="2310">
      <c r="A2310">
        <f>IFERROR(INDEX($N$4:$N$3183,MATCH(SMALL($V$4:$V$3183,2307),$V$4:$V$3183,0)),"")</f>
        <v/>
      </c>
      <c r="B2310">
        <f>IFERROR(INDEX($O$4:$O$3183,MATCH(SMALL($V$4:$V$3183,2307),$V$4:$V$3183,0)),"")</f>
        <v/>
      </c>
      <c r="C2310">
        <f>IFERROR(INDEX($P$4:$P$3183,MATCH(SMALL($V$4:$V$3183,2307),$V$4:$V$3183,0)),"")</f>
        <v/>
      </c>
      <c r="D2310" s="29">
        <f>IFERROR(INDEX($Q$4:$Q$3183,MATCH(SMALL($V$4:$V$3183,2307),$V$4:$V$3183,0)),"")</f>
        <v/>
      </c>
      <c r="E2310" s="29">
        <f>IFERROR(INDEX($R$4:$R$3183,MATCH(SMALL($V$4:$V$3183,2307),$V$4:$V$3183,0)),"")</f>
        <v/>
      </c>
      <c r="F2310">
        <f>IFERROR(INDEX($S$4:$S$3183,MATCH(SMALL($V$4:$V$3183,2307),$V$4:$V$3183,0)),"")</f>
        <v/>
      </c>
      <c r="I2310" s="29">
        <f>IF($B2310="","",IFERROR(INDEX($U$4:$U$3183,MATCH(SMALL($V$4:$V$3183,2307),$V$4:$V$3183,0)),""))</f>
        <v/>
      </c>
      <c r="J2310">
        <f>IF($B2310="","",IF($D2310&gt;$F$2,"À venir",IF($E2310&lt;$D$2,"Passé","Dans la période")))</f>
        <v/>
      </c>
      <c r="K2310">
        <f>IF(OR($B2310="",NOT(ISNUMBER($D2310))),"",IF(AND($E2310&lt;$D$2,$G2310&lt;&gt;"X",$F2310&lt;&gt;"Réalisé",$F2310&lt;&gt;"Clôturé"),"RETARD",""))</f>
        <v/>
      </c>
      <c r="L2310">
        <f>IF(OR($B2310="",NOT(ISNUMBER($D2310))),"",IF(AND($D2310&gt;=$D$2,$D2310&lt;=$H$2,$G2310&lt;&gt;"X",$F2310&lt;&gt;"Réalisé",$F2310&lt;&gt;"Clôturé"),"≤ 7 j",""))</f>
        <v/>
      </c>
      <c r="M2310" s="29">
        <f>IF($B2310="","",IFERROR(INDEX($T$4:$T$3183,MATCH(SMALL($V$4:$V$3183,2307),$V$4:$V$3183,0)),""))</f>
        <v/>
      </c>
      <c r="O2310">
        <f>IF(INDEX(Suivi!$B:$B,2354)="","",INDEX(Suivi!$B:$B,2354))</f>
        <v/>
      </c>
      <c r="P2310">
        <f>IF($O2310="","",IF(INDEX(Suivi!$D:$D,2354)="",INDEX(Suivi!$C:$C,2354),INDEX(Suivi!$D:$D,2354)))</f>
        <v/>
      </c>
      <c r="Q2310">
        <f>IF($O2310="","",INDEX(Suivi!$E:$E,2354))</f>
        <v/>
      </c>
      <c r="R2310">
        <f>IF($O2310="","",INDEX(Suivi!$F:$F,2354))</f>
        <v/>
      </c>
      <c r="S2310">
        <f>IF($O2310="","",INDEX(Suivi!$G:$G,2354))</f>
        <v/>
      </c>
      <c r="T2310">
        <f>IF($O2310="","",IF(INDEX(Dossiers!$F$4:$F$63,44)="","",INDEX(Dossiers!$F$4:$F$63,44)))</f>
        <v/>
      </c>
      <c r="U2310">
        <f>IF($O2310="","",IF(INDEX(Dossiers!$G$4:$G$63,44)="","",INDEX(Dossiers!$G$4:$G$63,44)))</f>
        <v/>
      </c>
      <c r="V2310">
        <f>IF(OR($O2310="",NOT(ISNUMBER($Q2310))),"",$Q2310*1000000+2310)</f>
        <v/>
      </c>
      <c r="W2310" s="29">
        <f>IF($B2310="","",IFERROR(INDEX($U$4:$U$3183,MATCH(SMALL($V$4:$V$3183,2307),$V$4:$V$3183,0)),""))</f>
        <v/>
      </c>
    </row>
    <row r="2311">
      <c r="A2311">
        <f>IFERROR(INDEX($N$4:$N$3183,MATCH(SMALL($V$4:$V$3183,2308),$V$4:$V$3183,0)),"")</f>
        <v/>
      </c>
      <c r="B2311">
        <f>IFERROR(INDEX($O$4:$O$3183,MATCH(SMALL($V$4:$V$3183,2308),$V$4:$V$3183,0)),"")</f>
        <v/>
      </c>
      <c r="C2311">
        <f>IFERROR(INDEX($P$4:$P$3183,MATCH(SMALL($V$4:$V$3183,2308),$V$4:$V$3183,0)),"")</f>
        <v/>
      </c>
      <c r="D2311" s="29">
        <f>IFERROR(INDEX($Q$4:$Q$3183,MATCH(SMALL($V$4:$V$3183,2308),$V$4:$V$3183,0)),"")</f>
        <v/>
      </c>
      <c r="E2311" s="29">
        <f>IFERROR(INDEX($R$4:$R$3183,MATCH(SMALL($V$4:$V$3183,2308),$V$4:$V$3183,0)),"")</f>
        <v/>
      </c>
      <c r="F2311">
        <f>IFERROR(INDEX($S$4:$S$3183,MATCH(SMALL($V$4:$V$3183,2308),$V$4:$V$3183,0)),"")</f>
        <v/>
      </c>
      <c r="I2311" s="29">
        <f>IF($B2311="","",IFERROR(INDEX($U$4:$U$3183,MATCH(SMALL($V$4:$V$3183,2308),$V$4:$V$3183,0)),""))</f>
        <v/>
      </c>
      <c r="J2311">
        <f>IF($B2311="","",IF($D2311&gt;$F$2,"À venir",IF($E2311&lt;$D$2,"Passé","Dans la période")))</f>
        <v/>
      </c>
      <c r="K2311">
        <f>IF(OR($B2311="",NOT(ISNUMBER($D2311))),"",IF(AND($E2311&lt;$D$2,$G2311&lt;&gt;"X",$F2311&lt;&gt;"Réalisé",$F2311&lt;&gt;"Clôturé"),"RETARD",""))</f>
        <v/>
      </c>
      <c r="L2311">
        <f>IF(OR($B2311="",NOT(ISNUMBER($D2311))),"",IF(AND($D2311&gt;=$D$2,$D2311&lt;=$H$2,$G2311&lt;&gt;"X",$F2311&lt;&gt;"Réalisé",$F2311&lt;&gt;"Clôturé"),"≤ 7 j",""))</f>
        <v/>
      </c>
      <c r="M2311" s="29">
        <f>IF($B2311="","",IFERROR(INDEX($T$4:$T$3183,MATCH(SMALL($V$4:$V$3183,2308),$V$4:$V$3183,0)),""))</f>
        <v/>
      </c>
      <c r="O2311">
        <f>IF(INDEX(Suivi!$B:$B,2355)="","",INDEX(Suivi!$B:$B,2355))</f>
        <v/>
      </c>
      <c r="P2311">
        <f>IF($O2311="","",IF(INDEX(Suivi!$D:$D,2355)="",INDEX(Suivi!$C:$C,2355),INDEX(Suivi!$D:$D,2355)))</f>
        <v/>
      </c>
      <c r="Q2311">
        <f>IF($O2311="","",INDEX(Suivi!$E:$E,2355))</f>
        <v/>
      </c>
      <c r="R2311">
        <f>IF($O2311="","",INDEX(Suivi!$F:$F,2355))</f>
        <v/>
      </c>
      <c r="S2311">
        <f>IF($O2311="","",INDEX(Suivi!$G:$G,2355))</f>
        <v/>
      </c>
      <c r="T2311">
        <f>IF($O2311="","",IF(INDEX(Dossiers!$F$4:$F$63,44)="","",INDEX(Dossiers!$F$4:$F$63,44)))</f>
        <v/>
      </c>
      <c r="U2311">
        <f>IF($O2311="","",IF(INDEX(Dossiers!$G$4:$G$63,44)="","",INDEX(Dossiers!$G$4:$G$63,44)))</f>
        <v/>
      </c>
      <c r="V2311">
        <f>IF(OR($O2311="",NOT(ISNUMBER($Q2311))),"",$Q2311*1000000+2311)</f>
        <v/>
      </c>
      <c r="W2311" s="29">
        <f>IF($B2311="","",IFERROR(INDEX($U$4:$U$3183,MATCH(SMALL($V$4:$V$3183,2308),$V$4:$V$3183,0)),""))</f>
        <v/>
      </c>
    </row>
    <row r="2312">
      <c r="A2312">
        <f>IFERROR(INDEX($N$4:$N$3183,MATCH(SMALL($V$4:$V$3183,2309),$V$4:$V$3183,0)),"")</f>
        <v/>
      </c>
      <c r="B2312">
        <f>IFERROR(INDEX($O$4:$O$3183,MATCH(SMALL($V$4:$V$3183,2309),$V$4:$V$3183,0)),"")</f>
        <v/>
      </c>
      <c r="C2312">
        <f>IFERROR(INDEX($P$4:$P$3183,MATCH(SMALL($V$4:$V$3183,2309),$V$4:$V$3183,0)),"")</f>
        <v/>
      </c>
      <c r="D2312" s="29">
        <f>IFERROR(INDEX($Q$4:$Q$3183,MATCH(SMALL($V$4:$V$3183,2309),$V$4:$V$3183,0)),"")</f>
        <v/>
      </c>
      <c r="E2312" s="29">
        <f>IFERROR(INDEX($R$4:$R$3183,MATCH(SMALL($V$4:$V$3183,2309),$V$4:$V$3183,0)),"")</f>
        <v/>
      </c>
      <c r="F2312">
        <f>IFERROR(INDEX($S$4:$S$3183,MATCH(SMALL($V$4:$V$3183,2309),$V$4:$V$3183,0)),"")</f>
        <v/>
      </c>
      <c r="I2312" s="29">
        <f>IF($B2312="","",IFERROR(INDEX($U$4:$U$3183,MATCH(SMALL($V$4:$V$3183,2309),$V$4:$V$3183,0)),""))</f>
        <v/>
      </c>
      <c r="J2312">
        <f>IF($B2312="","",IF($D2312&gt;$F$2,"À venir",IF($E2312&lt;$D$2,"Passé","Dans la période")))</f>
        <v/>
      </c>
      <c r="K2312">
        <f>IF(OR($B2312="",NOT(ISNUMBER($D2312))),"",IF(AND($E2312&lt;$D$2,$G2312&lt;&gt;"X",$F2312&lt;&gt;"Réalisé",$F2312&lt;&gt;"Clôturé"),"RETARD",""))</f>
        <v/>
      </c>
      <c r="L2312">
        <f>IF(OR($B2312="",NOT(ISNUMBER($D2312))),"",IF(AND($D2312&gt;=$D$2,$D2312&lt;=$H$2,$G2312&lt;&gt;"X",$F2312&lt;&gt;"Réalisé",$F2312&lt;&gt;"Clôturé"),"≤ 7 j",""))</f>
        <v/>
      </c>
      <c r="M2312" s="29">
        <f>IF($B2312="","",IFERROR(INDEX($T$4:$T$3183,MATCH(SMALL($V$4:$V$3183,2309),$V$4:$V$3183,0)),""))</f>
        <v/>
      </c>
      <c r="O2312">
        <f>IF(INDEX(Suivi!$B:$B,2356)="","",INDEX(Suivi!$B:$B,2356))</f>
        <v/>
      </c>
      <c r="P2312">
        <f>IF($O2312="","",IF(INDEX(Suivi!$D:$D,2356)="",INDEX(Suivi!$C:$C,2356),INDEX(Suivi!$D:$D,2356)))</f>
        <v/>
      </c>
      <c r="Q2312">
        <f>IF($O2312="","",INDEX(Suivi!$E:$E,2356))</f>
        <v/>
      </c>
      <c r="R2312">
        <f>IF($O2312="","",INDEX(Suivi!$F:$F,2356))</f>
        <v/>
      </c>
      <c r="S2312">
        <f>IF($O2312="","",INDEX(Suivi!$G:$G,2356))</f>
        <v/>
      </c>
      <c r="T2312">
        <f>IF($O2312="","",IF(INDEX(Dossiers!$F$4:$F$63,44)="","",INDEX(Dossiers!$F$4:$F$63,44)))</f>
        <v/>
      </c>
      <c r="U2312">
        <f>IF($O2312="","",IF(INDEX(Dossiers!$G$4:$G$63,44)="","",INDEX(Dossiers!$G$4:$G$63,44)))</f>
        <v/>
      </c>
      <c r="V2312">
        <f>IF(OR($O2312="",NOT(ISNUMBER($Q2312))),"",$Q2312*1000000+2312)</f>
        <v/>
      </c>
      <c r="W2312" s="29">
        <f>IF($B2312="","",IFERROR(INDEX($U$4:$U$3183,MATCH(SMALL($V$4:$V$3183,2309),$V$4:$V$3183,0)),""))</f>
        <v/>
      </c>
    </row>
    <row r="2313">
      <c r="A2313">
        <f>IFERROR(INDEX($N$4:$N$3183,MATCH(SMALL($V$4:$V$3183,2310),$V$4:$V$3183,0)),"")</f>
        <v/>
      </c>
      <c r="B2313">
        <f>IFERROR(INDEX($O$4:$O$3183,MATCH(SMALL($V$4:$V$3183,2310),$V$4:$V$3183,0)),"")</f>
        <v/>
      </c>
      <c r="C2313">
        <f>IFERROR(INDEX($P$4:$P$3183,MATCH(SMALL($V$4:$V$3183,2310),$V$4:$V$3183,0)),"")</f>
        <v/>
      </c>
      <c r="D2313" s="29">
        <f>IFERROR(INDEX($Q$4:$Q$3183,MATCH(SMALL($V$4:$V$3183,2310),$V$4:$V$3183,0)),"")</f>
        <v/>
      </c>
      <c r="E2313" s="29">
        <f>IFERROR(INDEX($R$4:$R$3183,MATCH(SMALL($V$4:$V$3183,2310),$V$4:$V$3183,0)),"")</f>
        <v/>
      </c>
      <c r="F2313">
        <f>IFERROR(INDEX($S$4:$S$3183,MATCH(SMALL($V$4:$V$3183,2310),$V$4:$V$3183,0)),"")</f>
        <v/>
      </c>
      <c r="I2313" s="29">
        <f>IF($B2313="","",IFERROR(INDEX($U$4:$U$3183,MATCH(SMALL($V$4:$V$3183,2310),$V$4:$V$3183,0)),""))</f>
        <v/>
      </c>
      <c r="J2313">
        <f>IF($B2313="","",IF($D2313&gt;$F$2,"À venir",IF($E2313&lt;$D$2,"Passé","Dans la période")))</f>
        <v/>
      </c>
      <c r="K2313">
        <f>IF(OR($B2313="",NOT(ISNUMBER($D2313))),"",IF(AND($E2313&lt;$D$2,$G2313&lt;&gt;"X",$F2313&lt;&gt;"Réalisé",$F2313&lt;&gt;"Clôturé"),"RETARD",""))</f>
        <v/>
      </c>
      <c r="L2313">
        <f>IF(OR($B2313="",NOT(ISNUMBER($D2313))),"",IF(AND($D2313&gt;=$D$2,$D2313&lt;=$H$2,$G2313&lt;&gt;"X",$F2313&lt;&gt;"Réalisé",$F2313&lt;&gt;"Clôturé"),"≤ 7 j",""))</f>
        <v/>
      </c>
      <c r="M2313" s="29">
        <f>IF($B2313="","",IFERROR(INDEX($T$4:$T$3183,MATCH(SMALL($V$4:$V$3183,2310),$V$4:$V$3183,0)),""))</f>
        <v/>
      </c>
      <c r="O2313">
        <f>IF(INDEX(Suivi!$B:$B,2357)="","",INDEX(Suivi!$B:$B,2357))</f>
        <v/>
      </c>
      <c r="P2313">
        <f>IF($O2313="","",IF(INDEX(Suivi!$D:$D,2357)="",INDEX(Suivi!$C:$C,2357),INDEX(Suivi!$D:$D,2357)))</f>
        <v/>
      </c>
      <c r="Q2313">
        <f>IF($O2313="","",INDEX(Suivi!$E:$E,2357))</f>
        <v/>
      </c>
      <c r="R2313">
        <f>IF($O2313="","",INDEX(Suivi!$F:$F,2357))</f>
        <v/>
      </c>
      <c r="S2313">
        <f>IF($O2313="","",INDEX(Suivi!$G:$G,2357))</f>
        <v/>
      </c>
      <c r="T2313">
        <f>IF($O2313="","",IF(INDEX(Dossiers!$F$4:$F$63,44)="","",INDEX(Dossiers!$F$4:$F$63,44)))</f>
        <v/>
      </c>
      <c r="U2313">
        <f>IF($O2313="","",IF(INDEX(Dossiers!$G$4:$G$63,44)="","",INDEX(Dossiers!$G$4:$G$63,44)))</f>
        <v/>
      </c>
      <c r="V2313">
        <f>IF(OR($O2313="",NOT(ISNUMBER($Q2313))),"",$Q2313*1000000+2313)</f>
        <v/>
      </c>
      <c r="W2313" s="29">
        <f>IF($B2313="","",IFERROR(INDEX($U$4:$U$3183,MATCH(SMALL($V$4:$V$3183,2310),$V$4:$V$3183,0)),""))</f>
        <v/>
      </c>
    </row>
    <row r="2314">
      <c r="A2314">
        <f>IFERROR(INDEX($N$4:$N$3183,MATCH(SMALL($V$4:$V$3183,2311),$V$4:$V$3183,0)),"")</f>
        <v/>
      </c>
      <c r="B2314">
        <f>IFERROR(INDEX($O$4:$O$3183,MATCH(SMALL($V$4:$V$3183,2311),$V$4:$V$3183,0)),"")</f>
        <v/>
      </c>
      <c r="C2314">
        <f>IFERROR(INDEX($P$4:$P$3183,MATCH(SMALL($V$4:$V$3183,2311),$V$4:$V$3183,0)),"")</f>
        <v/>
      </c>
      <c r="D2314" s="29">
        <f>IFERROR(INDEX($Q$4:$Q$3183,MATCH(SMALL($V$4:$V$3183,2311),$V$4:$V$3183,0)),"")</f>
        <v/>
      </c>
      <c r="E2314" s="29">
        <f>IFERROR(INDEX($R$4:$R$3183,MATCH(SMALL($V$4:$V$3183,2311),$V$4:$V$3183,0)),"")</f>
        <v/>
      </c>
      <c r="F2314">
        <f>IFERROR(INDEX($S$4:$S$3183,MATCH(SMALL($V$4:$V$3183,2311),$V$4:$V$3183,0)),"")</f>
        <v/>
      </c>
      <c r="I2314" s="29">
        <f>IF($B2314="","",IFERROR(INDEX($U$4:$U$3183,MATCH(SMALL($V$4:$V$3183,2311),$V$4:$V$3183,0)),""))</f>
        <v/>
      </c>
      <c r="J2314">
        <f>IF($B2314="","",IF($D2314&gt;$F$2,"À venir",IF($E2314&lt;$D$2,"Passé","Dans la période")))</f>
        <v/>
      </c>
      <c r="K2314">
        <f>IF(OR($B2314="",NOT(ISNUMBER($D2314))),"",IF(AND($E2314&lt;$D$2,$G2314&lt;&gt;"X",$F2314&lt;&gt;"Réalisé",$F2314&lt;&gt;"Clôturé"),"RETARD",""))</f>
        <v/>
      </c>
      <c r="L2314">
        <f>IF(OR($B2314="",NOT(ISNUMBER($D2314))),"",IF(AND($D2314&gt;=$D$2,$D2314&lt;=$H$2,$G2314&lt;&gt;"X",$F2314&lt;&gt;"Réalisé",$F2314&lt;&gt;"Clôturé"),"≤ 7 j",""))</f>
        <v/>
      </c>
      <c r="M2314" s="29">
        <f>IF($B2314="","",IFERROR(INDEX($T$4:$T$3183,MATCH(SMALL($V$4:$V$3183,2311),$V$4:$V$3183,0)),""))</f>
        <v/>
      </c>
      <c r="O2314">
        <f>IF(INDEX(Suivi!$B:$B,2358)="","",INDEX(Suivi!$B:$B,2358))</f>
        <v/>
      </c>
      <c r="P2314">
        <f>IF($O2314="","",IF(INDEX(Suivi!$D:$D,2358)="",INDEX(Suivi!$C:$C,2358),INDEX(Suivi!$D:$D,2358)))</f>
        <v/>
      </c>
      <c r="Q2314">
        <f>IF($O2314="","",INDEX(Suivi!$E:$E,2358))</f>
        <v/>
      </c>
      <c r="R2314">
        <f>IF($O2314="","",INDEX(Suivi!$F:$F,2358))</f>
        <v/>
      </c>
      <c r="S2314">
        <f>IF($O2314="","",INDEX(Suivi!$G:$G,2358))</f>
        <v/>
      </c>
      <c r="T2314">
        <f>IF($O2314="","",IF(INDEX(Dossiers!$F$4:$F$63,44)="","",INDEX(Dossiers!$F$4:$F$63,44)))</f>
        <v/>
      </c>
      <c r="U2314">
        <f>IF($O2314="","",IF(INDEX(Dossiers!$G$4:$G$63,44)="","",INDEX(Dossiers!$G$4:$G$63,44)))</f>
        <v/>
      </c>
      <c r="V2314">
        <f>IF(OR($O2314="",NOT(ISNUMBER($Q2314))),"",$Q2314*1000000+2314)</f>
        <v/>
      </c>
      <c r="W2314" s="29">
        <f>IF($B2314="","",IFERROR(INDEX($U$4:$U$3183,MATCH(SMALL($V$4:$V$3183,2311),$V$4:$V$3183,0)),""))</f>
        <v/>
      </c>
    </row>
    <row r="2315">
      <c r="A2315">
        <f>IFERROR(INDEX($N$4:$N$3183,MATCH(SMALL($V$4:$V$3183,2312),$V$4:$V$3183,0)),"")</f>
        <v/>
      </c>
      <c r="B2315">
        <f>IFERROR(INDEX($O$4:$O$3183,MATCH(SMALL($V$4:$V$3183,2312),$V$4:$V$3183,0)),"")</f>
        <v/>
      </c>
      <c r="C2315">
        <f>IFERROR(INDEX($P$4:$P$3183,MATCH(SMALL($V$4:$V$3183,2312),$V$4:$V$3183,0)),"")</f>
        <v/>
      </c>
      <c r="D2315" s="29">
        <f>IFERROR(INDEX($Q$4:$Q$3183,MATCH(SMALL($V$4:$V$3183,2312),$V$4:$V$3183,0)),"")</f>
        <v/>
      </c>
      <c r="E2315" s="29">
        <f>IFERROR(INDEX($R$4:$R$3183,MATCH(SMALL($V$4:$V$3183,2312),$V$4:$V$3183,0)),"")</f>
        <v/>
      </c>
      <c r="F2315">
        <f>IFERROR(INDEX($S$4:$S$3183,MATCH(SMALL($V$4:$V$3183,2312),$V$4:$V$3183,0)),"")</f>
        <v/>
      </c>
      <c r="I2315" s="29">
        <f>IF($B2315="","",IFERROR(INDEX($U$4:$U$3183,MATCH(SMALL($V$4:$V$3183,2312),$V$4:$V$3183,0)),""))</f>
        <v/>
      </c>
      <c r="J2315">
        <f>IF($B2315="","",IF($D2315&gt;$F$2,"À venir",IF($E2315&lt;$D$2,"Passé","Dans la période")))</f>
        <v/>
      </c>
      <c r="K2315">
        <f>IF(OR($B2315="",NOT(ISNUMBER($D2315))),"",IF(AND($E2315&lt;$D$2,$G2315&lt;&gt;"X",$F2315&lt;&gt;"Réalisé",$F2315&lt;&gt;"Clôturé"),"RETARD",""))</f>
        <v/>
      </c>
      <c r="L2315">
        <f>IF(OR($B2315="",NOT(ISNUMBER($D2315))),"",IF(AND($D2315&gt;=$D$2,$D2315&lt;=$H$2,$G2315&lt;&gt;"X",$F2315&lt;&gt;"Réalisé",$F2315&lt;&gt;"Clôturé"),"≤ 7 j",""))</f>
        <v/>
      </c>
      <c r="M2315" s="29">
        <f>IF($B2315="","",IFERROR(INDEX($T$4:$T$3183,MATCH(SMALL($V$4:$V$3183,2312),$V$4:$V$3183,0)),""))</f>
        <v/>
      </c>
      <c r="O2315">
        <f>IF(INDEX(Suivi!$B:$B,2359)="","",INDEX(Suivi!$B:$B,2359))</f>
        <v/>
      </c>
      <c r="P2315">
        <f>IF($O2315="","",IF(INDEX(Suivi!$D:$D,2359)="",INDEX(Suivi!$C:$C,2359),INDEX(Suivi!$D:$D,2359)))</f>
        <v/>
      </c>
      <c r="Q2315">
        <f>IF($O2315="","",INDEX(Suivi!$E:$E,2359))</f>
        <v/>
      </c>
      <c r="R2315">
        <f>IF($O2315="","",INDEX(Suivi!$F:$F,2359))</f>
        <v/>
      </c>
      <c r="S2315">
        <f>IF($O2315="","",INDEX(Suivi!$G:$G,2359))</f>
        <v/>
      </c>
      <c r="T2315">
        <f>IF($O2315="","",IF(INDEX(Dossiers!$F$4:$F$63,44)="","",INDEX(Dossiers!$F$4:$F$63,44)))</f>
        <v/>
      </c>
      <c r="U2315">
        <f>IF($O2315="","",IF(INDEX(Dossiers!$G$4:$G$63,44)="","",INDEX(Dossiers!$G$4:$G$63,44)))</f>
        <v/>
      </c>
      <c r="V2315">
        <f>IF(OR($O2315="",NOT(ISNUMBER($Q2315))),"",$Q2315*1000000+2315)</f>
        <v/>
      </c>
      <c r="W2315" s="29">
        <f>IF($B2315="","",IFERROR(INDEX($U$4:$U$3183,MATCH(SMALL($V$4:$V$3183,2312),$V$4:$V$3183,0)),""))</f>
        <v/>
      </c>
    </row>
    <row r="2316">
      <c r="A2316">
        <f>IFERROR(INDEX($N$4:$N$3183,MATCH(SMALL($V$4:$V$3183,2313),$V$4:$V$3183,0)),"")</f>
        <v/>
      </c>
      <c r="B2316">
        <f>IFERROR(INDEX($O$4:$O$3183,MATCH(SMALL($V$4:$V$3183,2313),$V$4:$V$3183,0)),"")</f>
        <v/>
      </c>
      <c r="C2316">
        <f>IFERROR(INDEX($P$4:$P$3183,MATCH(SMALL($V$4:$V$3183,2313),$V$4:$V$3183,0)),"")</f>
        <v/>
      </c>
      <c r="D2316" s="29">
        <f>IFERROR(INDEX($Q$4:$Q$3183,MATCH(SMALL($V$4:$V$3183,2313),$V$4:$V$3183,0)),"")</f>
        <v/>
      </c>
      <c r="E2316" s="29">
        <f>IFERROR(INDEX($R$4:$R$3183,MATCH(SMALL($V$4:$V$3183,2313),$V$4:$V$3183,0)),"")</f>
        <v/>
      </c>
      <c r="F2316">
        <f>IFERROR(INDEX($S$4:$S$3183,MATCH(SMALL($V$4:$V$3183,2313),$V$4:$V$3183,0)),"")</f>
        <v/>
      </c>
      <c r="I2316" s="29">
        <f>IF($B2316="","",IFERROR(INDEX($U$4:$U$3183,MATCH(SMALL($V$4:$V$3183,2313),$V$4:$V$3183,0)),""))</f>
        <v/>
      </c>
      <c r="J2316">
        <f>IF($B2316="","",IF($D2316&gt;$F$2,"À venir",IF($E2316&lt;$D$2,"Passé","Dans la période")))</f>
        <v/>
      </c>
      <c r="K2316">
        <f>IF(OR($B2316="",NOT(ISNUMBER($D2316))),"",IF(AND($E2316&lt;$D$2,$G2316&lt;&gt;"X",$F2316&lt;&gt;"Réalisé",$F2316&lt;&gt;"Clôturé"),"RETARD",""))</f>
        <v/>
      </c>
      <c r="L2316">
        <f>IF(OR($B2316="",NOT(ISNUMBER($D2316))),"",IF(AND($D2316&gt;=$D$2,$D2316&lt;=$H$2,$G2316&lt;&gt;"X",$F2316&lt;&gt;"Réalisé",$F2316&lt;&gt;"Clôturé"),"≤ 7 j",""))</f>
        <v/>
      </c>
      <c r="M2316" s="29">
        <f>IF($B2316="","",IFERROR(INDEX($T$4:$T$3183,MATCH(SMALL($V$4:$V$3183,2313),$V$4:$V$3183,0)),""))</f>
        <v/>
      </c>
      <c r="O2316">
        <f>IF(INDEX(Suivi!$B:$B,2360)="","",INDEX(Suivi!$B:$B,2360))</f>
        <v/>
      </c>
      <c r="P2316">
        <f>IF($O2316="","",IF(INDEX(Suivi!$D:$D,2360)="",INDEX(Suivi!$C:$C,2360),INDEX(Suivi!$D:$D,2360)))</f>
        <v/>
      </c>
      <c r="Q2316">
        <f>IF($O2316="","",INDEX(Suivi!$E:$E,2360))</f>
        <v/>
      </c>
      <c r="R2316">
        <f>IF($O2316="","",INDEX(Suivi!$F:$F,2360))</f>
        <v/>
      </c>
      <c r="S2316">
        <f>IF($O2316="","",INDEX(Suivi!$G:$G,2360))</f>
        <v/>
      </c>
      <c r="T2316">
        <f>IF($O2316="","",IF(INDEX(Dossiers!$F$4:$F$63,44)="","",INDEX(Dossiers!$F$4:$F$63,44)))</f>
        <v/>
      </c>
      <c r="U2316">
        <f>IF($O2316="","",IF(INDEX(Dossiers!$G$4:$G$63,44)="","",INDEX(Dossiers!$G$4:$G$63,44)))</f>
        <v/>
      </c>
      <c r="V2316">
        <f>IF(OR($O2316="",NOT(ISNUMBER($Q2316))),"",$Q2316*1000000+2316)</f>
        <v/>
      </c>
      <c r="W2316" s="29">
        <f>IF($B2316="","",IFERROR(INDEX($U$4:$U$3183,MATCH(SMALL($V$4:$V$3183,2313),$V$4:$V$3183,0)),""))</f>
        <v/>
      </c>
    </row>
    <row r="2317">
      <c r="A2317">
        <f>IFERROR(INDEX($N$4:$N$3183,MATCH(SMALL($V$4:$V$3183,2314),$V$4:$V$3183,0)),"")</f>
        <v/>
      </c>
      <c r="B2317">
        <f>IFERROR(INDEX($O$4:$O$3183,MATCH(SMALL($V$4:$V$3183,2314),$V$4:$V$3183,0)),"")</f>
        <v/>
      </c>
      <c r="C2317">
        <f>IFERROR(INDEX($P$4:$P$3183,MATCH(SMALL($V$4:$V$3183,2314),$V$4:$V$3183,0)),"")</f>
        <v/>
      </c>
      <c r="D2317" s="29">
        <f>IFERROR(INDEX($Q$4:$Q$3183,MATCH(SMALL($V$4:$V$3183,2314),$V$4:$V$3183,0)),"")</f>
        <v/>
      </c>
      <c r="E2317" s="29">
        <f>IFERROR(INDEX($R$4:$R$3183,MATCH(SMALL($V$4:$V$3183,2314),$V$4:$V$3183,0)),"")</f>
        <v/>
      </c>
      <c r="F2317">
        <f>IFERROR(INDEX($S$4:$S$3183,MATCH(SMALL($V$4:$V$3183,2314),$V$4:$V$3183,0)),"")</f>
        <v/>
      </c>
      <c r="I2317" s="29">
        <f>IF($B2317="","",IFERROR(INDEX($U$4:$U$3183,MATCH(SMALL($V$4:$V$3183,2314),$V$4:$V$3183,0)),""))</f>
        <v/>
      </c>
      <c r="J2317">
        <f>IF($B2317="","",IF($D2317&gt;$F$2,"À venir",IF($E2317&lt;$D$2,"Passé","Dans la période")))</f>
        <v/>
      </c>
      <c r="K2317">
        <f>IF(OR($B2317="",NOT(ISNUMBER($D2317))),"",IF(AND($E2317&lt;$D$2,$G2317&lt;&gt;"X",$F2317&lt;&gt;"Réalisé",$F2317&lt;&gt;"Clôturé"),"RETARD",""))</f>
        <v/>
      </c>
      <c r="L2317">
        <f>IF(OR($B2317="",NOT(ISNUMBER($D2317))),"",IF(AND($D2317&gt;=$D$2,$D2317&lt;=$H$2,$G2317&lt;&gt;"X",$F2317&lt;&gt;"Réalisé",$F2317&lt;&gt;"Clôturé"),"≤ 7 j",""))</f>
        <v/>
      </c>
      <c r="M2317" s="29">
        <f>IF($B2317="","",IFERROR(INDEX($T$4:$T$3183,MATCH(SMALL($V$4:$V$3183,2314),$V$4:$V$3183,0)),""))</f>
        <v/>
      </c>
      <c r="O2317">
        <f>IF(INDEX(Suivi!$B:$B,2361)="","",INDEX(Suivi!$B:$B,2361))</f>
        <v/>
      </c>
      <c r="P2317">
        <f>IF($O2317="","",IF(INDEX(Suivi!$D:$D,2361)="",INDEX(Suivi!$C:$C,2361),INDEX(Suivi!$D:$D,2361)))</f>
        <v/>
      </c>
      <c r="Q2317">
        <f>IF($O2317="","",INDEX(Suivi!$E:$E,2361))</f>
        <v/>
      </c>
      <c r="R2317">
        <f>IF($O2317="","",INDEX(Suivi!$F:$F,2361))</f>
        <v/>
      </c>
      <c r="S2317">
        <f>IF($O2317="","",INDEX(Suivi!$G:$G,2361))</f>
        <v/>
      </c>
      <c r="T2317">
        <f>IF($O2317="","",IF(INDEX(Dossiers!$F$4:$F$63,44)="","",INDEX(Dossiers!$F$4:$F$63,44)))</f>
        <v/>
      </c>
      <c r="U2317">
        <f>IF($O2317="","",IF(INDEX(Dossiers!$G$4:$G$63,44)="","",INDEX(Dossiers!$G$4:$G$63,44)))</f>
        <v/>
      </c>
      <c r="V2317">
        <f>IF(OR($O2317="",NOT(ISNUMBER($Q2317))),"",$Q2317*1000000+2317)</f>
        <v/>
      </c>
      <c r="W2317" s="29">
        <f>IF($B2317="","",IFERROR(INDEX($U$4:$U$3183,MATCH(SMALL($V$4:$V$3183,2314),$V$4:$V$3183,0)),""))</f>
        <v/>
      </c>
    </row>
    <row r="2318">
      <c r="A2318">
        <f>IFERROR(INDEX($N$4:$N$3183,MATCH(SMALL($V$4:$V$3183,2315),$V$4:$V$3183,0)),"")</f>
        <v/>
      </c>
      <c r="B2318">
        <f>IFERROR(INDEX($O$4:$O$3183,MATCH(SMALL($V$4:$V$3183,2315),$V$4:$V$3183,0)),"")</f>
        <v/>
      </c>
      <c r="C2318">
        <f>IFERROR(INDEX($P$4:$P$3183,MATCH(SMALL($V$4:$V$3183,2315),$V$4:$V$3183,0)),"")</f>
        <v/>
      </c>
      <c r="D2318" s="29">
        <f>IFERROR(INDEX($Q$4:$Q$3183,MATCH(SMALL($V$4:$V$3183,2315),$V$4:$V$3183,0)),"")</f>
        <v/>
      </c>
      <c r="E2318" s="29">
        <f>IFERROR(INDEX($R$4:$R$3183,MATCH(SMALL($V$4:$V$3183,2315),$V$4:$V$3183,0)),"")</f>
        <v/>
      </c>
      <c r="F2318">
        <f>IFERROR(INDEX($S$4:$S$3183,MATCH(SMALL($V$4:$V$3183,2315),$V$4:$V$3183,0)),"")</f>
        <v/>
      </c>
      <c r="I2318" s="29">
        <f>IF($B2318="","",IFERROR(INDEX($U$4:$U$3183,MATCH(SMALL($V$4:$V$3183,2315),$V$4:$V$3183,0)),""))</f>
        <v/>
      </c>
      <c r="J2318">
        <f>IF($B2318="","",IF($D2318&gt;$F$2,"À venir",IF($E2318&lt;$D$2,"Passé","Dans la période")))</f>
        <v/>
      </c>
      <c r="K2318">
        <f>IF(OR($B2318="",NOT(ISNUMBER($D2318))),"",IF(AND($E2318&lt;$D$2,$G2318&lt;&gt;"X",$F2318&lt;&gt;"Réalisé",$F2318&lt;&gt;"Clôturé"),"RETARD",""))</f>
        <v/>
      </c>
      <c r="L2318">
        <f>IF(OR($B2318="",NOT(ISNUMBER($D2318))),"",IF(AND($D2318&gt;=$D$2,$D2318&lt;=$H$2,$G2318&lt;&gt;"X",$F2318&lt;&gt;"Réalisé",$F2318&lt;&gt;"Clôturé"),"≤ 7 j",""))</f>
        <v/>
      </c>
      <c r="M2318" s="29">
        <f>IF($B2318="","",IFERROR(INDEX($T$4:$T$3183,MATCH(SMALL($V$4:$V$3183,2315),$V$4:$V$3183,0)),""))</f>
        <v/>
      </c>
      <c r="O2318">
        <f>IF(INDEX(Suivi!$B:$B,2362)="","",INDEX(Suivi!$B:$B,2362))</f>
        <v/>
      </c>
      <c r="P2318">
        <f>IF($O2318="","",IF(INDEX(Suivi!$D:$D,2362)="",INDEX(Suivi!$C:$C,2362),INDEX(Suivi!$D:$D,2362)))</f>
        <v/>
      </c>
      <c r="Q2318">
        <f>IF($O2318="","",INDEX(Suivi!$E:$E,2362))</f>
        <v/>
      </c>
      <c r="R2318">
        <f>IF($O2318="","",INDEX(Suivi!$F:$F,2362))</f>
        <v/>
      </c>
      <c r="S2318">
        <f>IF($O2318="","",INDEX(Suivi!$G:$G,2362))</f>
        <v/>
      </c>
      <c r="T2318">
        <f>IF($O2318="","",IF(INDEX(Dossiers!$F$4:$F$63,44)="","",INDEX(Dossiers!$F$4:$F$63,44)))</f>
        <v/>
      </c>
      <c r="U2318">
        <f>IF($O2318="","",IF(INDEX(Dossiers!$G$4:$G$63,44)="","",INDEX(Dossiers!$G$4:$G$63,44)))</f>
        <v/>
      </c>
      <c r="V2318">
        <f>IF(OR($O2318="",NOT(ISNUMBER($Q2318))),"",$Q2318*1000000+2318)</f>
        <v/>
      </c>
      <c r="W2318" s="29">
        <f>IF($B2318="","",IFERROR(INDEX($U$4:$U$3183,MATCH(SMALL($V$4:$V$3183,2315),$V$4:$V$3183,0)),""))</f>
        <v/>
      </c>
    </row>
    <row r="2319">
      <c r="A2319">
        <f>IFERROR(INDEX($N$4:$N$3183,MATCH(SMALL($V$4:$V$3183,2316),$V$4:$V$3183,0)),"")</f>
        <v/>
      </c>
      <c r="B2319">
        <f>IFERROR(INDEX($O$4:$O$3183,MATCH(SMALL($V$4:$V$3183,2316),$V$4:$V$3183,0)),"")</f>
        <v/>
      </c>
      <c r="C2319">
        <f>IFERROR(INDEX($P$4:$P$3183,MATCH(SMALL($V$4:$V$3183,2316),$V$4:$V$3183,0)),"")</f>
        <v/>
      </c>
      <c r="D2319" s="29">
        <f>IFERROR(INDEX($Q$4:$Q$3183,MATCH(SMALL($V$4:$V$3183,2316),$V$4:$V$3183,0)),"")</f>
        <v/>
      </c>
      <c r="E2319" s="29">
        <f>IFERROR(INDEX($R$4:$R$3183,MATCH(SMALL($V$4:$V$3183,2316),$V$4:$V$3183,0)),"")</f>
        <v/>
      </c>
      <c r="F2319">
        <f>IFERROR(INDEX($S$4:$S$3183,MATCH(SMALL($V$4:$V$3183,2316),$V$4:$V$3183,0)),"")</f>
        <v/>
      </c>
      <c r="I2319" s="29">
        <f>IF($B2319="","",IFERROR(INDEX($U$4:$U$3183,MATCH(SMALL($V$4:$V$3183,2316),$V$4:$V$3183,0)),""))</f>
        <v/>
      </c>
      <c r="J2319">
        <f>IF($B2319="","",IF($D2319&gt;$F$2,"À venir",IF($E2319&lt;$D$2,"Passé","Dans la période")))</f>
        <v/>
      </c>
      <c r="K2319">
        <f>IF(OR($B2319="",NOT(ISNUMBER($D2319))),"",IF(AND($E2319&lt;$D$2,$G2319&lt;&gt;"X",$F2319&lt;&gt;"Réalisé",$F2319&lt;&gt;"Clôturé"),"RETARD",""))</f>
        <v/>
      </c>
      <c r="L2319">
        <f>IF(OR($B2319="",NOT(ISNUMBER($D2319))),"",IF(AND($D2319&gt;=$D$2,$D2319&lt;=$H$2,$G2319&lt;&gt;"X",$F2319&lt;&gt;"Réalisé",$F2319&lt;&gt;"Clôturé"),"≤ 7 j",""))</f>
        <v/>
      </c>
      <c r="M2319" s="29">
        <f>IF($B2319="","",IFERROR(INDEX($T$4:$T$3183,MATCH(SMALL($V$4:$V$3183,2316),$V$4:$V$3183,0)),""))</f>
        <v/>
      </c>
      <c r="O2319">
        <f>IF(INDEX(Suivi!$B:$B,2363)="","",INDEX(Suivi!$B:$B,2363))</f>
        <v/>
      </c>
      <c r="P2319">
        <f>IF($O2319="","",IF(INDEX(Suivi!$D:$D,2363)="",INDEX(Suivi!$C:$C,2363),INDEX(Suivi!$D:$D,2363)))</f>
        <v/>
      </c>
      <c r="Q2319">
        <f>IF($O2319="","",INDEX(Suivi!$E:$E,2363))</f>
        <v/>
      </c>
      <c r="R2319">
        <f>IF($O2319="","",INDEX(Suivi!$F:$F,2363))</f>
        <v/>
      </c>
      <c r="S2319">
        <f>IF($O2319="","",INDEX(Suivi!$G:$G,2363))</f>
        <v/>
      </c>
      <c r="T2319">
        <f>IF($O2319="","",IF(INDEX(Dossiers!$F$4:$F$63,44)="","",INDEX(Dossiers!$F$4:$F$63,44)))</f>
        <v/>
      </c>
      <c r="U2319">
        <f>IF($O2319="","",IF(INDEX(Dossiers!$G$4:$G$63,44)="","",INDEX(Dossiers!$G$4:$G$63,44)))</f>
        <v/>
      </c>
      <c r="V2319">
        <f>IF(OR($O2319="",NOT(ISNUMBER($Q2319))),"",$Q2319*1000000+2319)</f>
        <v/>
      </c>
      <c r="W2319" s="29">
        <f>IF($B2319="","",IFERROR(INDEX($U$4:$U$3183,MATCH(SMALL($V$4:$V$3183,2316),$V$4:$V$3183,0)),""))</f>
        <v/>
      </c>
    </row>
    <row r="2320">
      <c r="A2320">
        <f>IFERROR(INDEX($N$4:$N$3183,MATCH(SMALL($V$4:$V$3183,2317),$V$4:$V$3183,0)),"")</f>
        <v/>
      </c>
      <c r="B2320">
        <f>IFERROR(INDEX($O$4:$O$3183,MATCH(SMALL($V$4:$V$3183,2317),$V$4:$V$3183,0)),"")</f>
        <v/>
      </c>
      <c r="C2320">
        <f>IFERROR(INDEX($P$4:$P$3183,MATCH(SMALL($V$4:$V$3183,2317),$V$4:$V$3183,0)),"")</f>
        <v/>
      </c>
      <c r="D2320" s="29">
        <f>IFERROR(INDEX($Q$4:$Q$3183,MATCH(SMALL($V$4:$V$3183,2317),$V$4:$V$3183,0)),"")</f>
        <v/>
      </c>
      <c r="E2320" s="29">
        <f>IFERROR(INDEX($R$4:$R$3183,MATCH(SMALL($V$4:$V$3183,2317),$V$4:$V$3183,0)),"")</f>
        <v/>
      </c>
      <c r="F2320">
        <f>IFERROR(INDEX($S$4:$S$3183,MATCH(SMALL($V$4:$V$3183,2317),$V$4:$V$3183,0)),"")</f>
        <v/>
      </c>
      <c r="I2320" s="29">
        <f>IF($B2320="","",IFERROR(INDEX($U$4:$U$3183,MATCH(SMALL($V$4:$V$3183,2317),$V$4:$V$3183,0)),""))</f>
        <v/>
      </c>
      <c r="J2320">
        <f>IF($B2320="","",IF($D2320&gt;$F$2,"À venir",IF($E2320&lt;$D$2,"Passé","Dans la période")))</f>
        <v/>
      </c>
      <c r="K2320">
        <f>IF(OR($B2320="",NOT(ISNUMBER($D2320))),"",IF(AND($E2320&lt;$D$2,$G2320&lt;&gt;"X",$F2320&lt;&gt;"Réalisé",$F2320&lt;&gt;"Clôturé"),"RETARD",""))</f>
        <v/>
      </c>
      <c r="L2320">
        <f>IF(OR($B2320="",NOT(ISNUMBER($D2320))),"",IF(AND($D2320&gt;=$D$2,$D2320&lt;=$H$2,$G2320&lt;&gt;"X",$F2320&lt;&gt;"Réalisé",$F2320&lt;&gt;"Clôturé"),"≤ 7 j",""))</f>
        <v/>
      </c>
      <c r="M2320" s="29">
        <f>IF($B2320="","",IFERROR(INDEX($T$4:$T$3183,MATCH(SMALL($V$4:$V$3183,2317),$V$4:$V$3183,0)),""))</f>
        <v/>
      </c>
      <c r="O2320">
        <f>IF(INDEX(Suivi!$B:$B,2364)="","",INDEX(Suivi!$B:$B,2364))</f>
        <v/>
      </c>
      <c r="P2320">
        <f>IF($O2320="","",IF(INDEX(Suivi!$D:$D,2364)="",INDEX(Suivi!$C:$C,2364),INDEX(Suivi!$D:$D,2364)))</f>
        <v/>
      </c>
      <c r="Q2320">
        <f>IF($O2320="","",INDEX(Suivi!$E:$E,2364))</f>
        <v/>
      </c>
      <c r="R2320">
        <f>IF($O2320="","",INDEX(Suivi!$F:$F,2364))</f>
        <v/>
      </c>
      <c r="S2320">
        <f>IF($O2320="","",INDEX(Suivi!$G:$G,2364))</f>
        <v/>
      </c>
      <c r="T2320">
        <f>IF($O2320="","",IF(INDEX(Dossiers!$F$4:$F$63,44)="","",INDEX(Dossiers!$F$4:$F$63,44)))</f>
        <v/>
      </c>
      <c r="U2320">
        <f>IF($O2320="","",IF(INDEX(Dossiers!$G$4:$G$63,44)="","",INDEX(Dossiers!$G$4:$G$63,44)))</f>
        <v/>
      </c>
      <c r="V2320">
        <f>IF(OR($O2320="",NOT(ISNUMBER($Q2320))),"",$Q2320*1000000+2320)</f>
        <v/>
      </c>
      <c r="W2320" s="29">
        <f>IF($B2320="","",IFERROR(INDEX($U$4:$U$3183,MATCH(SMALL($V$4:$V$3183,2317),$V$4:$V$3183,0)),""))</f>
        <v/>
      </c>
    </row>
    <row r="2321">
      <c r="A2321">
        <f>IFERROR(INDEX($N$4:$N$3183,MATCH(SMALL($V$4:$V$3183,2318),$V$4:$V$3183,0)),"")</f>
        <v/>
      </c>
      <c r="B2321">
        <f>IFERROR(INDEX($O$4:$O$3183,MATCH(SMALL($V$4:$V$3183,2318),$V$4:$V$3183,0)),"")</f>
        <v/>
      </c>
      <c r="C2321">
        <f>IFERROR(INDEX($P$4:$P$3183,MATCH(SMALL($V$4:$V$3183,2318),$V$4:$V$3183,0)),"")</f>
        <v/>
      </c>
      <c r="D2321" s="29">
        <f>IFERROR(INDEX($Q$4:$Q$3183,MATCH(SMALL($V$4:$V$3183,2318),$V$4:$V$3183,0)),"")</f>
        <v/>
      </c>
      <c r="E2321" s="29">
        <f>IFERROR(INDEX($R$4:$R$3183,MATCH(SMALL($V$4:$V$3183,2318),$V$4:$V$3183,0)),"")</f>
        <v/>
      </c>
      <c r="F2321">
        <f>IFERROR(INDEX($S$4:$S$3183,MATCH(SMALL($V$4:$V$3183,2318),$V$4:$V$3183,0)),"")</f>
        <v/>
      </c>
      <c r="I2321" s="29">
        <f>IF($B2321="","",IFERROR(INDEX($U$4:$U$3183,MATCH(SMALL($V$4:$V$3183,2318),$V$4:$V$3183,0)),""))</f>
        <v/>
      </c>
      <c r="J2321">
        <f>IF($B2321="","",IF($D2321&gt;$F$2,"À venir",IF($E2321&lt;$D$2,"Passé","Dans la période")))</f>
        <v/>
      </c>
      <c r="K2321">
        <f>IF(OR($B2321="",NOT(ISNUMBER($D2321))),"",IF(AND($E2321&lt;$D$2,$G2321&lt;&gt;"X",$F2321&lt;&gt;"Réalisé",$F2321&lt;&gt;"Clôturé"),"RETARD",""))</f>
        <v/>
      </c>
      <c r="L2321">
        <f>IF(OR($B2321="",NOT(ISNUMBER($D2321))),"",IF(AND($D2321&gt;=$D$2,$D2321&lt;=$H$2,$G2321&lt;&gt;"X",$F2321&lt;&gt;"Réalisé",$F2321&lt;&gt;"Clôturé"),"≤ 7 j",""))</f>
        <v/>
      </c>
      <c r="M2321" s="29">
        <f>IF($B2321="","",IFERROR(INDEX($T$4:$T$3183,MATCH(SMALL($V$4:$V$3183,2318),$V$4:$V$3183,0)),""))</f>
        <v/>
      </c>
      <c r="O2321">
        <f>IF(INDEX(Suivi!$B:$B,2365)="","",INDEX(Suivi!$B:$B,2365))</f>
        <v/>
      </c>
      <c r="P2321">
        <f>IF($O2321="","",IF(INDEX(Suivi!$D:$D,2365)="",INDEX(Suivi!$C:$C,2365),INDEX(Suivi!$D:$D,2365)))</f>
        <v/>
      </c>
      <c r="Q2321">
        <f>IF($O2321="","",INDEX(Suivi!$E:$E,2365))</f>
        <v/>
      </c>
      <c r="R2321">
        <f>IF($O2321="","",INDEX(Suivi!$F:$F,2365))</f>
        <v/>
      </c>
      <c r="S2321">
        <f>IF($O2321="","",INDEX(Suivi!$G:$G,2365))</f>
        <v/>
      </c>
      <c r="T2321">
        <f>IF($O2321="","",IF(INDEX(Dossiers!$F$4:$F$63,44)="","",INDEX(Dossiers!$F$4:$F$63,44)))</f>
        <v/>
      </c>
      <c r="U2321">
        <f>IF($O2321="","",IF(INDEX(Dossiers!$G$4:$G$63,44)="","",INDEX(Dossiers!$G$4:$G$63,44)))</f>
        <v/>
      </c>
      <c r="V2321">
        <f>IF(OR($O2321="",NOT(ISNUMBER($Q2321))),"",$Q2321*1000000+2321)</f>
        <v/>
      </c>
      <c r="W2321" s="29">
        <f>IF($B2321="","",IFERROR(INDEX($U$4:$U$3183,MATCH(SMALL($V$4:$V$3183,2318),$V$4:$V$3183,0)),""))</f>
        <v/>
      </c>
    </row>
    <row r="2322">
      <c r="A2322">
        <f>IFERROR(INDEX($N$4:$N$3183,MATCH(SMALL($V$4:$V$3183,2319),$V$4:$V$3183,0)),"")</f>
        <v/>
      </c>
      <c r="B2322">
        <f>IFERROR(INDEX($O$4:$O$3183,MATCH(SMALL($V$4:$V$3183,2319),$V$4:$V$3183,0)),"")</f>
        <v/>
      </c>
      <c r="C2322">
        <f>IFERROR(INDEX($P$4:$P$3183,MATCH(SMALL($V$4:$V$3183,2319),$V$4:$V$3183,0)),"")</f>
        <v/>
      </c>
      <c r="D2322" s="29">
        <f>IFERROR(INDEX($Q$4:$Q$3183,MATCH(SMALL($V$4:$V$3183,2319),$V$4:$V$3183,0)),"")</f>
        <v/>
      </c>
      <c r="E2322" s="29">
        <f>IFERROR(INDEX($R$4:$R$3183,MATCH(SMALL($V$4:$V$3183,2319),$V$4:$V$3183,0)),"")</f>
        <v/>
      </c>
      <c r="F2322">
        <f>IFERROR(INDEX($S$4:$S$3183,MATCH(SMALL($V$4:$V$3183,2319),$V$4:$V$3183,0)),"")</f>
        <v/>
      </c>
      <c r="I2322" s="29">
        <f>IF($B2322="","",IFERROR(INDEX($U$4:$U$3183,MATCH(SMALL($V$4:$V$3183,2319),$V$4:$V$3183,0)),""))</f>
        <v/>
      </c>
      <c r="J2322">
        <f>IF($B2322="","",IF($D2322&gt;$F$2,"À venir",IF($E2322&lt;$D$2,"Passé","Dans la période")))</f>
        <v/>
      </c>
      <c r="K2322">
        <f>IF(OR($B2322="",NOT(ISNUMBER($D2322))),"",IF(AND($E2322&lt;$D$2,$G2322&lt;&gt;"X",$F2322&lt;&gt;"Réalisé",$F2322&lt;&gt;"Clôturé"),"RETARD",""))</f>
        <v/>
      </c>
      <c r="L2322">
        <f>IF(OR($B2322="",NOT(ISNUMBER($D2322))),"",IF(AND($D2322&gt;=$D$2,$D2322&lt;=$H$2,$G2322&lt;&gt;"X",$F2322&lt;&gt;"Réalisé",$F2322&lt;&gt;"Clôturé"),"≤ 7 j",""))</f>
        <v/>
      </c>
      <c r="M2322" s="29">
        <f>IF($B2322="","",IFERROR(INDEX($T$4:$T$3183,MATCH(SMALL($V$4:$V$3183,2319),$V$4:$V$3183,0)),""))</f>
        <v/>
      </c>
      <c r="O2322">
        <f>IF(INDEX(Suivi!$B:$B,2366)="","",INDEX(Suivi!$B:$B,2366))</f>
        <v/>
      </c>
      <c r="P2322">
        <f>IF($O2322="","",IF(INDEX(Suivi!$D:$D,2366)="",INDEX(Suivi!$C:$C,2366),INDEX(Suivi!$D:$D,2366)))</f>
        <v/>
      </c>
      <c r="Q2322">
        <f>IF($O2322="","",INDEX(Suivi!$E:$E,2366))</f>
        <v/>
      </c>
      <c r="R2322">
        <f>IF($O2322="","",INDEX(Suivi!$F:$F,2366))</f>
        <v/>
      </c>
      <c r="S2322">
        <f>IF($O2322="","",INDEX(Suivi!$G:$G,2366))</f>
        <v/>
      </c>
      <c r="T2322">
        <f>IF($O2322="","",IF(INDEX(Dossiers!$F$4:$F$63,44)="","",INDEX(Dossiers!$F$4:$F$63,44)))</f>
        <v/>
      </c>
      <c r="U2322">
        <f>IF($O2322="","",IF(INDEX(Dossiers!$G$4:$G$63,44)="","",INDEX(Dossiers!$G$4:$G$63,44)))</f>
        <v/>
      </c>
      <c r="V2322">
        <f>IF(OR($O2322="",NOT(ISNUMBER($Q2322))),"",$Q2322*1000000+2322)</f>
        <v/>
      </c>
      <c r="W2322" s="29">
        <f>IF($B2322="","",IFERROR(INDEX($U$4:$U$3183,MATCH(SMALL($V$4:$V$3183,2319),$V$4:$V$3183,0)),""))</f>
        <v/>
      </c>
    </row>
    <row r="2323">
      <c r="A2323">
        <f>IFERROR(INDEX($N$4:$N$3183,MATCH(SMALL($V$4:$V$3183,2320),$V$4:$V$3183,0)),"")</f>
        <v/>
      </c>
      <c r="B2323">
        <f>IFERROR(INDEX($O$4:$O$3183,MATCH(SMALL($V$4:$V$3183,2320),$V$4:$V$3183,0)),"")</f>
        <v/>
      </c>
      <c r="C2323">
        <f>IFERROR(INDEX($P$4:$P$3183,MATCH(SMALL($V$4:$V$3183,2320),$V$4:$V$3183,0)),"")</f>
        <v/>
      </c>
      <c r="D2323" s="29">
        <f>IFERROR(INDEX($Q$4:$Q$3183,MATCH(SMALL($V$4:$V$3183,2320),$V$4:$V$3183,0)),"")</f>
        <v/>
      </c>
      <c r="E2323" s="29">
        <f>IFERROR(INDEX($R$4:$R$3183,MATCH(SMALL($V$4:$V$3183,2320),$V$4:$V$3183,0)),"")</f>
        <v/>
      </c>
      <c r="F2323">
        <f>IFERROR(INDEX($S$4:$S$3183,MATCH(SMALL($V$4:$V$3183,2320),$V$4:$V$3183,0)),"")</f>
        <v/>
      </c>
      <c r="I2323" s="29">
        <f>IF($B2323="","",IFERROR(INDEX($U$4:$U$3183,MATCH(SMALL($V$4:$V$3183,2320),$V$4:$V$3183,0)),""))</f>
        <v/>
      </c>
      <c r="J2323">
        <f>IF($B2323="","",IF($D2323&gt;$F$2,"À venir",IF($E2323&lt;$D$2,"Passé","Dans la période")))</f>
        <v/>
      </c>
      <c r="K2323">
        <f>IF(OR($B2323="",NOT(ISNUMBER($D2323))),"",IF(AND($E2323&lt;$D$2,$G2323&lt;&gt;"X",$F2323&lt;&gt;"Réalisé",$F2323&lt;&gt;"Clôturé"),"RETARD",""))</f>
        <v/>
      </c>
      <c r="L2323">
        <f>IF(OR($B2323="",NOT(ISNUMBER($D2323))),"",IF(AND($D2323&gt;=$D$2,$D2323&lt;=$H$2,$G2323&lt;&gt;"X",$F2323&lt;&gt;"Réalisé",$F2323&lt;&gt;"Clôturé"),"≤ 7 j",""))</f>
        <v/>
      </c>
      <c r="M2323" s="29">
        <f>IF($B2323="","",IFERROR(INDEX($T$4:$T$3183,MATCH(SMALL($V$4:$V$3183,2320),$V$4:$V$3183,0)),""))</f>
        <v/>
      </c>
      <c r="O2323">
        <f>IF(INDEX(Suivi!$B:$B,2367)="","",INDEX(Suivi!$B:$B,2367))</f>
        <v/>
      </c>
      <c r="P2323">
        <f>IF($O2323="","",IF(INDEX(Suivi!$D:$D,2367)="",INDEX(Suivi!$C:$C,2367),INDEX(Suivi!$D:$D,2367)))</f>
        <v/>
      </c>
      <c r="Q2323">
        <f>IF($O2323="","",INDEX(Suivi!$E:$E,2367))</f>
        <v/>
      </c>
      <c r="R2323">
        <f>IF($O2323="","",INDEX(Suivi!$F:$F,2367))</f>
        <v/>
      </c>
      <c r="S2323">
        <f>IF($O2323="","",INDEX(Suivi!$G:$G,2367))</f>
        <v/>
      </c>
      <c r="T2323">
        <f>IF($O2323="","",IF(INDEX(Dossiers!$F$4:$F$63,44)="","",INDEX(Dossiers!$F$4:$F$63,44)))</f>
        <v/>
      </c>
      <c r="U2323">
        <f>IF($O2323="","",IF(INDEX(Dossiers!$G$4:$G$63,44)="","",INDEX(Dossiers!$G$4:$G$63,44)))</f>
        <v/>
      </c>
      <c r="V2323">
        <f>IF(OR($O2323="",NOT(ISNUMBER($Q2323))),"",$Q2323*1000000+2323)</f>
        <v/>
      </c>
      <c r="W2323" s="29">
        <f>IF($B2323="","",IFERROR(INDEX($U$4:$U$3183,MATCH(SMALL($V$4:$V$3183,2320),$V$4:$V$3183,0)),""))</f>
        <v/>
      </c>
    </row>
    <row r="2324">
      <c r="A2324">
        <f>IFERROR(INDEX($N$4:$N$3183,MATCH(SMALL($V$4:$V$3183,2321),$V$4:$V$3183,0)),"")</f>
        <v/>
      </c>
      <c r="B2324">
        <f>IFERROR(INDEX($O$4:$O$3183,MATCH(SMALL($V$4:$V$3183,2321),$V$4:$V$3183,0)),"")</f>
        <v/>
      </c>
      <c r="C2324">
        <f>IFERROR(INDEX($P$4:$P$3183,MATCH(SMALL($V$4:$V$3183,2321),$V$4:$V$3183,0)),"")</f>
        <v/>
      </c>
      <c r="D2324" s="29">
        <f>IFERROR(INDEX($Q$4:$Q$3183,MATCH(SMALL($V$4:$V$3183,2321),$V$4:$V$3183,0)),"")</f>
        <v/>
      </c>
      <c r="E2324" s="29">
        <f>IFERROR(INDEX($R$4:$R$3183,MATCH(SMALL($V$4:$V$3183,2321),$V$4:$V$3183,0)),"")</f>
        <v/>
      </c>
      <c r="F2324">
        <f>IFERROR(INDEX($S$4:$S$3183,MATCH(SMALL($V$4:$V$3183,2321),$V$4:$V$3183,0)),"")</f>
        <v/>
      </c>
      <c r="I2324" s="29">
        <f>IF($B2324="","",IFERROR(INDEX($U$4:$U$3183,MATCH(SMALL($V$4:$V$3183,2321),$V$4:$V$3183,0)),""))</f>
        <v/>
      </c>
      <c r="J2324">
        <f>IF($B2324="","",IF($D2324&gt;$F$2,"À venir",IF($E2324&lt;$D$2,"Passé","Dans la période")))</f>
        <v/>
      </c>
      <c r="K2324">
        <f>IF(OR($B2324="",NOT(ISNUMBER($D2324))),"",IF(AND($E2324&lt;$D$2,$G2324&lt;&gt;"X",$F2324&lt;&gt;"Réalisé",$F2324&lt;&gt;"Clôturé"),"RETARD",""))</f>
        <v/>
      </c>
      <c r="L2324">
        <f>IF(OR($B2324="",NOT(ISNUMBER($D2324))),"",IF(AND($D2324&gt;=$D$2,$D2324&lt;=$H$2,$G2324&lt;&gt;"X",$F2324&lt;&gt;"Réalisé",$F2324&lt;&gt;"Clôturé"),"≤ 7 j",""))</f>
        <v/>
      </c>
      <c r="M2324" s="29">
        <f>IF($B2324="","",IFERROR(INDEX($T$4:$T$3183,MATCH(SMALL($V$4:$V$3183,2321),$V$4:$V$3183,0)),""))</f>
        <v/>
      </c>
      <c r="O2324">
        <f>IF(INDEX(Suivi!$B:$B,2368)="","",INDEX(Suivi!$B:$B,2368))</f>
        <v/>
      </c>
      <c r="P2324">
        <f>IF($O2324="","",IF(INDEX(Suivi!$D:$D,2368)="",INDEX(Suivi!$C:$C,2368),INDEX(Suivi!$D:$D,2368)))</f>
        <v/>
      </c>
      <c r="Q2324">
        <f>IF($O2324="","",INDEX(Suivi!$E:$E,2368))</f>
        <v/>
      </c>
      <c r="R2324">
        <f>IF($O2324="","",INDEX(Suivi!$F:$F,2368))</f>
        <v/>
      </c>
      <c r="S2324">
        <f>IF($O2324="","",INDEX(Suivi!$G:$G,2368))</f>
        <v/>
      </c>
      <c r="T2324">
        <f>IF($O2324="","",IF(INDEX(Dossiers!$F$4:$F$63,44)="","",INDEX(Dossiers!$F$4:$F$63,44)))</f>
        <v/>
      </c>
      <c r="U2324">
        <f>IF($O2324="","",IF(INDEX(Dossiers!$G$4:$G$63,44)="","",INDEX(Dossiers!$G$4:$G$63,44)))</f>
        <v/>
      </c>
      <c r="V2324">
        <f>IF(OR($O2324="",NOT(ISNUMBER($Q2324))),"",$Q2324*1000000+2324)</f>
        <v/>
      </c>
      <c r="W2324" s="29">
        <f>IF($B2324="","",IFERROR(INDEX($U$4:$U$3183,MATCH(SMALL($V$4:$V$3183,2321),$V$4:$V$3183,0)),""))</f>
        <v/>
      </c>
    </row>
    <row r="2325">
      <c r="A2325">
        <f>IFERROR(INDEX($N$4:$N$3183,MATCH(SMALL($V$4:$V$3183,2322),$V$4:$V$3183,0)),"")</f>
        <v/>
      </c>
      <c r="B2325">
        <f>IFERROR(INDEX($O$4:$O$3183,MATCH(SMALL($V$4:$V$3183,2322),$V$4:$V$3183,0)),"")</f>
        <v/>
      </c>
      <c r="C2325">
        <f>IFERROR(INDEX($P$4:$P$3183,MATCH(SMALL($V$4:$V$3183,2322),$V$4:$V$3183,0)),"")</f>
        <v/>
      </c>
      <c r="D2325" s="29">
        <f>IFERROR(INDEX($Q$4:$Q$3183,MATCH(SMALL($V$4:$V$3183,2322),$V$4:$V$3183,0)),"")</f>
        <v/>
      </c>
      <c r="E2325" s="29">
        <f>IFERROR(INDEX($R$4:$R$3183,MATCH(SMALL($V$4:$V$3183,2322),$V$4:$V$3183,0)),"")</f>
        <v/>
      </c>
      <c r="F2325">
        <f>IFERROR(INDEX($S$4:$S$3183,MATCH(SMALL($V$4:$V$3183,2322),$V$4:$V$3183,0)),"")</f>
        <v/>
      </c>
      <c r="I2325" s="29">
        <f>IF($B2325="","",IFERROR(INDEX($U$4:$U$3183,MATCH(SMALL($V$4:$V$3183,2322),$V$4:$V$3183,0)),""))</f>
        <v/>
      </c>
      <c r="J2325">
        <f>IF($B2325="","",IF($D2325&gt;$F$2,"À venir",IF($E2325&lt;$D$2,"Passé","Dans la période")))</f>
        <v/>
      </c>
      <c r="K2325">
        <f>IF(OR($B2325="",NOT(ISNUMBER($D2325))),"",IF(AND($E2325&lt;$D$2,$G2325&lt;&gt;"X",$F2325&lt;&gt;"Réalisé",$F2325&lt;&gt;"Clôturé"),"RETARD",""))</f>
        <v/>
      </c>
      <c r="L2325">
        <f>IF(OR($B2325="",NOT(ISNUMBER($D2325))),"",IF(AND($D2325&gt;=$D$2,$D2325&lt;=$H$2,$G2325&lt;&gt;"X",$F2325&lt;&gt;"Réalisé",$F2325&lt;&gt;"Clôturé"),"≤ 7 j",""))</f>
        <v/>
      </c>
      <c r="M2325" s="29">
        <f>IF($B2325="","",IFERROR(INDEX($T$4:$T$3183,MATCH(SMALL($V$4:$V$3183,2322),$V$4:$V$3183,0)),""))</f>
        <v/>
      </c>
      <c r="O2325">
        <f>IF(INDEX(Suivi!$B:$B,2369)="","",INDEX(Suivi!$B:$B,2369))</f>
        <v/>
      </c>
      <c r="P2325">
        <f>IF($O2325="","",IF(INDEX(Suivi!$D:$D,2369)="",INDEX(Suivi!$C:$C,2369),INDEX(Suivi!$D:$D,2369)))</f>
        <v/>
      </c>
      <c r="Q2325">
        <f>IF($O2325="","",INDEX(Suivi!$E:$E,2369))</f>
        <v/>
      </c>
      <c r="R2325">
        <f>IF($O2325="","",INDEX(Suivi!$F:$F,2369))</f>
        <v/>
      </c>
      <c r="S2325">
        <f>IF($O2325="","",INDEX(Suivi!$G:$G,2369))</f>
        <v/>
      </c>
      <c r="T2325">
        <f>IF($O2325="","",IF(INDEX(Dossiers!$F$4:$F$63,44)="","",INDEX(Dossiers!$F$4:$F$63,44)))</f>
        <v/>
      </c>
      <c r="U2325">
        <f>IF($O2325="","",IF(INDEX(Dossiers!$G$4:$G$63,44)="","",INDEX(Dossiers!$G$4:$G$63,44)))</f>
        <v/>
      </c>
      <c r="V2325">
        <f>IF(OR($O2325="",NOT(ISNUMBER($Q2325))),"",$Q2325*1000000+2325)</f>
        <v/>
      </c>
      <c r="W2325" s="29">
        <f>IF($B2325="","",IFERROR(INDEX($U$4:$U$3183,MATCH(SMALL($V$4:$V$3183,2322),$V$4:$V$3183,0)),""))</f>
        <v/>
      </c>
    </row>
    <row r="2326">
      <c r="A2326">
        <f>IFERROR(INDEX($N$4:$N$3183,MATCH(SMALL($V$4:$V$3183,2323),$V$4:$V$3183,0)),"")</f>
        <v/>
      </c>
      <c r="B2326">
        <f>IFERROR(INDEX($O$4:$O$3183,MATCH(SMALL($V$4:$V$3183,2323),$V$4:$V$3183,0)),"")</f>
        <v/>
      </c>
      <c r="C2326">
        <f>IFERROR(INDEX($P$4:$P$3183,MATCH(SMALL($V$4:$V$3183,2323),$V$4:$V$3183,0)),"")</f>
        <v/>
      </c>
      <c r="D2326" s="29">
        <f>IFERROR(INDEX($Q$4:$Q$3183,MATCH(SMALL($V$4:$V$3183,2323),$V$4:$V$3183,0)),"")</f>
        <v/>
      </c>
      <c r="E2326" s="29">
        <f>IFERROR(INDEX($R$4:$R$3183,MATCH(SMALL($V$4:$V$3183,2323),$V$4:$V$3183,0)),"")</f>
        <v/>
      </c>
      <c r="F2326">
        <f>IFERROR(INDEX($S$4:$S$3183,MATCH(SMALL($V$4:$V$3183,2323),$V$4:$V$3183,0)),"")</f>
        <v/>
      </c>
      <c r="I2326" s="29">
        <f>IF($B2326="","",IFERROR(INDEX($U$4:$U$3183,MATCH(SMALL($V$4:$V$3183,2323),$V$4:$V$3183,0)),""))</f>
        <v/>
      </c>
      <c r="J2326">
        <f>IF($B2326="","",IF($D2326&gt;$F$2,"À venir",IF($E2326&lt;$D$2,"Passé","Dans la période")))</f>
        <v/>
      </c>
      <c r="K2326">
        <f>IF(OR($B2326="",NOT(ISNUMBER($D2326))),"",IF(AND($E2326&lt;$D$2,$G2326&lt;&gt;"X",$F2326&lt;&gt;"Réalisé",$F2326&lt;&gt;"Clôturé"),"RETARD",""))</f>
        <v/>
      </c>
      <c r="L2326">
        <f>IF(OR($B2326="",NOT(ISNUMBER($D2326))),"",IF(AND($D2326&gt;=$D$2,$D2326&lt;=$H$2,$G2326&lt;&gt;"X",$F2326&lt;&gt;"Réalisé",$F2326&lt;&gt;"Clôturé"),"≤ 7 j",""))</f>
        <v/>
      </c>
      <c r="M2326" s="29">
        <f>IF($B2326="","",IFERROR(INDEX($T$4:$T$3183,MATCH(SMALL($V$4:$V$3183,2323),$V$4:$V$3183,0)),""))</f>
        <v/>
      </c>
      <c r="O2326">
        <f>IF(INDEX(Suivi!$B:$B,2370)="","",INDEX(Suivi!$B:$B,2370))</f>
        <v/>
      </c>
      <c r="P2326">
        <f>IF($O2326="","",IF(INDEX(Suivi!$D:$D,2370)="",INDEX(Suivi!$C:$C,2370),INDEX(Suivi!$D:$D,2370)))</f>
        <v/>
      </c>
      <c r="Q2326">
        <f>IF($O2326="","",INDEX(Suivi!$E:$E,2370))</f>
        <v/>
      </c>
      <c r="R2326">
        <f>IF($O2326="","",INDEX(Suivi!$F:$F,2370))</f>
        <v/>
      </c>
      <c r="S2326">
        <f>IF($O2326="","",INDEX(Suivi!$G:$G,2370))</f>
        <v/>
      </c>
      <c r="T2326">
        <f>IF($O2326="","",IF(INDEX(Dossiers!$F$4:$F$63,44)="","",INDEX(Dossiers!$F$4:$F$63,44)))</f>
        <v/>
      </c>
      <c r="U2326">
        <f>IF($O2326="","",IF(INDEX(Dossiers!$G$4:$G$63,44)="","",INDEX(Dossiers!$G$4:$G$63,44)))</f>
        <v/>
      </c>
      <c r="V2326">
        <f>IF(OR($O2326="",NOT(ISNUMBER($Q2326))),"",$Q2326*1000000+2326)</f>
        <v/>
      </c>
      <c r="W2326" s="29">
        <f>IF($B2326="","",IFERROR(INDEX($U$4:$U$3183,MATCH(SMALL($V$4:$V$3183,2323),$V$4:$V$3183,0)),""))</f>
        <v/>
      </c>
    </row>
    <row r="2327">
      <c r="A2327">
        <f>IFERROR(INDEX($N$4:$N$3183,MATCH(SMALL($V$4:$V$3183,2324),$V$4:$V$3183,0)),"")</f>
        <v/>
      </c>
      <c r="B2327">
        <f>IFERROR(INDEX($O$4:$O$3183,MATCH(SMALL($V$4:$V$3183,2324),$V$4:$V$3183,0)),"")</f>
        <v/>
      </c>
      <c r="C2327">
        <f>IFERROR(INDEX($P$4:$P$3183,MATCH(SMALL($V$4:$V$3183,2324),$V$4:$V$3183,0)),"")</f>
        <v/>
      </c>
      <c r="D2327" s="29">
        <f>IFERROR(INDEX($Q$4:$Q$3183,MATCH(SMALL($V$4:$V$3183,2324),$V$4:$V$3183,0)),"")</f>
        <v/>
      </c>
      <c r="E2327" s="29">
        <f>IFERROR(INDEX($R$4:$R$3183,MATCH(SMALL($V$4:$V$3183,2324),$V$4:$V$3183,0)),"")</f>
        <v/>
      </c>
      <c r="F2327">
        <f>IFERROR(INDEX($S$4:$S$3183,MATCH(SMALL($V$4:$V$3183,2324),$V$4:$V$3183,0)),"")</f>
        <v/>
      </c>
      <c r="I2327" s="29">
        <f>IF($B2327="","",IFERROR(INDEX($U$4:$U$3183,MATCH(SMALL($V$4:$V$3183,2324),$V$4:$V$3183,0)),""))</f>
        <v/>
      </c>
      <c r="J2327">
        <f>IF($B2327="","",IF($D2327&gt;$F$2,"À venir",IF($E2327&lt;$D$2,"Passé","Dans la période")))</f>
        <v/>
      </c>
      <c r="K2327">
        <f>IF(OR($B2327="",NOT(ISNUMBER($D2327))),"",IF(AND($E2327&lt;$D$2,$G2327&lt;&gt;"X",$F2327&lt;&gt;"Réalisé",$F2327&lt;&gt;"Clôturé"),"RETARD",""))</f>
        <v/>
      </c>
      <c r="L2327">
        <f>IF(OR($B2327="",NOT(ISNUMBER($D2327))),"",IF(AND($D2327&gt;=$D$2,$D2327&lt;=$H$2,$G2327&lt;&gt;"X",$F2327&lt;&gt;"Réalisé",$F2327&lt;&gt;"Clôturé"),"≤ 7 j",""))</f>
        <v/>
      </c>
      <c r="M2327" s="29">
        <f>IF($B2327="","",IFERROR(INDEX($T$4:$T$3183,MATCH(SMALL($V$4:$V$3183,2324),$V$4:$V$3183,0)),""))</f>
        <v/>
      </c>
      <c r="O2327">
        <f>IF(INDEX(Suivi!$B:$B,2371)="","",INDEX(Suivi!$B:$B,2371))</f>
        <v/>
      </c>
      <c r="P2327">
        <f>IF($O2327="","",IF(INDEX(Suivi!$D:$D,2371)="",INDEX(Suivi!$C:$C,2371),INDEX(Suivi!$D:$D,2371)))</f>
        <v/>
      </c>
      <c r="Q2327">
        <f>IF($O2327="","",INDEX(Suivi!$E:$E,2371))</f>
        <v/>
      </c>
      <c r="R2327">
        <f>IF($O2327="","",INDEX(Suivi!$F:$F,2371))</f>
        <v/>
      </c>
      <c r="S2327">
        <f>IF($O2327="","",INDEX(Suivi!$G:$G,2371))</f>
        <v/>
      </c>
      <c r="T2327">
        <f>IF($O2327="","",IF(INDEX(Dossiers!$F$4:$F$63,44)="","",INDEX(Dossiers!$F$4:$F$63,44)))</f>
        <v/>
      </c>
      <c r="U2327">
        <f>IF($O2327="","",IF(INDEX(Dossiers!$G$4:$G$63,44)="","",INDEX(Dossiers!$G$4:$G$63,44)))</f>
        <v/>
      </c>
      <c r="V2327">
        <f>IF(OR($O2327="",NOT(ISNUMBER($Q2327))),"",$Q2327*1000000+2327)</f>
        <v/>
      </c>
      <c r="W2327" s="29">
        <f>IF($B2327="","",IFERROR(INDEX($U$4:$U$3183,MATCH(SMALL($V$4:$V$3183,2324),$V$4:$V$3183,0)),""))</f>
        <v/>
      </c>
    </row>
    <row r="2328">
      <c r="A2328">
        <f>IFERROR(INDEX($N$4:$N$3183,MATCH(SMALL($V$4:$V$3183,2325),$V$4:$V$3183,0)),"")</f>
        <v/>
      </c>
      <c r="B2328">
        <f>IFERROR(INDEX($O$4:$O$3183,MATCH(SMALL($V$4:$V$3183,2325),$V$4:$V$3183,0)),"")</f>
        <v/>
      </c>
      <c r="C2328">
        <f>IFERROR(INDEX($P$4:$P$3183,MATCH(SMALL($V$4:$V$3183,2325),$V$4:$V$3183,0)),"")</f>
        <v/>
      </c>
      <c r="D2328" s="29">
        <f>IFERROR(INDEX($Q$4:$Q$3183,MATCH(SMALL($V$4:$V$3183,2325),$V$4:$V$3183,0)),"")</f>
        <v/>
      </c>
      <c r="E2328" s="29">
        <f>IFERROR(INDEX($R$4:$R$3183,MATCH(SMALL($V$4:$V$3183,2325),$V$4:$V$3183,0)),"")</f>
        <v/>
      </c>
      <c r="F2328">
        <f>IFERROR(INDEX($S$4:$S$3183,MATCH(SMALL($V$4:$V$3183,2325),$V$4:$V$3183,0)),"")</f>
        <v/>
      </c>
      <c r="I2328" s="29">
        <f>IF($B2328="","",IFERROR(INDEX($U$4:$U$3183,MATCH(SMALL($V$4:$V$3183,2325),$V$4:$V$3183,0)),""))</f>
        <v/>
      </c>
      <c r="J2328">
        <f>IF($B2328="","",IF($D2328&gt;$F$2,"À venir",IF($E2328&lt;$D$2,"Passé","Dans la période")))</f>
        <v/>
      </c>
      <c r="K2328">
        <f>IF(OR($B2328="",NOT(ISNUMBER($D2328))),"",IF(AND($E2328&lt;$D$2,$G2328&lt;&gt;"X",$F2328&lt;&gt;"Réalisé",$F2328&lt;&gt;"Clôturé"),"RETARD",""))</f>
        <v/>
      </c>
      <c r="L2328">
        <f>IF(OR($B2328="",NOT(ISNUMBER($D2328))),"",IF(AND($D2328&gt;=$D$2,$D2328&lt;=$H$2,$G2328&lt;&gt;"X",$F2328&lt;&gt;"Réalisé",$F2328&lt;&gt;"Clôturé"),"≤ 7 j",""))</f>
        <v/>
      </c>
      <c r="M2328" s="29">
        <f>IF($B2328="","",IFERROR(INDEX($T$4:$T$3183,MATCH(SMALL($V$4:$V$3183,2325),$V$4:$V$3183,0)),""))</f>
        <v/>
      </c>
      <c r="O2328">
        <f>IF(INDEX(Suivi!$B:$B,2372)="","",INDEX(Suivi!$B:$B,2372))</f>
        <v/>
      </c>
      <c r="P2328">
        <f>IF($O2328="","",IF(INDEX(Suivi!$D:$D,2372)="",INDEX(Suivi!$C:$C,2372),INDEX(Suivi!$D:$D,2372)))</f>
        <v/>
      </c>
      <c r="Q2328">
        <f>IF($O2328="","",INDEX(Suivi!$E:$E,2372))</f>
        <v/>
      </c>
      <c r="R2328">
        <f>IF($O2328="","",INDEX(Suivi!$F:$F,2372))</f>
        <v/>
      </c>
      <c r="S2328">
        <f>IF($O2328="","",INDEX(Suivi!$G:$G,2372))</f>
        <v/>
      </c>
      <c r="T2328">
        <f>IF($O2328="","",IF(INDEX(Dossiers!$F$4:$F$63,44)="","",INDEX(Dossiers!$F$4:$F$63,44)))</f>
        <v/>
      </c>
      <c r="U2328">
        <f>IF($O2328="","",IF(INDEX(Dossiers!$G$4:$G$63,44)="","",INDEX(Dossiers!$G$4:$G$63,44)))</f>
        <v/>
      </c>
      <c r="V2328">
        <f>IF(OR($O2328="",NOT(ISNUMBER($Q2328))),"",$Q2328*1000000+2328)</f>
        <v/>
      </c>
      <c r="W2328" s="29">
        <f>IF($B2328="","",IFERROR(INDEX($U$4:$U$3183,MATCH(SMALL($V$4:$V$3183,2325),$V$4:$V$3183,0)),""))</f>
        <v/>
      </c>
    </row>
    <row r="2329">
      <c r="A2329">
        <f>IFERROR(INDEX($N$4:$N$3183,MATCH(SMALL($V$4:$V$3183,2326),$V$4:$V$3183,0)),"")</f>
        <v/>
      </c>
      <c r="B2329">
        <f>IFERROR(INDEX($O$4:$O$3183,MATCH(SMALL($V$4:$V$3183,2326),$V$4:$V$3183,0)),"")</f>
        <v/>
      </c>
      <c r="C2329">
        <f>IFERROR(INDEX($P$4:$P$3183,MATCH(SMALL($V$4:$V$3183,2326),$V$4:$V$3183,0)),"")</f>
        <v/>
      </c>
      <c r="D2329" s="29">
        <f>IFERROR(INDEX($Q$4:$Q$3183,MATCH(SMALL($V$4:$V$3183,2326),$V$4:$V$3183,0)),"")</f>
        <v/>
      </c>
      <c r="E2329" s="29">
        <f>IFERROR(INDEX($R$4:$R$3183,MATCH(SMALL($V$4:$V$3183,2326),$V$4:$V$3183,0)),"")</f>
        <v/>
      </c>
      <c r="F2329">
        <f>IFERROR(INDEX($S$4:$S$3183,MATCH(SMALL($V$4:$V$3183,2326),$V$4:$V$3183,0)),"")</f>
        <v/>
      </c>
      <c r="I2329" s="29">
        <f>IF($B2329="","",IFERROR(INDEX($U$4:$U$3183,MATCH(SMALL($V$4:$V$3183,2326),$V$4:$V$3183,0)),""))</f>
        <v/>
      </c>
      <c r="J2329">
        <f>IF($B2329="","",IF($D2329&gt;$F$2,"À venir",IF($E2329&lt;$D$2,"Passé","Dans la période")))</f>
        <v/>
      </c>
      <c r="K2329">
        <f>IF(OR($B2329="",NOT(ISNUMBER($D2329))),"",IF(AND($E2329&lt;$D$2,$G2329&lt;&gt;"X",$F2329&lt;&gt;"Réalisé",$F2329&lt;&gt;"Clôturé"),"RETARD",""))</f>
        <v/>
      </c>
      <c r="L2329">
        <f>IF(OR($B2329="",NOT(ISNUMBER($D2329))),"",IF(AND($D2329&gt;=$D$2,$D2329&lt;=$H$2,$G2329&lt;&gt;"X",$F2329&lt;&gt;"Réalisé",$F2329&lt;&gt;"Clôturé"),"≤ 7 j",""))</f>
        <v/>
      </c>
      <c r="M2329" s="29">
        <f>IF($B2329="","",IFERROR(INDEX($T$4:$T$3183,MATCH(SMALL($V$4:$V$3183,2326),$V$4:$V$3183,0)),""))</f>
        <v/>
      </c>
      <c r="O2329">
        <f>IF(INDEX(Suivi!$B:$B,2373)="","",INDEX(Suivi!$B:$B,2373))</f>
        <v/>
      </c>
      <c r="P2329">
        <f>IF($O2329="","",IF(INDEX(Suivi!$D:$D,2373)="",INDEX(Suivi!$C:$C,2373),INDEX(Suivi!$D:$D,2373)))</f>
        <v/>
      </c>
      <c r="Q2329">
        <f>IF($O2329="","",INDEX(Suivi!$E:$E,2373))</f>
        <v/>
      </c>
      <c r="R2329">
        <f>IF($O2329="","",INDEX(Suivi!$F:$F,2373))</f>
        <v/>
      </c>
      <c r="S2329">
        <f>IF($O2329="","",INDEX(Suivi!$G:$G,2373))</f>
        <v/>
      </c>
      <c r="T2329">
        <f>IF($O2329="","",IF(INDEX(Dossiers!$F$4:$F$63,44)="","",INDEX(Dossiers!$F$4:$F$63,44)))</f>
        <v/>
      </c>
      <c r="U2329">
        <f>IF($O2329="","",IF(INDEX(Dossiers!$G$4:$G$63,44)="","",INDEX(Dossiers!$G$4:$G$63,44)))</f>
        <v/>
      </c>
      <c r="V2329">
        <f>IF(OR($O2329="",NOT(ISNUMBER($Q2329))),"",$Q2329*1000000+2329)</f>
        <v/>
      </c>
      <c r="W2329" s="29">
        <f>IF($B2329="","",IFERROR(INDEX($U$4:$U$3183,MATCH(SMALL($V$4:$V$3183,2326),$V$4:$V$3183,0)),""))</f>
        <v/>
      </c>
    </row>
    <row r="2330">
      <c r="A2330">
        <f>IFERROR(INDEX($N$4:$N$3183,MATCH(SMALL($V$4:$V$3183,2327),$V$4:$V$3183,0)),"")</f>
        <v/>
      </c>
      <c r="B2330">
        <f>IFERROR(INDEX($O$4:$O$3183,MATCH(SMALL($V$4:$V$3183,2327),$V$4:$V$3183,0)),"")</f>
        <v/>
      </c>
      <c r="C2330">
        <f>IFERROR(INDEX($P$4:$P$3183,MATCH(SMALL($V$4:$V$3183,2327),$V$4:$V$3183,0)),"")</f>
        <v/>
      </c>
      <c r="D2330" s="29">
        <f>IFERROR(INDEX($Q$4:$Q$3183,MATCH(SMALL($V$4:$V$3183,2327),$V$4:$V$3183,0)),"")</f>
        <v/>
      </c>
      <c r="E2330" s="29">
        <f>IFERROR(INDEX($R$4:$R$3183,MATCH(SMALL($V$4:$V$3183,2327),$V$4:$V$3183,0)),"")</f>
        <v/>
      </c>
      <c r="F2330">
        <f>IFERROR(INDEX($S$4:$S$3183,MATCH(SMALL($V$4:$V$3183,2327),$V$4:$V$3183,0)),"")</f>
        <v/>
      </c>
      <c r="I2330" s="29">
        <f>IF($B2330="","",IFERROR(INDEX($U$4:$U$3183,MATCH(SMALL($V$4:$V$3183,2327),$V$4:$V$3183,0)),""))</f>
        <v/>
      </c>
      <c r="J2330">
        <f>IF($B2330="","",IF($D2330&gt;$F$2,"À venir",IF($E2330&lt;$D$2,"Passé","Dans la période")))</f>
        <v/>
      </c>
      <c r="K2330">
        <f>IF(OR($B2330="",NOT(ISNUMBER($D2330))),"",IF(AND($E2330&lt;$D$2,$G2330&lt;&gt;"X",$F2330&lt;&gt;"Réalisé",$F2330&lt;&gt;"Clôturé"),"RETARD",""))</f>
        <v/>
      </c>
      <c r="L2330">
        <f>IF(OR($B2330="",NOT(ISNUMBER($D2330))),"",IF(AND($D2330&gt;=$D$2,$D2330&lt;=$H$2,$G2330&lt;&gt;"X",$F2330&lt;&gt;"Réalisé",$F2330&lt;&gt;"Clôturé"),"≤ 7 j",""))</f>
        <v/>
      </c>
      <c r="M2330" s="29">
        <f>IF($B2330="","",IFERROR(INDEX($T$4:$T$3183,MATCH(SMALL($V$4:$V$3183,2327),$V$4:$V$3183,0)),""))</f>
        <v/>
      </c>
      <c r="O2330">
        <f>IF(INDEX(Suivi!$B:$B,2374)="","",INDEX(Suivi!$B:$B,2374))</f>
        <v/>
      </c>
      <c r="P2330">
        <f>IF($O2330="","",IF(INDEX(Suivi!$D:$D,2374)="",INDEX(Suivi!$C:$C,2374),INDEX(Suivi!$D:$D,2374)))</f>
        <v/>
      </c>
      <c r="Q2330">
        <f>IF($O2330="","",INDEX(Suivi!$E:$E,2374))</f>
        <v/>
      </c>
      <c r="R2330">
        <f>IF($O2330="","",INDEX(Suivi!$F:$F,2374))</f>
        <v/>
      </c>
      <c r="S2330">
        <f>IF($O2330="","",INDEX(Suivi!$G:$G,2374))</f>
        <v/>
      </c>
      <c r="T2330">
        <f>IF($O2330="","",IF(INDEX(Dossiers!$F$4:$F$63,44)="","",INDEX(Dossiers!$F$4:$F$63,44)))</f>
        <v/>
      </c>
      <c r="U2330">
        <f>IF($O2330="","",IF(INDEX(Dossiers!$G$4:$G$63,44)="","",INDEX(Dossiers!$G$4:$G$63,44)))</f>
        <v/>
      </c>
      <c r="V2330">
        <f>IF(OR($O2330="",NOT(ISNUMBER($Q2330))),"",$Q2330*1000000+2330)</f>
        <v/>
      </c>
      <c r="W2330" s="29">
        <f>IF($B2330="","",IFERROR(INDEX($U$4:$U$3183,MATCH(SMALL($V$4:$V$3183,2327),$V$4:$V$3183,0)),""))</f>
        <v/>
      </c>
    </row>
    <row r="2331">
      <c r="A2331">
        <f>IFERROR(INDEX($N$4:$N$3183,MATCH(SMALL($V$4:$V$3183,2328),$V$4:$V$3183,0)),"")</f>
        <v/>
      </c>
      <c r="B2331">
        <f>IFERROR(INDEX($O$4:$O$3183,MATCH(SMALL($V$4:$V$3183,2328),$V$4:$V$3183,0)),"")</f>
        <v/>
      </c>
      <c r="C2331">
        <f>IFERROR(INDEX($P$4:$P$3183,MATCH(SMALL($V$4:$V$3183,2328),$V$4:$V$3183,0)),"")</f>
        <v/>
      </c>
      <c r="D2331" s="29">
        <f>IFERROR(INDEX($Q$4:$Q$3183,MATCH(SMALL($V$4:$V$3183,2328),$V$4:$V$3183,0)),"")</f>
        <v/>
      </c>
      <c r="E2331" s="29">
        <f>IFERROR(INDEX($R$4:$R$3183,MATCH(SMALL($V$4:$V$3183,2328),$V$4:$V$3183,0)),"")</f>
        <v/>
      </c>
      <c r="F2331">
        <f>IFERROR(INDEX($S$4:$S$3183,MATCH(SMALL($V$4:$V$3183,2328),$V$4:$V$3183,0)),"")</f>
        <v/>
      </c>
      <c r="I2331" s="29">
        <f>IF($B2331="","",IFERROR(INDEX($U$4:$U$3183,MATCH(SMALL($V$4:$V$3183,2328),$V$4:$V$3183,0)),""))</f>
        <v/>
      </c>
      <c r="J2331">
        <f>IF($B2331="","",IF($D2331&gt;$F$2,"À venir",IF($E2331&lt;$D$2,"Passé","Dans la période")))</f>
        <v/>
      </c>
      <c r="K2331">
        <f>IF(OR($B2331="",NOT(ISNUMBER($D2331))),"",IF(AND($E2331&lt;$D$2,$G2331&lt;&gt;"X",$F2331&lt;&gt;"Réalisé",$F2331&lt;&gt;"Clôturé"),"RETARD",""))</f>
        <v/>
      </c>
      <c r="L2331">
        <f>IF(OR($B2331="",NOT(ISNUMBER($D2331))),"",IF(AND($D2331&gt;=$D$2,$D2331&lt;=$H$2,$G2331&lt;&gt;"X",$F2331&lt;&gt;"Réalisé",$F2331&lt;&gt;"Clôturé"),"≤ 7 j",""))</f>
        <v/>
      </c>
      <c r="M2331" s="29">
        <f>IF($B2331="","",IFERROR(INDEX($T$4:$T$3183,MATCH(SMALL($V$4:$V$3183,2328),$V$4:$V$3183,0)),""))</f>
        <v/>
      </c>
      <c r="O2331">
        <f>IF(INDEX(Suivi!$B:$B,2375)="","",INDEX(Suivi!$B:$B,2375))</f>
        <v/>
      </c>
      <c r="P2331">
        <f>IF($O2331="","",IF(INDEX(Suivi!$D:$D,2375)="",INDEX(Suivi!$C:$C,2375),INDEX(Suivi!$D:$D,2375)))</f>
        <v/>
      </c>
      <c r="Q2331">
        <f>IF($O2331="","",INDEX(Suivi!$E:$E,2375))</f>
        <v/>
      </c>
      <c r="R2331">
        <f>IF($O2331="","",INDEX(Suivi!$F:$F,2375))</f>
        <v/>
      </c>
      <c r="S2331">
        <f>IF($O2331="","",INDEX(Suivi!$G:$G,2375))</f>
        <v/>
      </c>
      <c r="T2331">
        <f>IF($O2331="","",IF(INDEX(Dossiers!$F$4:$F$63,44)="","",INDEX(Dossiers!$F$4:$F$63,44)))</f>
        <v/>
      </c>
      <c r="U2331">
        <f>IF($O2331="","",IF(INDEX(Dossiers!$G$4:$G$63,44)="","",INDEX(Dossiers!$G$4:$G$63,44)))</f>
        <v/>
      </c>
      <c r="V2331">
        <f>IF(OR($O2331="",NOT(ISNUMBER($Q2331))),"",$Q2331*1000000+2331)</f>
        <v/>
      </c>
      <c r="W2331" s="29">
        <f>IF($B2331="","",IFERROR(INDEX($U$4:$U$3183,MATCH(SMALL($V$4:$V$3183,2328),$V$4:$V$3183,0)),""))</f>
        <v/>
      </c>
    </row>
    <row r="2332">
      <c r="A2332">
        <f>IFERROR(INDEX($N$4:$N$3183,MATCH(SMALL($V$4:$V$3183,2329),$V$4:$V$3183,0)),"")</f>
        <v/>
      </c>
      <c r="B2332">
        <f>IFERROR(INDEX($O$4:$O$3183,MATCH(SMALL($V$4:$V$3183,2329),$V$4:$V$3183,0)),"")</f>
        <v/>
      </c>
      <c r="C2332">
        <f>IFERROR(INDEX($P$4:$P$3183,MATCH(SMALL($V$4:$V$3183,2329),$V$4:$V$3183,0)),"")</f>
        <v/>
      </c>
      <c r="D2332" s="29">
        <f>IFERROR(INDEX($Q$4:$Q$3183,MATCH(SMALL($V$4:$V$3183,2329),$V$4:$V$3183,0)),"")</f>
        <v/>
      </c>
      <c r="E2332" s="29">
        <f>IFERROR(INDEX($R$4:$R$3183,MATCH(SMALL($V$4:$V$3183,2329),$V$4:$V$3183,0)),"")</f>
        <v/>
      </c>
      <c r="F2332">
        <f>IFERROR(INDEX($S$4:$S$3183,MATCH(SMALL($V$4:$V$3183,2329),$V$4:$V$3183,0)),"")</f>
        <v/>
      </c>
      <c r="I2332" s="29">
        <f>IF($B2332="","",IFERROR(INDEX($U$4:$U$3183,MATCH(SMALL($V$4:$V$3183,2329),$V$4:$V$3183,0)),""))</f>
        <v/>
      </c>
      <c r="J2332">
        <f>IF($B2332="","",IF($D2332&gt;$F$2,"À venir",IF($E2332&lt;$D$2,"Passé","Dans la période")))</f>
        <v/>
      </c>
      <c r="K2332">
        <f>IF(OR($B2332="",NOT(ISNUMBER($D2332))),"",IF(AND($E2332&lt;$D$2,$G2332&lt;&gt;"X",$F2332&lt;&gt;"Réalisé",$F2332&lt;&gt;"Clôturé"),"RETARD",""))</f>
        <v/>
      </c>
      <c r="L2332">
        <f>IF(OR($B2332="",NOT(ISNUMBER($D2332))),"",IF(AND($D2332&gt;=$D$2,$D2332&lt;=$H$2,$G2332&lt;&gt;"X",$F2332&lt;&gt;"Réalisé",$F2332&lt;&gt;"Clôturé"),"≤ 7 j",""))</f>
        <v/>
      </c>
      <c r="M2332" s="29">
        <f>IF($B2332="","",IFERROR(INDEX($T$4:$T$3183,MATCH(SMALL($V$4:$V$3183,2329),$V$4:$V$3183,0)),""))</f>
        <v/>
      </c>
      <c r="O2332">
        <f>IF(INDEX(Suivi!$B:$B,2376)="","",INDEX(Suivi!$B:$B,2376))</f>
        <v/>
      </c>
      <c r="P2332">
        <f>IF($O2332="","",IF(INDEX(Suivi!$D:$D,2376)="",INDEX(Suivi!$C:$C,2376),INDEX(Suivi!$D:$D,2376)))</f>
        <v/>
      </c>
      <c r="Q2332">
        <f>IF($O2332="","",INDEX(Suivi!$E:$E,2376))</f>
        <v/>
      </c>
      <c r="R2332">
        <f>IF($O2332="","",INDEX(Suivi!$F:$F,2376))</f>
        <v/>
      </c>
      <c r="S2332">
        <f>IF($O2332="","",INDEX(Suivi!$G:$G,2376))</f>
        <v/>
      </c>
      <c r="T2332">
        <f>IF($O2332="","",IF(INDEX(Dossiers!$F$4:$F$63,44)="","",INDEX(Dossiers!$F$4:$F$63,44)))</f>
        <v/>
      </c>
      <c r="U2332">
        <f>IF($O2332="","",IF(INDEX(Dossiers!$G$4:$G$63,44)="","",INDEX(Dossiers!$G$4:$G$63,44)))</f>
        <v/>
      </c>
      <c r="V2332">
        <f>IF(OR($O2332="",NOT(ISNUMBER($Q2332))),"",$Q2332*1000000+2332)</f>
        <v/>
      </c>
      <c r="W2332" s="29">
        <f>IF($B2332="","",IFERROR(INDEX($U$4:$U$3183,MATCH(SMALL($V$4:$V$3183,2329),$V$4:$V$3183,0)),""))</f>
        <v/>
      </c>
    </row>
    <row r="2333">
      <c r="A2333">
        <f>IFERROR(INDEX($N$4:$N$3183,MATCH(SMALL($V$4:$V$3183,2330),$V$4:$V$3183,0)),"")</f>
        <v/>
      </c>
      <c r="B2333">
        <f>IFERROR(INDEX($O$4:$O$3183,MATCH(SMALL($V$4:$V$3183,2330),$V$4:$V$3183,0)),"")</f>
        <v/>
      </c>
      <c r="C2333">
        <f>IFERROR(INDEX($P$4:$P$3183,MATCH(SMALL($V$4:$V$3183,2330),$V$4:$V$3183,0)),"")</f>
        <v/>
      </c>
      <c r="D2333" s="29">
        <f>IFERROR(INDEX($Q$4:$Q$3183,MATCH(SMALL($V$4:$V$3183,2330),$V$4:$V$3183,0)),"")</f>
        <v/>
      </c>
      <c r="E2333" s="29">
        <f>IFERROR(INDEX($R$4:$R$3183,MATCH(SMALL($V$4:$V$3183,2330),$V$4:$V$3183,0)),"")</f>
        <v/>
      </c>
      <c r="F2333">
        <f>IFERROR(INDEX($S$4:$S$3183,MATCH(SMALL($V$4:$V$3183,2330),$V$4:$V$3183,0)),"")</f>
        <v/>
      </c>
      <c r="I2333" s="29">
        <f>IF($B2333="","",IFERROR(INDEX($U$4:$U$3183,MATCH(SMALL($V$4:$V$3183,2330),$V$4:$V$3183,0)),""))</f>
        <v/>
      </c>
      <c r="J2333">
        <f>IF($B2333="","",IF($D2333&gt;$F$2,"À venir",IF($E2333&lt;$D$2,"Passé","Dans la période")))</f>
        <v/>
      </c>
      <c r="K2333">
        <f>IF(OR($B2333="",NOT(ISNUMBER($D2333))),"",IF(AND($E2333&lt;$D$2,$G2333&lt;&gt;"X",$F2333&lt;&gt;"Réalisé",$F2333&lt;&gt;"Clôturé"),"RETARD",""))</f>
        <v/>
      </c>
      <c r="L2333">
        <f>IF(OR($B2333="",NOT(ISNUMBER($D2333))),"",IF(AND($D2333&gt;=$D$2,$D2333&lt;=$H$2,$G2333&lt;&gt;"X",$F2333&lt;&gt;"Réalisé",$F2333&lt;&gt;"Clôturé"),"≤ 7 j",""))</f>
        <v/>
      </c>
      <c r="M2333" s="29">
        <f>IF($B2333="","",IFERROR(INDEX($T$4:$T$3183,MATCH(SMALL($V$4:$V$3183,2330),$V$4:$V$3183,0)),""))</f>
        <v/>
      </c>
      <c r="O2333">
        <f>IF(INDEX(Suivi!$B:$B,2377)="","",INDEX(Suivi!$B:$B,2377))</f>
        <v/>
      </c>
      <c r="P2333">
        <f>IF($O2333="","",IF(INDEX(Suivi!$D:$D,2377)="",INDEX(Suivi!$C:$C,2377),INDEX(Suivi!$D:$D,2377)))</f>
        <v/>
      </c>
      <c r="Q2333">
        <f>IF($O2333="","",INDEX(Suivi!$E:$E,2377))</f>
        <v/>
      </c>
      <c r="R2333">
        <f>IF($O2333="","",INDEX(Suivi!$F:$F,2377))</f>
        <v/>
      </c>
      <c r="S2333">
        <f>IF($O2333="","",INDEX(Suivi!$G:$G,2377))</f>
        <v/>
      </c>
      <c r="T2333">
        <f>IF($O2333="","",IF(INDEX(Dossiers!$F$4:$F$63,44)="","",INDEX(Dossiers!$F$4:$F$63,44)))</f>
        <v/>
      </c>
      <c r="U2333">
        <f>IF($O2333="","",IF(INDEX(Dossiers!$G$4:$G$63,44)="","",INDEX(Dossiers!$G$4:$G$63,44)))</f>
        <v/>
      </c>
      <c r="V2333">
        <f>IF(OR($O2333="",NOT(ISNUMBER($Q2333))),"",$Q2333*1000000+2333)</f>
        <v/>
      </c>
      <c r="W2333" s="29">
        <f>IF($B2333="","",IFERROR(INDEX($U$4:$U$3183,MATCH(SMALL($V$4:$V$3183,2330),$V$4:$V$3183,0)),""))</f>
        <v/>
      </c>
    </row>
    <row r="2334">
      <c r="A2334">
        <f>IFERROR(INDEX($N$4:$N$3183,MATCH(SMALL($V$4:$V$3183,2331),$V$4:$V$3183,0)),"")</f>
        <v/>
      </c>
      <c r="B2334">
        <f>IFERROR(INDEX($O$4:$O$3183,MATCH(SMALL($V$4:$V$3183,2331),$V$4:$V$3183,0)),"")</f>
        <v/>
      </c>
      <c r="C2334">
        <f>IFERROR(INDEX($P$4:$P$3183,MATCH(SMALL($V$4:$V$3183,2331),$V$4:$V$3183,0)),"")</f>
        <v/>
      </c>
      <c r="D2334" s="29">
        <f>IFERROR(INDEX($Q$4:$Q$3183,MATCH(SMALL($V$4:$V$3183,2331),$V$4:$V$3183,0)),"")</f>
        <v/>
      </c>
      <c r="E2334" s="29">
        <f>IFERROR(INDEX($R$4:$R$3183,MATCH(SMALL($V$4:$V$3183,2331),$V$4:$V$3183,0)),"")</f>
        <v/>
      </c>
      <c r="F2334">
        <f>IFERROR(INDEX($S$4:$S$3183,MATCH(SMALL($V$4:$V$3183,2331),$V$4:$V$3183,0)),"")</f>
        <v/>
      </c>
      <c r="I2334" s="29">
        <f>IF($B2334="","",IFERROR(INDEX($U$4:$U$3183,MATCH(SMALL($V$4:$V$3183,2331),$V$4:$V$3183,0)),""))</f>
        <v/>
      </c>
      <c r="J2334">
        <f>IF($B2334="","",IF($D2334&gt;$F$2,"À venir",IF($E2334&lt;$D$2,"Passé","Dans la période")))</f>
        <v/>
      </c>
      <c r="K2334">
        <f>IF(OR($B2334="",NOT(ISNUMBER($D2334))),"",IF(AND($E2334&lt;$D$2,$G2334&lt;&gt;"X",$F2334&lt;&gt;"Réalisé",$F2334&lt;&gt;"Clôturé"),"RETARD",""))</f>
        <v/>
      </c>
      <c r="L2334">
        <f>IF(OR($B2334="",NOT(ISNUMBER($D2334))),"",IF(AND($D2334&gt;=$D$2,$D2334&lt;=$H$2,$G2334&lt;&gt;"X",$F2334&lt;&gt;"Réalisé",$F2334&lt;&gt;"Clôturé"),"≤ 7 j",""))</f>
        <v/>
      </c>
      <c r="M2334" s="29">
        <f>IF($B2334="","",IFERROR(INDEX($T$4:$T$3183,MATCH(SMALL($V$4:$V$3183,2331),$V$4:$V$3183,0)),""))</f>
        <v/>
      </c>
      <c r="O2334">
        <f>IF(INDEX(Suivi!$B:$B,2378)="","",INDEX(Suivi!$B:$B,2378))</f>
        <v/>
      </c>
      <c r="P2334">
        <f>IF($O2334="","",IF(INDEX(Suivi!$D:$D,2378)="",INDEX(Suivi!$C:$C,2378),INDEX(Suivi!$D:$D,2378)))</f>
        <v/>
      </c>
      <c r="Q2334">
        <f>IF($O2334="","",INDEX(Suivi!$E:$E,2378))</f>
        <v/>
      </c>
      <c r="R2334">
        <f>IF($O2334="","",INDEX(Suivi!$F:$F,2378))</f>
        <v/>
      </c>
      <c r="S2334">
        <f>IF($O2334="","",INDEX(Suivi!$G:$G,2378))</f>
        <v/>
      </c>
      <c r="T2334">
        <f>IF($O2334="","",IF(INDEX(Dossiers!$F$4:$F$63,44)="","",INDEX(Dossiers!$F$4:$F$63,44)))</f>
        <v/>
      </c>
      <c r="U2334">
        <f>IF($O2334="","",IF(INDEX(Dossiers!$G$4:$G$63,44)="","",INDEX(Dossiers!$G$4:$G$63,44)))</f>
        <v/>
      </c>
      <c r="V2334">
        <f>IF(OR($O2334="",NOT(ISNUMBER($Q2334))),"",$Q2334*1000000+2334)</f>
        <v/>
      </c>
      <c r="W2334" s="29">
        <f>IF($B2334="","",IFERROR(INDEX($U$4:$U$3183,MATCH(SMALL($V$4:$V$3183,2331),$V$4:$V$3183,0)),""))</f>
        <v/>
      </c>
    </row>
    <row r="2335">
      <c r="A2335">
        <f>IFERROR(INDEX($N$4:$N$3183,MATCH(SMALL($V$4:$V$3183,2332),$V$4:$V$3183,0)),"")</f>
        <v/>
      </c>
      <c r="B2335">
        <f>IFERROR(INDEX($O$4:$O$3183,MATCH(SMALL($V$4:$V$3183,2332),$V$4:$V$3183,0)),"")</f>
        <v/>
      </c>
      <c r="C2335">
        <f>IFERROR(INDEX($P$4:$P$3183,MATCH(SMALL($V$4:$V$3183,2332),$V$4:$V$3183,0)),"")</f>
        <v/>
      </c>
      <c r="D2335" s="29">
        <f>IFERROR(INDEX($Q$4:$Q$3183,MATCH(SMALL($V$4:$V$3183,2332),$V$4:$V$3183,0)),"")</f>
        <v/>
      </c>
      <c r="E2335" s="29">
        <f>IFERROR(INDEX($R$4:$R$3183,MATCH(SMALL($V$4:$V$3183,2332),$V$4:$V$3183,0)),"")</f>
        <v/>
      </c>
      <c r="F2335">
        <f>IFERROR(INDEX($S$4:$S$3183,MATCH(SMALL($V$4:$V$3183,2332),$V$4:$V$3183,0)),"")</f>
        <v/>
      </c>
      <c r="I2335" s="29">
        <f>IF($B2335="","",IFERROR(INDEX($U$4:$U$3183,MATCH(SMALL($V$4:$V$3183,2332),$V$4:$V$3183,0)),""))</f>
        <v/>
      </c>
      <c r="J2335">
        <f>IF($B2335="","",IF($D2335&gt;$F$2,"À venir",IF($E2335&lt;$D$2,"Passé","Dans la période")))</f>
        <v/>
      </c>
      <c r="K2335">
        <f>IF(OR($B2335="",NOT(ISNUMBER($D2335))),"",IF(AND($E2335&lt;$D$2,$G2335&lt;&gt;"X",$F2335&lt;&gt;"Réalisé",$F2335&lt;&gt;"Clôturé"),"RETARD",""))</f>
        <v/>
      </c>
      <c r="L2335">
        <f>IF(OR($B2335="",NOT(ISNUMBER($D2335))),"",IF(AND($D2335&gt;=$D$2,$D2335&lt;=$H$2,$G2335&lt;&gt;"X",$F2335&lt;&gt;"Réalisé",$F2335&lt;&gt;"Clôturé"),"≤ 7 j",""))</f>
        <v/>
      </c>
      <c r="M2335" s="29">
        <f>IF($B2335="","",IFERROR(INDEX($T$4:$T$3183,MATCH(SMALL($V$4:$V$3183,2332),$V$4:$V$3183,0)),""))</f>
        <v/>
      </c>
      <c r="O2335">
        <f>IF(INDEX(Suivi!$B:$B,2379)="","",INDEX(Suivi!$B:$B,2379))</f>
        <v/>
      </c>
      <c r="P2335">
        <f>IF($O2335="","",IF(INDEX(Suivi!$D:$D,2379)="",INDEX(Suivi!$C:$C,2379),INDEX(Suivi!$D:$D,2379)))</f>
        <v/>
      </c>
      <c r="Q2335">
        <f>IF($O2335="","",INDEX(Suivi!$E:$E,2379))</f>
        <v/>
      </c>
      <c r="R2335">
        <f>IF($O2335="","",INDEX(Suivi!$F:$F,2379))</f>
        <v/>
      </c>
      <c r="S2335">
        <f>IF($O2335="","",INDEX(Suivi!$G:$G,2379))</f>
        <v/>
      </c>
      <c r="T2335">
        <f>IF($O2335="","",IF(INDEX(Dossiers!$F$4:$F$63,44)="","",INDEX(Dossiers!$F$4:$F$63,44)))</f>
        <v/>
      </c>
      <c r="U2335">
        <f>IF($O2335="","",IF(INDEX(Dossiers!$G$4:$G$63,44)="","",INDEX(Dossiers!$G$4:$G$63,44)))</f>
        <v/>
      </c>
      <c r="V2335">
        <f>IF(OR($O2335="",NOT(ISNUMBER($Q2335))),"",$Q2335*1000000+2335)</f>
        <v/>
      </c>
      <c r="W2335" s="29">
        <f>IF($B2335="","",IFERROR(INDEX($U$4:$U$3183,MATCH(SMALL($V$4:$V$3183,2332),$V$4:$V$3183,0)),""))</f>
        <v/>
      </c>
    </row>
    <row r="2336">
      <c r="A2336">
        <f>IFERROR(INDEX($N$4:$N$3183,MATCH(SMALL($V$4:$V$3183,2333),$V$4:$V$3183,0)),"")</f>
        <v/>
      </c>
      <c r="B2336">
        <f>IFERROR(INDEX($O$4:$O$3183,MATCH(SMALL($V$4:$V$3183,2333),$V$4:$V$3183,0)),"")</f>
        <v/>
      </c>
      <c r="C2336">
        <f>IFERROR(INDEX($P$4:$P$3183,MATCH(SMALL($V$4:$V$3183,2333),$V$4:$V$3183,0)),"")</f>
        <v/>
      </c>
      <c r="D2336" s="29">
        <f>IFERROR(INDEX($Q$4:$Q$3183,MATCH(SMALL($V$4:$V$3183,2333),$V$4:$V$3183,0)),"")</f>
        <v/>
      </c>
      <c r="E2336" s="29">
        <f>IFERROR(INDEX($R$4:$R$3183,MATCH(SMALL($V$4:$V$3183,2333),$V$4:$V$3183,0)),"")</f>
        <v/>
      </c>
      <c r="F2336">
        <f>IFERROR(INDEX($S$4:$S$3183,MATCH(SMALL($V$4:$V$3183,2333),$V$4:$V$3183,0)),"")</f>
        <v/>
      </c>
      <c r="I2336" s="29">
        <f>IF($B2336="","",IFERROR(INDEX($U$4:$U$3183,MATCH(SMALL($V$4:$V$3183,2333),$V$4:$V$3183,0)),""))</f>
        <v/>
      </c>
      <c r="J2336">
        <f>IF($B2336="","",IF($D2336&gt;$F$2,"À venir",IF($E2336&lt;$D$2,"Passé","Dans la période")))</f>
        <v/>
      </c>
      <c r="K2336">
        <f>IF(OR($B2336="",NOT(ISNUMBER($D2336))),"",IF(AND($E2336&lt;$D$2,$G2336&lt;&gt;"X",$F2336&lt;&gt;"Réalisé",$F2336&lt;&gt;"Clôturé"),"RETARD",""))</f>
        <v/>
      </c>
      <c r="L2336">
        <f>IF(OR($B2336="",NOT(ISNUMBER($D2336))),"",IF(AND($D2336&gt;=$D$2,$D2336&lt;=$H$2,$G2336&lt;&gt;"X",$F2336&lt;&gt;"Réalisé",$F2336&lt;&gt;"Clôturé"),"≤ 7 j",""))</f>
        <v/>
      </c>
      <c r="M2336" s="29">
        <f>IF($B2336="","",IFERROR(INDEX($T$4:$T$3183,MATCH(SMALL($V$4:$V$3183,2333),$V$4:$V$3183,0)),""))</f>
        <v/>
      </c>
      <c r="O2336">
        <f>IF(INDEX(Suivi!$B:$B,2381)="","",INDEX(Suivi!$B:$B,2381))</f>
        <v/>
      </c>
      <c r="P2336">
        <f>IF($O2336="","",IF(INDEX(Suivi!$D:$D,2381)="",INDEX(Suivi!$C:$C,2381),INDEX(Suivi!$D:$D,2381)))</f>
        <v/>
      </c>
      <c r="Q2336">
        <f>IF($O2336="","",INDEX(Suivi!$E:$E,2381))</f>
        <v/>
      </c>
      <c r="R2336">
        <f>IF($O2336="","",INDEX(Suivi!$F:$F,2381))</f>
        <v/>
      </c>
      <c r="S2336">
        <f>IF($O2336="","",INDEX(Suivi!$G:$G,2381))</f>
        <v/>
      </c>
      <c r="T2336">
        <f>IF($O2336="","",IF(INDEX(Dossiers!$F$4:$F$63,45)="","",INDEX(Dossiers!$F$4:$F$63,45)))</f>
        <v/>
      </c>
      <c r="U2336">
        <f>IF($O2336="","",IF(INDEX(Dossiers!$G$4:$G$63,45)="","",INDEX(Dossiers!$G$4:$G$63,45)))</f>
        <v/>
      </c>
      <c r="V2336">
        <f>IF(OR($O2336="",NOT(ISNUMBER($Q2336))),"",$Q2336*1000000+2336)</f>
        <v/>
      </c>
      <c r="W2336" s="29">
        <f>IF($B2336="","",IFERROR(INDEX($U$4:$U$3183,MATCH(SMALL($V$4:$V$3183,2333),$V$4:$V$3183,0)),""))</f>
        <v/>
      </c>
    </row>
    <row r="2337">
      <c r="A2337">
        <f>IFERROR(INDEX($N$4:$N$3183,MATCH(SMALL($V$4:$V$3183,2334),$V$4:$V$3183,0)),"")</f>
        <v/>
      </c>
      <c r="B2337">
        <f>IFERROR(INDEX($O$4:$O$3183,MATCH(SMALL($V$4:$V$3183,2334),$V$4:$V$3183,0)),"")</f>
        <v/>
      </c>
      <c r="C2337">
        <f>IFERROR(INDEX($P$4:$P$3183,MATCH(SMALL($V$4:$V$3183,2334),$V$4:$V$3183,0)),"")</f>
        <v/>
      </c>
      <c r="D2337" s="29">
        <f>IFERROR(INDEX($Q$4:$Q$3183,MATCH(SMALL($V$4:$V$3183,2334),$V$4:$V$3183,0)),"")</f>
        <v/>
      </c>
      <c r="E2337" s="29">
        <f>IFERROR(INDEX($R$4:$R$3183,MATCH(SMALL($V$4:$V$3183,2334),$V$4:$V$3183,0)),"")</f>
        <v/>
      </c>
      <c r="F2337">
        <f>IFERROR(INDEX($S$4:$S$3183,MATCH(SMALL($V$4:$V$3183,2334),$V$4:$V$3183,0)),"")</f>
        <v/>
      </c>
      <c r="I2337" s="29">
        <f>IF($B2337="","",IFERROR(INDEX($U$4:$U$3183,MATCH(SMALL($V$4:$V$3183,2334),$V$4:$V$3183,0)),""))</f>
        <v/>
      </c>
      <c r="J2337">
        <f>IF($B2337="","",IF($D2337&gt;$F$2,"À venir",IF($E2337&lt;$D$2,"Passé","Dans la période")))</f>
        <v/>
      </c>
      <c r="K2337">
        <f>IF(OR($B2337="",NOT(ISNUMBER($D2337))),"",IF(AND($E2337&lt;$D$2,$G2337&lt;&gt;"X",$F2337&lt;&gt;"Réalisé",$F2337&lt;&gt;"Clôturé"),"RETARD",""))</f>
        <v/>
      </c>
      <c r="L2337">
        <f>IF(OR($B2337="",NOT(ISNUMBER($D2337))),"",IF(AND($D2337&gt;=$D$2,$D2337&lt;=$H$2,$G2337&lt;&gt;"X",$F2337&lt;&gt;"Réalisé",$F2337&lt;&gt;"Clôturé"),"≤ 7 j",""))</f>
        <v/>
      </c>
      <c r="M2337" s="29">
        <f>IF($B2337="","",IFERROR(INDEX($T$4:$T$3183,MATCH(SMALL($V$4:$V$3183,2334),$V$4:$V$3183,0)),""))</f>
        <v/>
      </c>
      <c r="O2337">
        <f>IF(INDEX(Suivi!$B:$B,2382)="","",INDEX(Suivi!$B:$B,2382))</f>
        <v/>
      </c>
      <c r="P2337">
        <f>IF($O2337="","",IF(INDEX(Suivi!$D:$D,2382)="",INDEX(Suivi!$C:$C,2382),INDEX(Suivi!$D:$D,2382)))</f>
        <v/>
      </c>
      <c r="Q2337">
        <f>IF($O2337="","",INDEX(Suivi!$E:$E,2382))</f>
        <v/>
      </c>
      <c r="R2337">
        <f>IF($O2337="","",INDEX(Suivi!$F:$F,2382))</f>
        <v/>
      </c>
      <c r="S2337">
        <f>IF($O2337="","",INDEX(Suivi!$G:$G,2382))</f>
        <v/>
      </c>
      <c r="T2337">
        <f>IF($O2337="","",IF(INDEX(Dossiers!$F$4:$F$63,45)="","",INDEX(Dossiers!$F$4:$F$63,45)))</f>
        <v/>
      </c>
      <c r="U2337">
        <f>IF($O2337="","",IF(INDEX(Dossiers!$G$4:$G$63,45)="","",INDEX(Dossiers!$G$4:$G$63,45)))</f>
        <v/>
      </c>
      <c r="V2337">
        <f>IF(OR($O2337="",NOT(ISNUMBER($Q2337))),"",$Q2337*1000000+2337)</f>
        <v/>
      </c>
      <c r="W2337" s="29">
        <f>IF($B2337="","",IFERROR(INDEX($U$4:$U$3183,MATCH(SMALL($V$4:$V$3183,2334),$V$4:$V$3183,0)),""))</f>
        <v/>
      </c>
    </row>
    <row r="2338">
      <c r="A2338">
        <f>IFERROR(INDEX($N$4:$N$3183,MATCH(SMALL($V$4:$V$3183,2335),$V$4:$V$3183,0)),"")</f>
        <v/>
      </c>
      <c r="B2338">
        <f>IFERROR(INDEX($O$4:$O$3183,MATCH(SMALL($V$4:$V$3183,2335),$V$4:$V$3183,0)),"")</f>
        <v/>
      </c>
      <c r="C2338">
        <f>IFERROR(INDEX($P$4:$P$3183,MATCH(SMALL($V$4:$V$3183,2335),$V$4:$V$3183,0)),"")</f>
        <v/>
      </c>
      <c r="D2338" s="29">
        <f>IFERROR(INDEX($Q$4:$Q$3183,MATCH(SMALL($V$4:$V$3183,2335),$V$4:$V$3183,0)),"")</f>
        <v/>
      </c>
      <c r="E2338" s="29">
        <f>IFERROR(INDEX($R$4:$R$3183,MATCH(SMALL($V$4:$V$3183,2335),$V$4:$V$3183,0)),"")</f>
        <v/>
      </c>
      <c r="F2338">
        <f>IFERROR(INDEX($S$4:$S$3183,MATCH(SMALL($V$4:$V$3183,2335),$V$4:$V$3183,0)),"")</f>
        <v/>
      </c>
      <c r="I2338" s="29">
        <f>IF($B2338="","",IFERROR(INDEX($U$4:$U$3183,MATCH(SMALL($V$4:$V$3183,2335),$V$4:$V$3183,0)),""))</f>
        <v/>
      </c>
      <c r="J2338">
        <f>IF($B2338="","",IF($D2338&gt;$F$2,"À venir",IF($E2338&lt;$D$2,"Passé","Dans la période")))</f>
        <v/>
      </c>
      <c r="K2338">
        <f>IF(OR($B2338="",NOT(ISNUMBER($D2338))),"",IF(AND($E2338&lt;$D$2,$G2338&lt;&gt;"X",$F2338&lt;&gt;"Réalisé",$F2338&lt;&gt;"Clôturé"),"RETARD",""))</f>
        <v/>
      </c>
      <c r="L2338">
        <f>IF(OR($B2338="",NOT(ISNUMBER($D2338))),"",IF(AND($D2338&gt;=$D$2,$D2338&lt;=$H$2,$G2338&lt;&gt;"X",$F2338&lt;&gt;"Réalisé",$F2338&lt;&gt;"Clôturé"),"≤ 7 j",""))</f>
        <v/>
      </c>
      <c r="M2338" s="29">
        <f>IF($B2338="","",IFERROR(INDEX($T$4:$T$3183,MATCH(SMALL($V$4:$V$3183,2335),$V$4:$V$3183,0)),""))</f>
        <v/>
      </c>
      <c r="O2338">
        <f>IF(INDEX(Suivi!$B:$B,2383)="","",INDEX(Suivi!$B:$B,2383))</f>
        <v/>
      </c>
      <c r="P2338">
        <f>IF($O2338="","",IF(INDEX(Suivi!$D:$D,2383)="",INDEX(Suivi!$C:$C,2383),INDEX(Suivi!$D:$D,2383)))</f>
        <v/>
      </c>
      <c r="Q2338">
        <f>IF($O2338="","",INDEX(Suivi!$E:$E,2383))</f>
        <v/>
      </c>
      <c r="R2338">
        <f>IF($O2338="","",INDEX(Suivi!$F:$F,2383))</f>
        <v/>
      </c>
      <c r="S2338">
        <f>IF($O2338="","",INDEX(Suivi!$G:$G,2383))</f>
        <v/>
      </c>
      <c r="T2338">
        <f>IF($O2338="","",IF(INDEX(Dossiers!$F$4:$F$63,45)="","",INDEX(Dossiers!$F$4:$F$63,45)))</f>
        <v/>
      </c>
      <c r="U2338">
        <f>IF($O2338="","",IF(INDEX(Dossiers!$G$4:$G$63,45)="","",INDEX(Dossiers!$G$4:$G$63,45)))</f>
        <v/>
      </c>
      <c r="V2338">
        <f>IF(OR($O2338="",NOT(ISNUMBER($Q2338))),"",$Q2338*1000000+2338)</f>
        <v/>
      </c>
      <c r="W2338" s="29">
        <f>IF($B2338="","",IFERROR(INDEX($U$4:$U$3183,MATCH(SMALL($V$4:$V$3183,2335),$V$4:$V$3183,0)),""))</f>
        <v/>
      </c>
    </row>
    <row r="2339">
      <c r="A2339">
        <f>IFERROR(INDEX($N$4:$N$3183,MATCH(SMALL($V$4:$V$3183,2336),$V$4:$V$3183,0)),"")</f>
        <v/>
      </c>
      <c r="B2339">
        <f>IFERROR(INDEX($O$4:$O$3183,MATCH(SMALL($V$4:$V$3183,2336),$V$4:$V$3183,0)),"")</f>
        <v/>
      </c>
      <c r="C2339">
        <f>IFERROR(INDEX($P$4:$P$3183,MATCH(SMALL($V$4:$V$3183,2336),$V$4:$V$3183,0)),"")</f>
        <v/>
      </c>
      <c r="D2339" s="29">
        <f>IFERROR(INDEX($Q$4:$Q$3183,MATCH(SMALL($V$4:$V$3183,2336),$V$4:$V$3183,0)),"")</f>
        <v/>
      </c>
      <c r="E2339" s="29">
        <f>IFERROR(INDEX($R$4:$R$3183,MATCH(SMALL($V$4:$V$3183,2336),$V$4:$V$3183,0)),"")</f>
        <v/>
      </c>
      <c r="F2339">
        <f>IFERROR(INDEX($S$4:$S$3183,MATCH(SMALL($V$4:$V$3183,2336),$V$4:$V$3183,0)),"")</f>
        <v/>
      </c>
      <c r="I2339" s="29">
        <f>IF($B2339="","",IFERROR(INDEX($U$4:$U$3183,MATCH(SMALL($V$4:$V$3183,2336),$V$4:$V$3183,0)),""))</f>
        <v/>
      </c>
      <c r="J2339">
        <f>IF($B2339="","",IF($D2339&gt;$F$2,"À venir",IF($E2339&lt;$D$2,"Passé","Dans la période")))</f>
        <v/>
      </c>
      <c r="K2339">
        <f>IF(OR($B2339="",NOT(ISNUMBER($D2339))),"",IF(AND($E2339&lt;$D$2,$G2339&lt;&gt;"X",$F2339&lt;&gt;"Réalisé",$F2339&lt;&gt;"Clôturé"),"RETARD",""))</f>
        <v/>
      </c>
      <c r="L2339">
        <f>IF(OR($B2339="",NOT(ISNUMBER($D2339))),"",IF(AND($D2339&gt;=$D$2,$D2339&lt;=$H$2,$G2339&lt;&gt;"X",$F2339&lt;&gt;"Réalisé",$F2339&lt;&gt;"Clôturé"),"≤ 7 j",""))</f>
        <v/>
      </c>
      <c r="M2339" s="29">
        <f>IF($B2339="","",IFERROR(INDEX($T$4:$T$3183,MATCH(SMALL($V$4:$V$3183,2336),$V$4:$V$3183,0)),""))</f>
        <v/>
      </c>
      <c r="O2339">
        <f>IF(INDEX(Suivi!$B:$B,2384)="","",INDEX(Suivi!$B:$B,2384))</f>
        <v/>
      </c>
      <c r="P2339">
        <f>IF($O2339="","",IF(INDEX(Suivi!$D:$D,2384)="",INDEX(Suivi!$C:$C,2384),INDEX(Suivi!$D:$D,2384)))</f>
        <v/>
      </c>
      <c r="Q2339">
        <f>IF($O2339="","",INDEX(Suivi!$E:$E,2384))</f>
        <v/>
      </c>
      <c r="R2339">
        <f>IF($O2339="","",INDEX(Suivi!$F:$F,2384))</f>
        <v/>
      </c>
      <c r="S2339">
        <f>IF($O2339="","",INDEX(Suivi!$G:$G,2384))</f>
        <v/>
      </c>
      <c r="T2339">
        <f>IF($O2339="","",IF(INDEX(Dossiers!$F$4:$F$63,45)="","",INDEX(Dossiers!$F$4:$F$63,45)))</f>
        <v/>
      </c>
      <c r="U2339">
        <f>IF($O2339="","",IF(INDEX(Dossiers!$G$4:$G$63,45)="","",INDEX(Dossiers!$G$4:$G$63,45)))</f>
        <v/>
      </c>
      <c r="V2339">
        <f>IF(OR($O2339="",NOT(ISNUMBER($Q2339))),"",$Q2339*1000000+2339)</f>
        <v/>
      </c>
      <c r="W2339" s="29">
        <f>IF($B2339="","",IFERROR(INDEX($U$4:$U$3183,MATCH(SMALL($V$4:$V$3183,2336),$V$4:$V$3183,0)),""))</f>
        <v/>
      </c>
    </row>
    <row r="2340">
      <c r="A2340">
        <f>IFERROR(INDEX($N$4:$N$3183,MATCH(SMALL($V$4:$V$3183,2337),$V$4:$V$3183,0)),"")</f>
        <v/>
      </c>
      <c r="B2340">
        <f>IFERROR(INDEX($O$4:$O$3183,MATCH(SMALL($V$4:$V$3183,2337),$V$4:$V$3183,0)),"")</f>
        <v/>
      </c>
      <c r="C2340">
        <f>IFERROR(INDEX($P$4:$P$3183,MATCH(SMALL($V$4:$V$3183,2337),$V$4:$V$3183,0)),"")</f>
        <v/>
      </c>
      <c r="D2340" s="29">
        <f>IFERROR(INDEX($Q$4:$Q$3183,MATCH(SMALL($V$4:$V$3183,2337),$V$4:$V$3183,0)),"")</f>
        <v/>
      </c>
      <c r="E2340" s="29">
        <f>IFERROR(INDEX($R$4:$R$3183,MATCH(SMALL($V$4:$V$3183,2337),$V$4:$V$3183,0)),"")</f>
        <v/>
      </c>
      <c r="F2340">
        <f>IFERROR(INDEX($S$4:$S$3183,MATCH(SMALL($V$4:$V$3183,2337),$V$4:$V$3183,0)),"")</f>
        <v/>
      </c>
      <c r="I2340" s="29">
        <f>IF($B2340="","",IFERROR(INDEX($U$4:$U$3183,MATCH(SMALL($V$4:$V$3183,2337),$V$4:$V$3183,0)),""))</f>
        <v/>
      </c>
      <c r="J2340">
        <f>IF($B2340="","",IF($D2340&gt;$F$2,"À venir",IF($E2340&lt;$D$2,"Passé","Dans la période")))</f>
        <v/>
      </c>
      <c r="K2340">
        <f>IF(OR($B2340="",NOT(ISNUMBER($D2340))),"",IF(AND($E2340&lt;$D$2,$G2340&lt;&gt;"X",$F2340&lt;&gt;"Réalisé",$F2340&lt;&gt;"Clôturé"),"RETARD",""))</f>
        <v/>
      </c>
      <c r="L2340">
        <f>IF(OR($B2340="",NOT(ISNUMBER($D2340))),"",IF(AND($D2340&gt;=$D$2,$D2340&lt;=$H$2,$G2340&lt;&gt;"X",$F2340&lt;&gt;"Réalisé",$F2340&lt;&gt;"Clôturé"),"≤ 7 j",""))</f>
        <v/>
      </c>
      <c r="M2340" s="29">
        <f>IF($B2340="","",IFERROR(INDEX($T$4:$T$3183,MATCH(SMALL($V$4:$V$3183,2337),$V$4:$V$3183,0)),""))</f>
        <v/>
      </c>
      <c r="O2340">
        <f>IF(INDEX(Suivi!$B:$B,2385)="","",INDEX(Suivi!$B:$B,2385))</f>
        <v/>
      </c>
      <c r="P2340">
        <f>IF($O2340="","",IF(INDEX(Suivi!$D:$D,2385)="",INDEX(Suivi!$C:$C,2385),INDEX(Suivi!$D:$D,2385)))</f>
        <v/>
      </c>
      <c r="Q2340">
        <f>IF($O2340="","",INDEX(Suivi!$E:$E,2385))</f>
        <v/>
      </c>
      <c r="R2340">
        <f>IF($O2340="","",INDEX(Suivi!$F:$F,2385))</f>
        <v/>
      </c>
      <c r="S2340">
        <f>IF($O2340="","",INDEX(Suivi!$G:$G,2385))</f>
        <v/>
      </c>
      <c r="T2340">
        <f>IF($O2340="","",IF(INDEX(Dossiers!$F$4:$F$63,45)="","",INDEX(Dossiers!$F$4:$F$63,45)))</f>
        <v/>
      </c>
      <c r="U2340">
        <f>IF($O2340="","",IF(INDEX(Dossiers!$G$4:$G$63,45)="","",INDEX(Dossiers!$G$4:$G$63,45)))</f>
        <v/>
      </c>
      <c r="V2340">
        <f>IF(OR($O2340="",NOT(ISNUMBER($Q2340))),"",$Q2340*1000000+2340)</f>
        <v/>
      </c>
      <c r="W2340" s="29">
        <f>IF($B2340="","",IFERROR(INDEX($U$4:$U$3183,MATCH(SMALL($V$4:$V$3183,2337),$V$4:$V$3183,0)),""))</f>
        <v/>
      </c>
    </row>
    <row r="2341">
      <c r="A2341">
        <f>IFERROR(INDEX($N$4:$N$3183,MATCH(SMALL($V$4:$V$3183,2338),$V$4:$V$3183,0)),"")</f>
        <v/>
      </c>
      <c r="B2341">
        <f>IFERROR(INDEX($O$4:$O$3183,MATCH(SMALL($V$4:$V$3183,2338),$V$4:$V$3183,0)),"")</f>
        <v/>
      </c>
      <c r="C2341">
        <f>IFERROR(INDEX($P$4:$P$3183,MATCH(SMALL($V$4:$V$3183,2338),$V$4:$V$3183,0)),"")</f>
        <v/>
      </c>
      <c r="D2341" s="29">
        <f>IFERROR(INDEX($Q$4:$Q$3183,MATCH(SMALL($V$4:$V$3183,2338),$V$4:$V$3183,0)),"")</f>
        <v/>
      </c>
      <c r="E2341" s="29">
        <f>IFERROR(INDEX($R$4:$R$3183,MATCH(SMALL($V$4:$V$3183,2338),$V$4:$V$3183,0)),"")</f>
        <v/>
      </c>
      <c r="F2341">
        <f>IFERROR(INDEX($S$4:$S$3183,MATCH(SMALL($V$4:$V$3183,2338),$V$4:$V$3183,0)),"")</f>
        <v/>
      </c>
      <c r="I2341" s="29">
        <f>IF($B2341="","",IFERROR(INDEX($U$4:$U$3183,MATCH(SMALL($V$4:$V$3183,2338),$V$4:$V$3183,0)),""))</f>
        <v/>
      </c>
      <c r="J2341">
        <f>IF($B2341="","",IF($D2341&gt;$F$2,"À venir",IF($E2341&lt;$D$2,"Passé","Dans la période")))</f>
        <v/>
      </c>
      <c r="K2341">
        <f>IF(OR($B2341="",NOT(ISNUMBER($D2341))),"",IF(AND($E2341&lt;$D$2,$G2341&lt;&gt;"X",$F2341&lt;&gt;"Réalisé",$F2341&lt;&gt;"Clôturé"),"RETARD",""))</f>
        <v/>
      </c>
      <c r="L2341">
        <f>IF(OR($B2341="",NOT(ISNUMBER($D2341))),"",IF(AND($D2341&gt;=$D$2,$D2341&lt;=$H$2,$G2341&lt;&gt;"X",$F2341&lt;&gt;"Réalisé",$F2341&lt;&gt;"Clôturé"),"≤ 7 j",""))</f>
        <v/>
      </c>
      <c r="M2341" s="29">
        <f>IF($B2341="","",IFERROR(INDEX($T$4:$T$3183,MATCH(SMALL($V$4:$V$3183,2338),$V$4:$V$3183,0)),""))</f>
        <v/>
      </c>
      <c r="O2341">
        <f>IF(INDEX(Suivi!$B:$B,2386)="","",INDEX(Suivi!$B:$B,2386))</f>
        <v/>
      </c>
      <c r="P2341">
        <f>IF($O2341="","",IF(INDEX(Suivi!$D:$D,2386)="",INDEX(Suivi!$C:$C,2386),INDEX(Suivi!$D:$D,2386)))</f>
        <v/>
      </c>
      <c r="Q2341">
        <f>IF($O2341="","",INDEX(Suivi!$E:$E,2386))</f>
        <v/>
      </c>
      <c r="R2341">
        <f>IF($O2341="","",INDEX(Suivi!$F:$F,2386))</f>
        <v/>
      </c>
      <c r="S2341">
        <f>IF($O2341="","",INDEX(Suivi!$G:$G,2386))</f>
        <v/>
      </c>
      <c r="T2341">
        <f>IF($O2341="","",IF(INDEX(Dossiers!$F$4:$F$63,45)="","",INDEX(Dossiers!$F$4:$F$63,45)))</f>
        <v/>
      </c>
      <c r="U2341">
        <f>IF($O2341="","",IF(INDEX(Dossiers!$G$4:$G$63,45)="","",INDEX(Dossiers!$G$4:$G$63,45)))</f>
        <v/>
      </c>
      <c r="V2341">
        <f>IF(OR($O2341="",NOT(ISNUMBER($Q2341))),"",$Q2341*1000000+2341)</f>
        <v/>
      </c>
      <c r="W2341" s="29">
        <f>IF($B2341="","",IFERROR(INDEX($U$4:$U$3183,MATCH(SMALL($V$4:$V$3183,2338),$V$4:$V$3183,0)),""))</f>
        <v/>
      </c>
    </row>
    <row r="2342">
      <c r="A2342">
        <f>IFERROR(INDEX($N$4:$N$3183,MATCH(SMALL($V$4:$V$3183,2339),$V$4:$V$3183,0)),"")</f>
        <v/>
      </c>
      <c r="B2342">
        <f>IFERROR(INDEX($O$4:$O$3183,MATCH(SMALL($V$4:$V$3183,2339),$V$4:$V$3183,0)),"")</f>
        <v/>
      </c>
      <c r="C2342">
        <f>IFERROR(INDEX($P$4:$P$3183,MATCH(SMALL($V$4:$V$3183,2339),$V$4:$V$3183,0)),"")</f>
        <v/>
      </c>
      <c r="D2342" s="29">
        <f>IFERROR(INDEX($Q$4:$Q$3183,MATCH(SMALL($V$4:$V$3183,2339),$V$4:$V$3183,0)),"")</f>
        <v/>
      </c>
      <c r="E2342" s="29">
        <f>IFERROR(INDEX($R$4:$R$3183,MATCH(SMALL($V$4:$V$3183,2339),$V$4:$V$3183,0)),"")</f>
        <v/>
      </c>
      <c r="F2342">
        <f>IFERROR(INDEX($S$4:$S$3183,MATCH(SMALL($V$4:$V$3183,2339),$V$4:$V$3183,0)),"")</f>
        <v/>
      </c>
      <c r="I2342" s="29">
        <f>IF($B2342="","",IFERROR(INDEX($U$4:$U$3183,MATCH(SMALL($V$4:$V$3183,2339),$V$4:$V$3183,0)),""))</f>
        <v/>
      </c>
      <c r="J2342">
        <f>IF($B2342="","",IF($D2342&gt;$F$2,"À venir",IF($E2342&lt;$D$2,"Passé","Dans la période")))</f>
        <v/>
      </c>
      <c r="K2342">
        <f>IF(OR($B2342="",NOT(ISNUMBER($D2342))),"",IF(AND($E2342&lt;$D$2,$G2342&lt;&gt;"X",$F2342&lt;&gt;"Réalisé",$F2342&lt;&gt;"Clôturé"),"RETARD",""))</f>
        <v/>
      </c>
      <c r="L2342">
        <f>IF(OR($B2342="",NOT(ISNUMBER($D2342))),"",IF(AND($D2342&gt;=$D$2,$D2342&lt;=$H$2,$G2342&lt;&gt;"X",$F2342&lt;&gt;"Réalisé",$F2342&lt;&gt;"Clôturé"),"≤ 7 j",""))</f>
        <v/>
      </c>
      <c r="M2342" s="29">
        <f>IF($B2342="","",IFERROR(INDEX($T$4:$T$3183,MATCH(SMALL($V$4:$V$3183,2339),$V$4:$V$3183,0)),""))</f>
        <v/>
      </c>
      <c r="O2342">
        <f>IF(INDEX(Suivi!$B:$B,2387)="","",INDEX(Suivi!$B:$B,2387))</f>
        <v/>
      </c>
      <c r="P2342">
        <f>IF($O2342="","",IF(INDEX(Suivi!$D:$D,2387)="",INDEX(Suivi!$C:$C,2387),INDEX(Suivi!$D:$D,2387)))</f>
        <v/>
      </c>
      <c r="Q2342">
        <f>IF($O2342="","",INDEX(Suivi!$E:$E,2387))</f>
        <v/>
      </c>
      <c r="R2342">
        <f>IF($O2342="","",INDEX(Suivi!$F:$F,2387))</f>
        <v/>
      </c>
      <c r="S2342">
        <f>IF($O2342="","",INDEX(Suivi!$G:$G,2387))</f>
        <v/>
      </c>
      <c r="T2342">
        <f>IF($O2342="","",IF(INDEX(Dossiers!$F$4:$F$63,45)="","",INDEX(Dossiers!$F$4:$F$63,45)))</f>
        <v/>
      </c>
      <c r="U2342">
        <f>IF($O2342="","",IF(INDEX(Dossiers!$G$4:$G$63,45)="","",INDEX(Dossiers!$G$4:$G$63,45)))</f>
        <v/>
      </c>
      <c r="V2342">
        <f>IF(OR($O2342="",NOT(ISNUMBER($Q2342))),"",$Q2342*1000000+2342)</f>
        <v/>
      </c>
      <c r="W2342" s="29">
        <f>IF($B2342="","",IFERROR(INDEX($U$4:$U$3183,MATCH(SMALL($V$4:$V$3183,2339),$V$4:$V$3183,0)),""))</f>
        <v/>
      </c>
    </row>
    <row r="2343">
      <c r="A2343">
        <f>IFERROR(INDEX($N$4:$N$3183,MATCH(SMALL($V$4:$V$3183,2340),$V$4:$V$3183,0)),"")</f>
        <v/>
      </c>
      <c r="B2343">
        <f>IFERROR(INDEX($O$4:$O$3183,MATCH(SMALL($V$4:$V$3183,2340),$V$4:$V$3183,0)),"")</f>
        <v/>
      </c>
      <c r="C2343">
        <f>IFERROR(INDEX($P$4:$P$3183,MATCH(SMALL($V$4:$V$3183,2340),$V$4:$V$3183,0)),"")</f>
        <v/>
      </c>
      <c r="D2343" s="29">
        <f>IFERROR(INDEX($Q$4:$Q$3183,MATCH(SMALL($V$4:$V$3183,2340),$V$4:$V$3183,0)),"")</f>
        <v/>
      </c>
      <c r="E2343" s="29">
        <f>IFERROR(INDEX($R$4:$R$3183,MATCH(SMALL($V$4:$V$3183,2340),$V$4:$V$3183,0)),"")</f>
        <v/>
      </c>
      <c r="F2343">
        <f>IFERROR(INDEX($S$4:$S$3183,MATCH(SMALL($V$4:$V$3183,2340),$V$4:$V$3183,0)),"")</f>
        <v/>
      </c>
      <c r="I2343" s="29">
        <f>IF($B2343="","",IFERROR(INDEX($U$4:$U$3183,MATCH(SMALL($V$4:$V$3183,2340),$V$4:$V$3183,0)),""))</f>
        <v/>
      </c>
      <c r="J2343">
        <f>IF($B2343="","",IF($D2343&gt;$F$2,"À venir",IF($E2343&lt;$D$2,"Passé","Dans la période")))</f>
        <v/>
      </c>
      <c r="K2343">
        <f>IF(OR($B2343="",NOT(ISNUMBER($D2343))),"",IF(AND($E2343&lt;$D$2,$G2343&lt;&gt;"X",$F2343&lt;&gt;"Réalisé",$F2343&lt;&gt;"Clôturé"),"RETARD",""))</f>
        <v/>
      </c>
      <c r="L2343">
        <f>IF(OR($B2343="",NOT(ISNUMBER($D2343))),"",IF(AND($D2343&gt;=$D$2,$D2343&lt;=$H$2,$G2343&lt;&gt;"X",$F2343&lt;&gt;"Réalisé",$F2343&lt;&gt;"Clôturé"),"≤ 7 j",""))</f>
        <v/>
      </c>
      <c r="M2343" s="29">
        <f>IF($B2343="","",IFERROR(INDEX($T$4:$T$3183,MATCH(SMALL($V$4:$V$3183,2340),$V$4:$V$3183,0)),""))</f>
        <v/>
      </c>
      <c r="O2343">
        <f>IF(INDEX(Suivi!$B:$B,2388)="","",INDEX(Suivi!$B:$B,2388))</f>
        <v/>
      </c>
      <c r="P2343">
        <f>IF($O2343="","",IF(INDEX(Suivi!$D:$D,2388)="",INDEX(Suivi!$C:$C,2388),INDEX(Suivi!$D:$D,2388)))</f>
        <v/>
      </c>
      <c r="Q2343">
        <f>IF($O2343="","",INDEX(Suivi!$E:$E,2388))</f>
        <v/>
      </c>
      <c r="R2343">
        <f>IF($O2343="","",INDEX(Suivi!$F:$F,2388))</f>
        <v/>
      </c>
      <c r="S2343">
        <f>IF($O2343="","",INDEX(Suivi!$G:$G,2388))</f>
        <v/>
      </c>
      <c r="T2343">
        <f>IF($O2343="","",IF(INDEX(Dossiers!$F$4:$F$63,45)="","",INDEX(Dossiers!$F$4:$F$63,45)))</f>
        <v/>
      </c>
      <c r="U2343">
        <f>IF($O2343="","",IF(INDEX(Dossiers!$G$4:$G$63,45)="","",INDEX(Dossiers!$G$4:$G$63,45)))</f>
        <v/>
      </c>
      <c r="V2343">
        <f>IF(OR($O2343="",NOT(ISNUMBER($Q2343))),"",$Q2343*1000000+2343)</f>
        <v/>
      </c>
      <c r="W2343" s="29">
        <f>IF($B2343="","",IFERROR(INDEX($U$4:$U$3183,MATCH(SMALL($V$4:$V$3183,2340),$V$4:$V$3183,0)),""))</f>
        <v/>
      </c>
    </row>
    <row r="2344">
      <c r="A2344">
        <f>IFERROR(INDEX($N$4:$N$3183,MATCH(SMALL($V$4:$V$3183,2341),$V$4:$V$3183,0)),"")</f>
        <v/>
      </c>
      <c r="B2344">
        <f>IFERROR(INDEX($O$4:$O$3183,MATCH(SMALL($V$4:$V$3183,2341),$V$4:$V$3183,0)),"")</f>
        <v/>
      </c>
      <c r="C2344">
        <f>IFERROR(INDEX($P$4:$P$3183,MATCH(SMALL($V$4:$V$3183,2341),$V$4:$V$3183,0)),"")</f>
        <v/>
      </c>
      <c r="D2344" s="29">
        <f>IFERROR(INDEX($Q$4:$Q$3183,MATCH(SMALL($V$4:$V$3183,2341),$V$4:$V$3183,0)),"")</f>
        <v/>
      </c>
      <c r="E2344" s="29">
        <f>IFERROR(INDEX($R$4:$R$3183,MATCH(SMALL($V$4:$V$3183,2341),$V$4:$V$3183,0)),"")</f>
        <v/>
      </c>
      <c r="F2344">
        <f>IFERROR(INDEX($S$4:$S$3183,MATCH(SMALL($V$4:$V$3183,2341),$V$4:$V$3183,0)),"")</f>
        <v/>
      </c>
      <c r="I2344" s="29">
        <f>IF($B2344="","",IFERROR(INDEX($U$4:$U$3183,MATCH(SMALL($V$4:$V$3183,2341),$V$4:$V$3183,0)),""))</f>
        <v/>
      </c>
      <c r="J2344">
        <f>IF($B2344="","",IF($D2344&gt;$F$2,"À venir",IF($E2344&lt;$D$2,"Passé","Dans la période")))</f>
        <v/>
      </c>
      <c r="K2344">
        <f>IF(OR($B2344="",NOT(ISNUMBER($D2344))),"",IF(AND($E2344&lt;$D$2,$G2344&lt;&gt;"X",$F2344&lt;&gt;"Réalisé",$F2344&lt;&gt;"Clôturé"),"RETARD",""))</f>
        <v/>
      </c>
      <c r="L2344">
        <f>IF(OR($B2344="",NOT(ISNUMBER($D2344))),"",IF(AND($D2344&gt;=$D$2,$D2344&lt;=$H$2,$G2344&lt;&gt;"X",$F2344&lt;&gt;"Réalisé",$F2344&lt;&gt;"Clôturé"),"≤ 7 j",""))</f>
        <v/>
      </c>
      <c r="M2344" s="29">
        <f>IF($B2344="","",IFERROR(INDEX($T$4:$T$3183,MATCH(SMALL($V$4:$V$3183,2341),$V$4:$V$3183,0)),""))</f>
        <v/>
      </c>
      <c r="O2344">
        <f>IF(INDEX(Suivi!$B:$B,2389)="","",INDEX(Suivi!$B:$B,2389))</f>
        <v/>
      </c>
      <c r="P2344">
        <f>IF($O2344="","",IF(INDEX(Suivi!$D:$D,2389)="",INDEX(Suivi!$C:$C,2389),INDEX(Suivi!$D:$D,2389)))</f>
        <v/>
      </c>
      <c r="Q2344">
        <f>IF($O2344="","",INDEX(Suivi!$E:$E,2389))</f>
        <v/>
      </c>
      <c r="R2344">
        <f>IF($O2344="","",INDEX(Suivi!$F:$F,2389))</f>
        <v/>
      </c>
      <c r="S2344">
        <f>IF($O2344="","",INDEX(Suivi!$G:$G,2389))</f>
        <v/>
      </c>
      <c r="T2344">
        <f>IF($O2344="","",IF(INDEX(Dossiers!$F$4:$F$63,45)="","",INDEX(Dossiers!$F$4:$F$63,45)))</f>
        <v/>
      </c>
      <c r="U2344">
        <f>IF($O2344="","",IF(INDEX(Dossiers!$G$4:$G$63,45)="","",INDEX(Dossiers!$G$4:$G$63,45)))</f>
        <v/>
      </c>
      <c r="V2344">
        <f>IF(OR($O2344="",NOT(ISNUMBER($Q2344))),"",$Q2344*1000000+2344)</f>
        <v/>
      </c>
      <c r="W2344" s="29">
        <f>IF($B2344="","",IFERROR(INDEX($U$4:$U$3183,MATCH(SMALL($V$4:$V$3183,2341),$V$4:$V$3183,0)),""))</f>
        <v/>
      </c>
    </row>
    <row r="2345">
      <c r="A2345">
        <f>IFERROR(INDEX($N$4:$N$3183,MATCH(SMALL($V$4:$V$3183,2342),$V$4:$V$3183,0)),"")</f>
        <v/>
      </c>
      <c r="B2345">
        <f>IFERROR(INDEX($O$4:$O$3183,MATCH(SMALL($V$4:$V$3183,2342),$V$4:$V$3183,0)),"")</f>
        <v/>
      </c>
      <c r="C2345">
        <f>IFERROR(INDEX($P$4:$P$3183,MATCH(SMALL($V$4:$V$3183,2342),$V$4:$V$3183,0)),"")</f>
        <v/>
      </c>
      <c r="D2345" s="29">
        <f>IFERROR(INDEX($Q$4:$Q$3183,MATCH(SMALL($V$4:$V$3183,2342),$V$4:$V$3183,0)),"")</f>
        <v/>
      </c>
      <c r="E2345" s="29">
        <f>IFERROR(INDEX($R$4:$R$3183,MATCH(SMALL($V$4:$V$3183,2342),$V$4:$V$3183,0)),"")</f>
        <v/>
      </c>
      <c r="F2345">
        <f>IFERROR(INDEX($S$4:$S$3183,MATCH(SMALL($V$4:$V$3183,2342),$V$4:$V$3183,0)),"")</f>
        <v/>
      </c>
      <c r="I2345" s="29">
        <f>IF($B2345="","",IFERROR(INDEX($U$4:$U$3183,MATCH(SMALL($V$4:$V$3183,2342),$V$4:$V$3183,0)),""))</f>
        <v/>
      </c>
      <c r="J2345">
        <f>IF($B2345="","",IF($D2345&gt;$F$2,"À venir",IF($E2345&lt;$D$2,"Passé","Dans la période")))</f>
        <v/>
      </c>
      <c r="K2345">
        <f>IF(OR($B2345="",NOT(ISNUMBER($D2345))),"",IF(AND($E2345&lt;$D$2,$G2345&lt;&gt;"X",$F2345&lt;&gt;"Réalisé",$F2345&lt;&gt;"Clôturé"),"RETARD",""))</f>
        <v/>
      </c>
      <c r="L2345">
        <f>IF(OR($B2345="",NOT(ISNUMBER($D2345))),"",IF(AND($D2345&gt;=$D$2,$D2345&lt;=$H$2,$G2345&lt;&gt;"X",$F2345&lt;&gt;"Réalisé",$F2345&lt;&gt;"Clôturé"),"≤ 7 j",""))</f>
        <v/>
      </c>
      <c r="M2345" s="29">
        <f>IF($B2345="","",IFERROR(INDEX($T$4:$T$3183,MATCH(SMALL($V$4:$V$3183,2342),$V$4:$V$3183,0)),""))</f>
        <v/>
      </c>
      <c r="O2345">
        <f>IF(INDEX(Suivi!$B:$B,2390)="","",INDEX(Suivi!$B:$B,2390))</f>
        <v/>
      </c>
      <c r="P2345">
        <f>IF($O2345="","",IF(INDEX(Suivi!$D:$D,2390)="",INDEX(Suivi!$C:$C,2390),INDEX(Suivi!$D:$D,2390)))</f>
        <v/>
      </c>
      <c r="Q2345">
        <f>IF($O2345="","",INDEX(Suivi!$E:$E,2390))</f>
        <v/>
      </c>
      <c r="R2345">
        <f>IF($O2345="","",INDEX(Suivi!$F:$F,2390))</f>
        <v/>
      </c>
      <c r="S2345">
        <f>IF($O2345="","",INDEX(Suivi!$G:$G,2390))</f>
        <v/>
      </c>
      <c r="T2345">
        <f>IF($O2345="","",IF(INDEX(Dossiers!$F$4:$F$63,45)="","",INDEX(Dossiers!$F$4:$F$63,45)))</f>
        <v/>
      </c>
      <c r="U2345">
        <f>IF($O2345="","",IF(INDEX(Dossiers!$G$4:$G$63,45)="","",INDEX(Dossiers!$G$4:$G$63,45)))</f>
        <v/>
      </c>
      <c r="V2345">
        <f>IF(OR($O2345="",NOT(ISNUMBER($Q2345))),"",$Q2345*1000000+2345)</f>
        <v/>
      </c>
      <c r="W2345" s="29">
        <f>IF($B2345="","",IFERROR(INDEX($U$4:$U$3183,MATCH(SMALL($V$4:$V$3183,2342),$V$4:$V$3183,0)),""))</f>
        <v/>
      </c>
    </row>
    <row r="2346">
      <c r="A2346">
        <f>IFERROR(INDEX($N$4:$N$3183,MATCH(SMALL($V$4:$V$3183,2343),$V$4:$V$3183,0)),"")</f>
        <v/>
      </c>
      <c r="B2346">
        <f>IFERROR(INDEX($O$4:$O$3183,MATCH(SMALL($V$4:$V$3183,2343),$V$4:$V$3183,0)),"")</f>
        <v/>
      </c>
      <c r="C2346">
        <f>IFERROR(INDEX($P$4:$P$3183,MATCH(SMALL($V$4:$V$3183,2343),$V$4:$V$3183,0)),"")</f>
        <v/>
      </c>
      <c r="D2346" s="29">
        <f>IFERROR(INDEX($Q$4:$Q$3183,MATCH(SMALL($V$4:$V$3183,2343),$V$4:$V$3183,0)),"")</f>
        <v/>
      </c>
      <c r="E2346" s="29">
        <f>IFERROR(INDEX($R$4:$R$3183,MATCH(SMALL($V$4:$V$3183,2343),$V$4:$V$3183,0)),"")</f>
        <v/>
      </c>
      <c r="F2346">
        <f>IFERROR(INDEX($S$4:$S$3183,MATCH(SMALL($V$4:$V$3183,2343),$V$4:$V$3183,0)),"")</f>
        <v/>
      </c>
      <c r="I2346" s="29">
        <f>IF($B2346="","",IFERROR(INDEX($U$4:$U$3183,MATCH(SMALL($V$4:$V$3183,2343),$V$4:$V$3183,0)),""))</f>
        <v/>
      </c>
      <c r="J2346">
        <f>IF($B2346="","",IF($D2346&gt;$F$2,"À venir",IF($E2346&lt;$D$2,"Passé","Dans la période")))</f>
        <v/>
      </c>
      <c r="K2346">
        <f>IF(OR($B2346="",NOT(ISNUMBER($D2346))),"",IF(AND($E2346&lt;$D$2,$G2346&lt;&gt;"X",$F2346&lt;&gt;"Réalisé",$F2346&lt;&gt;"Clôturé"),"RETARD",""))</f>
        <v/>
      </c>
      <c r="L2346">
        <f>IF(OR($B2346="",NOT(ISNUMBER($D2346))),"",IF(AND($D2346&gt;=$D$2,$D2346&lt;=$H$2,$G2346&lt;&gt;"X",$F2346&lt;&gt;"Réalisé",$F2346&lt;&gt;"Clôturé"),"≤ 7 j",""))</f>
        <v/>
      </c>
      <c r="M2346" s="29">
        <f>IF($B2346="","",IFERROR(INDEX($T$4:$T$3183,MATCH(SMALL($V$4:$V$3183,2343),$V$4:$V$3183,0)),""))</f>
        <v/>
      </c>
      <c r="O2346">
        <f>IF(INDEX(Suivi!$B:$B,2391)="","",INDEX(Suivi!$B:$B,2391))</f>
        <v/>
      </c>
      <c r="P2346">
        <f>IF($O2346="","",IF(INDEX(Suivi!$D:$D,2391)="",INDEX(Suivi!$C:$C,2391),INDEX(Suivi!$D:$D,2391)))</f>
        <v/>
      </c>
      <c r="Q2346">
        <f>IF($O2346="","",INDEX(Suivi!$E:$E,2391))</f>
        <v/>
      </c>
      <c r="R2346">
        <f>IF($O2346="","",INDEX(Suivi!$F:$F,2391))</f>
        <v/>
      </c>
      <c r="S2346">
        <f>IF($O2346="","",INDEX(Suivi!$G:$G,2391))</f>
        <v/>
      </c>
      <c r="T2346">
        <f>IF($O2346="","",IF(INDEX(Dossiers!$F$4:$F$63,45)="","",INDEX(Dossiers!$F$4:$F$63,45)))</f>
        <v/>
      </c>
      <c r="U2346">
        <f>IF($O2346="","",IF(INDEX(Dossiers!$G$4:$G$63,45)="","",INDEX(Dossiers!$G$4:$G$63,45)))</f>
        <v/>
      </c>
      <c r="V2346">
        <f>IF(OR($O2346="",NOT(ISNUMBER($Q2346))),"",$Q2346*1000000+2346)</f>
        <v/>
      </c>
      <c r="W2346" s="29">
        <f>IF($B2346="","",IFERROR(INDEX($U$4:$U$3183,MATCH(SMALL($V$4:$V$3183,2343),$V$4:$V$3183,0)),""))</f>
        <v/>
      </c>
    </row>
    <row r="2347">
      <c r="A2347">
        <f>IFERROR(INDEX($N$4:$N$3183,MATCH(SMALL($V$4:$V$3183,2344),$V$4:$V$3183,0)),"")</f>
        <v/>
      </c>
      <c r="B2347">
        <f>IFERROR(INDEX($O$4:$O$3183,MATCH(SMALL($V$4:$V$3183,2344),$V$4:$V$3183,0)),"")</f>
        <v/>
      </c>
      <c r="C2347">
        <f>IFERROR(INDEX($P$4:$P$3183,MATCH(SMALL($V$4:$V$3183,2344),$V$4:$V$3183,0)),"")</f>
        <v/>
      </c>
      <c r="D2347" s="29">
        <f>IFERROR(INDEX($Q$4:$Q$3183,MATCH(SMALL($V$4:$V$3183,2344),$V$4:$V$3183,0)),"")</f>
        <v/>
      </c>
      <c r="E2347" s="29">
        <f>IFERROR(INDEX($R$4:$R$3183,MATCH(SMALL($V$4:$V$3183,2344),$V$4:$V$3183,0)),"")</f>
        <v/>
      </c>
      <c r="F2347">
        <f>IFERROR(INDEX($S$4:$S$3183,MATCH(SMALL($V$4:$V$3183,2344),$V$4:$V$3183,0)),"")</f>
        <v/>
      </c>
      <c r="I2347" s="29">
        <f>IF($B2347="","",IFERROR(INDEX($U$4:$U$3183,MATCH(SMALL($V$4:$V$3183,2344),$V$4:$V$3183,0)),""))</f>
        <v/>
      </c>
      <c r="J2347">
        <f>IF($B2347="","",IF($D2347&gt;$F$2,"À venir",IF($E2347&lt;$D$2,"Passé","Dans la période")))</f>
        <v/>
      </c>
      <c r="K2347">
        <f>IF(OR($B2347="",NOT(ISNUMBER($D2347))),"",IF(AND($E2347&lt;$D$2,$G2347&lt;&gt;"X",$F2347&lt;&gt;"Réalisé",$F2347&lt;&gt;"Clôturé"),"RETARD",""))</f>
        <v/>
      </c>
      <c r="L2347">
        <f>IF(OR($B2347="",NOT(ISNUMBER($D2347))),"",IF(AND($D2347&gt;=$D$2,$D2347&lt;=$H$2,$G2347&lt;&gt;"X",$F2347&lt;&gt;"Réalisé",$F2347&lt;&gt;"Clôturé"),"≤ 7 j",""))</f>
        <v/>
      </c>
      <c r="M2347" s="29">
        <f>IF($B2347="","",IFERROR(INDEX($T$4:$T$3183,MATCH(SMALL($V$4:$V$3183,2344),$V$4:$V$3183,0)),""))</f>
        <v/>
      </c>
      <c r="O2347">
        <f>IF(INDEX(Suivi!$B:$B,2392)="","",INDEX(Suivi!$B:$B,2392))</f>
        <v/>
      </c>
      <c r="P2347">
        <f>IF($O2347="","",IF(INDEX(Suivi!$D:$D,2392)="",INDEX(Suivi!$C:$C,2392),INDEX(Suivi!$D:$D,2392)))</f>
        <v/>
      </c>
      <c r="Q2347">
        <f>IF($O2347="","",INDEX(Suivi!$E:$E,2392))</f>
        <v/>
      </c>
      <c r="R2347">
        <f>IF($O2347="","",INDEX(Suivi!$F:$F,2392))</f>
        <v/>
      </c>
      <c r="S2347">
        <f>IF($O2347="","",INDEX(Suivi!$G:$G,2392))</f>
        <v/>
      </c>
      <c r="T2347">
        <f>IF($O2347="","",IF(INDEX(Dossiers!$F$4:$F$63,45)="","",INDEX(Dossiers!$F$4:$F$63,45)))</f>
        <v/>
      </c>
      <c r="U2347">
        <f>IF($O2347="","",IF(INDEX(Dossiers!$G$4:$G$63,45)="","",INDEX(Dossiers!$G$4:$G$63,45)))</f>
        <v/>
      </c>
      <c r="V2347">
        <f>IF(OR($O2347="",NOT(ISNUMBER($Q2347))),"",$Q2347*1000000+2347)</f>
        <v/>
      </c>
      <c r="W2347" s="29">
        <f>IF($B2347="","",IFERROR(INDEX($U$4:$U$3183,MATCH(SMALL($V$4:$V$3183,2344),$V$4:$V$3183,0)),""))</f>
        <v/>
      </c>
    </row>
    <row r="2348">
      <c r="A2348">
        <f>IFERROR(INDEX($N$4:$N$3183,MATCH(SMALL($V$4:$V$3183,2345),$V$4:$V$3183,0)),"")</f>
        <v/>
      </c>
      <c r="B2348">
        <f>IFERROR(INDEX($O$4:$O$3183,MATCH(SMALL($V$4:$V$3183,2345),$V$4:$V$3183,0)),"")</f>
        <v/>
      </c>
      <c r="C2348">
        <f>IFERROR(INDEX($P$4:$P$3183,MATCH(SMALL($V$4:$V$3183,2345),$V$4:$V$3183,0)),"")</f>
        <v/>
      </c>
      <c r="D2348" s="29">
        <f>IFERROR(INDEX($Q$4:$Q$3183,MATCH(SMALL($V$4:$V$3183,2345),$V$4:$V$3183,0)),"")</f>
        <v/>
      </c>
      <c r="E2348" s="29">
        <f>IFERROR(INDEX($R$4:$R$3183,MATCH(SMALL($V$4:$V$3183,2345),$V$4:$V$3183,0)),"")</f>
        <v/>
      </c>
      <c r="F2348">
        <f>IFERROR(INDEX($S$4:$S$3183,MATCH(SMALL($V$4:$V$3183,2345),$V$4:$V$3183,0)),"")</f>
        <v/>
      </c>
      <c r="I2348" s="29">
        <f>IF($B2348="","",IFERROR(INDEX($U$4:$U$3183,MATCH(SMALL($V$4:$V$3183,2345),$V$4:$V$3183,0)),""))</f>
        <v/>
      </c>
      <c r="J2348">
        <f>IF($B2348="","",IF($D2348&gt;$F$2,"À venir",IF($E2348&lt;$D$2,"Passé","Dans la période")))</f>
        <v/>
      </c>
      <c r="K2348">
        <f>IF(OR($B2348="",NOT(ISNUMBER($D2348))),"",IF(AND($E2348&lt;$D$2,$G2348&lt;&gt;"X",$F2348&lt;&gt;"Réalisé",$F2348&lt;&gt;"Clôturé"),"RETARD",""))</f>
        <v/>
      </c>
      <c r="L2348">
        <f>IF(OR($B2348="",NOT(ISNUMBER($D2348))),"",IF(AND($D2348&gt;=$D$2,$D2348&lt;=$H$2,$G2348&lt;&gt;"X",$F2348&lt;&gt;"Réalisé",$F2348&lt;&gt;"Clôturé"),"≤ 7 j",""))</f>
        <v/>
      </c>
      <c r="M2348" s="29">
        <f>IF($B2348="","",IFERROR(INDEX($T$4:$T$3183,MATCH(SMALL($V$4:$V$3183,2345),$V$4:$V$3183,0)),""))</f>
        <v/>
      </c>
      <c r="O2348">
        <f>IF(INDEX(Suivi!$B:$B,2393)="","",INDEX(Suivi!$B:$B,2393))</f>
        <v/>
      </c>
      <c r="P2348">
        <f>IF($O2348="","",IF(INDEX(Suivi!$D:$D,2393)="",INDEX(Suivi!$C:$C,2393),INDEX(Suivi!$D:$D,2393)))</f>
        <v/>
      </c>
      <c r="Q2348">
        <f>IF($O2348="","",INDEX(Suivi!$E:$E,2393))</f>
        <v/>
      </c>
      <c r="R2348">
        <f>IF($O2348="","",INDEX(Suivi!$F:$F,2393))</f>
        <v/>
      </c>
      <c r="S2348">
        <f>IF($O2348="","",INDEX(Suivi!$G:$G,2393))</f>
        <v/>
      </c>
      <c r="T2348">
        <f>IF($O2348="","",IF(INDEX(Dossiers!$F$4:$F$63,45)="","",INDEX(Dossiers!$F$4:$F$63,45)))</f>
        <v/>
      </c>
      <c r="U2348">
        <f>IF($O2348="","",IF(INDEX(Dossiers!$G$4:$G$63,45)="","",INDEX(Dossiers!$G$4:$G$63,45)))</f>
        <v/>
      </c>
      <c r="V2348">
        <f>IF(OR($O2348="",NOT(ISNUMBER($Q2348))),"",$Q2348*1000000+2348)</f>
        <v/>
      </c>
      <c r="W2348" s="29">
        <f>IF($B2348="","",IFERROR(INDEX($U$4:$U$3183,MATCH(SMALL($V$4:$V$3183,2345),$V$4:$V$3183,0)),""))</f>
        <v/>
      </c>
    </row>
    <row r="2349">
      <c r="A2349">
        <f>IFERROR(INDEX($N$4:$N$3183,MATCH(SMALL($V$4:$V$3183,2346),$V$4:$V$3183,0)),"")</f>
        <v/>
      </c>
      <c r="B2349">
        <f>IFERROR(INDEX($O$4:$O$3183,MATCH(SMALL($V$4:$V$3183,2346),$V$4:$V$3183,0)),"")</f>
        <v/>
      </c>
      <c r="C2349">
        <f>IFERROR(INDEX($P$4:$P$3183,MATCH(SMALL($V$4:$V$3183,2346),$V$4:$V$3183,0)),"")</f>
        <v/>
      </c>
      <c r="D2349" s="29">
        <f>IFERROR(INDEX($Q$4:$Q$3183,MATCH(SMALL($V$4:$V$3183,2346),$V$4:$V$3183,0)),"")</f>
        <v/>
      </c>
      <c r="E2349" s="29">
        <f>IFERROR(INDEX($R$4:$R$3183,MATCH(SMALL($V$4:$V$3183,2346),$V$4:$V$3183,0)),"")</f>
        <v/>
      </c>
      <c r="F2349">
        <f>IFERROR(INDEX($S$4:$S$3183,MATCH(SMALL($V$4:$V$3183,2346),$V$4:$V$3183,0)),"")</f>
        <v/>
      </c>
      <c r="I2349" s="29">
        <f>IF($B2349="","",IFERROR(INDEX($U$4:$U$3183,MATCH(SMALL($V$4:$V$3183,2346),$V$4:$V$3183,0)),""))</f>
        <v/>
      </c>
      <c r="J2349">
        <f>IF($B2349="","",IF($D2349&gt;$F$2,"À venir",IF($E2349&lt;$D$2,"Passé","Dans la période")))</f>
        <v/>
      </c>
      <c r="K2349">
        <f>IF(OR($B2349="",NOT(ISNUMBER($D2349))),"",IF(AND($E2349&lt;$D$2,$G2349&lt;&gt;"X",$F2349&lt;&gt;"Réalisé",$F2349&lt;&gt;"Clôturé"),"RETARD",""))</f>
        <v/>
      </c>
      <c r="L2349">
        <f>IF(OR($B2349="",NOT(ISNUMBER($D2349))),"",IF(AND($D2349&gt;=$D$2,$D2349&lt;=$H$2,$G2349&lt;&gt;"X",$F2349&lt;&gt;"Réalisé",$F2349&lt;&gt;"Clôturé"),"≤ 7 j",""))</f>
        <v/>
      </c>
      <c r="M2349" s="29">
        <f>IF($B2349="","",IFERROR(INDEX($T$4:$T$3183,MATCH(SMALL($V$4:$V$3183,2346),$V$4:$V$3183,0)),""))</f>
        <v/>
      </c>
      <c r="O2349">
        <f>IF(INDEX(Suivi!$B:$B,2394)="","",INDEX(Suivi!$B:$B,2394))</f>
        <v/>
      </c>
      <c r="P2349">
        <f>IF($O2349="","",IF(INDEX(Suivi!$D:$D,2394)="",INDEX(Suivi!$C:$C,2394),INDEX(Suivi!$D:$D,2394)))</f>
        <v/>
      </c>
      <c r="Q2349">
        <f>IF($O2349="","",INDEX(Suivi!$E:$E,2394))</f>
        <v/>
      </c>
      <c r="R2349">
        <f>IF($O2349="","",INDEX(Suivi!$F:$F,2394))</f>
        <v/>
      </c>
      <c r="S2349">
        <f>IF($O2349="","",INDEX(Suivi!$G:$G,2394))</f>
        <v/>
      </c>
      <c r="T2349">
        <f>IF($O2349="","",IF(INDEX(Dossiers!$F$4:$F$63,45)="","",INDEX(Dossiers!$F$4:$F$63,45)))</f>
        <v/>
      </c>
      <c r="U2349">
        <f>IF($O2349="","",IF(INDEX(Dossiers!$G$4:$G$63,45)="","",INDEX(Dossiers!$G$4:$G$63,45)))</f>
        <v/>
      </c>
      <c r="V2349">
        <f>IF(OR($O2349="",NOT(ISNUMBER($Q2349))),"",$Q2349*1000000+2349)</f>
        <v/>
      </c>
      <c r="W2349" s="29">
        <f>IF($B2349="","",IFERROR(INDEX($U$4:$U$3183,MATCH(SMALL($V$4:$V$3183,2346),$V$4:$V$3183,0)),""))</f>
        <v/>
      </c>
    </row>
    <row r="2350">
      <c r="A2350">
        <f>IFERROR(INDEX($N$4:$N$3183,MATCH(SMALL($V$4:$V$3183,2347),$V$4:$V$3183,0)),"")</f>
        <v/>
      </c>
      <c r="B2350">
        <f>IFERROR(INDEX($O$4:$O$3183,MATCH(SMALL($V$4:$V$3183,2347),$V$4:$V$3183,0)),"")</f>
        <v/>
      </c>
      <c r="C2350">
        <f>IFERROR(INDEX($P$4:$P$3183,MATCH(SMALL($V$4:$V$3183,2347),$V$4:$V$3183,0)),"")</f>
        <v/>
      </c>
      <c r="D2350" s="29">
        <f>IFERROR(INDEX($Q$4:$Q$3183,MATCH(SMALL($V$4:$V$3183,2347),$V$4:$V$3183,0)),"")</f>
        <v/>
      </c>
      <c r="E2350" s="29">
        <f>IFERROR(INDEX($R$4:$R$3183,MATCH(SMALL($V$4:$V$3183,2347),$V$4:$V$3183,0)),"")</f>
        <v/>
      </c>
      <c r="F2350">
        <f>IFERROR(INDEX($S$4:$S$3183,MATCH(SMALL($V$4:$V$3183,2347),$V$4:$V$3183,0)),"")</f>
        <v/>
      </c>
      <c r="I2350" s="29">
        <f>IF($B2350="","",IFERROR(INDEX($U$4:$U$3183,MATCH(SMALL($V$4:$V$3183,2347),$V$4:$V$3183,0)),""))</f>
        <v/>
      </c>
      <c r="J2350">
        <f>IF($B2350="","",IF($D2350&gt;$F$2,"À venir",IF($E2350&lt;$D$2,"Passé","Dans la période")))</f>
        <v/>
      </c>
      <c r="K2350">
        <f>IF(OR($B2350="",NOT(ISNUMBER($D2350))),"",IF(AND($E2350&lt;$D$2,$G2350&lt;&gt;"X",$F2350&lt;&gt;"Réalisé",$F2350&lt;&gt;"Clôturé"),"RETARD",""))</f>
        <v/>
      </c>
      <c r="L2350">
        <f>IF(OR($B2350="",NOT(ISNUMBER($D2350))),"",IF(AND($D2350&gt;=$D$2,$D2350&lt;=$H$2,$G2350&lt;&gt;"X",$F2350&lt;&gt;"Réalisé",$F2350&lt;&gt;"Clôturé"),"≤ 7 j",""))</f>
        <v/>
      </c>
      <c r="M2350" s="29">
        <f>IF($B2350="","",IFERROR(INDEX($T$4:$T$3183,MATCH(SMALL($V$4:$V$3183,2347),$V$4:$V$3183,0)),""))</f>
        <v/>
      </c>
      <c r="O2350">
        <f>IF(INDEX(Suivi!$B:$B,2395)="","",INDEX(Suivi!$B:$B,2395))</f>
        <v/>
      </c>
      <c r="P2350">
        <f>IF($O2350="","",IF(INDEX(Suivi!$D:$D,2395)="",INDEX(Suivi!$C:$C,2395),INDEX(Suivi!$D:$D,2395)))</f>
        <v/>
      </c>
      <c r="Q2350">
        <f>IF($O2350="","",INDEX(Suivi!$E:$E,2395))</f>
        <v/>
      </c>
      <c r="R2350">
        <f>IF($O2350="","",INDEX(Suivi!$F:$F,2395))</f>
        <v/>
      </c>
      <c r="S2350">
        <f>IF($O2350="","",INDEX(Suivi!$G:$G,2395))</f>
        <v/>
      </c>
      <c r="T2350">
        <f>IF($O2350="","",IF(INDEX(Dossiers!$F$4:$F$63,45)="","",INDEX(Dossiers!$F$4:$F$63,45)))</f>
        <v/>
      </c>
      <c r="U2350">
        <f>IF($O2350="","",IF(INDEX(Dossiers!$G$4:$G$63,45)="","",INDEX(Dossiers!$G$4:$G$63,45)))</f>
        <v/>
      </c>
      <c r="V2350">
        <f>IF(OR($O2350="",NOT(ISNUMBER($Q2350))),"",$Q2350*1000000+2350)</f>
        <v/>
      </c>
      <c r="W2350" s="29">
        <f>IF($B2350="","",IFERROR(INDEX($U$4:$U$3183,MATCH(SMALL($V$4:$V$3183,2347),$V$4:$V$3183,0)),""))</f>
        <v/>
      </c>
    </row>
    <row r="2351">
      <c r="A2351">
        <f>IFERROR(INDEX($N$4:$N$3183,MATCH(SMALL($V$4:$V$3183,2348),$V$4:$V$3183,0)),"")</f>
        <v/>
      </c>
      <c r="B2351">
        <f>IFERROR(INDEX($O$4:$O$3183,MATCH(SMALL($V$4:$V$3183,2348),$V$4:$V$3183,0)),"")</f>
        <v/>
      </c>
      <c r="C2351">
        <f>IFERROR(INDEX($P$4:$P$3183,MATCH(SMALL($V$4:$V$3183,2348),$V$4:$V$3183,0)),"")</f>
        <v/>
      </c>
      <c r="D2351" s="29">
        <f>IFERROR(INDEX($Q$4:$Q$3183,MATCH(SMALL($V$4:$V$3183,2348),$V$4:$V$3183,0)),"")</f>
        <v/>
      </c>
      <c r="E2351" s="29">
        <f>IFERROR(INDEX($R$4:$R$3183,MATCH(SMALL($V$4:$V$3183,2348),$V$4:$V$3183,0)),"")</f>
        <v/>
      </c>
      <c r="F2351">
        <f>IFERROR(INDEX($S$4:$S$3183,MATCH(SMALL($V$4:$V$3183,2348),$V$4:$V$3183,0)),"")</f>
        <v/>
      </c>
      <c r="I2351" s="29">
        <f>IF($B2351="","",IFERROR(INDEX($U$4:$U$3183,MATCH(SMALL($V$4:$V$3183,2348),$V$4:$V$3183,0)),""))</f>
        <v/>
      </c>
      <c r="J2351">
        <f>IF($B2351="","",IF($D2351&gt;$F$2,"À venir",IF($E2351&lt;$D$2,"Passé","Dans la période")))</f>
        <v/>
      </c>
      <c r="K2351">
        <f>IF(OR($B2351="",NOT(ISNUMBER($D2351))),"",IF(AND($E2351&lt;$D$2,$G2351&lt;&gt;"X",$F2351&lt;&gt;"Réalisé",$F2351&lt;&gt;"Clôturé"),"RETARD",""))</f>
        <v/>
      </c>
      <c r="L2351">
        <f>IF(OR($B2351="",NOT(ISNUMBER($D2351))),"",IF(AND($D2351&gt;=$D$2,$D2351&lt;=$H$2,$G2351&lt;&gt;"X",$F2351&lt;&gt;"Réalisé",$F2351&lt;&gt;"Clôturé"),"≤ 7 j",""))</f>
        <v/>
      </c>
      <c r="M2351" s="29">
        <f>IF($B2351="","",IFERROR(INDEX($T$4:$T$3183,MATCH(SMALL($V$4:$V$3183,2348),$V$4:$V$3183,0)),""))</f>
        <v/>
      </c>
      <c r="O2351">
        <f>IF(INDEX(Suivi!$B:$B,2396)="","",INDEX(Suivi!$B:$B,2396))</f>
        <v/>
      </c>
      <c r="P2351">
        <f>IF($O2351="","",IF(INDEX(Suivi!$D:$D,2396)="",INDEX(Suivi!$C:$C,2396),INDEX(Suivi!$D:$D,2396)))</f>
        <v/>
      </c>
      <c r="Q2351">
        <f>IF($O2351="","",INDEX(Suivi!$E:$E,2396))</f>
        <v/>
      </c>
      <c r="R2351">
        <f>IF($O2351="","",INDEX(Suivi!$F:$F,2396))</f>
        <v/>
      </c>
      <c r="S2351">
        <f>IF($O2351="","",INDEX(Suivi!$G:$G,2396))</f>
        <v/>
      </c>
      <c r="T2351">
        <f>IF($O2351="","",IF(INDEX(Dossiers!$F$4:$F$63,45)="","",INDEX(Dossiers!$F$4:$F$63,45)))</f>
        <v/>
      </c>
      <c r="U2351">
        <f>IF($O2351="","",IF(INDEX(Dossiers!$G$4:$G$63,45)="","",INDEX(Dossiers!$G$4:$G$63,45)))</f>
        <v/>
      </c>
      <c r="V2351">
        <f>IF(OR($O2351="",NOT(ISNUMBER($Q2351))),"",$Q2351*1000000+2351)</f>
        <v/>
      </c>
      <c r="W2351" s="29">
        <f>IF($B2351="","",IFERROR(INDEX($U$4:$U$3183,MATCH(SMALL($V$4:$V$3183,2348),$V$4:$V$3183,0)),""))</f>
        <v/>
      </c>
    </row>
    <row r="2352">
      <c r="A2352">
        <f>IFERROR(INDEX($N$4:$N$3183,MATCH(SMALL($V$4:$V$3183,2349),$V$4:$V$3183,0)),"")</f>
        <v/>
      </c>
      <c r="B2352">
        <f>IFERROR(INDEX($O$4:$O$3183,MATCH(SMALL($V$4:$V$3183,2349),$V$4:$V$3183,0)),"")</f>
        <v/>
      </c>
      <c r="C2352">
        <f>IFERROR(INDEX($P$4:$P$3183,MATCH(SMALL($V$4:$V$3183,2349),$V$4:$V$3183,0)),"")</f>
        <v/>
      </c>
      <c r="D2352" s="29">
        <f>IFERROR(INDEX($Q$4:$Q$3183,MATCH(SMALL($V$4:$V$3183,2349),$V$4:$V$3183,0)),"")</f>
        <v/>
      </c>
      <c r="E2352" s="29">
        <f>IFERROR(INDEX($R$4:$R$3183,MATCH(SMALL($V$4:$V$3183,2349),$V$4:$V$3183,0)),"")</f>
        <v/>
      </c>
      <c r="F2352">
        <f>IFERROR(INDEX($S$4:$S$3183,MATCH(SMALL($V$4:$V$3183,2349),$V$4:$V$3183,0)),"")</f>
        <v/>
      </c>
      <c r="I2352" s="29">
        <f>IF($B2352="","",IFERROR(INDEX($U$4:$U$3183,MATCH(SMALL($V$4:$V$3183,2349),$V$4:$V$3183,0)),""))</f>
        <v/>
      </c>
      <c r="J2352">
        <f>IF($B2352="","",IF($D2352&gt;$F$2,"À venir",IF($E2352&lt;$D$2,"Passé","Dans la période")))</f>
        <v/>
      </c>
      <c r="K2352">
        <f>IF(OR($B2352="",NOT(ISNUMBER($D2352))),"",IF(AND($E2352&lt;$D$2,$G2352&lt;&gt;"X",$F2352&lt;&gt;"Réalisé",$F2352&lt;&gt;"Clôturé"),"RETARD",""))</f>
        <v/>
      </c>
      <c r="L2352">
        <f>IF(OR($B2352="",NOT(ISNUMBER($D2352))),"",IF(AND($D2352&gt;=$D$2,$D2352&lt;=$H$2,$G2352&lt;&gt;"X",$F2352&lt;&gt;"Réalisé",$F2352&lt;&gt;"Clôturé"),"≤ 7 j",""))</f>
        <v/>
      </c>
      <c r="M2352" s="29">
        <f>IF($B2352="","",IFERROR(INDEX($T$4:$T$3183,MATCH(SMALL($V$4:$V$3183,2349),$V$4:$V$3183,0)),""))</f>
        <v/>
      </c>
      <c r="O2352">
        <f>IF(INDEX(Suivi!$B:$B,2397)="","",INDEX(Suivi!$B:$B,2397))</f>
        <v/>
      </c>
      <c r="P2352">
        <f>IF($O2352="","",IF(INDEX(Suivi!$D:$D,2397)="",INDEX(Suivi!$C:$C,2397),INDEX(Suivi!$D:$D,2397)))</f>
        <v/>
      </c>
      <c r="Q2352">
        <f>IF($O2352="","",INDEX(Suivi!$E:$E,2397))</f>
        <v/>
      </c>
      <c r="R2352">
        <f>IF($O2352="","",INDEX(Suivi!$F:$F,2397))</f>
        <v/>
      </c>
      <c r="S2352">
        <f>IF($O2352="","",INDEX(Suivi!$G:$G,2397))</f>
        <v/>
      </c>
      <c r="T2352">
        <f>IF($O2352="","",IF(INDEX(Dossiers!$F$4:$F$63,45)="","",INDEX(Dossiers!$F$4:$F$63,45)))</f>
        <v/>
      </c>
      <c r="U2352">
        <f>IF($O2352="","",IF(INDEX(Dossiers!$G$4:$G$63,45)="","",INDEX(Dossiers!$G$4:$G$63,45)))</f>
        <v/>
      </c>
      <c r="V2352">
        <f>IF(OR($O2352="",NOT(ISNUMBER($Q2352))),"",$Q2352*1000000+2352)</f>
        <v/>
      </c>
      <c r="W2352" s="29">
        <f>IF($B2352="","",IFERROR(INDEX($U$4:$U$3183,MATCH(SMALL($V$4:$V$3183,2349),$V$4:$V$3183,0)),""))</f>
        <v/>
      </c>
    </row>
    <row r="2353">
      <c r="A2353">
        <f>IFERROR(INDEX($N$4:$N$3183,MATCH(SMALL($V$4:$V$3183,2350),$V$4:$V$3183,0)),"")</f>
        <v/>
      </c>
      <c r="B2353">
        <f>IFERROR(INDEX($O$4:$O$3183,MATCH(SMALL($V$4:$V$3183,2350),$V$4:$V$3183,0)),"")</f>
        <v/>
      </c>
      <c r="C2353">
        <f>IFERROR(INDEX($P$4:$P$3183,MATCH(SMALL($V$4:$V$3183,2350),$V$4:$V$3183,0)),"")</f>
        <v/>
      </c>
      <c r="D2353" s="29">
        <f>IFERROR(INDEX($Q$4:$Q$3183,MATCH(SMALL($V$4:$V$3183,2350),$V$4:$V$3183,0)),"")</f>
        <v/>
      </c>
      <c r="E2353" s="29">
        <f>IFERROR(INDEX($R$4:$R$3183,MATCH(SMALL($V$4:$V$3183,2350),$V$4:$V$3183,0)),"")</f>
        <v/>
      </c>
      <c r="F2353">
        <f>IFERROR(INDEX($S$4:$S$3183,MATCH(SMALL($V$4:$V$3183,2350),$V$4:$V$3183,0)),"")</f>
        <v/>
      </c>
      <c r="I2353" s="29">
        <f>IF($B2353="","",IFERROR(INDEX($U$4:$U$3183,MATCH(SMALL($V$4:$V$3183,2350),$V$4:$V$3183,0)),""))</f>
        <v/>
      </c>
      <c r="J2353">
        <f>IF($B2353="","",IF($D2353&gt;$F$2,"À venir",IF($E2353&lt;$D$2,"Passé","Dans la période")))</f>
        <v/>
      </c>
      <c r="K2353">
        <f>IF(OR($B2353="",NOT(ISNUMBER($D2353))),"",IF(AND($E2353&lt;$D$2,$G2353&lt;&gt;"X",$F2353&lt;&gt;"Réalisé",$F2353&lt;&gt;"Clôturé"),"RETARD",""))</f>
        <v/>
      </c>
      <c r="L2353">
        <f>IF(OR($B2353="",NOT(ISNUMBER($D2353))),"",IF(AND($D2353&gt;=$D$2,$D2353&lt;=$H$2,$G2353&lt;&gt;"X",$F2353&lt;&gt;"Réalisé",$F2353&lt;&gt;"Clôturé"),"≤ 7 j",""))</f>
        <v/>
      </c>
      <c r="M2353" s="29">
        <f>IF($B2353="","",IFERROR(INDEX($T$4:$T$3183,MATCH(SMALL($V$4:$V$3183,2350),$V$4:$V$3183,0)),""))</f>
        <v/>
      </c>
      <c r="O2353">
        <f>IF(INDEX(Suivi!$B:$B,2398)="","",INDEX(Suivi!$B:$B,2398))</f>
        <v/>
      </c>
      <c r="P2353">
        <f>IF($O2353="","",IF(INDEX(Suivi!$D:$D,2398)="",INDEX(Suivi!$C:$C,2398),INDEX(Suivi!$D:$D,2398)))</f>
        <v/>
      </c>
      <c r="Q2353">
        <f>IF($O2353="","",INDEX(Suivi!$E:$E,2398))</f>
        <v/>
      </c>
      <c r="R2353">
        <f>IF($O2353="","",INDEX(Suivi!$F:$F,2398))</f>
        <v/>
      </c>
      <c r="S2353">
        <f>IF($O2353="","",INDEX(Suivi!$G:$G,2398))</f>
        <v/>
      </c>
      <c r="T2353">
        <f>IF($O2353="","",IF(INDEX(Dossiers!$F$4:$F$63,45)="","",INDEX(Dossiers!$F$4:$F$63,45)))</f>
        <v/>
      </c>
      <c r="U2353">
        <f>IF($O2353="","",IF(INDEX(Dossiers!$G$4:$G$63,45)="","",INDEX(Dossiers!$G$4:$G$63,45)))</f>
        <v/>
      </c>
      <c r="V2353">
        <f>IF(OR($O2353="",NOT(ISNUMBER($Q2353))),"",$Q2353*1000000+2353)</f>
        <v/>
      </c>
      <c r="W2353" s="29">
        <f>IF($B2353="","",IFERROR(INDEX($U$4:$U$3183,MATCH(SMALL($V$4:$V$3183,2350),$V$4:$V$3183,0)),""))</f>
        <v/>
      </c>
    </row>
    <row r="2354">
      <c r="A2354">
        <f>IFERROR(INDEX($N$4:$N$3183,MATCH(SMALL($V$4:$V$3183,2351),$V$4:$V$3183,0)),"")</f>
        <v/>
      </c>
      <c r="B2354">
        <f>IFERROR(INDEX($O$4:$O$3183,MATCH(SMALL($V$4:$V$3183,2351),$V$4:$V$3183,0)),"")</f>
        <v/>
      </c>
      <c r="C2354">
        <f>IFERROR(INDEX($P$4:$P$3183,MATCH(SMALL($V$4:$V$3183,2351),$V$4:$V$3183,0)),"")</f>
        <v/>
      </c>
      <c r="D2354" s="29">
        <f>IFERROR(INDEX($Q$4:$Q$3183,MATCH(SMALL($V$4:$V$3183,2351),$V$4:$V$3183,0)),"")</f>
        <v/>
      </c>
      <c r="E2354" s="29">
        <f>IFERROR(INDEX($R$4:$R$3183,MATCH(SMALL($V$4:$V$3183,2351),$V$4:$V$3183,0)),"")</f>
        <v/>
      </c>
      <c r="F2354">
        <f>IFERROR(INDEX($S$4:$S$3183,MATCH(SMALL($V$4:$V$3183,2351),$V$4:$V$3183,0)),"")</f>
        <v/>
      </c>
      <c r="I2354" s="29">
        <f>IF($B2354="","",IFERROR(INDEX($U$4:$U$3183,MATCH(SMALL($V$4:$V$3183,2351),$V$4:$V$3183,0)),""))</f>
        <v/>
      </c>
      <c r="J2354">
        <f>IF($B2354="","",IF($D2354&gt;$F$2,"À venir",IF($E2354&lt;$D$2,"Passé","Dans la période")))</f>
        <v/>
      </c>
      <c r="K2354">
        <f>IF(OR($B2354="",NOT(ISNUMBER($D2354))),"",IF(AND($E2354&lt;$D$2,$G2354&lt;&gt;"X",$F2354&lt;&gt;"Réalisé",$F2354&lt;&gt;"Clôturé"),"RETARD",""))</f>
        <v/>
      </c>
      <c r="L2354">
        <f>IF(OR($B2354="",NOT(ISNUMBER($D2354))),"",IF(AND($D2354&gt;=$D$2,$D2354&lt;=$H$2,$G2354&lt;&gt;"X",$F2354&lt;&gt;"Réalisé",$F2354&lt;&gt;"Clôturé"),"≤ 7 j",""))</f>
        <v/>
      </c>
      <c r="M2354" s="29">
        <f>IF($B2354="","",IFERROR(INDEX($T$4:$T$3183,MATCH(SMALL($V$4:$V$3183,2351),$V$4:$V$3183,0)),""))</f>
        <v/>
      </c>
      <c r="O2354">
        <f>IF(INDEX(Suivi!$B:$B,2399)="","",INDEX(Suivi!$B:$B,2399))</f>
        <v/>
      </c>
      <c r="P2354">
        <f>IF($O2354="","",IF(INDEX(Suivi!$D:$D,2399)="",INDEX(Suivi!$C:$C,2399),INDEX(Suivi!$D:$D,2399)))</f>
        <v/>
      </c>
      <c r="Q2354">
        <f>IF($O2354="","",INDEX(Suivi!$E:$E,2399))</f>
        <v/>
      </c>
      <c r="R2354">
        <f>IF($O2354="","",INDEX(Suivi!$F:$F,2399))</f>
        <v/>
      </c>
      <c r="S2354">
        <f>IF($O2354="","",INDEX(Suivi!$G:$G,2399))</f>
        <v/>
      </c>
      <c r="T2354">
        <f>IF($O2354="","",IF(INDEX(Dossiers!$F$4:$F$63,45)="","",INDEX(Dossiers!$F$4:$F$63,45)))</f>
        <v/>
      </c>
      <c r="U2354">
        <f>IF($O2354="","",IF(INDEX(Dossiers!$G$4:$G$63,45)="","",INDEX(Dossiers!$G$4:$G$63,45)))</f>
        <v/>
      </c>
      <c r="V2354">
        <f>IF(OR($O2354="",NOT(ISNUMBER($Q2354))),"",$Q2354*1000000+2354)</f>
        <v/>
      </c>
      <c r="W2354" s="29">
        <f>IF($B2354="","",IFERROR(INDEX($U$4:$U$3183,MATCH(SMALL($V$4:$V$3183,2351),$V$4:$V$3183,0)),""))</f>
        <v/>
      </c>
    </row>
    <row r="2355">
      <c r="A2355">
        <f>IFERROR(INDEX($N$4:$N$3183,MATCH(SMALL($V$4:$V$3183,2352),$V$4:$V$3183,0)),"")</f>
        <v/>
      </c>
      <c r="B2355">
        <f>IFERROR(INDEX($O$4:$O$3183,MATCH(SMALL($V$4:$V$3183,2352),$V$4:$V$3183,0)),"")</f>
        <v/>
      </c>
      <c r="C2355">
        <f>IFERROR(INDEX($P$4:$P$3183,MATCH(SMALL($V$4:$V$3183,2352),$V$4:$V$3183,0)),"")</f>
        <v/>
      </c>
      <c r="D2355" s="29">
        <f>IFERROR(INDEX($Q$4:$Q$3183,MATCH(SMALL($V$4:$V$3183,2352),$V$4:$V$3183,0)),"")</f>
        <v/>
      </c>
      <c r="E2355" s="29">
        <f>IFERROR(INDEX($R$4:$R$3183,MATCH(SMALL($V$4:$V$3183,2352),$V$4:$V$3183,0)),"")</f>
        <v/>
      </c>
      <c r="F2355">
        <f>IFERROR(INDEX($S$4:$S$3183,MATCH(SMALL($V$4:$V$3183,2352),$V$4:$V$3183,0)),"")</f>
        <v/>
      </c>
      <c r="I2355" s="29">
        <f>IF($B2355="","",IFERROR(INDEX($U$4:$U$3183,MATCH(SMALL($V$4:$V$3183,2352),$V$4:$V$3183,0)),""))</f>
        <v/>
      </c>
      <c r="J2355">
        <f>IF($B2355="","",IF($D2355&gt;$F$2,"À venir",IF($E2355&lt;$D$2,"Passé","Dans la période")))</f>
        <v/>
      </c>
      <c r="K2355">
        <f>IF(OR($B2355="",NOT(ISNUMBER($D2355))),"",IF(AND($E2355&lt;$D$2,$G2355&lt;&gt;"X",$F2355&lt;&gt;"Réalisé",$F2355&lt;&gt;"Clôturé"),"RETARD",""))</f>
        <v/>
      </c>
      <c r="L2355">
        <f>IF(OR($B2355="",NOT(ISNUMBER($D2355))),"",IF(AND($D2355&gt;=$D$2,$D2355&lt;=$H$2,$G2355&lt;&gt;"X",$F2355&lt;&gt;"Réalisé",$F2355&lt;&gt;"Clôturé"),"≤ 7 j",""))</f>
        <v/>
      </c>
      <c r="M2355" s="29">
        <f>IF($B2355="","",IFERROR(INDEX($T$4:$T$3183,MATCH(SMALL($V$4:$V$3183,2352),$V$4:$V$3183,0)),""))</f>
        <v/>
      </c>
      <c r="O2355">
        <f>IF(INDEX(Suivi!$B:$B,2400)="","",INDEX(Suivi!$B:$B,2400))</f>
        <v/>
      </c>
      <c r="P2355">
        <f>IF($O2355="","",IF(INDEX(Suivi!$D:$D,2400)="",INDEX(Suivi!$C:$C,2400),INDEX(Suivi!$D:$D,2400)))</f>
        <v/>
      </c>
      <c r="Q2355">
        <f>IF($O2355="","",INDEX(Suivi!$E:$E,2400))</f>
        <v/>
      </c>
      <c r="R2355">
        <f>IF($O2355="","",INDEX(Suivi!$F:$F,2400))</f>
        <v/>
      </c>
      <c r="S2355">
        <f>IF($O2355="","",INDEX(Suivi!$G:$G,2400))</f>
        <v/>
      </c>
      <c r="T2355">
        <f>IF($O2355="","",IF(INDEX(Dossiers!$F$4:$F$63,45)="","",INDEX(Dossiers!$F$4:$F$63,45)))</f>
        <v/>
      </c>
      <c r="U2355">
        <f>IF($O2355="","",IF(INDEX(Dossiers!$G$4:$G$63,45)="","",INDEX(Dossiers!$G$4:$G$63,45)))</f>
        <v/>
      </c>
      <c r="V2355">
        <f>IF(OR($O2355="",NOT(ISNUMBER($Q2355))),"",$Q2355*1000000+2355)</f>
        <v/>
      </c>
      <c r="W2355" s="29">
        <f>IF($B2355="","",IFERROR(INDEX($U$4:$U$3183,MATCH(SMALL($V$4:$V$3183,2352),$V$4:$V$3183,0)),""))</f>
        <v/>
      </c>
    </row>
    <row r="2356">
      <c r="A2356">
        <f>IFERROR(INDEX($N$4:$N$3183,MATCH(SMALL($V$4:$V$3183,2353),$V$4:$V$3183,0)),"")</f>
        <v/>
      </c>
      <c r="B2356">
        <f>IFERROR(INDEX($O$4:$O$3183,MATCH(SMALL($V$4:$V$3183,2353),$V$4:$V$3183,0)),"")</f>
        <v/>
      </c>
      <c r="C2356">
        <f>IFERROR(INDEX($P$4:$P$3183,MATCH(SMALL($V$4:$V$3183,2353),$V$4:$V$3183,0)),"")</f>
        <v/>
      </c>
      <c r="D2356" s="29">
        <f>IFERROR(INDEX($Q$4:$Q$3183,MATCH(SMALL($V$4:$V$3183,2353),$V$4:$V$3183,0)),"")</f>
        <v/>
      </c>
      <c r="E2356" s="29">
        <f>IFERROR(INDEX($R$4:$R$3183,MATCH(SMALL($V$4:$V$3183,2353),$V$4:$V$3183,0)),"")</f>
        <v/>
      </c>
      <c r="F2356">
        <f>IFERROR(INDEX($S$4:$S$3183,MATCH(SMALL($V$4:$V$3183,2353),$V$4:$V$3183,0)),"")</f>
        <v/>
      </c>
      <c r="I2356" s="29">
        <f>IF($B2356="","",IFERROR(INDEX($U$4:$U$3183,MATCH(SMALL($V$4:$V$3183,2353),$V$4:$V$3183,0)),""))</f>
        <v/>
      </c>
      <c r="J2356">
        <f>IF($B2356="","",IF($D2356&gt;$F$2,"À venir",IF($E2356&lt;$D$2,"Passé","Dans la période")))</f>
        <v/>
      </c>
      <c r="K2356">
        <f>IF(OR($B2356="",NOT(ISNUMBER($D2356))),"",IF(AND($E2356&lt;$D$2,$G2356&lt;&gt;"X",$F2356&lt;&gt;"Réalisé",$F2356&lt;&gt;"Clôturé"),"RETARD",""))</f>
        <v/>
      </c>
      <c r="L2356">
        <f>IF(OR($B2356="",NOT(ISNUMBER($D2356))),"",IF(AND($D2356&gt;=$D$2,$D2356&lt;=$H$2,$G2356&lt;&gt;"X",$F2356&lt;&gt;"Réalisé",$F2356&lt;&gt;"Clôturé"),"≤ 7 j",""))</f>
        <v/>
      </c>
      <c r="M2356" s="29">
        <f>IF($B2356="","",IFERROR(INDEX($T$4:$T$3183,MATCH(SMALL($V$4:$V$3183,2353),$V$4:$V$3183,0)),""))</f>
        <v/>
      </c>
      <c r="O2356">
        <f>IF(INDEX(Suivi!$B:$B,2401)="","",INDEX(Suivi!$B:$B,2401))</f>
        <v/>
      </c>
      <c r="P2356">
        <f>IF($O2356="","",IF(INDEX(Suivi!$D:$D,2401)="",INDEX(Suivi!$C:$C,2401),INDEX(Suivi!$D:$D,2401)))</f>
        <v/>
      </c>
      <c r="Q2356">
        <f>IF($O2356="","",INDEX(Suivi!$E:$E,2401))</f>
        <v/>
      </c>
      <c r="R2356">
        <f>IF($O2356="","",INDEX(Suivi!$F:$F,2401))</f>
        <v/>
      </c>
      <c r="S2356">
        <f>IF($O2356="","",INDEX(Suivi!$G:$G,2401))</f>
        <v/>
      </c>
      <c r="T2356">
        <f>IF($O2356="","",IF(INDEX(Dossiers!$F$4:$F$63,45)="","",INDEX(Dossiers!$F$4:$F$63,45)))</f>
        <v/>
      </c>
      <c r="U2356">
        <f>IF($O2356="","",IF(INDEX(Dossiers!$G$4:$G$63,45)="","",INDEX(Dossiers!$G$4:$G$63,45)))</f>
        <v/>
      </c>
      <c r="V2356">
        <f>IF(OR($O2356="",NOT(ISNUMBER($Q2356))),"",$Q2356*1000000+2356)</f>
        <v/>
      </c>
      <c r="W2356" s="29">
        <f>IF($B2356="","",IFERROR(INDEX($U$4:$U$3183,MATCH(SMALL($V$4:$V$3183,2353),$V$4:$V$3183,0)),""))</f>
        <v/>
      </c>
    </row>
    <row r="2357">
      <c r="A2357">
        <f>IFERROR(INDEX($N$4:$N$3183,MATCH(SMALL($V$4:$V$3183,2354),$V$4:$V$3183,0)),"")</f>
        <v/>
      </c>
      <c r="B2357">
        <f>IFERROR(INDEX($O$4:$O$3183,MATCH(SMALL($V$4:$V$3183,2354),$V$4:$V$3183,0)),"")</f>
        <v/>
      </c>
      <c r="C2357">
        <f>IFERROR(INDEX($P$4:$P$3183,MATCH(SMALL($V$4:$V$3183,2354),$V$4:$V$3183,0)),"")</f>
        <v/>
      </c>
      <c r="D2357" s="29">
        <f>IFERROR(INDEX($Q$4:$Q$3183,MATCH(SMALL($V$4:$V$3183,2354),$V$4:$V$3183,0)),"")</f>
        <v/>
      </c>
      <c r="E2357" s="29">
        <f>IFERROR(INDEX($R$4:$R$3183,MATCH(SMALL($V$4:$V$3183,2354),$V$4:$V$3183,0)),"")</f>
        <v/>
      </c>
      <c r="F2357">
        <f>IFERROR(INDEX($S$4:$S$3183,MATCH(SMALL($V$4:$V$3183,2354),$V$4:$V$3183,0)),"")</f>
        <v/>
      </c>
      <c r="I2357" s="29">
        <f>IF($B2357="","",IFERROR(INDEX($U$4:$U$3183,MATCH(SMALL($V$4:$V$3183,2354),$V$4:$V$3183,0)),""))</f>
        <v/>
      </c>
      <c r="J2357">
        <f>IF($B2357="","",IF($D2357&gt;$F$2,"À venir",IF($E2357&lt;$D$2,"Passé","Dans la période")))</f>
        <v/>
      </c>
      <c r="K2357">
        <f>IF(OR($B2357="",NOT(ISNUMBER($D2357))),"",IF(AND($E2357&lt;$D$2,$G2357&lt;&gt;"X",$F2357&lt;&gt;"Réalisé",$F2357&lt;&gt;"Clôturé"),"RETARD",""))</f>
        <v/>
      </c>
      <c r="L2357">
        <f>IF(OR($B2357="",NOT(ISNUMBER($D2357))),"",IF(AND($D2357&gt;=$D$2,$D2357&lt;=$H$2,$G2357&lt;&gt;"X",$F2357&lt;&gt;"Réalisé",$F2357&lt;&gt;"Clôturé"),"≤ 7 j",""))</f>
        <v/>
      </c>
      <c r="M2357" s="29">
        <f>IF($B2357="","",IFERROR(INDEX($T$4:$T$3183,MATCH(SMALL($V$4:$V$3183,2354),$V$4:$V$3183,0)),""))</f>
        <v/>
      </c>
      <c r="O2357">
        <f>IF(INDEX(Suivi!$B:$B,2402)="","",INDEX(Suivi!$B:$B,2402))</f>
        <v/>
      </c>
      <c r="P2357">
        <f>IF($O2357="","",IF(INDEX(Suivi!$D:$D,2402)="",INDEX(Suivi!$C:$C,2402),INDEX(Suivi!$D:$D,2402)))</f>
        <v/>
      </c>
      <c r="Q2357">
        <f>IF($O2357="","",INDEX(Suivi!$E:$E,2402))</f>
        <v/>
      </c>
      <c r="R2357">
        <f>IF($O2357="","",INDEX(Suivi!$F:$F,2402))</f>
        <v/>
      </c>
      <c r="S2357">
        <f>IF($O2357="","",INDEX(Suivi!$G:$G,2402))</f>
        <v/>
      </c>
      <c r="T2357">
        <f>IF($O2357="","",IF(INDEX(Dossiers!$F$4:$F$63,45)="","",INDEX(Dossiers!$F$4:$F$63,45)))</f>
        <v/>
      </c>
      <c r="U2357">
        <f>IF($O2357="","",IF(INDEX(Dossiers!$G$4:$G$63,45)="","",INDEX(Dossiers!$G$4:$G$63,45)))</f>
        <v/>
      </c>
      <c r="V2357">
        <f>IF(OR($O2357="",NOT(ISNUMBER($Q2357))),"",$Q2357*1000000+2357)</f>
        <v/>
      </c>
      <c r="W2357" s="29">
        <f>IF($B2357="","",IFERROR(INDEX($U$4:$U$3183,MATCH(SMALL($V$4:$V$3183,2354),$V$4:$V$3183,0)),""))</f>
        <v/>
      </c>
    </row>
    <row r="2358">
      <c r="A2358">
        <f>IFERROR(INDEX($N$4:$N$3183,MATCH(SMALL($V$4:$V$3183,2355),$V$4:$V$3183,0)),"")</f>
        <v/>
      </c>
      <c r="B2358">
        <f>IFERROR(INDEX($O$4:$O$3183,MATCH(SMALL($V$4:$V$3183,2355),$V$4:$V$3183,0)),"")</f>
        <v/>
      </c>
      <c r="C2358">
        <f>IFERROR(INDEX($P$4:$P$3183,MATCH(SMALL($V$4:$V$3183,2355),$V$4:$V$3183,0)),"")</f>
        <v/>
      </c>
      <c r="D2358" s="29">
        <f>IFERROR(INDEX($Q$4:$Q$3183,MATCH(SMALL($V$4:$V$3183,2355),$V$4:$V$3183,0)),"")</f>
        <v/>
      </c>
      <c r="E2358" s="29">
        <f>IFERROR(INDEX($R$4:$R$3183,MATCH(SMALL($V$4:$V$3183,2355),$V$4:$V$3183,0)),"")</f>
        <v/>
      </c>
      <c r="F2358">
        <f>IFERROR(INDEX($S$4:$S$3183,MATCH(SMALL($V$4:$V$3183,2355),$V$4:$V$3183,0)),"")</f>
        <v/>
      </c>
      <c r="I2358" s="29">
        <f>IF($B2358="","",IFERROR(INDEX($U$4:$U$3183,MATCH(SMALL($V$4:$V$3183,2355),$V$4:$V$3183,0)),""))</f>
        <v/>
      </c>
      <c r="J2358">
        <f>IF($B2358="","",IF($D2358&gt;$F$2,"À venir",IF($E2358&lt;$D$2,"Passé","Dans la période")))</f>
        <v/>
      </c>
      <c r="K2358">
        <f>IF(OR($B2358="",NOT(ISNUMBER($D2358))),"",IF(AND($E2358&lt;$D$2,$G2358&lt;&gt;"X",$F2358&lt;&gt;"Réalisé",$F2358&lt;&gt;"Clôturé"),"RETARD",""))</f>
        <v/>
      </c>
      <c r="L2358">
        <f>IF(OR($B2358="",NOT(ISNUMBER($D2358))),"",IF(AND($D2358&gt;=$D$2,$D2358&lt;=$H$2,$G2358&lt;&gt;"X",$F2358&lt;&gt;"Réalisé",$F2358&lt;&gt;"Clôturé"),"≤ 7 j",""))</f>
        <v/>
      </c>
      <c r="M2358" s="29">
        <f>IF($B2358="","",IFERROR(INDEX($T$4:$T$3183,MATCH(SMALL($V$4:$V$3183,2355),$V$4:$V$3183,0)),""))</f>
        <v/>
      </c>
      <c r="O2358">
        <f>IF(INDEX(Suivi!$B:$B,2403)="","",INDEX(Suivi!$B:$B,2403))</f>
        <v/>
      </c>
      <c r="P2358">
        <f>IF($O2358="","",IF(INDEX(Suivi!$D:$D,2403)="",INDEX(Suivi!$C:$C,2403),INDEX(Suivi!$D:$D,2403)))</f>
        <v/>
      </c>
      <c r="Q2358">
        <f>IF($O2358="","",INDEX(Suivi!$E:$E,2403))</f>
        <v/>
      </c>
      <c r="R2358">
        <f>IF($O2358="","",INDEX(Suivi!$F:$F,2403))</f>
        <v/>
      </c>
      <c r="S2358">
        <f>IF($O2358="","",INDEX(Suivi!$G:$G,2403))</f>
        <v/>
      </c>
      <c r="T2358">
        <f>IF($O2358="","",IF(INDEX(Dossiers!$F$4:$F$63,45)="","",INDEX(Dossiers!$F$4:$F$63,45)))</f>
        <v/>
      </c>
      <c r="U2358">
        <f>IF($O2358="","",IF(INDEX(Dossiers!$G$4:$G$63,45)="","",INDEX(Dossiers!$G$4:$G$63,45)))</f>
        <v/>
      </c>
      <c r="V2358">
        <f>IF(OR($O2358="",NOT(ISNUMBER($Q2358))),"",$Q2358*1000000+2358)</f>
        <v/>
      </c>
      <c r="W2358" s="29">
        <f>IF($B2358="","",IFERROR(INDEX($U$4:$U$3183,MATCH(SMALL($V$4:$V$3183,2355),$V$4:$V$3183,0)),""))</f>
        <v/>
      </c>
    </row>
    <row r="2359">
      <c r="A2359">
        <f>IFERROR(INDEX($N$4:$N$3183,MATCH(SMALL($V$4:$V$3183,2356),$V$4:$V$3183,0)),"")</f>
        <v/>
      </c>
      <c r="B2359">
        <f>IFERROR(INDEX($O$4:$O$3183,MATCH(SMALL($V$4:$V$3183,2356),$V$4:$V$3183,0)),"")</f>
        <v/>
      </c>
      <c r="C2359">
        <f>IFERROR(INDEX($P$4:$P$3183,MATCH(SMALL($V$4:$V$3183,2356),$V$4:$V$3183,0)),"")</f>
        <v/>
      </c>
      <c r="D2359" s="29">
        <f>IFERROR(INDEX($Q$4:$Q$3183,MATCH(SMALL($V$4:$V$3183,2356),$V$4:$V$3183,0)),"")</f>
        <v/>
      </c>
      <c r="E2359" s="29">
        <f>IFERROR(INDEX($R$4:$R$3183,MATCH(SMALL($V$4:$V$3183,2356),$V$4:$V$3183,0)),"")</f>
        <v/>
      </c>
      <c r="F2359">
        <f>IFERROR(INDEX($S$4:$S$3183,MATCH(SMALL($V$4:$V$3183,2356),$V$4:$V$3183,0)),"")</f>
        <v/>
      </c>
      <c r="I2359" s="29">
        <f>IF($B2359="","",IFERROR(INDEX($U$4:$U$3183,MATCH(SMALL($V$4:$V$3183,2356),$V$4:$V$3183,0)),""))</f>
        <v/>
      </c>
      <c r="J2359">
        <f>IF($B2359="","",IF($D2359&gt;$F$2,"À venir",IF($E2359&lt;$D$2,"Passé","Dans la période")))</f>
        <v/>
      </c>
      <c r="K2359">
        <f>IF(OR($B2359="",NOT(ISNUMBER($D2359))),"",IF(AND($E2359&lt;$D$2,$G2359&lt;&gt;"X",$F2359&lt;&gt;"Réalisé",$F2359&lt;&gt;"Clôturé"),"RETARD",""))</f>
        <v/>
      </c>
      <c r="L2359">
        <f>IF(OR($B2359="",NOT(ISNUMBER($D2359))),"",IF(AND($D2359&gt;=$D$2,$D2359&lt;=$H$2,$G2359&lt;&gt;"X",$F2359&lt;&gt;"Réalisé",$F2359&lt;&gt;"Clôturé"),"≤ 7 j",""))</f>
        <v/>
      </c>
      <c r="M2359" s="29">
        <f>IF($B2359="","",IFERROR(INDEX($T$4:$T$3183,MATCH(SMALL($V$4:$V$3183,2356),$V$4:$V$3183,0)),""))</f>
        <v/>
      </c>
      <c r="O2359">
        <f>IF(INDEX(Suivi!$B:$B,2404)="","",INDEX(Suivi!$B:$B,2404))</f>
        <v/>
      </c>
      <c r="P2359">
        <f>IF($O2359="","",IF(INDEX(Suivi!$D:$D,2404)="",INDEX(Suivi!$C:$C,2404),INDEX(Suivi!$D:$D,2404)))</f>
        <v/>
      </c>
      <c r="Q2359">
        <f>IF($O2359="","",INDEX(Suivi!$E:$E,2404))</f>
        <v/>
      </c>
      <c r="R2359">
        <f>IF($O2359="","",INDEX(Suivi!$F:$F,2404))</f>
        <v/>
      </c>
      <c r="S2359">
        <f>IF($O2359="","",INDEX(Suivi!$G:$G,2404))</f>
        <v/>
      </c>
      <c r="T2359">
        <f>IF($O2359="","",IF(INDEX(Dossiers!$F$4:$F$63,45)="","",INDEX(Dossiers!$F$4:$F$63,45)))</f>
        <v/>
      </c>
      <c r="U2359">
        <f>IF($O2359="","",IF(INDEX(Dossiers!$G$4:$G$63,45)="","",INDEX(Dossiers!$G$4:$G$63,45)))</f>
        <v/>
      </c>
      <c r="V2359">
        <f>IF(OR($O2359="",NOT(ISNUMBER($Q2359))),"",$Q2359*1000000+2359)</f>
        <v/>
      </c>
      <c r="W2359" s="29">
        <f>IF($B2359="","",IFERROR(INDEX($U$4:$U$3183,MATCH(SMALL($V$4:$V$3183,2356),$V$4:$V$3183,0)),""))</f>
        <v/>
      </c>
    </row>
    <row r="2360">
      <c r="A2360">
        <f>IFERROR(INDEX($N$4:$N$3183,MATCH(SMALL($V$4:$V$3183,2357),$V$4:$V$3183,0)),"")</f>
        <v/>
      </c>
      <c r="B2360">
        <f>IFERROR(INDEX($O$4:$O$3183,MATCH(SMALL($V$4:$V$3183,2357),$V$4:$V$3183,0)),"")</f>
        <v/>
      </c>
      <c r="C2360">
        <f>IFERROR(INDEX($P$4:$P$3183,MATCH(SMALL($V$4:$V$3183,2357),$V$4:$V$3183,0)),"")</f>
        <v/>
      </c>
      <c r="D2360" s="29">
        <f>IFERROR(INDEX($Q$4:$Q$3183,MATCH(SMALL($V$4:$V$3183,2357),$V$4:$V$3183,0)),"")</f>
        <v/>
      </c>
      <c r="E2360" s="29">
        <f>IFERROR(INDEX($R$4:$R$3183,MATCH(SMALL($V$4:$V$3183,2357),$V$4:$V$3183,0)),"")</f>
        <v/>
      </c>
      <c r="F2360">
        <f>IFERROR(INDEX($S$4:$S$3183,MATCH(SMALL($V$4:$V$3183,2357),$V$4:$V$3183,0)),"")</f>
        <v/>
      </c>
      <c r="I2360" s="29">
        <f>IF($B2360="","",IFERROR(INDEX($U$4:$U$3183,MATCH(SMALL($V$4:$V$3183,2357),$V$4:$V$3183,0)),""))</f>
        <v/>
      </c>
      <c r="J2360">
        <f>IF($B2360="","",IF($D2360&gt;$F$2,"À venir",IF($E2360&lt;$D$2,"Passé","Dans la période")))</f>
        <v/>
      </c>
      <c r="K2360">
        <f>IF(OR($B2360="",NOT(ISNUMBER($D2360))),"",IF(AND($E2360&lt;$D$2,$G2360&lt;&gt;"X",$F2360&lt;&gt;"Réalisé",$F2360&lt;&gt;"Clôturé"),"RETARD",""))</f>
        <v/>
      </c>
      <c r="L2360">
        <f>IF(OR($B2360="",NOT(ISNUMBER($D2360))),"",IF(AND($D2360&gt;=$D$2,$D2360&lt;=$H$2,$G2360&lt;&gt;"X",$F2360&lt;&gt;"Réalisé",$F2360&lt;&gt;"Clôturé"),"≤ 7 j",""))</f>
        <v/>
      </c>
      <c r="M2360" s="29">
        <f>IF($B2360="","",IFERROR(INDEX($T$4:$T$3183,MATCH(SMALL($V$4:$V$3183,2357),$V$4:$V$3183,0)),""))</f>
        <v/>
      </c>
      <c r="O2360">
        <f>IF(INDEX(Suivi!$B:$B,2405)="","",INDEX(Suivi!$B:$B,2405))</f>
        <v/>
      </c>
      <c r="P2360">
        <f>IF($O2360="","",IF(INDEX(Suivi!$D:$D,2405)="",INDEX(Suivi!$C:$C,2405),INDEX(Suivi!$D:$D,2405)))</f>
        <v/>
      </c>
      <c r="Q2360">
        <f>IF($O2360="","",INDEX(Suivi!$E:$E,2405))</f>
        <v/>
      </c>
      <c r="R2360">
        <f>IF($O2360="","",INDEX(Suivi!$F:$F,2405))</f>
        <v/>
      </c>
      <c r="S2360">
        <f>IF($O2360="","",INDEX(Suivi!$G:$G,2405))</f>
        <v/>
      </c>
      <c r="T2360">
        <f>IF($O2360="","",IF(INDEX(Dossiers!$F$4:$F$63,45)="","",INDEX(Dossiers!$F$4:$F$63,45)))</f>
        <v/>
      </c>
      <c r="U2360">
        <f>IF($O2360="","",IF(INDEX(Dossiers!$G$4:$G$63,45)="","",INDEX(Dossiers!$G$4:$G$63,45)))</f>
        <v/>
      </c>
      <c r="V2360">
        <f>IF(OR($O2360="",NOT(ISNUMBER($Q2360))),"",$Q2360*1000000+2360)</f>
        <v/>
      </c>
      <c r="W2360" s="29">
        <f>IF($B2360="","",IFERROR(INDEX($U$4:$U$3183,MATCH(SMALL($V$4:$V$3183,2357),$V$4:$V$3183,0)),""))</f>
        <v/>
      </c>
    </row>
    <row r="2361">
      <c r="A2361">
        <f>IFERROR(INDEX($N$4:$N$3183,MATCH(SMALL($V$4:$V$3183,2358),$V$4:$V$3183,0)),"")</f>
        <v/>
      </c>
      <c r="B2361">
        <f>IFERROR(INDEX($O$4:$O$3183,MATCH(SMALL($V$4:$V$3183,2358),$V$4:$V$3183,0)),"")</f>
        <v/>
      </c>
      <c r="C2361">
        <f>IFERROR(INDEX($P$4:$P$3183,MATCH(SMALL($V$4:$V$3183,2358),$V$4:$V$3183,0)),"")</f>
        <v/>
      </c>
      <c r="D2361" s="29">
        <f>IFERROR(INDEX($Q$4:$Q$3183,MATCH(SMALL($V$4:$V$3183,2358),$V$4:$V$3183,0)),"")</f>
        <v/>
      </c>
      <c r="E2361" s="29">
        <f>IFERROR(INDEX($R$4:$R$3183,MATCH(SMALL($V$4:$V$3183,2358),$V$4:$V$3183,0)),"")</f>
        <v/>
      </c>
      <c r="F2361">
        <f>IFERROR(INDEX($S$4:$S$3183,MATCH(SMALL($V$4:$V$3183,2358),$V$4:$V$3183,0)),"")</f>
        <v/>
      </c>
      <c r="I2361" s="29">
        <f>IF($B2361="","",IFERROR(INDEX($U$4:$U$3183,MATCH(SMALL($V$4:$V$3183,2358),$V$4:$V$3183,0)),""))</f>
        <v/>
      </c>
      <c r="J2361">
        <f>IF($B2361="","",IF($D2361&gt;$F$2,"À venir",IF($E2361&lt;$D$2,"Passé","Dans la période")))</f>
        <v/>
      </c>
      <c r="K2361">
        <f>IF(OR($B2361="",NOT(ISNUMBER($D2361))),"",IF(AND($E2361&lt;$D$2,$G2361&lt;&gt;"X",$F2361&lt;&gt;"Réalisé",$F2361&lt;&gt;"Clôturé"),"RETARD",""))</f>
        <v/>
      </c>
      <c r="L2361">
        <f>IF(OR($B2361="",NOT(ISNUMBER($D2361))),"",IF(AND($D2361&gt;=$D$2,$D2361&lt;=$H$2,$G2361&lt;&gt;"X",$F2361&lt;&gt;"Réalisé",$F2361&lt;&gt;"Clôturé"),"≤ 7 j",""))</f>
        <v/>
      </c>
      <c r="M2361" s="29">
        <f>IF($B2361="","",IFERROR(INDEX($T$4:$T$3183,MATCH(SMALL($V$4:$V$3183,2358),$V$4:$V$3183,0)),""))</f>
        <v/>
      </c>
      <c r="O2361">
        <f>IF(INDEX(Suivi!$B:$B,2406)="","",INDEX(Suivi!$B:$B,2406))</f>
        <v/>
      </c>
      <c r="P2361">
        <f>IF($O2361="","",IF(INDEX(Suivi!$D:$D,2406)="",INDEX(Suivi!$C:$C,2406),INDEX(Suivi!$D:$D,2406)))</f>
        <v/>
      </c>
      <c r="Q2361">
        <f>IF($O2361="","",INDEX(Suivi!$E:$E,2406))</f>
        <v/>
      </c>
      <c r="R2361">
        <f>IF($O2361="","",INDEX(Suivi!$F:$F,2406))</f>
        <v/>
      </c>
      <c r="S2361">
        <f>IF($O2361="","",INDEX(Suivi!$G:$G,2406))</f>
        <v/>
      </c>
      <c r="T2361">
        <f>IF($O2361="","",IF(INDEX(Dossiers!$F$4:$F$63,45)="","",INDEX(Dossiers!$F$4:$F$63,45)))</f>
        <v/>
      </c>
      <c r="U2361">
        <f>IF($O2361="","",IF(INDEX(Dossiers!$G$4:$G$63,45)="","",INDEX(Dossiers!$G$4:$G$63,45)))</f>
        <v/>
      </c>
      <c r="V2361">
        <f>IF(OR($O2361="",NOT(ISNUMBER($Q2361))),"",$Q2361*1000000+2361)</f>
        <v/>
      </c>
      <c r="W2361" s="29">
        <f>IF($B2361="","",IFERROR(INDEX($U$4:$U$3183,MATCH(SMALL($V$4:$V$3183,2358),$V$4:$V$3183,0)),""))</f>
        <v/>
      </c>
    </row>
    <row r="2362">
      <c r="A2362">
        <f>IFERROR(INDEX($N$4:$N$3183,MATCH(SMALL($V$4:$V$3183,2359),$V$4:$V$3183,0)),"")</f>
        <v/>
      </c>
      <c r="B2362">
        <f>IFERROR(INDEX($O$4:$O$3183,MATCH(SMALL($V$4:$V$3183,2359),$V$4:$V$3183,0)),"")</f>
        <v/>
      </c>
      <c r="C2362">
        <f>IFERROR(INDEX($P$4:$P$3183,MATCH(SMALL($V$4:$V$3183,2359),$V$4:$V$3183,0)),"")</f>
        <v/>
      </c>
      <c r="D2362" s="29">
        <f>IFERROR(INDEX($Q$4:$Q$3183,MATCH(SMALL($V$4:$V$3183,2359),$V$4:$V$3183,0)),"")</f>
        <v/>
      </c>
      <c r="E2362" s="29">
        <f>IFERROR(INDEX($R$4:$R$3183,MATCH(SMALL($V$4:$V$3183,2359),$V$4:$V$3183,0)),"")</f>
        <v/>
      </c>
      <c r="F2362">
        <f>IFERROR(INDEX($S$4:$S$3183,MATCH(SMALL($V$4:$V$3183,2359),$V$4:$V$3183,0)),"")</f>
        <v/>
      </c>
      <c r="I2362" s="29">
        <f>IF($B2362="","",IFERROR(INDEX($U$4:$U$3183,MATCH(SMALL($V$4:$V$3183,2359),$V$4:$V$3183,0)),""))</f>
        <v/>
      </c>
      <c r="J2362">
        <f>IF($B2362="","",IF($D2362&gt;$F$2,"À venir",IF($E2362&lt;$D$2,"Passé","Dans la période")))</f>
        <v/>
      </c>
      <c r="K2362">
        <f>IF(OR($B2362="",NOT(ISNUMBER($D2362))),"",IF(AND($E2362&lt;$D$2,$G2362&lt;&gt;"X",$F2362&lt;&gt;"Réalisé",$F2362&lt;&gt;"Clôturé"),"RETARD",""))</f>
        <v/>
      </c>
      <c r="L2362">
        <f>IF(OR($B2362="",NOT(ISNUMBER($D2362))),"",IF(AND($D2362&gt;=$D$2,$D2362&lt;=$H$2,$G2362&lt;&gt;"X",$F2362&lt;&gt;"Réalisé",$F2362&lt;&gt;"Clôturé"),"≤ 7 j",""))</f>
        <v/>
      </c>
      <c r="M2362" s="29">
        <f>IF($B2362="","",IFERROR(INDEX($T$4:$T$3183,MATCH(SMALL($V$4:$V$3183,2359),$V$4:$V$3183,0)),""))</f>
        <v/>
      </c>
      <c r="O2362">
        <f>IF(INDEX(Suivi!$B:$B,2407)="","",INDEX(Suivi!$B:$B,2407))</f>
        <v/>
      </c>
      <c r="P2362">
        <f>IF($O2362="","",IF(INDEX(Suivi!$D:$D,2407)="",INDEX(Suivi!$C:$C,2407),INDEX(Suivi!$D:$D,2407)))</f>
        <v/>
      </c>
      <c r="Q2362">
        <f>IF($O2362="","",INDEX(Suivi!$E:$E,2407))</f>
        <v/>
      </c>
      <c r="R2362">
        <f>IF($O2362="","",INDEX(Suivi!$F:$F,2407))</f>
        <v/>
      </c>
      <c r="S2362">
        <f>IF($O2362="","",INDEX(Suivi!$G:$G,2407))</f>
        <v/>
      </c>
      <c r="T2362">
        <f>IF($O2362="","",IF(INDEX(Dossiers!$F$4:$F$63,45)="","",INDEX(Dossiers!$F$4:$F$63,45)))</f>
        <v/>
      </c>
      <c r="U2362">
        <f>IF($O2362="","",IF(INDEX(Dossiers!$G$4:$G$63,45)="","",INDEX(Dossiers!$G$4:$G$63,45)))</f>
        <v/>
      </c>
      <c r="V2362">
        <f>IF(OR($O2362="",NOT(ISNUMBER($Q2362))),"",$Q2362*1000000+2362)</f>
        <v/>
      </c>
      <c r="W2362" s="29">
        <f>IF($B2362="","",IFERROR(INDEX($U$4:$U$3183,MATCH(SMALL($V$4:$V$3183,2359),$V$4:$V$3183,0)),""))</f>
        <v/>
      </c>
    </row>
    <row r="2363">
      <c r="A2363">
        <f>IFERROR(INDEX($N$4:$N$3183,MATCH(SMALL($V$4:$V$3183,2360),$V$4:$V$3183,0)),"")</f>
        <v/>
      </c>
      <c r="B2363">
        <f>IFERROR(INDEX($O$4:$O$3183,MATCH(SMALL($V$4:$V$3183,2360),$V$4:$V$3183,0)),"")</f>
        <v/>
      </c>
      <c r="C2363">
        <f>IFERROR(INDEX($P$4:$P$3183,MATCH(SMALL($V$4:$V$3183,2360),$V$4:$V$3183,0)),"")</f>
        <v/>
      </c>
      <c r="D2363" s="29">
        <f>IFERROR(INDEX($Q$4:$Q$3183,MATCH(SMALL($V$4:$V$3183,2360),$V$4:$V$3183,0)),"")</f>
        <v/>
      </c>
      <c r="E2363" s="29">
        <f>IFERROR(INDEX($R$4:$R$3183,MATCH(SMALL($V$4:$V$3183,2360),$V$4:$V$3183,0)),"")</f>
        <v/>
      </c>
      <c r="F2363">
        <f>IFERROR(INDEX($S$4:$S$3183,MATCH(SMALL($V$4:$V$3183,2360),$V$4:$V$3183,0)),"")</f>
        <v/>
      </c>
      <c r="I2363" s="29">
        <f>IF($B2363="","",IFERROR(INDEX($U$4:$U$3183,MATCH(SMALL($V$4:$V$3183,2360),$V$4:$V$3183,0)),""))</f>
        <v/>
      </c>
      <c r="J2363">
        <f>IF($B2363="","",IF($D2363&gt;$F$2,"À venir",IF($E2363&lt;$D$2,"Passé","Dans la période")))</f>
        <v/>
      </c>
      <c r="K2363">
        <f>IF(OR($B2363="",NOT(ISNUMBER($D2363))),"",IF(AND($E2363&lt;$D$2,$G2363&lt;&gt;"X",$F2363&lt;&gt;"Réalisé",$F2363&lt;&gt;"Clôturé"),"RETARD",""))</f>
        <v/>
      </c>
      <c r="L2363">
        <f>IF(OR($B2363="",NOT(ISNUMBER($D2363))),"",IF(AND($D2363&gt;=$D$2,$D2363&lt;=$H$2,$G2363&lt;&gt;"X",$F2363&lt;&gt;"Réalisé",$F2363&lt;&gt;"Clôturé"),"≤ 7 j",""))</f>
        <v/>
      </c>
      <c r="M2363" s="29">
        <f>IF($B2363="","",IFERROR(INDEX($T$4:$T$3183,MATCH(SMALL($V$4:$V$3183,2360),$V$4:$V$3183,0)),""))</f>
        <v/>
      </c>
      <c r="O2363">
        <f>IF(INDEX(Suivi!$B:$B,2408)="","",INDEX(Suivi!$B:$B,2408))</f>
        <v/>
      </c>
      <c r="P2363">
        <f>IF($O2363="","",IF(INDEX(Suivi!$D:$D,2408)="",INDEX(Suivi!$C:$C,2408),INDEX(Suivi!$D:$D,2408)))</f>
        <v/>
      </c>
      <c r="Q2363">
        <f>IF($O2363="","",INDEX(Suivi!$E:$E,2408))</f>
        <v/>
      </c>
      <c r="R2363">
        <f>IF($O2363="","",INDEX(Suivi!$F:$F,2408))</f>
        <v/>
      </c>
      <c r="S2363">
        <f>IF($O2363="","",INDEX(Suivi!$G:$G,2408))</f>
        <v/>
      </c>
      <c r="T2363">
        <f>IF($O2363="","",IF(INDEX(Dossiers!$F$4:$F$63,45)="","",INDEX(Dossiers!$F$4:$F$63,45)))</f>
        <v/>
      </c>
      <c r="U2363">
        <f>IF($O2363="","",IF(INDEX(Dossiers!$G$4:$G$63,45)="","",INDEX(Dossiers!$G$4:$G$63,45)))</f>
        <v/>
      </c>
      <c r="V2363">
        <f>IF(OR($O2363="",NOT(ISNUMBER($Q2363))),"",$Q2363*1000000+2363)</f>
        <v/>
      </c>
      <c r="W2363" s="29">
        <f>IF($B2363="","",IFERROR(INDEX($U$4:$U$3183,MATCH(SMALL($V$4:$V$3183,2360),$V$4:$V$3183,0)),""))</f>
        <v/>
      </c>
    </row>
    <row r="2364">
      <c r="A2364">
        <f>IFERROR(INDEX($N$4:$N$3183,MATCH(SMALL($V$4:$V$3183,2361),$V$4:$V$3183,0)),"")</f>
        <v/>
      </c>
      <c r="B2364">
        <f>IFERROR(INDEX($O$4:$O$3183,MATCH(SMALL($V$4:$V$3183,2361),$V$4:$V$3183,0)),"")</f>
        <v/>
      </c>
      <c r="C2364">
        <f>IFERROR(INDEX($P$4:$P$3183,MATCH(SMALL($V$4:$V$3183,2361),$V$4:$V$3183,0)),"")</f>
        <v/>
      </c>
      <c r="D2364" s="29">
        <f>IFERROR(INDEX($Q$4:$Q$3183,MATCH(SMALL($V$4:$V$3183,2361),$V$4:$V$3183,0)),"")</f>
        <v/>
      </c>
      <c r="E2364" s="29">
        <f>IFERROR(INDEX($R$4:$R$3183,MATCH(SMALL($V$4:$V$3183,2361),$V$4:$V$3183,0)),"")</f>
        <v/>
      </c>
      <c r="F2364">
        <f>IFERROR(INDEX($S$4:$S$3183,MATCH(SMALL($V$4:$V$3183,2361),$V$4:$V$3183,0)),"")</f>
        <v/>
      </c>
      <c r="I2364" s="29">
        <f>IF($B2364="","",IFERROR(INDEX($U$4:$U$3183,MATCH(SMALL($V$4:$V$3183,2361),$V$4:$V$3183,0)),""))</f>
        <v/>
      </c>
      <c r="J2364">
        <f>IF($B2364="","",IF($D2364&gt;$F$2,"À venir",IF($E2364&lt;$D$2,"Passé","Dans la période")))</f>
        <v/>
      </c>
      <c r="K2364">
        <f>IF(OR($B2364="",NOT(ISNUMBER($D2364))),"",IF(AND($E2364&lt;$D$2,$G2364&lt;&gt;"X",$F2364&lt;&gt;"Réalisé",$F2364&lt;&gt;"Clôturé"),"RETARD",""))</f>
        <v/>
      </c>
      <c r="L2364">
        <f>IF(OR($B2364="",NOT(ISNUMBER($D2364))),"",IF(AND($D2364&gt;=$D$2,$D2364&lt;=$H$2,$G2364&lt;&gt;"X",$F2364&lt;&gt;"Réalisé",$F2364&lt;&gt;"Clôturé"),"≤ 7 j",""))</f>
        <v/>
      </c>
      <c r="M2364" s="29">
        <f>IF($B2364="","",IFERROR(INDEX($T$4:$T$3183,MATCH(SMALL($V$4:$V$3183,2361),$V$4:$V$3183,0)),""))</f>
        <v/>
      </c>
      <c r="O2364">
        <f>IF(INDEX(Suivi!$B:$B,2409)="","",INDEX(Suivi!$B:$B,2409))</f>
        <v/>
      </c>
      <c r="P2364">
        <f>IF($O2364="","",IF(INDEX(Suivi!$D:$D,2409)="",INDEX(Suivi!$C:$C,2409),INDEX(Suivi!$D:$D,2409)))</f>
        <v/>
      </c>
      <c r="Q2364">
        <f>IF($O2364="","",INDEX(Suivi!$E:$E,2409))</f>
        <v/>
      </c>
      <c r="R2364">
        <f>IF($O2364="","",INDEX(Suivi!$F:$F,2409))</f>
        <v/>
      </c>
      <c r="S2364">
        <f>IF($O2364="","",INDEX(Suivi!$G:$G,2409))</f>
        <v/>
      </c>
      <c r="T2364">
        <f>IF($O2364="","",IF(INDEX(Dossiers!$F$4:$F$63,45)="","",INDEX(Dossiers!$F$4:$F$63,45)))</f>
        <v/>
      </c>
      <c r="U2364">
        <f>IF($O2364="","",IF(INDEX(Dossiers!$G$4:$G$63,45)="","",INDEX(Dossiers!$G$4:$G$63,45)))</f>
        <v/>
      </c>
      <c r="V2364">
        <f>IF(OR($O2364="",NOT(ISNUMBER($Q2364))),"",$Q2364*1000000+2364)</f>
        <v/>
      </c>
      <c r="W2364" s="29">
        <f>IF($B2364="","",IFERROR(INDEX($U$4:$U$3183,MATCH(SMALL($V$4:$V$3183,2361),$V$4:$V$3183,0)),""))</f>
        <v/>
      </c>
    </row>
    <row r="2365">
      <c r="A2365">
        <f>IFERROR(INDEX($N$4:$N$3183,MATCH(SMALL($V$4:$V$3183,2362),$V$4:$V$3183,0)),"")</f>
        <v/>
      </c>
      <c r="B2365">
        <f>IFERROR(INDEX($O$4:$O$3183,MATCH(SMALL($V$4:$V$3183,2362),$V$4:$V$3183,0)),"")</f>
        <v/>
      </c>
      <c r="C2365">
        <f>IFERROR(INDEX($P$4:$P$3183,MATCH(SMALL($V$4:$V$3183,2362),$V$4:$V$3183,0)),"")</f>
        <v/>
      </c>
      <c r="D2365" s="29">
        <f>IFERROR(INDEX($Q$4:$Q$3183,MATCH(SMALL($V$4:$V$3183,2362),$V$4:$V$3183,0)),"")</f>
        <v/>
      </c>
      <c r="E2365" s="29">
        <f>IFERROR(INDEX($R$4:$R$3183,MATCH(SMALL($V$4:$V$3183,2362),$V$4:$V$3183,0)),"")</f>
        <v/>
      </c>
      <c r="F2365">
        <f>IFERROR(INDEX($S$4:$S$3183,MATCH(SMALL($V$4:$V$3183,2362),$V$4:$V$3183,0)),"")</f>
        <v/>
      </c>
      <c r="I2365" s="29">
        <f>IF($B2365="","",IFERROR(INDEX($U$4:$U$3183,MATCH(SMALL($V$4:$V$3183,2362),$V$4:$V$3183,0)),""))</f>
        <v/>
      </c>
      <c r="J2365">
        <f>IF($B2365="","",IF($D2365&gt;$F$2,"À venir",IF($E2365&lt;$D$2,"Passé","Dans la période")))</f>
        <v/>
      </c>
      <c r="K2365">
        <f>IF(OR($B2365="",NOT(ISNUMBER($D2365))),"",IF(AND($E2365&lt;$D$2,$G2365&lt;&gt;"X",$F2365&lt;&gt;"Réalisé",$F2365&lt;&gt;"Clôturé"),"RETARD",""))</f>
        <v/>
      </c>
      <c r="L2365">
        <f>IF(OR($B2365="",NOT(ISNUMBER($D2365))),"",IF(AND($D2365&gt;=$D$2,$D2365&lt;=$H$2,$G2365&lt;&gt;"X",$F2365&lt;&gt;"Réalisé",$F2365&lt;&gt;"Clôturé"),"≤ 7 j",""))</f>
        <v/>
      </c>
      <c r="M2365" s="29">
        <f>IF($B2365="","",IFERROR(INDEX($T$4:$T$3183,MATCH(SMALL($V$4:$V$3183,2362),$V$4:$V$3183,0)),""))</f>
        <v/>
      </c>
      <c r="O2365">
        <f>IF(INDEX(Suivi!$B:$B,2410)="","",INDEX(Suivi!$B:$B,2410))</f>
        <v/>
      </c>
      <c r="P2365">
        <f>IF($O2365="","",IF(INDEX(Suivi!$D:$D,2410)="",INDEX(Suivi!$C:$C,2410),INDEX(Suivi!$D:$D,2410)))</f>
        <v/>
      </c>
      <c r="Q2365">
        <f>IF($O2365="","",INDEX(Suivi!$E:$E,2410))</f>
        <v/>
      </c>
      <c r="R2365">
        <f>IF($O2365="","",INDEX(Suivi!$F:$F,2410))</f>
        <v/>
      </c>
      <c r="S2365">
        <f>IF($O2365="","",INDEX(Suivi!$G:$G,2410))</f>
        <v/>
      </c>
      <c r="T2365">
        <f>IF($O2365="","",IF(INDEX(Dossiers!$F$4:$F$63,45)="","",INDEX(Dossiers!$F$4:$F$63,45)))</f>
        <v/>
      </c>
      <c r="U2365">
        <f>IF($O2365="","",IF(INDEX(Dossiers!$G$4:$G$63,45)="","",INDEX(Dossiers!$G$4:$G$63,45)))</f>
        <v/>
      </c>
      <c r="V2365">
        <f>IF(OR($O2365="",NOT(ISNUMBER($Q2365))),"",$Q2365*1000000+2365)</f>
        <v/>
      </c>
      <c r="W2365" s="29">
        <f>IF($B2365="","",IFERROR(INDEX($U$4:$U$3183,MATCH(SMALL($V$4:$V$3183,2362),$V$4:$V$3183,0)),""))</f>
        <v/>
      </c>
    </row>
    <row r="2366">
      <c r="A2366">
        <f>IFERROR(INDEX($N$4:$N$3183,MATCH(SMALL($V$4:$V$3183,2363),$V$4:$V$3183,0)),"")</f>
        <v/>
      </c>
      <c r="B2366">
        <f>IFERROR(INDEX($O$4:$O$3183,MATCH(SMALL($V$4:$V$3183,2363),$V$4:$V$3183,0)),"")</f>
        <v/>
      </c>
      <c r="C2366">
        <f>IFERROR(INDEX($P$4:$P$3183,MATCH(SMALL($V$4:$V$3183,2363),$V$4:$V$3183,0)),"")</f>
        <v/>
      </c>
      <c r="D2366" s="29">
        <f>IFERROR(INDEX($Q$4:$Q$3183,MATCH(SMALL($V$4:$V$3183,2363),$V$4:$V$3183,0)),"")</f>
        <v/>
      </c>
      <c r="E2366" s="29">
        <f>IFERROR(INDEX($R$4:$R$3183,MATCH(SMALL($V$4:$V$3183,2363),$V$4:$V$3183,0)),"")</f>
        <v/>
      </c>
      <c r="F2366">
        <f>IFERROR(INDEX($S$4:$S$3183,MATCH(SMALL($V$4:$V$3183,2363),$V$4:$V$3183,0)),"")</f>
        <v/>
      </c>
      <c r="I2366" s="29">
        <f>IF($B2366="","",IFERROR(INDEX($U$4:$U$3183,MATCH(SMALL($V$4:$V$3183,2363),$V$4:$V$3183,0)),""))</f>
        <v/>
      </c>
      <c r="J2366">
        <f>IF($B2366="","",IF($D2366&gt;$F$2,"À venir",IF($E2366&lt;$D$2,"Passé","Dans la période")))</f>
        <v/>
      </c>
      <c r="K2366">
        <f>IF(OR($B2366="",NOT(ISNUMBER($D2366))),"",IF(AND($E2366&lt;$D$2,$G2366&lt;&gt;"X",$F2366&lt;&gt;"Réalisé",$F2366&lt;&gt;"Clôturé"),"RETARD",""))</f>
        <v/>
      </c>
      <c r="L2366">
        <f>IF(OR($B2366="",NOT(ISNUMBER($D2366))),"",IF(AND($D2366&gt;=$D$2,$D2366&lt;=$H$2,$G2366&lt;&gt;"X",$F2366&lt;&gt;"Réalisé",$F2366&lt;&gt;"Clôturé"),"≤ 7 j",""))</f>
        <v/>
      </c>
      <c r="M2366" s="29">
        <f>IF($B2366="","",IFERROR(INDEX($T$4:$T$3183,MATCH(SMALL($V$4:$V$3183,2363),$V$4:$V$3183,0)),""))</f>
        <v/>
      </c>
      <c r="O2366">
        <f>IF(INDEX(Suivi!$B:$B,2411)="","",INDEX(Suivi!$B:$B,2411))</f>
        <v/>
      </c>
      <c r="P2366">
        <f>IF($O2366="","",IF(INDEX(Suivi!$D:$D,2411)="",INDEX(Suivi!$C:$C,2411),INDEX(Suivi!$D:$D,2411)))</f>
        <v/>
      </c>
      <c r="Q2366">
        <f>IF($O2366="","",INDEX(Suivi!$E:$E,2411))</f>
        <v/>
      </c>
      <c r="R2366">
        <f>IF($O2366="","",INDEX(Suivi!$F:$F,2411))</f>
        <v/>
      </c>
      <c r="S2366">
        <f>IF($O2366="","",INDEX(Suivi!$G:$G,2411))</f>
        <v/>
      </c>
      <c r="T2366">
        <f>IF($O2366="","",IF(INDEX(Dossiers!$F$4:$F$63,45)="","",INDEX(Dossiers!$F$4:$F$63,45)))</f>
        <v/>
      </c>
      <c r="U2366">
        <f>IF($O2366="","",IF(INDEX(Dossiers!$G$4:$G$63,45)="","",INDEX(Dossiers!$G$4:$G$63,45)))</f>
        <v/>
      </c>
      <c r="V2366">
        <f>IF(OR($O2366="",NOT(ISNUMBER($Q2366))),"",$Q2366*1000000+2366)</f>
        <v/>
      </c>
      <c r="W2366" s="29">
        <f>IF($B2366="","",IFERROR(INDEX($U$4:$U$3183,MATCH(SMALL($V$4:$V$3183,2363),$V$4:$V$3183,0)),""))</f>
        <v/>
      </c>
    </row>
    <row r="2367">
      <c r="A2367">
        <f>IFERROR(INDEX($N$4:$N$3183,MATCH(SMALL($V$4:$V$3183,2364),$V$4:$V$3183,0)),"")</f>
        <v/>
      </c>
      <c r="B2367">
        <f>IFERROR(INDEX($O$4:$O$3183,MATCH(SMALL($V$4:$V$3183,2364),$V$4:$V$3183,0)),"")</f>
        <v/>
      </c>
      <c r="C2367">
        <f>IFERROR(INDEX($P$4:$P$3183,MATCH(SMALL($V$4:$V$3183,2364),$V$4:$V$3183,0)),"")</f>
        <v/>
      </c>
      <c r="D2367" s="29">
        <f>IFERROR(INDEX($Q$4:$Q$3183,MATCH(SMALL($V$4:$V$3183,2364),$V$4:$V$3183,0)),"")</f>
        <v/>
      </c>
      <c r="E2367" s="29">
        <f>IFERROR(INDEX($R$4:$R$3183,MATCH(SMALL($V$4:$V$3183,2364),$V$4:$V$3183,0)),"")</f>
        <v/>
      </c>
      <c r="F2367">
        <f>IFERROR(INDEX($S$4:$S$3183,MATCH(SMALL($V$4:$V$3183,2364),$V$4:$V$3183,0)),"")</f>
        <v/>
      </c>
      <c r="I2367" s="29">
        <f>IF($B2367="","",IFERROR(INDEX($U$4:$U$3183,MATCH(SMALL($V$4:$V$3183,2364),$V$4:$V$3183,0)),""))</f>
        <v/>
      </c>
      <c r="J2367">
        <f>IF($B2367="","",IF($D2367&gt;$F$2,"À venir",IF($E2367&lt;$D$2,"Passé","Dans la période")))</f>
        <v/>
      </c>
      <c r="K2367">
        <f>IF(OR($B2367="",NOT(ISNUMBER($D2367))),"",IF(AND($E2367&lt;$D$2,$G2367&lt;&gt;"X",$F2367&lt;&gt;"Réalisé",$F2367&lt;&gt;"Clôturé"),"RETARD",""))</f>
        <v/>
      </c>
      <c r="L2367">
        <f>IF(OR($B2367="",NOT(ISNUMBER($D2367))),"",IF(AND($D2367&gt;=$D$2,$D2367&lt;=$H$2,$G2367&lt;&gt;"X",$F2367&lt;&gt;"Réalisé",$F2367&lt;&gt;"Clôturé"),"≤ 7 j",""))</f>
        <v/>
      </c>
      <c r="M2367" s="29">
        <f>IF($B2367="","",IFERROR(INDEX($T$4:$T$3183,MATCH(SMALL($V$4:$V$3183,2364),$V$4:$V$3183,0)),""))</f>
        <v/>
      </c>
      <c r="O2367">
        <f>IF(INDEX(Suivi!$B:$B,2412)="","",INDEX(Suivi!$B:$B,2412))</f>
        <v/>
      </c>
      <c r="P2367">
        <f>IF($O2367="","",IF(INDEX(Suivi!$D:$D,2412)="",INDEX(Suivi!$C:$C,2412),INDEX(Suivi!$D:$D,2412)))</f>
        <v/>
      </c>
      <c r="Q2367">
        <f>IF($O2367="","",INDEX(Suivi!$E:$E,2412))</f>
        <v/>
      </c>
      <c r="R2367">
        <f>IF($O2367="","",INDEX(Suivi!$F:$F,2412))</f>
        <v/>
      </c>
      <c r="S2367">
        <f>IF($O2367="","",INDEX(Suivi!$G:$G,2412))</f>
        <v/>
      </c>
      <c r="T2367">
        <f>IF($O2367="","",IF(INDEX(Dossiers!$F$4:$F$63,45)="","",INDEX(Dossiers!$F$4:$F$63,45)))</f>
        <v/>
      </c>
      <c r="U2367">
        <f>IF($O2367="","",IF(INDEX(Dossiers!$G$4:$G$63,45)="","",INDEX(Dossiers!$G$4:$G$63,45)))</f>
        <v/>
      </c>
      <c r="V2367">
        <f>IF(OR($O2367="",NOT(ISNUMBER($Q2367))),"",$Q2367*1000000+2367)</f>
        <v/>
      </c>
      <c r="W2367" s="29">
        <f>IF($B2367="","",IFERROR(INDEX($U$4:$U$3183,MATCH(SMALL($V$4:$V$3183,2364),$V$4:$V$3183,0)),""))</f>
        <v/>
      </c>
    </row>
    <row r="2368">
      <c r="A2368">
        <f>IFERROR(INDEX($N$4:$N$3183,MATCH(SMALL($V$4:$V$3183,2365),$V$4:$V$3183,0)),"")</f>
        <v/>
      </c>
      <c r="B2368">
        <f>IFERROR(INDEX($O$4:$O$3183,MATCH(SMALL($V$4:$V$3183,2365),$V$4:$V$3183,0)),"")</f>
        <v/>
      </c>
      <c r="C2368">
        <f>IFERROR(INDEX($P$4:$P$3183,MATCH(SMALL($V$4:$V$3183,2365),$V$4:$V$3183,0)),"")</f>
        <v/>
      </c>
      <c r="D2368" s="29">
        <f>IFERROR(INDEX($Q$4:$Q$3183,MATCH(SMALL($V$4:$V$3183,2365),$V$4:$V$3183,0)),"")</f>
        <v/>
      </c>
      <c r="E2368" s="29">
        <f>IFERROR(INDEX($R$4:$R$3183,MATCH(SMALL($V$4:$V$3183,2365),$V$4:$V$3183,0)),"")</f>
        <v/>
      </c>
      <c r="F2368">
        <f>IFERROR(INDEX($S$4:$S$3183,MATCH(SMALL($V$4:$V$3183,2365),$V$4:$V$3183,0)),"")</f>
        <v/>
      </c>
      <c r="I2368" s="29">
        <f>IF($B2368="","",IFERROR(INDEX($U$4:$U$3183,MATCH(SMALL($V$4:$V$3183,2365),$V$4:$V$3183,0)),""))</f>
        <v/>
      </c>
      <c r="J2368">
        <f>IF($B2368="","",IF($D2368&gt;$F$2,"À venir",IF($E2368&lt;$D$2,"Passé","Dans la période")))</f>
        <v/>
      </c>
      <c r="K2368">
        <f>IF(OR($B2368="",NOT(ISNUMBER($D2368))),"",IF(AND($E2368&lt;$D$2,$G2368&lt;&gt;"X",$F2368&lt;&gt;"Réalisé",$F2368&lt;&gt;"Clôturé"),"RETARD",""))</f>
        <v/>
      </c>
      <c r="L2368">
        <f>IF(OR($B2368="",NOT(ISNUMBER($D2368))),"",IF(AND($D2368&gt;=$D$2,$D2368&lt;=$H$2,$G2368&lt;&gt;"X",$F2368&lt;&gt;"Réalisé",$F2368&lt;&gt;"Clôturé"),"≤ 7 j",""))</f>
        <v/>
      </c>
      <c r="M2368" s="29">
        <f>IF($B2368="","",IFERROR(INDEX($T$4:$T$3183,MATCH(SMALL($V$4:$V$3183,2365),$V$4:$V$3183,0)),""))</f>
        <v/>
      </c>
      <c r="O2368">
        <f>IF(INDEX(Suivi!$B:$B,2413)="","",INDEX(Suivi!$B:$B,2413))</f>
        <v/>
      </c>
      <c r="P2368">
        <f>IF($O2368="","",IF(INDEX(Suivi!$D:$D,2413)="",INDEX(Suivi!$C:$C,2413),INDEX(Suivi!$D:$D,2413)))</f>
        <v/>
      </c>
      <c r="Q2368">
        <f>IF($O2368="","",INDEX(Suivi!$E:$E,2413))</f>
        <v/>
      </c>
      <c r="R2368">
        <f>IF($O2368="","",INDEX(Suivi!$F:$F,2413))</f>
        <v/>
      </c>
      <c r="S2368">
        <f>IF($O2368="","",INDEX(Suivi!$G:$G,2413))</f>
        <v/>
      </c>
      <c r="T2368">
        <f>IF($O2368="","",IF(INDEX(Dossiers!$F$4:$F$63,45)="","",INDEX(Dossiers!$F$4:$F$63,45)))</f>
        <v/>
      </c>
      <c r="U2368">
        <f>IF($O2368="","",IF(INDEX(Dossiers!$G$4:$G$63,45)="","",INDEX(Dossiers!$G$4:$G$63,45)))</f>
        <v/>
      </c>
      <c r="V2368">
        <f>IF(OR($O2368="",NOT(ISNUMBER($Q2368))),"",$Q2368*1000000+2368)</f>
        <v/>
      </c>
      <c r="W2368" s="29">
        <f>IF($B2368="","",IFERROR(INDEX($U$4:$U$3183,MATCH(SMALL($V$4:$V$3183,2365),$V$4:$V$3183,0)),""))</f>
        <v/>
      </c>
    </row>
    <row r="2369">
      <c r="A2369">
        <f>IFERROR(INDEX($N$4:$N$3183,MATCH(SMALL($V$4:$V$3183,2366),$V$4:$V$3183,0)),"")</f>
        <v/>
      </c>
      <c r="B2369">
        <f>IFERROR(INDEX($O$4:$O$3183,MATCH(SMALL($V$4:$V$3183,2366),$V$4:$V$3183,0)),"")</f>
        <v/>
      </c>
      <c r="C2369">
        <f>IFERROR(INDEX($P$4:$P$3183,MATCH(SMALL($V$4:$V$3183,2366),$V$4:$V$3183,0)),"")</f>
        <v/>
      </c>
      <c r="D2369" s="29">
        <f>IFERROR(INDEX($Q$4:$Q$3183,MATCH(SMALL($V$4:$V$3183,2366),$V$4:$V$3183,0)),"")</f>
        <v/>
      </c>
      <c r="E2369" s="29">
        <f>IFERROR(INDEX($R$4:$R$3183,MATCH(SMALL($V$4:$V$3183,2366),$V$4:$V$3183,0)),"")</f>
        <v/>
      </c>
      <c r="F2369">
        <f>IFERROR(INDEX($S$4:$S$3183,MATCH(SMALL($V$4:$V$3183,2366),$V$4:$V$3183,0)),"")</f>
        <v/>
      </c>
      <c r="I2369" s="29">
        <f>IF($B2369="","",IFERROR(INDEX($U$4:$U$3183,MATCH(SMALL($V$4:$V$3183,2366),$V$4:$V$3183,0)),""))</f>
        <v/>
      </c>
      <c r="J2369">
        <f>IF($B2369="","",IF($D2369&gt;$F$2,"À venir",IF($E2369&lt;$D$2,"Passé","Dans la période")))</f>
        <v/>
      </c>
      <c r="K2369">
        <f>IF(OR($B2369="",NOT(ISNUMBER($D2369))),"",IF(AND($E2369&lt;$D$2,$G2369&lt;&gt;"X",$F2369&lt;&gt;"Réalisé",$F2369&lt;&gt;"Clôturé"),"RETARD",""))</f>
        <v/>
      </c>
      <c r="L2369">
        <f>IF(OR($B2369="",NOT(ISNUMBER($D2369))),"",IF(AND($D2369&gt;=$D$2,$D2369&lt;=$H$2,$G2369&lt;&gt;"X",$F2369&lt;&gt;"Réalisé",$F2369&lt;&gt;"Clôturé"),"≤ 7 j",""))</f>
        <v/>
      </c>
      <c r="M2369" s="29">
        <f>IF($B2369="","",IFERROR(INDEX($T$4:$T$3183,MATCH(SMALL($V$4:$V$3183,2366),$V$4:$V$3183,0)),""))</f>
        <v/>
      </c>
      <c r="O2369">
        <f>IF(INDEX(Suivi!$B:$B,2414)="","",INDEX(Suivi!$B:$B,2414))</f>
        <v/>
      </c>
      <c r="P2369">
        <f>IF($O2369="","",IF(INDEX(Suivi!$D:$D,2414)="",INDEX(Suivi!$C:$C,2414),INDEX(Suivi!$D:$D,2414)))</f>
        <v/>
      </c>
      <c r="Q2369">
        <f>IF($O2369="","",INDEX(Suivi!$E:$E,2414))</f>
        <v/>
      </c>
      <c r="R2369">
        <f>IF($O2369="","",INDEX(Suivi!$F:$F,2414))</f>
        <v/>
      </c>
      <c r="S2369">
        <f>IF($O2369="","",INDEX(Suivi!$G:$G,2414))</f>
        <v/>
      </c>
      <c r="T2369">
        <f>IF($O2369="","",IF(INDEX(Dossiers!$F$4:$F$63,45)="","",INDEX(Dossiers!$F$4:$F$63,45)))</f>
        <v/>
      </c>
      <c r="U2369">
        <f>IF($O2369="","",IF(INDEX(Dossiers!$G$4:$G$63,45)="","",INDEX(Dossiers!$G$4:$G$63,45)))</f>
        <v/>
      </c>
      <c r="V2369">
        <f>IF(OR($O2369="",NOT(ISNUMBER($Q2369))),"",$Q2369*1000000+2369)</f>
        <v/>
      </c>
      <c r="W2369" s="29">
        <f>IF($B2369="","",IFERROR(INDEX($U$4:$U$3183,MATCH(SMALL($V$4:$V$3183,2366),$V$4:$V$3183,0)),""))</f>
        <v/>
      </c>
    </row>
    <row r="2370">
      <c r="A2370">
        <f>IFERROR(INDEX($N$4:$N$3183,MATCH(SMALL($V$4:$V$3183,2367),$V$4:$V$3183,0)),"")</f>
        <v/>
      </c>
      <c r="B2370">
        <f>IFERROR(INDEX($O$4:$O$3183,MATCH(SMALL($V$4:$V$3183,2367),$V$4:$V$3183,0)),"")</f>
        <v/>
      </c>
      <c r="C2370">
        <f>IFERROR(INDEX($P$4:$P$3183,MATCH(SMALL($V$4:$V$3183,2367),$V$4:$V$3183,0)),"")</f>
        <v/>
      </c>
      <c r="D2370" s="29">
        <f>IFERROR(INDEX($Q$4:$Q$3183,MATCH(SMALL($V$4:$V$3183,2367),$V$4:$V$3183,0)),"")</f>
        <v/>
      </c>
      <c r="E2370" s="29">
        <f>IFERROR(INDEX($R$4:$R$3183,MATCH(SMALL($V$4:$V$3183,2367),$V$4:$V$3183,0)),"")</f>
        <v/>
      </c>
      <c r="F2370">
        <f>IFERROR(INDEX($S$4:$S$3183,MATCH(SMALL($V$4:$V$3183,2367),$V$4:$V$3183,0)),"")</f>
        <v/>
      </c>
      <c r="I2370" s="29">
        <f>IF($B2370="","",IFERROR(INDEX($U$4:$U$3183,MATCH(SMALL($V$4:$V$3183,2367),$V$4:$V$3183,0)),""))</f>
        <v/>
      </c>
      <c r="J2370">
        <f>IF($B2370="","",IF($D2370&gt;$F$2,"À venir",IF($E2370&lt;$D$2,"Passé","Dans la période")))</f>
        <v/>
      </c>
      <c r="K2370">
        <f>IF(OR($B2370="",NOT(ISNUMBER($D2370))),"",IF(AND($E2370&lt;$D$2,$G2370&lt;&gt;"X",$F2370&lt;&gt;"Réalisé",$F2370&lt;&gt;"Clôturé"),"RETARD",""))</f>
        <v/>
      </c>
      <c r="L2370">
        <f>IF(OR($B2370="",NOT(ISNUMBER($D2370))),"",IF(AND($D2370&gt;=$D$2,$D2370&lt;=$H$2,$G2370&lt;&gt;"X",$F2370&lt;&gt;"Réalisé",$F2370&lt;&gt;"Clôturé"),"≤ 7 j",""))</f>
        <v/>
      </c>
      <c r="M2370" s="29">
        <f>IF($B2370="","",IFERROR(INDEX($T$4:$T$3183,MATCH(SMALL($V$4:$V$3183,2367),$V$4:$V$3183,0)),""))</f>
        <v/>
      </c>
      <c r="O2370">
        <f>IF(INDEX(Suivi!$B:$B,2415)="","",INDEX(Suivi!$B:$B,2415))</f>
        <v/>
      </c>
      <c r="P2370">
        <f>IF($O2370="","",IF(INDEX(Suivi!$D:$D,2415)="",INDEX(Suivi!$C:$C,2415),INDEX(Suivi!$D:$D,2415)))</f>
        <v/>
      </c>
      <c r="Q2370">
        <f>IF($O2370="","",INDEX(Suivi!$E:$E,2415))</f>
        <v/>
      </c>
      <c r="R2370">
        <f>IF($O2370="","",INDEX(Suivi!$F:$F,2415))</f>
        <v/>
      </c>
      <c r="S2370">
        <f>IF($O2370="","",INDEX(Suivi!$G:$G,2415))</f>
        <v/>
      </c>
      <c r="T2370">
        <f>IF($O2370="","",IF(INDEX(Dossiers!$F$4:$F$63,45)="","",INDEX(Dossiers!$F$4:$F$63,45)))</f>
        <v/>
      </c>
      <c r="U2370">
        <f>IF($O2370="","",IF(INDEX(Dossiers!$G$4:$G$63,45)="","",INDEX(Dossiers!$G$4:$G$63,45)))</f>
        <v/>
      </c>
      <c r="V2370">
        <f>IF(OR($O2370="",NOT(ISNUMBER($Q2370))),"",$Q2370*1000000+2370)</f>
        <v/>
      </c>
      <c r="W2370" s="29">
        <f>IF($B2370="","",IFERROR(INDEX($U$4:$U$3183,MATCH(SMALL($V$4:$V$3183,2367),$V$4:$V$3183,0)),""))</f>
        <v/>
      </c>
    </row>
    <row r="2371">
      <c r="A2371">
        <f>IFERROR(INDEX($N$4:$N$3183,MATCH(SMALL($V$4:$V$3183,2368),$V$4:$V$3183,0)),"")</f>
        <v/>
      </c>
      <c r="B2371">
        <f>IFERROR(INDEX($O$4:$O$3183,MATCH(SMALL($V$4:$V$3183,2368),$V$4:$V$3183,0)),"")</f>
        <v/>
      </c>
      <c r="C2371">
        <f>IFERROR(INDEX($P$4:$P$3183,MATCH(SMALL($V$4:$V$3183,2368),$V$4:$V$3183,0)),"")</f>
        <v/>
      </c>
      <c r="D2371" s="29">
        <f>IFERROR(INDEX($Q$4:$Q$3183,MATCH(SMALL($V$4:$V$3183,2368),$V$4:$V$3183,0)),"")</f>
        <v/>
      </c>
      <c r="E2371" s="29">
        <f>IFERROR(INDEX($R$4:$R$3183,MATCH(SMALL($V$4:$V$3183,2368),$V$4:$V$3183,0)),"")</f>
        <v/>
      </c>
      <c r="F2371">
        <f>IFERROR(INDEX($S$4:$S$3183,MATCH(SMALL($V$4:$V$3183,2368),$V$4:$V$3183,0)),"")</f>
        <v/>
      </c>
      <c r="I2371" s="29">
        <f>IF($B2371="","",IFERROR(INDEX($U$4:$U$3183,MATCH(SMALL($V$4:$V$3183,2368),$V$4:$V$3183,0)),""))</f>
        <v/>
      </c>
      <c r="J2371">
        <f>IF($B2371="","",IF($D2371&gt;$F$2,"À venir",IF($E2371&lt;$D$2,"Passé","Dans la période")))</f>
        <v/>
      </c>
      <c r="K2371">
        <f>IF(OR($B2371="",NOT(ISNUMBER($D2371))),"",IF(AND($E2371&lt;$D$2,$G2371&lt;&gt;"X",$F2371&lt;&gt;"Réalisé",$F2371&lt;&gt;"Clôturé"),"RETARD",""))</f>
        <v/>
      </c>
      <c r="L2371">
        <f>IF(OR($B2371="",NOT(ISNUMBER($D2371))),"",IF(AND($D2371&gt;=$D$2,$D2371&lt;=$H$2,$G2371&lt;&gt;"X",$F2371&lt;&gt;"Réalisé",$F2371&lt;&gt;"Clôturé"),"≤ 7 j",""))</f>
        <v/>
      </c>
      <c r="M2371" s="29">
        <f>IF($B2371="","",IFERROR(INDEX($T$4:$T$3183,MATCH(SMALL($V$4:$V$3183,2368),$V$4:$V$3183,0)),""))</f>
        <v/>
      </c>
      <c r="O2371">
        <f>IF(INDEX(Suivi!$B:$B,2416)="","",INDEX(Suivi!$B:$B,2416))</f>
        <v/>
      </c>
      <c r="P2371">
        <f>IF($O2371="","",IF(INDEX(Suivi!$D:$D,2416)="",INDEX(Suivi!$C:$C,2416),INDEX(Suivi!$D:$D,2416)))</f>
        <v/>
      </c>
      <c r="Q2371">
        <f>IF($O2371="","",INDEX(Suivi!$E:$E,2416))</f>
        <v/>
      </c>
      <c r="R2371">
        <f>IF($O2371="","",INDEX(Suivi!$F:$F,2416))</f>
        <v/>
      </c>
      <c r="S2371">
        <f>IF($O2371="","",INDEX(Suivi!$G:$G,2416))</f>
        <v/>
      </c>
      <c r="T2371">
        <f>IF($O2371="","",IF(INDEX(Dossiers!$F$4:$F$63,45)="","",INDEX(Dossiers!$F$4:$F$63,45)))</f>
        <v/>
      </c>
      <c r="U2371">
        <f>IF($O2371="","",IF(INDEX(Dossiers!$G$4:$G$63,45)="","",INDEX(Dossiers!$G$4:$G$63,45)))</f>
        <v/>
      </c>
      <c r="V2371">
        <f>IF(OR($O2371="",NOT(ISNUMBER($Q2371))),"",$Q2371*1000000+2371)</f>
        <v/>
      </c>
      <c r="W2371" s="29">
        <f>IF($B2371="","",IFERROR(INDEX($U$4:$U$3183,MATCH(SMALL($V$4:$V$3183,2368),$V$4:$V$3183,0)),""))</f>
        <v/>
      </c>
    </row>
    <row r="2372">
      <c r="A2372">
        <f>IFERROR(INDEX($N$4:$N$3183,MATCH(SMALL($V$4:$V$3183,2369),$V$4:$V$3183,0)),"")</f>
        <v/>
      </c>
      <c r="B2372">
        <f>IFERROR(INDEX($O$4:$O$3183,MATCH(SMALL($V$4:$V$3183,2369),$V$4:$V$3183,0)),"")</f>
        <v/>
      </c>
      <c r="C2372">
        <f>IFERROR(INDEX($P$4:$P$3183,MATCH(SMALL($V$4:$V$3183,2369),$V$4:$V$3183,0)),"")</f>
        <v/>
      </c>
      <c r="D2372" s="29">
        <f>IFERROR(INDEX($Q$4:$Q$3183,MATCH(SMALL($V$4:$V$3183,2369),$V$4:$V$3183,0)),"")</f>
        <v/>
      </c>
      <c r="E2372" s="29">
        <f>IFERROR(INDEX($R$4:$R$3183,MATCH(SMALL($V$4:$V$3183,2369),$V$4:$V$3183,0)),"")</f>
        <v/>
      </c>
      <c r="F2372">
        <f>IFERROR(INDEX($S$4:$S$3183,MATCH(SMALL($V$4:$V$3183,2369),$V$4:$V$3183,0)),"")</f>
        <v/>
      </c>
      <c r="I2372" s="29">
        <f>IF($B2372="","",IFERROR(INDEX($U$4:$U$3183,MATCH(SMALL($V$4:$V$3183,2369),$V$4:$V$3183,0)),""))</f>
        <v/>
      </c>
      <c r="J2372">
        <f>IF($B2372="","",IF($D2372&gt;$F$2,"À venir",IF($E2372&lt;$D$2,"Passé","Dans la période")))</f>
        <v/>
      </c>
      <c r="K2372">
        <f>IF(OR($B2372="",NOT(ISNUMBER($D2372))),"",IF(AND($E2372&lt;$D$2,$G2372&lt;&gt;"X",$F2372&lt;&gt;"Réalisé",$F2372&lt;&gt;"Clôturé"),"RETARD",""))</f>
        <v/>
      </c>
      <c r="L2372">
        <f>IF(OR($B2372="",NOT(ISNUMBER($D2372))),"",IF(AND($D2372&gt;=$D$2,$D2372&lt;=$H$2,$G2372&lt;&gt;"X",$F2372&lt;&gt;"Réalisé",$F2372&lt;&gt;"Clôturé"),"≤ 7 j",""))</f>
        <v/>
      </c>
      <c r="M2372" s="29">
        <f>IF($B2372="","",IFERROR(INDEX($T$4:$T$3183,MATCH(SMALL($V$4:$V$3183,2369),$V$4:$V$3183,0)),""))</f>
        <v/>
      </c>
      <c r="O2372">
        <f>IF(INDEX(Suivi!$B:$B,2417)="","",INDEX(Suivi!$B:$B,2417))</f>
        <v/>
      </c>
      <c r="P2372">
        <f>IF($O2372="","",IF(INDEX(Suivi!$D:$D,2417)="",INDEX(Suivi!$C:$C,2417),INDEX(Suivi!$D:$D,2417)))</f>
        <v/>
      </c>
      <c r="Q2372">
        <f>IF($O2372="","",INDEX(Suivi!$E:$E,2417))</f>
        <v/>
      </c>
      <c r="R2372">
        <f>IF($O2372="","",INDEX(Suivi!$F:$F,2417))</f>
        <v/>
      </c>
      <c r="S2372">
        <f>IF($O2372="","",INDEX(Suivi!$G:$G,2417))</f>
        <v/>
      </c>
      <c r="T2372">
        <f>IF($O2372="","",IF(INDEX(Dossiers!$F$4:$F$63,45)="","",INDEX(Dossiers!$F$4:$F$63,45)))</f>
        <v/>
      </c>
      <c r="U2372">
        <f>IF($O2372="","",IF(INDEX(Dossiers!$G$4:$G$63,45)="","",INDEX(Dossiers!$G$4:$G$63,45)))</f>
        <v/>
      </c>
      <c r="V2372">
        <f>IF(OR($O2372="",NOT(ISNUMBER($Q2372))),"",$Q2372*1000000+2372)</f>
        <v/>
      </c>
      <c r="W2372" s="29">
        <f>IF($B2372="","",IFERROR(INDEX($U$4:$U$3183,MATCH(SMALL($V$4:$V$3183,2369),$V$4:$V$3183,0)),""))</f>
        <v/>
      </c>
    </row>
    <row r="2373">
      <c r="A2373">
        <f>IFERROR(INDEX($N$4:$N$3183,MATCH(SMALL($V$4:$V$3183,2370),$V$4:$V$3183,0)),"")</f>
        <v/>
      </c>
      <c r="B2373">
        <f>IFERROR(INDEX($O$4:$O$3183,MATCH(SMALL($V$4:$V$3183,2370),$V$4:$V$3183,0)),"")</f>
        <v/>
      </c>
      <c r="C2373">
        <f>IFERROR(INDEX($P$4:$P$3183,MATCH(SMALL($V$4:$V$3183,2370),$V$4:$V$3183,0)),"")</f>
        <v/>
      </c>
      <c r="D2373" s="29">
        <f>IFERROR(INDEX($Q$4:$Q$3183,MATCH(SMALL($V$4:$V$3183,2370),$V$4:$V$3183,0)),"")</f>
        <v/>
      </c>
      <c r="E2373" s="29">
        <f>IFERROR(INDEX($R$4:$R$3183,MATCH(SMALL($V$4:$V$3183,2370),$V$4:$V$3183,0)),"")</f>
        <v/>
      </c>
      <c r="F2373">
        <f>IFERROR(INDEX($S$4:$S$3183,MATCH(SMALL($V$4:$V$3183,2370),$V$4:$V$3183,0)),"")</f>
        <v/>
      </c>
      <c r="I2373" s="29">
        <f>IF($B2373="","",IFERROR(INDEX($U$4:$U$3183,MATCH(SMALL($V$4:$V$3183,2370),$V$4:$V$3183,0)),""))</f>
        <v/>
      </c>
      <c r="J2373">
        <f>IF($B2373="","",IF($D2373&gt;$F$2,"À venir",IF($E2373&lt;$D$2,"Passé","Dans la période")))</f>
        <v/>
      </c>
      <c r="K2373">
        <f>IF(OR($B2373="",NOT(ISNUMBER($D2373))),"",IF(AND($E2373&lt;$D$2,$G2373&lt;&gt;"X",$F2373&lt;&gt;"Réalisé",$F2373&lt;&gt;"Clôturé"),"RETARD",""))</f>
        <v/>
      </c>
      <c r="L2373">
        <f>IF(OR($B2373="",NOT(ISNUMBER($D2373))),"",IF(AND($D2373&gt;=$D$2,$D2373&lt;=$H$2,$G2373&lt;&gt;"X",$F2373&lt;&gt;"Réalisé",$F2373&lt;&gt;"Clôturé"),"≤ 7 j",""))</f>
        <v/>
      </c>
      <c r="M2373" s="29">
        <f>IF($B2373="","",IFERROR(INDEX($T$4:$T$3183,MATCH(SMALL($V$4:$V$3183,2370),$V$4:$V$3183,0)),""))</f>
        <v/>
      </c>
      <c r="O2373">
        <f>IF(INDEX(Suivi!$B:$B,2418)="","",INDEX(Suivi!$B:$B,2418))</f>
        <v/>
      </c>
      <c r="P2373">
        <f>IF($O2373="","",IF(INDEX(Suivi!$D:$D,2418)="",INDEX(Suivi!$C:$C,2418),INDEX(Suivi!$D:$D,2418)))</f>
        <v/>
      </c>
      <c r="Q2373">
        <f>IF($O2373="","",INDEX(Suivi!$E:$E,2418))</f>
        <v/>
      </c>
      <c r="R2373">
        <f>IF($O2373="","",INDEX(Suivi!$F:$F,2418))</f>
        <v/>
      </c>
      <c r="S2373">
        <f>IF($O2373="","",INDEX(Suivi!$G:$G,2418))</f>
        <v/>
      </c>
      <c r="T2373">
        <f>IF($O2373="","",IF(INDEX(Dossiers!$F$4:$F$63,45)="","",INDEX(Dossiers!$F$4:$F$63,45)))</f>
        <v/>
      </c>
      <c r="U2373">
        <f>IF($O2373="","",IF(INDEX(Dossiers!$G$4:$G$63,45)="","",INDEX(Dossiers!$G$4:$G$63,45)))</f>
        <v/>
      </c>
      <c r="V2373">
        <f>IF(OR($O2373="",NOT(ISNUMBER($Q2373))),"",$Q2373*1000000+2373)</f>
        <v/>
      </c>
      <c r="W2373" s="29">
        <f>IF($B2373="","",IFERROR(INDEX($U$4:$U$3183,MATCH(SMALL($V$4:$V$3183,2370),$V$4:$V$3183,0)),""))</f>
        <v/>
      </c>
    </row>
    <row r="2374">
      <c r="A2374">
        <f>IFERROR(INDEX($N$4:$N$3183,MATCH(SMALL($V$4:$V$3183,2371),$V$4:$V$3183,0)),"")</f>
        <v/>
      </c>
      <c r="B2374">
        <f>IFERROR(INDEX($O$4:$O$3183,MATCH(SMALL($V$4:$V$3183,2371),$V$4:$V$3183,0)),"")</f>
        <v/>
      </c>
      <c r="C2374">
        <f>IFERROR(INDEX($P$4:$P$3183,MATCH(SMALL($V$4:$V$3183,2371),$V$4:$V$3183,0)),"")</f>
        <v/>
      </c>
      <c r="D2374" s="29">
        <f>IFERROR(INDEX($Q$4:$Q$3183,MATCH(SMALL($V$4:$V$3183,2371),$V$4:$V$3183,0)),"")</f>
        <v/>
      </c>
      <c r="E2374" s="29">
        <f>IFERROR(INDEX($R$4:$R$3183,MATCH(SMALL($V$4:$V$3183,2371),$V$4:$V$3183,0)),"")</f>
        <v/>
      </c>
      <c r="F2374">
        <f>IFERROR(INDEX($S$4:$S$3183,MATCH(SMALL($V$4:$V$3183,2371),$V$4:$V$3183,0)),"")</f>
        <v/>
      </c>
      <c r="I2374" s="29">
        <f>IF($B2374="","",IFERROR(INDEX($U$4:$U$3183,MATCH(SMALL($V$4:$V$3183,2371),$V$4:$V$3183,0)),""))</f>
        <v/>
      </c>
      <c r="J2374">
        <f>IF($B2374="","",IF($D2374&gt;$F$2,"À venir",IF($E2374&lt;$D$2,"Passé","Dans la période")))</f>
        <v/>
      </c>
      <c r="K2374">
        <f>IF(OR($B2374="",NOT(ISNUMBER($D2374))),"",IF(AND($E2374&lt;$D$2,$G2374&lt;&gt;"X",$F2374&lt;&gt;"Réalisé",$F2374&lt;&gt;"Clôturé"),"RETARD",""))</f>
        <v/>
      </c>
      <c r="L2374">
        <f>IF(OR($B2374="",NOT(ISNUMBER($D2374))),"",IF(AND($D2374&gt;=$D$2,$D2374&lt;=$H$2,$G2374&lt;&gt;"X",$F2374&lt;&gt;"Réalisé",$F2374&lt;&gt;"Clôturé"),"≤ 7 j",""))</f>
        <v/>
      </c>
      <c r="M2374" s="29">
        <f>IF($B2374="","",IFERROR(INDEX($T$4:$T$3183,MATCH(SMALL($V$4:$V$3183,2371),$V$4:$V$3183,0)),""))</f>
        <v/>
      </c>
      <c r="O2374">
        <f>IF(INDEX(Suivi!$B:$B,2419)="","",INDEX(Suivi!$B:$B,2419))</f>
        <v/>
      </c>
      <c r="P2374">
        <f>IF($O2374="","",IF(INDEX(Suivi!$D:$D,2419)="",INDEX(Suivi!$C:$C,2419),INDEX(Suivi!$D:$D,2419)))</f>
        <v/>
      </c>
      <c r="Q2374">
        <f>IF($O2374="","",INDEX(Suivi!$E:$E,2419))</f>
        <v/>
      </c>
      <c r="R2374">
        <f>IF($O2374="","",INDEX(Suivi!$F:$F,2419))</f>
        <v/>
      </c>
      <c r="S2374">
        <f>IF($O2374="","",INDEX(Suivi!$G:$G,2419))</f>
        <v/>
      </c>
      <c r="T2374">
        <f>IF($O2374="","",IF(INDEX(Dossiers!$F$4:$F$63,45)="","",INDEX(Dossiers!$F$4:$F$63,45)))</f>
        <v/>
      </c>
      <c r="U2374">
        <f>IF($O2374="","",IF(INDEX(Dossiers!$G$4:$G$63,45)="","",INDEX(Dossiers!$G$4:$G$63,45)))</f>
        <v/>
      </c>
      <c r="V2374">
        <f>IF(OR($O2374="",NOT(ISNUMBER($Q2374))),"",$Q2374*1000000+2374)</f>
        <v/>
      </c>
      <c r="W2374" s="29">
        <f>IF($B2374="","",IFERROR(INDEX($U$4:$U$3183,MATCH(SMALL($V$4:$V$3183,2371),$V$4:$V$3183,0)),""))</f>
        <v/>
      </c>
    </row>
    <row r="2375">
      <c r="A2375">
        <f>IFERROR(INDEX($N$4:$N$3183,MATCH(SMALL($V$4:$V$3183,2372),$V$4:$V$3183,0)),"")</f>
        <v/>
      </c>
      <c r="B2375">
        <f>IFERROR(INDEX($O$4:$O$3183,MATCH(SMALL($V$4:$V$3183,2372),$V$4:$V$3183,0)),"")</f>
        <v/>
      </c>
      <c r="C2375">
        <f>IFERROR(INDEX($P$4:$P$3183,MATCH(SMALL($V$4:$V$3183,2372),$V$4:$V$3183,0)),"")</f>
        <v/>
      </c>
      <c r="D2375" s="29">
        <f>IFERROR(INDEX($Q$4:$Q$3183,MATCH(SMALL($V$4:$V$3183,2372),$V$4:$V$3183,0)),"")</f>
        <v/>
      </c>
      <c r="E2375" s="29">
        <f>IFERROR(INDEX($R$4:$R$3183,MATCH(SMALL($V$4:$V$3183,2372),$V$4:$V$3183,0)),"")</f>
        <v/>
      </c>
      <c r="F2375">
        <f>IFERROR(INDEX($S$4:$S$3183,MATCH(SMALL($V$4:$V$3183,2372),$V$4:$V$3183,0)),"")</f>
        <v/>
      </c>
      <c r="I2375" s="29">
        <f>IF($B2375="","",IFERROR(INDEX($U$4:$U$3183,MATCH(SMALL($V$4:$V$3183,2372),$V$4:$V$3183,0)),""))</f>
        <v/>
      </c>
      <c r="J2375">
        <f>IF($B2375="","",IF($D2375&gt;$F$2,"À venir",IF($E2375&lt;$D$2,"Passé","Dans la période")))</f>
        <v/>
      </c>
      <c r="K2375">
        <f>IF(OR($B2375="",NOT(ISNUMBER($D2375))),"",IF(AND($E2375&lt;$D$2,$G2375&lt;&gt;"X",$F2375&lt;&gt;"Réalisé",$F2375&lt;&gt;"Clôturé"),"RETARD",""))</f>
        <v/>
      </c>
      <c r="L2375">
        <f>IF(OR($B2375="",NOT(ISNUMBER($D2375))),"",IF(AND($D2375&gt;=$D$2,$D2375&lt;=$H$2,$G2375&lt;&gt;"X",$F2375&lt;&gt;"Réalisé",$F2375&lt;&gt;"Clôturé"),"≤ 7 j",""))</f>
        <v/>
      </c>
      <c r="M2375" s="29">
        <f>IF($B2375="","",IFERROR(INDEX($T$4:$T$3183,MATCH(SMALL($V$4:$V$3183,2372),$V$4:$V$3183,0)),""))</f>
        <v/>
      </c>
      <c r="O2375">
        <f>IF(INDEX(Suivi!$B:$B,2420)="","",INDEX(Suivi!$B:$B,2420))</f>
        <v/>
      </c>
      <c r="P2375">
        <f>IF($O2375="","",IF(INDEX(Suivi!$D:$D,2420)="",INDEX(Suivi!$C:$C,2420),INDEX(Suivi!$D:$D,2420)))</f>
        <v/>
      </c>
      <c r="Q2375">
        <f>IF($O2375="","",INDEX(Suivi!$E:$E,2420))</f>
        <v/>
      </c>
      <c r="R2375">
        <f>IF($O2375="","",INDEX(Suivi!$F:$F,2420))</f>
        <v/>
      </c>
      <c r="S2375">
        <f>IF($O2375="","",INDEX(Suivi!$G:$G,2420))</f>
        <v/>
      </c>
      <c r="T2375">
        <f>IF($O2375="","",IF(INDEX(Dossiers!$F$4:$F$63,45)="","",INDEX(Dossiers!$F$4:$F$63,45)))</f>
        <v/>
      </c>
      <c r="U2375">
        <f>IF($O2375="","",IF(INDEX(Dossiers!$G$4:$G$63,45)="","",INDEX(Dossiers!$G$4:$G$63,45)))</f>
        <v/>
      </c>
      <c r="V2375">
        <f>IF(OR($O2375="",NOT(ISNUMBER($Q2375))),"",$Q2375*1000000+2375)</f>
        <v/>
      </c>
      <c r="W2375" s="29">
        <f>IF($B2375="","",IFERROR(INDEX($U$4:$U$3183,MATCH(SMALL($V$4:$V$3183,2372),$V$4:$V$3183,0)),""))</f>
        <v/>
      </c>
    </row>
    <row r="2376">
      <c r="A2376">
        <f>IFERROR(INDEX($N$4:$N$3183,MATCH(SMALL($V$4:$V$3183,2373),$V$4:$V$3183,0)),"")</f>
        <v/>
      </c>
      <c r="B2376">
        <f>IFERROR(INDEX($O$4:$O$3183,MATCH(SMALL($V$4:$V$3183,2373),$V$4:$V$3183,0)),"")</f>
        <v/>
      </c>
      <c r="C2376">
        <f>IFERROR(INDEX($P$4:$P$3183,MATCH(SMALL($V$4:$V$3183,2373),$V$4:$V$3183,0)),"")</f>
        <v/>
      </c>
      <c r="D2376" s="29">
        <f>IFERROR(INDEX($Q$4:$Q$3183,MATCH(SMALL($V$4:$V$3183,2373),$V$4:$V$3183,0)),"")</f>
        <v/>
      </c>
      <c r="E2376" s="29">
        <f>IFERROR(INDEX($R$4:$R$3183,MATCH(SMALL($V$4:$V$3183,2373),$V$4:$V$3183,0)),"")</f>
        <v/>
      </c>
      <c r="F2376">
        <f>IFERROR(INDEX($S$4:$S$3183,MATCH(SMALL($V$4:$V$3183,2373),$V$4:$V$3183,0)),"")</f>
        <v/>
      </c>
      <c r="I2376" s="29">
        <f>IF($B2376="","",IFERROR(INDEX($U$4:$U$3183,MATCH(SMALL($V$4:$V$3183,2373),$V$4:$V$3183,0)),""))</f>
        <v/>
      </c>
      <c r="J2376">
        <f>IF($B2376="","",IF($D2376&gt;$F$2,"À venir",IF($E2376&lt;$D$2,"Passé","Dans la période")))</f>
        <v/>
      </c>
      <c r="K2376">
        <f>IF(OR($B2376="",NOT(ISNUMBER($D2376))),"",IF(AND($E2376&lt;$D$2,$G2376&lt;&gt;"X",$F2376&lt;&gt;"Réalisé",$F2376&lt;&gt;"Clôturé"),"RETARD",""))</f>
        <v/>
      </c>
      <c r="L2376">
        <f>IF(OR($B2376="",NOT(ISNUMBER($D2376))),"",IF(AND($D2376&gt;=$D$2,$D2376&lt;=$H$2,$G2376&lt;&gt;"X",$F2376&lt;&gt;"Réalisé",$F2376&lt;&gt;"Clôturé"),"≤ 7 j",""))</f>
        <v/>
      </c>
      <c r="M2376" s="29">
        <f>IF($B2376="","",IFERROR(INDEX($T$4:$T$3183,MATCH(SMALL($V$4:$V$3183,2373),$V$4:$V$3183,0)),""))</f>
        <v/>
      </c>
      <c r="O2376">
        <f>IF(INDEX(Suivi!$B:$B,2421)="","",INDEX(Suivi!$B:$B,2421))</f>
        <v/>
      </c>
      <c r="P2376">
        <f>IF($O2376="","",IF(INDEX(Suivi!$D:$D,2421)="",INDEX(Suivi!$C:$C,2421),INDEX(Suivi!$D:$D,2421)))</f>
        <v/>
      </c>
      <c r="Q2376">
        <f>IF($O2376="","",INDEX(Suivi!$E:$E,2421))</f>
        <v/>
      </c>
      <c r="R2376">
        <f>IF($O2376="","",INDEX(Suivi!$F:$F,2421))</f>
        <v/>
      </c>
      <c r="S2376">
        <f>IF($O2376="","",INDEX(Suivi!$G:$G,2421))</f>
        <v/>
      </c>
      <c r="T2376">
        <f>IF($O2376="","",IF(INDEX(Dossiers!$F$4:$F$63,45)="","",INDEX(Dossiers!$F$4:$F$63,45)))</f>
        <v/>
      </c>
      <c r="U2376">
        <f>IF($O2376="","",IF(INDEX(Dossiers!$G$4:$G$63,45)="","",INDEX(Dossiers!$G$4:$G$63,45)))</f>
        <v/>
      </c>
      <c r="V2376">
        <f>IF(OR($O2376="",NOT(ISNUMBER($Q2376))),"",$Q2376*1000000+2376)</f>
        <v/>
      </c>
      <c r="W2376" s="29">
        <f>IF($B2376="","",IFERROR(INDEX($U$4:$U$3183,MATCH(SMALL($V$4:$V$3183,2373),$V$4:$V$3183,0)),""))</f>
        <v/>
      </c>
    </row>
    <row r="2377">
      <c r="A2377">
        <f>IFERROR(INDEX($N$4:$N$3183,MATCH(SMALL($V$4:$V$3183,2374),$V$4:$V$3183,0)),"")</f>
        <v/>
      </c>
      <c r="B2377">
        <f>IFERROR(INDEX($O$4:$O$3183,MATCH(SMALL($V$4:$V$3183,2374),$V$4:$V$3183,0)),"")</f>
        <v/>
      </c>
      <c r="C2377">
        <f>IFERROR(INDEX($P$4:$P$3183,MATCH(SMALL($V$4:$V$3183,2374),$V$4:$V$3183,0)),"")</f>
        <v/>
      </c>
      <c r="D2377" s="29">
        <f>IFERROR(INDEX($Q$4:$Q$3183,MATCH(SMALL($V$4:$V$3183,2374),$V$4:$V$3183,0)),"")</f>
        <v/>
      </c>
      <c r="E2377" s="29">
        <f>IFERROR(INDEX($R$4:$R$3183,MATCH(SMALL($V$4:$V$3183,2374),$V$4:$V$3183,0)),"")</f>
        <v/>
      </c>
      <c r="F2377">
        <f>IFERROR(INDEX($S$4:$S$3183,MATCH(SMALL($V$4:$V$3183,2374),$V$4:$V$3183,0)),"")</f>
        <v/>
      </c>
      <c r="I2377" s="29">
        <f>IF($B2377="","",IFERROR(INDEX($U$4:$U$3183,MATCH(SMALL($V$4:$V$3183,2374),$V$4:$V$3183,0)),""))</f>
        <v/>
      </c>
      <c r="J2377">
        <f>IF($B2377="","",IF($D2377&gt;$F$2,"À venir",IF($E2377&lt;$D$2,"Passé","Dans la période")))</f>
        <v/>
      </c>
      <c r="K2377">
        <f>IF(OR($B2377="",NOT(ISNUMBER($D2377))),"",IF(AND($E2377&lt;$D$2,$G2377&lt;&gt;"X",$F2377&lt;&gt;"Réalisé",$F2377&lt;&gt;"Clôturé"),"RETARD",""))</f>
        <v/>
      </c>
      <c r="L2377">
        <f>IF(OR($B2377="",NOT(ISNUMBER($D2377))),"",IF(AND($D2377&gt;=$D$2,$D2377&lt;=$H$2,$G2377&lt;&gt;"X",$F2377&lt;&gt;"Réalisé",$F2377&lt;&gt;"Clôturé"),"≤ 7 j",""))</f>
        <v/>
      </c>
      <c r="M2377" s="29">
        <f>IF($B2377="","",IFERROR(INDEX($T$4:$T$3183,MATCH(SMALL($V$4:$V$3183,2374),$V$4:$V$3183,0)),""))</f>
        <v/>
      </c>
      <c r="O2377">
        <f>IF(INDEX(Suivi!$B:$B,2422)="","",INDEX(Suivi!$B:$B,2422))</f>
        <v/>
      </c>
      <c r="P2377">
        <f>IF($O2377="","",IF(INDEX(Suivi!$D:$D,2422)="",INDEX(Suivi!$C:$C,2422),INDEX(Suivi!$D:$D,2422)))</f>
        <v/>
      </c>
      <c r="Q2377">
        <f>IF($O2377="","",INDEX(Suivi!$E:$E,2422))</f>
        <v/>
      </c>
      <c r="R2377">
        <f>IF($O2377="","",INDEX(Suivi!$F:$F,2422))</f>
        <v/>
      </c>
      <c r="S2377">
        <f>IF($O2377="","",INDEX(Suivi!$G:$G,2422))</f>
        <v/>
      </c>
      <c r="T2377">
        <f>IF($O2377="","",IF(INDEX(Dossiers!$F$4:$F$63,45)="","",INDEX(Dossiers!$F$4:$F$63,45)))</f>
        <v/>
      </c>
      <c r="U2377">
        <f>IF($O2377="","",IF(INDEX(Dossiers!$G$4:$G$63,45)="","",INDEX(Dossiers!$G$4:$G$63,45)))</f>
        <v/>
      </c>
      <c r="V2377">
        <f>IF(OR($O2377="",NOT(ISNUMBER($Q2377))),"",$Q2377*1000000+2377)</f>
        <v/>
      </c>
      <c r="W2377" s="29">
        <f>IF($B2377="","",IFERROR(INDEX($U$4:$U$3183,MATCH(SMALL($V$4:$V$3183,2374),$V$4:$V$3183,0)),""))</f>
        <v/>
      </c>
    </row>
    <row r="2378">
      <c r="A2378">
        <f>IFERROR(INDEX($N$4:$N$3183,MATCH(SMALL($V$4:$V$3183,2375),$V$4:$V$3183,0)),"")</f>
        <v/>
      </c>
      <c r="B2378">
        <f>IFERROR(INDEX($O$4:$O$3183,MATCH(SMALL($V$4:$V$3183,2375),$V$4:$V$3183,0)),"")</f>
        <v/>
      </c>
      <c r="C2378">
        <f>IFERROR(INDEX($P$4:$P$3183,MATCH(SMALL($V$4:$V$3183,2375),$V$4:$V$3183,0)),"")</f>
        <v/>
      </c>
      <c r="D2378" s="29">
        <f>IFERROR(INDEX($Q$4:$Q$3183,MATCH(SMALL($V$4:$V$3183,2375),$V$4:$V$3183,0)),"")</f>
        <v/>
      </c>
      <c r="E2378" s="29">
        <f>IFERROR(INDEX($R$4:$R$3183,MATCH(SMALL($V$4:$V$3183,2375),$V$4:$V$3183,0)),"")</f>
        <v/>
      </c>
      <c r="F2378">
        <f>IFERROR(INDEX($S$4:$S$3183,MATCH(SMALL($V$4:$V$3183,2375),$V$4:$V$3183,0)),"")</f>
        <v/>
      </c>
      <c r="I2378" s="29">
        <f>IF($B2378="","",IFERROR(INDEX($U$4:$U$3183,MATCH(SMALL($V$4:$V$3183,2375),$V$4:$V$3183,0)),""))</f>
        <v/>
      </c>
      <c r="J2378">
        <f>IF($B2378="","",IF($D2378&gt;$F$2,"À venir",IF($E2378&lt;$D$2,"Passé","Dans la période")))</f>
        <v/>
      </c>
      <c r="K2378">
        <f>IF(OR($B2378="",NOT(ISNUMBER($D2378))),"",IF(AND($E2378&lt;$D$2,$G2378&lt;&gt;"X",$F2378&lt;&gt;"Réalisé",$F2378&lt;&gt;"Clôturé"),"RETARD",""))</f>
        <v/>
      </c>
      <c r="L2378">
        <f>IF(OR($B2378="",NOT(ISNUMBER($D2378))),"",IF(AND($D2378&gt;=$D$2,$D2378&lt;=$H$2,$G2378&lt;&gt;"X",$F2378&lt;&gt;"Réalisé",$F2378&lt;&gt;"Clôturé"),"≤ 7 j",""))</f>
        <v/>
      </c>
      <c r="M2378" s="29">
        <f>IF($B2378="","",IFERROR(INDEX($T$4:$T$3183,MATCH(SMALL($V$4:$V$3183,2375),$V$4:$V$3183,0)),""))</f>
        <v/>
      </c>
      <c r="O2378">
        <f>IF(INDEX(Suivi!$B:$B,2423)="","",INDEX(Suivi!$B:$B,2423))</f>
        <v/>
      </c>
      <c r="P2378">
        <f>IF($O2378="","",IF(INDEX(Suivi!$D:$D,2423)="",INDEX(Suivi!$C:$C,2423),INDEX(Suivi!$D:$D,2423)))</f>
        <v/>
      </c>
      <c r="Q2378">
        <f>IF($O2378="","",INDEX(Suivi!$E:$E,2423))</f>
        <v/>
      </c>
      <c r="R2378">
        <f>IF($O2378="","",INDEX(Suivi!$F:$F,2423))</f>
        <v/>
      </c>
      <c r="S2378">
        <f>IF($O2378="","",INDEX(Suivi!$G:$G,2423))</f>
        <v/>
      </c>
      <c r="T2378">
        <f>IF($O2378="","",IF(INDEX(Dossiers!$F$4:$F$63,45)="","",INDEX(Dossiers!$F$4:$F$63,45)))</f>
        <v/>
      </c>
      <c r="U2378">
        <f>IF($O2378="","",IF(INDEX(Dossiers!$G$4:$G$63,45)="","",INDEX(Dossiers!$G$4:$G$63,45)))</f>
        <v/>
      </c>
      <c r="V2378">
        <f>IF(OR($O2378="",NOT(ISNUMBER($Q2378))),"",$Q2378*1000000+2378)</f>
        <v/>
      </c>
      <c r="W2378" s="29">
        <f>IF($B2378="","",IFERROR(INDEX($U$4:$U$3183,MATCH(SMALL($V$4:$V$3183,2375),$V$4:$V$3183,0)),""))</f>
        <v/>
      </c>
    </row>
    <row r="2379">
      <c r="A2379">
        <f>IFERROR(INDEX($N$4:$N$3183,MATCH(SMALL($V$4:$V$3183,2376),$V$4:$V$3183,0)),"")</f>
        <v/>
      </c>
      <c r="B2379">
        <f>IFERROR(INDEX($O$4:$O$3183,MATCH(SMALL($V$4:$V$3183,2376),$V$4:$V$3183,0)),"")</f>
        <v/>
      </c>
      <c r="C2379">
        <f>IFERROR(INDEX($P$4:$P$3183,MATCH(SMALL($V$4:$V$3183,2376),$V$4:$V$3183,0)),"")</f>
        <v/>
      </c>
      <c r="D2379" s="29">
        <f>IFERROR(INDEX($Q$4:$Q$3183,MATCH(SMALL($V$4:$V$3183,2376),$V$4:$V$3183,0)),"")</f>
        <v/>
      </c>
      <c r="E2379" s="29">
        <f>IFERROR(INDEX($R$4:$R$3183,MATCH(SMALL($V$4:$V$3183,2376),$V$4:$V$3183,0)),"")</f>
        <v/>
      </c>
      <c r="F2379">
        <f>IFERROR(INDEX($S$4:$S$3183,MATCH(SMALL($V$4:$V$3183,2376),$V$4:$V$3183,0)),"")</f>
        <v/>
      </c>
      <c r="I2379" s="29">
        <f>IF($B2379="","",IFERROR(INDEX($U$4:$U$3183,MATCH(SMALL($V$4:$V$3183,2376),$V$4:$V$3183,0)),""))</f>
        <v/>
      </c>
      <c r="J2379">
        <f>IF($B2379="","",IF($D2379&gt;$F$2,"À venir",IF($E2379&lt;$D$2,"Passé","Dans la période")))</f>
        <v/>
      </c>
      <c r="K2379">
        <f>IF(OR($B2379="",NOT(ISNUMBER($D2379))),"",IF(AND($E2379&lt;$D$2,$G2379&lt;&gt;"X",$F2379&lt;&gt;"Réalisé",$F2379&lt;&gt;"Clôturé"),"RETARD",""))</f>
        <v/>
      </c>
      <c r="L2379">
        <f>IF(OR($B2379="",NOT(ISNUMBER($D2379))),"",IF(AND($D2379&gt;=$D$2,$D2379&lt;=$H$2,$G2379&lt;&gt;"X",$F2379&lt;&gt;"Réalisé",$F2379&lt;&gt;"Clôturé"),"≤ 7 j",""))</f>
        <v/>
      </c>
      <c r="M2379" s="29">
        <f>IF($B2379="","",IFERROR(INDEX($T$4:$T$3183,MATCH(SMALL($V$4:$V$3183,2376),$V$4:$V$3183,0)),""))</f>
        <v/>
      </c>
      <c r="O2379">
        <f>IF(INDEX(Suivi!$B:$B,2424)="","",INDEX(Suivi!$B:$B,2424))</f>
        <v/>
      </c>
      <c r="P2379">
        <f>IF($O2379="","",IF(INDEX(Suivi!$D:$D,2424)="",INDEX(Suivi!$C:$C,2424),INDEX(Suivi!$D:$D,2424)))</f>
        <v/>
      </c>
      <c r="Q2379">
        <f>IF($O2379="","",INDEX(Suivi!$E:$E,2424))</f>
        <v/>
      </c>
      <c r="R2379">
        <f>IF($O2379="","",INDEX(Suivi!$F:$F,2424))</f>
        <v/>
      </c>
      <c r="S2379">
        <f>IF($O2379="","",INDEX(Suivi!$G:$G,2424))</f>
        <v/>
      </c>
      <c r="T2379">
        <f>IF($O2379="","",IF(INDEX(Dossiers!$F$4:$F$63,45)="","",INDEX(Dossiers!$F$4:$F$63,45)))</f>
        <v/>
      </c>
      <c r="U2379">
        <f>IF($O2379="","",IF(INDEX(Dossiers!$G$4:$G$63,45)="","",INDEX(Dossiers!$G$4:$G$63,45)))</f>
        <v/>
      </c>
      <c r="V2379">
        <f>IF(OR($O2379="",NOT(ISNUMBER($Q2379))),"",$Q2379*1000000+2379)</f>
        <v/>
      </c>
      <c r="W2379" s="29">
        <f>IF($B2379="","",IFERROR(INDEX($U$4:$U$3183,MATCH(SMALL($V$4:$V$3183,2376),$V$4:$V$3183,0)),""))</f>
        <v/>
      </c>
    </row>
    <row r="2380">
      <c r="A2380">
        <f>IFERROR(INDEX($N$4:$N$3183,MATCH(SMALL($V$4:$V$3183,2377),$V$4:$V$3183,0)),"")</f>
        <v/>
      </c>
      <c r="B2380">
        <f>IFERROR(INDEX($O$4:$O$3183,MATCH(SMALL($V$4:$V$3183,2377),$V$4:$V$3183,0)),"")</f>
        <v/>
      </c>
      <c r="C2380">
        <f>IFERROR(INDEX($P$4:$P$3183,MATCH(SMALL($V$4:$V$3183,2377),$V$4:$V$3183,0)),"")</f>
        <v/>
      </c>
      <c r="D2380" s="29">
        <f>IFERROR(INDEX($Q$4:$Q$3183,MATCH(SMALL($V$4:$V$3183,2377),$V$4:$V$3183,0)),"")</f>
        <v/>
      </c>
      <c r="E2380" s="29">
        <f>IFERROR(INDEX($R$4:$R$3183,MATCH(SMALL($V$4:$V$3183,2377),$V$4:$V$3183,0)),"")</f>
        <v/>
      </c>
      <c r="F2380">
        <f>IFERROR(INDEX($S$4:$S$3183,MATCH(SMALL($V$4:$V$3183,2377),$V$4:$V$3183,0)),"")</f>
        <v/>
      </c>
      <c r="I2380" s="29">
        <f>IF($B2380="","",IFERROR(INDEX($U$4:$U$3183,MATCH(SMALL($V$4:$V$3183,2377),$V$4:$V$3183,0)),""))</f>
        <v/>
      </c>
      <c r="J2380">
        <f>IF($B2380="","",IF($D2380&gt;$F$2,"À venir",IF($E2380&lt;$D$2,"Passé","Dans la période")))</f>
        <v/>
      </c>
      <c r="K2380">
        <f>IF(OR($B2380="",NOT(ISNUMBER($D2380))),"",IF(AND($E2380&lt;$D$2,$G2380&lt;&gt;"X",$F2380&lt;&gt;"Réalisé",$F2380&lt;&gt;"Clôturé"),"RETARD",""))</f>
        <v/>
      </c>
      <c r="L2380">
        <f>IF(OR($B2380="",NOT(ISNUMBER($D2380))),"",IF(AND($D2380&gt;=$D$2,$D2380&lt;=$H$2,$G2380&lt;&gt;"X",$F2380&lt;&gt;"Réalisé",$F2380&lt;&gt;"Clôturé"),"≤ 7 j",""))</f>
        <v/>
      </c>
      <c r="M2380" s="29">
        <f>IF($B2380="","",IFERROR(INDEX($T$4:$T$3183,MATCH(SMALL($V$4:$V$3183,2377),$V$4:$V$3183,0)),""))</f>
        <v/>
      </c>
      <c r="O2380">
        <f>IF(INDEX(Suivi!$B:$B,2425)="","",INDEX(Suivi!$B:$B,2425))</f>
        <v/>
      </c>
      <c r="P2380">
        <f>IF($O2380="","",IF(INDEX(Suivi!$D:$D,2425)="",INDEX(Suivi!$C:$C,2425),INDEX(Suivi!$D:$D,2425)))</f>
        <v/>
      </c>
      <c r="Q2380">
        <f>IF($O2380="","",INDEX(Suivi!$E:$E,2425))</f>
        <v/>
      </c>
      <c r="R2380">
        <f>IF($O2380="","",INDEX(Suivi!$F:$F,2425))</f>
        <v/>
      </c>
      <c r="S2380">
        <f>IF($O2380="","",INDEX(Suivi!$G:$G,2425))</f>
        <v/>
      </c>
      <c r="T2380">
        <f>IF($O2380="","",IF(INDEX(Dossiers!$F$4:$F$63,45)="","",INDEX(Dossiers!$F$4:$F$63,45)))</f>
        <v/>
      </c>
      <c r="U2380">
        <f>IF($O2380="","",IF(INDEX(Dossiers!$G$4:$G$63,45)="","",INDEX(Dossiers!$G$4:$G$63,45)))</f>
        <v/>
      </c>
      <c r="V2380">
        <f>IF(OR($O2380="",NOT(ISNUMBER($Q2380))),"",$Q2380*1000000+2380)</f>
        <v/>
      </c>
      <c r="W2380" s="29">
        <f>IF($B2380="","",IFERROR(INDEX($U$4:$U$3183,MATCH(SMALL($V$4:$V$3183,2377),$V$4:$V$3183,0)),""))</f>
        <v/>
      </c>
    </row>
    <row r="2381">
      <c r="A2381">
        <f>IFERROR(INDEX($N$4:$N$3183,MATCH(SMALL($V$4:$V$3183,2378),$V$4:$V$3183,0)),"")</f>
        <v/>
      </c>
      <c r="B2381">
        <f>IFERROR(INDEX($O$4:$O$3183,MATCH(SMALL($V$4:$V$3183,2378),$V$4:$V$3183,0)),"")</f>
        <v/>
      </c>
      <c r="C2381">
        <f>IFERROR(INDEX($P$4:$P$3183,MATCH(SMALL($V$4:$V$3183,2378),$V$4:$V$3183,0)),"")</f>
        <v/>
      </c>
      <c r="D2381" s="29">
        <f>IFERROR(INDEX($Q$4:$Q$3183,MATCH(SMALL($V$4:$V$3183,2378),$V$4:$V$3183,0)),"")</f>
        <v/>
      </c>
      <c r="E2381" s="29">
        <f>IFERROR(INDEX($R$4:$R$3183,MATCH(SMALL($V$4:$V$3183,2378),$V$4:$V$3183,0)),"")</f>
        <v/>
      </c>
      <c r="F2381">
        <f>IFERROR(INDEX($S$4:$S$3183,MATCH(SMALL($V$4:$V$3183,2378),$V$4:$V$3183,0)),"")</f>
        <v/>
      </c>
      <c r="I2381" s="29">
        <f>IF($B2381="","",IFERROR(INDEX($U$4:$U$3183,MATCH(SMALL($V$4:$V$3183,2378),$V$4:$V$3183,0)),""))</f>
        <v/>
      </c>
      <c r="J2381">
        <f>IF($B2381="","",IF($D2381&gt;$F$2,"À venir",IF($E2381&lt;$D$2,"Passé","Dans la période")))</f>
        <v/>
      </c>
      <c r="K2381">
        <f>IF(OR($B2381="",NOT(ISNUMBER($D2381))),"",IF(AND($E2381&lt;$D$2,$G2381&lt;&gt;"X",$F2381&lt;&gt;"Réalisé",$F2381&lt;&gt;"Clôturé"),"RETARD",""))</f>
        <v/>
      </c>
      <c r="L2381">
        <f>IF(OR($B2381="",NOT(ISNUMBER($D2381))),"",IF(AND($D2381&gt;=$D$2,$D2381&lt;=$H$2,$G2381&lt;&gt;"X",$F2381&lt;&gt;"Réalisé",$F2381&lt;&gt;"Clôturé"),"≤ 7 j",""))</f>
        <v/>
      </c>
      <c r="M2381" s="29">
        <f>IF($B2381="","",IFERROR(INDEX($T$4:$T$3183,MATCH(SMALL($V$4:$V$3183,2378),$V$4:$V$3183,0)),""))</f>
        <v/>
      </c>
      <c r="O2381">
        <f>IF(INDEX(Suivi!$B:$B,2426)="","",INDEX(Suivi!$B:$B,2426))</f>
        <v/>
      </c>
      <c r="P2381">
        <f>IF($O2381="","",IF(INDEX(Suivi!$D:$D,2426)="",INDEX(Suivi!$C:$C,2426),INDEX(Suivi!$D:$D,2426)))</f>
        <v/>
      </c>
      <c r="Q2381">
        <f>IF($O2381="","",INDEX(Suivi!$E:$E,2426))</f>
        <v/>
      </c>
      <c r="R2381">
        <f>IF($O2381="","",INDEX(Suivi!$F:$F,2426))</f>
        <v/>
      </c>
      <c r="S2381">
        <f>IF($O2381="","",INDEX(Suivi!$G:$G,2426))</f>
        <v/>
      </c>
      <c r="T2381">
        <f>IF($O2381="","",IF(INDEX(Dossiers!$F$4:$F$63,45)="","",INDEX(Dossiers!$F$4:$F$63,45)))</f>
        <v/>
      </c>
      <c r="U2381">
        <f>IF($O2381="","",IF(INDEX(Dossiers!$G$4:$G$63,45)="","",INDEX(Dossiers!$G$4:$G$63,45)))</f>
        <v/>
      </c>
      <c r="V2381">
        <f>IF(OR($O2381="",NOT(ISNUMBER($Q2381))),"",$Q2381*1000000+2381)</f>
        <v/>
      </c>
      <c r="W2381" s="29">
        <f>IF($B2381="","",IFERROR(INDEX($U$4:$U$3183,MATCH(SMALL($V$4:$V$3183,2378),$V$4:$V$3183,0)),""))</f>
        <v/>
      </c>
    </row>
    <row r="2382">
      <c r="A2382">
        <f>IFERROR(INDEX($N$4:$N$3183,MATCH(SMALL($V$4:$V$3183,2379),$V$4:$V$3183,0)),"")</f>
        <v/>
      </c>
      <c r="B2382">
        <f>IFERROR(INDEX($O$4:$O$3183,MATCH(SMALL($V$4:$V$3183,2379),$V$4:$V$3183,0)),"")</f>
        <v/>
      </c>
      <c r="C2382">
        <f>IFERROR(INDEX($P$4:$P$3183,MATCH(SMALL($V$4:$V$3183,2379),$V$4:$V$3183,0)),"")</f>
        <v/>
      </c>
      <c r="D2382" s="29">
        <f>IFERROR(INDEX($Q$4:$Q$3183,MATCH(SMALL($V$4:$V$3183,2379),$V$4:$V$3183,0)),"")</f>
        <v/>
      </c>
      <c r="E2382" s="29">
        <f>IFERROR(INDEX($R$4:$R$3183,MATCH(SMALL($V$4:$V$3183,2379),$V$4:$V$3183,0)),"")</f>
        <v/>
      </c>
      <c r="F2382">
        <f>IFERROR(INDEX($S$4:$S$3183,MATCH(SMALL($V$4:$V$3183,2379),$V$4:$V$3183,0)),"")</f>
        <v/>
      </c>
      <c r="I2382" s="29">
        <f>IF($B2382="","",IFERROR(INDEX($U$4:$U$3183,MATCH(SMALL($V$4:$V$3183,2379),$V$4:$V$3183,0)),""))</f>
        <v/>
      </c>
      <c r="J2382">
        <f>IF($B2382="","",IF($D2382&gt;$F$2,"À venir",IF($E2382&lt;$D$2,"Passé","Dans la période")))</f>
        <v/>
      </c>
      <c r="K2382">
        <f>IF(OR($B2382="",NOT(ISNUMBER($D2382))),"",IF(AND($E2382&lt;$D$2,$G2382&lt;&gt;"X",$F2382&lt;&gt;"Réalisé",$F2382&lt;&gt;"Clôturé"),"RETARD",""))</f>
        <v/>
      </c>
      <c r="L2382">
        <f>IF(OR($B2382="",NOT(ISNUMBER($D2382))),"",IF(AND($D2382&gt;=$D$2,$D2382&lt;=$H$2,$G2382&lt;&gt;"X",$F2382&lt;&gt;"Réalisé",$F2382&lt;&gt;"Clôturé"),"≤ 7 j",""))</f>
        <v/>
      </c>
      <c r="M2382" s="29">
        <f>IF($B2382="","",IFERROR(INDEX($T$4:$T$3183,MATCH(SMALL($V$4:$V$3183,2379),$V$4:$V$3183,0)),""))</f>
        <v/>
      </c>
      <c r="O2382">
        <f>IF(INDEX(Suivi!$B:$B,2427)="","",INDEX(Suivi!$B:$B,2427))</f>
        <v/>
      </c>
      <c r="P2382">
        <f>IF($O2382="","",IF(INDEX(Suivi!$D:$D,2427)="",INDEX(Suivi!$C:$C,2427),INDEX(Suivi!$D:$D,2427)))</f>
        <v/>
      </c>
      <c r="Q2382">
        <f>IF($O2382="","",INDEX(Suivi!$E:$E,2427))</f>
        <v/>
      </c>
      <c r="R2382">
        <f>IF($O2382="","",INDEX(Suivi!$F:$F,2427))</f>
        <v/>
      </c>
      <c r="S2382">
        <f>IF($O2382="","",INDEX(Suivi!$G:$G,2427))</f>
        <v/>
      </c>
      <c r="T2382">
        <f>IF($O2382="","",IF(INDEX(Dossiers!$F$4:$F$63,45)="","",INDEX(Dossiers!$F$4:$F$63,45)))</f>
        <v/>
      </c>
      <c r="U2382">
        <f>IF($O2382="","",IF(INDEX(Dossiers!$G$4:$G$63,45)="","",INDEX(Dossiers!$G$4:$G$63,45)))</f>
        <v/>
      </c>
      <c r="V2382">
        <f>IF(OR($O2382="",NOT(ISNUMBER($Q2382))),"",$Q2382*1000000+2382)</f>
        <v/>
      </c>
      <c r="W2382" s="29">
        <f>IF($B2382="","",IFERROR(INDEX($U$4:$U$3183,MATCH(SMALL($V$4:$V$3183,2379),$V$4:$V$3183,0)),""))</f>
        <v/>
      </c>
    </row>
    <row r="2383">
      <c r="A2383">
        <f>IFERROR(INDEX($N$4:$N$3183,MATCH(SMALL($V$4:$V$3183,2380),$V$4:$V$3183,0)),"")</f>
        <v/>
      </c>
      <c r="B2383">
        <f>IFERROR(INDEX($O$4:$O$3183,MATCH(SMALL($V$4:$V$3183,2380),$V$4:$V$3183,0)),"")</f>
        <v/>
      </c>
      <c r="C2383">
        <f>IFERROR(INDEX($P$4:$P$3183,MATCH(SMALL($V$4:$V$3183,2380),$V$4:$V$3183,0)),"")</f>
        <v/>
      </c>
      <c r="D2383" s="29">
        <f>IFERROR(INDEX($Q$4:$Q$3183,MATCH(SMALL($V$4:$V$3183,2380),$V$4:$V$3183,0)),"")</f>
        <v/>
      </c>
      <c r="E2383" s="29">
        <f>IFERROR(INDEX($R$4:$R$3183,MATCH(SMALL($V$4:$V$3183,2380),$V$4:$V$3183,0)),"")</f>
        <v/>
      </c>
      <c r="F2383">
        <f>IFERROR(INDEX($S$4:$S$3183,MATCH(SMALL($V$4:$V$3183,2380),$V$4:$V$3183,0)),"")</f>
        <v/>
      </c>
      <c r="I2383" s="29">
        <f>IF($B2383="","",IFERROR(INDEX($U$4:$U$3183,MATCH(SMALL($V$4:$V$3183,2380),$V$4:$V$3183,0)),""))</f>
        <v/>
      </c>
      <c r="J2383">
        <f>IF($B2383="","",IF($D2383&gt;$F$2,"À venir",IF($E2383&lt;$D$2,"Passé","Dans la période")))</f>
        <v/>
      </c>
      <c r="K2383">
        <f>IF(OR($B2383="",NOT(ISNUMBER($D2383))),"",IF(AND($E2383&lt;$D$2,$G2383&lt;&gt;"X",$F2383&lt;&gt;"Réalisé",$F2383&lt;&gt;"Clôturé"),"RETARD",""))</f>
        <v/>
      </c>
      <c r="L2383">
        <f>IF(OR($B2383="",NOT(ISNUMBER($D2383))),"",IF(AND($D2383&gt;=$D$2,$D2383&lt;=$H$2,$G2383&lt;&gt;"X",$F2383&lt;&gt;"Réalisé",$F2383&lt;&gt;"Clôturé"),"≤ 7 j",""))</f>
        <v/>
      </c>
      <c r="M2383" s="29">
        <f>IF($B2383="","",IFERROR(INDEX($T$4:$T$3183,MATCH(SMALL($V$4:$V$3183,2380),$V$4:$V$3183,0)),""))</f>
        <v/>
      </c>
      <c r="O2383">
        <f>IF(INDEX(Suivi!$B:$B,2428)="","",INDEX(Suivi!$B:$B,2428))</f>
        <v/>
      </c>
      <c r="P2383">
        <f>IF($O2383="","",IF(INDEX(Suivi!$D:$D,2428)="",INDEX(Suivi!$C:$C,2428),INDEX(Suivi!$D:$D,2428)))</f>
        <v/>
      </c>
      <c r="Q2383">
        <f>IF($O2383="","",INDEX(Suivi!$E:$E,2428))</f>
        <v/>
      </c>
      <c r="R2383">
        <f>IF($O2383="","",INDEX(Suivi!$F:$F,2428))</f>
        <v/>
      </c>
      <c r="S2383">
        <f>IF($O2383="","",INDEX(Suivi!$G:$G,2428))</f>
        <v/>
      </c>
      <c r="T2383">
        <f>IF($O2383="","",IF(INDEX(Dossiers!$F$4:$F$63,45)="","",INDEX(Dossiers!$F$4:$F$63,45)))</f>
        <v/>
      </c>
      <c r="U2383">
        <f>IF($O2383="","",IF(INDEX(Dossiers!$G$4:$G$63,45)="","",INDEX(Dossiers!$G$4:$G$63,45)))</f>
        <v/>
      </c>
      <c r="V2383">
        <f>IF(OR($O2383="",NOT(ISNUMBER($Q2383))),"",$Q2383*1000000+2383)</f>
        <v/>
      </c>
      <c r="W2383" s="29">
        <f>IF($B2383="","",IFERROR(INDEX($U$4:$U$3183,MATCH(SMALL($V$4:$V$3183,2380),$V$4:$V$3183,0)),""))</f>
        <v/>
      </c>
    </row>
    <row r="2384">
      <c r="A2384">
        <f>IFERROR(INDEX($N$4:$N$3183,MATCH(SMALL($V$4:$V$3183,2381),$V$4:$V$3183,0)),"")</f>
        <v/>
      </c>
      <c r="B2384">
        <f>IFERROR(INDEX($O$4:$O$3183,MATCH(SMALL($V$4:$V$3183,2381),$V$4:$V$3183,0)),"")</f>
        <v/>
      </c>
      <c r="C2384">
        <f>IFERROR(INDEX($P$4:$P$3183,MATCH(SMALL($V$4:$V$3183,2381),$V$4:$V$3183,0)),"")</f>
        <v/>
      </c>
      <c r="D2384" s="29">
        <f>IFERROR(INDEX($Q$4:$Q$3183,MATCH(SMALL($V$4:$V$3183,2381),$V$4:$V$3183,0)),"")</f>
        <v/>
      </c>
      <c r="E2384" s="29">
        <f>IFERROR(INDEX($R$4:$R$3183,MATCH(SMALL($V$4:$V$3183,2381),$V$4:$V$3183,0)),"")</f>
        <v/>
      </c>
      <c r="F2384">
        <f>IFERROR(INDEX($S$4:$S$3183,MATCH(SMALL($V$4:$V$3183,2381),$V$4:$V$3183,0)),"")</f>
        <v/>
      </c>
      <c r="I2384" s="29">
        <f>IF($B2384="","",IFERROR(INDEX($U$4:$U$3183,MATCH(SMALL($V$4:$V$3183,2381),$V$4:$V$3183,0)),""))</f>
        <v/>
      </c>
      <c r="J2384">
        <f>IF($B2384="","",IF($D2384&gt;$F$2,"À venir",IF($E2384&lt;$D$2,"Passé","Dans la période")))</f>
        <v/>
      </c>
      <c r="K2384">
        <f>IF(OR($B2384="",NOT(ISNUMBER($D2384))),"",IF(AND($E2384&lt;$D$2,$G2384&lt;&gt;"X",$F2384&lt;&gt;"Réalisé",$F2384&lt;&gt;"Clôturé"),"RETARD",""))</f>
        <v/>
      </c>
      <c r="L2384">
        <f>IF(OR($B2384="",NOT(ISNUMBER($D2384))),"",IF(AND($D2384&gt;=$D$2,$D2384&lt;=$H$2,$G2384&lt;&gt;"X",$F2384&lt;&gt;"Réalisé",$F2384&lt;&gt;"Clôturé"),"≤ 7 j",""))</f>
        <v/>
      </c>
      <c r="M2384" s="29">
        <f>IF($B2384="","",IFERROR(INDEX($T$4:$T$3183,MATCH(SMALL($V$4:$V$3183,2381),$V$4:$V$3183,0)),""))</f>
        <v/>
      </c>
      <c r="O2384">
        <f>IF(INDEX(Suivi!$B:$B,2429)="","",INDEX(Suivi!$B:$B,2429))</f>
        <v/>
      </c>
      <c r="P2384">
        <f>IF($O2384="","",IF(INDEX(Suivi!$D:$D,2429)="",INDEX(Suivi!$C:$C,2429),INDEX(Suivi!$D:$D,2429)))</f>
        <v/>
      </c>
      <c r="Q2384">
        <f>IF($O2384="","",INDEX(Suivi!$E:$E,2429))</f>
        <v/>
      </c>
      <c r="R2384">
        <f>IF($O2384="","",INDEX(Suivi!$F:$F,2429))</f>
        <v/>
      </c>
      <c r="S2384">
        <f>IF($O2384="","",INDEX(Suivi!$G:$G,2429))</f>
        <v/>
      </c>
      <c r="T2384">
        <f>IF($O2384="","",IF(INDEX(Dossiers!$F$4:$F$63,45)="","",INDEX(Dossiers!$F$4:$F$63,45)))</f>
        <v/>
      </c>
      <c r="U2384">
        <f>IF($O2384="","",IF(INDEX(Dossiers!$G$4:$G$63,45)="","",INDEX(Dossiers!$G$4:$G$63,45)))</f>
        <v/>
      </c>
      <c r="V2384">
        <f>IF(OR($O2384="",NOT(ISNUMBER($Q2384))),"",$Q2384*1000000+2384)</f>
        <v/>
      </c>
      <c r="W2384" s="29">
        <f>IF($B2384="","",IFERROR(INDEX($U$4:$U$3183,MATCH(SMALL($V$4:$V$3183,2381),$V$4:$V$3183,0)),""))</f>
        <v/>
      </c>
    </row>
    <row r="2385">
      <c r="A2385">
        <f>IFERROR(INDEX($N$4:$N$3183,MATCH(SMALL($V$4:$V$3183,2382),$V$4:$V$3183,0)),"")</f>
        <v/>
      </c>
      <c r="B2385">
        <f>IFERROR(INDEX($O$4:$O$3183,MATCH(SMALL($V$4:$V$3183,2382),$V$4:$V$3183,0)),"")</f>
        <v/>
      </c>
      <c r="C2385">
        <f>IFERROR(INDEX($P$4:$P$3183,MATCH(SMALL($V$4:$V$3183,2382),$V$4:$V$3183,0)),"")</f>
        <v/>
      </c>
      <c r="D2385" s="29">
        <f>IFERROR(INDEX($Q$4:$Q$3183,MATCH(SMALL($V$4:$V$3183,2382),$V$4:$V$3183,0)),"")</f>
        <v/>
      </c>
      <c r="E2385" s="29">
        <f>IFERROR(INDEX($R$4:$R$3183,MATCH(SMALL($V$4:$V$3183,2382),$V$4:$V$3183,0)),"")</f>
        <v/>
      </c>
      <c r="F2385">
        <f>IFERROR(INDEX($S$4:$S$3183,MATCH(SMALL($V$4:$V$3183,2382),$V$4:$V$3183,0)),"")</f>
        <v/>
      </c>
      <c r="I2385" s="29">
        <f>IF($B2385="","",IFERROR(INDEX($U$4:$U$3183,MATCH(SMALL($V$4:$V$3183,2382),$V$4:$V$3183,0)),""))</f>
        <v/>
      </c>
      <c r="J2385">
        <f>IF($B2385="","",IF($D2385&gt;$F$2,"À venir",IF($E2385&lt;$D$2,"Passé","Dans la période")))</f>
        <v/>
      </c>
      <c r="K2385">
        <f>IF(OR($B2385="",NOT(ISNUMBER($D2385))),"",IF(AND($E2385&lt;$D$2,$G2385&lt;&gt;"X",$F2385&lt;&gt;"Réalisé",$F2385&lt;&gt;"Clôturé"),"RETARD",""))</f>
        <v/>
      </c>
      <c r="L2385">
        <f>IF(OR($B2385="",NOT(ISNUMBER($D2385))),"",IF(AND($D2385&gt;=$D$2,$D2385&lt;=$H$2,$G2385&lt;&gt;"X",$F2385&lt;&gt;"Réalisé",$F2385&lt;&gt;"Clôturé"),"≤ 7 j",""))</f>
        <v/>
      </c>
      <c r="M2385" s="29">
        <f>IF($B2385="","",IFERROR(INDEX($T$4:$T$3183,MATCH(SMALL($V$4:$V$3183,2382),$V$4:$V$3183,0)),""))</f>
        <v/>
      </c>
      <c r="O2385">
        <f>IF(INDEX(Suivi!$B:$B,2430)="","",INDEX(Suivi!$B:$B,2430))</f>
        <v/>
      </c>
      <c r="P2385">
        <f>IF($O2385="","",IF(INDEX(Suivi!$D:$D,2430)="",INDEX(Suivi!$C:$C,2430),INDEX(Suivi!$D:$D,2430)))</f>
        <v/>
      </c>
      <c r="Q2385">
        <f>IF($O2385="","",INDEX(Suivi!$E:$E,2430))</f>
        <v/>
      </c>
      <c r="R2385">
        <f>IF($O2385="","",INDEX(Suivi!$F:$F,2430))</f>
        <v/>
      </c>
      <c r="S2385">
        <f>IF($O2385="","",INDEX(Suivi!$G:$G,2430))</f>
        <v/>
      </c>
      <c r="T2385">
        <f>IF($O2385="","",IF(INDEX(Dossiers!$F$4:$F$63,45)="","",INDEX(Dossiers!$F$4:$F$63,45)))</f>
        <v/>
      </c>
      <c r="U2385">
        <f>IF($O2385="","",IF(INDEX(Dossiers!$G$4:$G$63,45)="","",INDEX(Dossiers!$G$4:$G$63,45)))</f>
        <v/>
      </c>
      <c r="V2385">
        <f>IF(OR($O2385="",NOT(ISNUMBER($Q2385))),"",$Q2385*1000000+2385)</f>
        <v/>
      </c>
      <c r="W2385" s="29">
        <f>IF($B2385="","",IFERROR(INDEX($U$4:$U$3183,MATCH(SMALL($V$4:$V$3183,2382),$V$4:$V$3183,0)),""))</f>
        <v/>
      </c>
    </row>
    <row r="2386">
      <c r="A2386">
        <f>IFERROR(INDEX($N$4:$N$3183,MATCH(SMALL($V$4:$V$3183,2383),$V$4:$V$3183,0)),"")</f>
        <v/>
      </c>
      <c r="B2386">
        <f>IFERROR(INDEX($O$4:$O$3183,MATCH(SMALL($V$4:$V$3183,2383),$V$4:$V$3183,0)),"")</f>
        <v/>
      </c>
      <c r="C2386">
        <f>IFERROR(INDEX($P$4:$P$3183,MATCH(SMALL($V$4:$V$3183,2383),$V$4:$V$3183,0)),"")</f>
        <v/>
      </c>
      <c r="D2386" s="29">
        <f>IFERROR(INDEX($Q$4:$Q$3183,MATCH(SMALL($V$4:$V$3183,2383),$V$4:$V$3183,0)),"")</f>
        <v/>
      </c>
      <c r="E2386" s="29">
        <f>IFERROR(INDEX($R$4:$R$3183,MATCH(SMALL($V$4:$V$3183,2383),$V$4:$V$3183,0)),"")</f>
        <v/>
      </c>
      <c r="F2386">
        <f>IFERROR(INDEX($S$4:$S$3183,MATCH(SMALL($V$4:$V$3183,2383),$V$4:$V$3183,0)),"")</f>
        <v/>
      </c>
      <c r="I2386" s="29">
        <f>IF($B2386="","",IFERROR(INDEX($U$4:$U$3183,MATCH(SMALL($V$4:$V$3183,2383),$V$4:$V$3183,0)),""))</f>
        <v/>
      </c>
      <c r="J2386">
        <f>IF($B2386="","",IF($D2386&gt;$F$2,"À venir",IF($E2386&lt;$D$2,"Passé","Dans la période")))</f>
        <v/>
      </c>
      <c r="K2386">
        <f>IF(OR($B2386="",NOT(ISNUMBER($D2386))),"",IF(AND($E2386&lt;$D$2,$G2386&lt;&gt;"X",$F2386&lt;&gt;"Réalisé",$F2386&lt;&gt;"Clôturé"),"RETARD",""))</f>
        <v/>
      </c>
      <c r="L2386">
        <f>IF(OR($B2386="",NOT(ISNUMBER($D2386))),"",IF(AND($D2386&gt;=$D$2,$D2386&lt;=$H$2,$G2386&lt;&gt;"X",$F2386&lt;&gt;"Réalisé",$F2386&lt;&gt;"Clôturé"),"≤ 7 j",""))</f>
        <v/>
      </c>
      <c r="M2386" s="29">
        <f>IF($B2386="","",IFERROR(INDEX($T$4:$T$3183,MATCH(SMALL($V$4:$V$3183,2383),$V$4:$V$3183,0)),""))</f>
        <v/>
      </c>
      <c r="O2386">
        <f>IF(INDEX(Suivi!$B:$B,2431)="","",INDEX(Suivi!$B:$B,2431))</f>
        <v/>
      </c>
      <c r="P2386">
        <f>IF($O2386="","",IF(INDEX(Suivi!$D:$D,2431)="",INDEX(Suivi!$C:$C,2431),INDEX(Suivi!$D:$D,2431)))</f>
        <v/>
      </c>
      <c r="Q2386">
        <f>IF($O2386="","",INDEX(Suivi!$E:$E,2431))</f>
        <v/>
      </c>
      <c r="R2386">
        <f>IF($O2386="","",INDEX(Suivi!$F:$F,2431))</f>
        <v/>
      </c>
      <c r="S2386">
        <f>IF($O2386="","",INDEX(Suivi!$G:$G,2431))</f>
        <v/>
      </c>
      <c r="T2386">
        <f>IF($O2386="","",IF(INDEX(Dossiers!$F$4:$F$63,45)="","",INDEX(Dossiers!$F$4:$F$63,45)))</f>
        <v/>
      </c>
      <c r="U2386">
        <f>IF($O2386="","",IF(INDEX(Dossiers!$G$4:$G$63,45)="","",INDEX(Dossiers!$G$4:$G$63,45)))</f>
        <v/>
      </c>
      <c r="V2386">
        <f>IF(OR($O2386="",NOT(ISNUMBER($Q2386))),"",$Q2386*1000000+2386)</f>
        <v/>
      </c>
      <c r="W2386" s="29">
        <f>IF($B2386="","",IFERROR(INDEX($U$4:$U$3183,MATCH(SMALL($V$4:$V$3183,2383),$V$4:$V$3183,0)),""))</f>
        <v/>
      </c>
    </row>
    <row r="2387">
      <c r="A2387">
        <f>IFERROR(INDEX($N$4:$N$3183,MATCH(SMALL($V$4:$V$3183,2384),$V$4:$V$3183,0)),"")</f>
        <v/>
      </c>
      <c r="B2387">
        <f>IFERROR(INDEX($O$4:$O$3183,MATCH(SMALL($V$4:$V$3183,2384),$V$4:$V$3183,0)),"")</f>
        <v/>
      </c>
      <c r="C2387">
        <f>IFERROR(INDEX($P$4:$P$3183,MATCH(SMALL($V$4:$V$3183,2384),$V$4:$V$3183,0)),"")</f>
        <v/>
      </c>
      <c r="D2387" s="29">
        <f>IFERROR(INDEX($Q$4:$Q$3183,MATCH(SMALL($V$4:$V$3183,2384),$V$4:$V$3183,0)),"")</f>
        <v/>
      </c>
      <c r="E2387" s="29">
        <f>IFERROR(INDEX($R$4:$R$3183,MATCH(SMALL($V$4:$V$3183,2384),$V$4:$V$3183,0)),"")</f>
        <v/>
      </c>
      <c r="F2387">
        <f>IFERROR(INDEX($S$4:$S$3183,MATCH(SMALL($V$4:$V$3183,2384),$V$4:$V$3183,0)),"")</f>
        <v/>
      </c>
      <c r="I2387" s="29">
        <f>IF($B2387="","",IFERROR(INDEX($U$4:$U$3183,MATCH(SMALL($V$4:$V$3183,2384),$V$4:$V$3183,0)),""))</f>
        <v/>
      </c>
      <c r="J2387">
        <f>IF($B2387="","",IF($D2387&gt;$F$2,"À venir",IF($E2387&lt;$D$2,"Passé","Dans la période")))</f>
        <v/>
      </c>
      <c r="K2387">
        <f>IF(OR($B2387="",NOT(ISNUMBER($D2387))),"",IF(AND($E2387&lt;$D$2,$G2387&lt;&gt;"X",$F2387&lt;&gt;"Réalisé",$F2387&lt;&gt;"Clôturé"),"RETARD",""))</f>
        <v/>
      </c>
      <c r="L2387">
        <f>IF(OR($B2387="",NOT(ISNUMBER($D2387))),"",IF(AND($D2387&gt;=$D$2,$D2387&lt;=$H$2,$G2387&lt;&gt;"X",$F2387&lt;&gt;"Réalisé",$F2387&lt;&gt;"Clôturé"),"≤ 7 j",""))</f>
        <v/>
      </c>
      <c r="M2387" s="29">
        <f>IF($B2387="","",IFERROR(INDEX($T$4:$T$3183,MATCH(SMALL($V$4:$V$3183,2384),$V$4:$V$3183,0)),""))</f>
        <v/>
      </c>
      <c r="O2387">
        <f>IF(INDEX(Suivi!$B:$B,2432)="","",INDEX(Suivi!$B:$B,2432))</f>
        <v/>
      </c>
      <c r="P2387">
        <f>IF($O2387="","",IF(INDEX(Suivi!$D:$D,2432)="",INDEX(Suivi!$C:$C,2432),INDEX(Suivi!$D:$D,2432)))</f>
        <v/>
      </c>
      <c r="Q2387">
        <f>IF($O2387="","",INDEX(Suivi!$E:$E,2432))</f>
        <v/>
      </c>
      <c r="R2387">
        <f>IF($O2387="","",INDEX(Suivi!$F:$F,2432))</f>
        <v/>
      </c>
      <c r="S2387">
        <f>IF($O2387="","",INDEX(Suivi!$G:$G,2432))</f>
        <v/>
      </c>
      <c r="T2387">
        <f>IF($O2387="","",IF(INDEX(Dossiers!$F$4:$F$63,45)="","",INDEX(Dossiers!$F$4:$F$63,45)))</f>
        <v/>
      </c>
      <c r="U2387">
        <f>IF($O2387="","",IF(INDEX(Dossiers!$G$4:$G$63,45)="","",INDEX(Dossiers!$G$4:$G$63,45)))</f>
        <v/>
      </c>
      <c r="V2387">
        <f>IF(OR($O2387="",NOT(ISNUMBER($Q2387))),"",$Q2387*1000000+2387)</f>
        <v/>
      </c>
      <c r="W2387" s="29">
        <f>IF($B2387="","",IFERROR(INDEX($U$4:$U$3183,MATCH(SMALL($V$4:$V$3183,2384),$V$4:$V$3183,0)),""))</f>
        <v/>
      </c>
    </row>
    <row r="2388">
      <c r="A2388">
        <f>IFERROR(INDEX($N$4:$N$3183,MATCH(SMALL($V$4:$V$3183,2385),$V$4:$V$3183,0)),"")</f>
        <v/>
      </c>
      <c r="B2388">
        <f>IFERROR(INDEX($O$4:$O$3183,MATCH(SMALL($V$4:$V$3183,2385),$V$4:$V$3183,0)),"")</f>
        <v/>
      </c>
      <c r="C2388">
        <f>IFERROR(INDEX($P$4:$P$3183,MATCH(SMALL($V$4:$V$3183,2385),$V$4:$V$3183,0)),"")</f>
        <v/>
      </c>
      <c r="D2388" s="29">
        <f>IFERROR(INDEX($Q$4:$Q$3183,MATCH(SMALL($V$4:$V$3183,2385),$V$4:$V$3183,0)),"")</f>
        <v/>
      </c>
      <c r="E2388" s="29">
        <f>IFERROR(INDEX($R$4:$R$3183,MATCH(SMALL($V$4:$V$3183,2385),$V$4:$V$3183,0)),"")</f>
        <v/>
      </c>
      <c r="F2388">
        <f>IFERROR(INDEX($S$4:$S$3183,MATCH(SMALL($V$4:$V$3183,2385),$V$4:$V$3183,0)),"")</f>
        <v/>
      </c>
      <c r="I2388" s="29">
        <f>IF($B2388="","",IFERROR(INDEX($U$4:$U$3183,MATCH(SMALL($V$4:$V$3183,2385),$V$4:$V$3183,0)),""))</f>
        <v/>
      </c>
      <c r="J2388">
        <f>IF($B2388="","",IF($D2388&gt;$F$2,"À venir",IF($E2388&lt;$D$2,"Passé","Dans la période")))</f>
        <v/>
      </c>
      <c r="K2388">
        <f>IF(OR($B2388="",NOT(ISNUMBER($D2388))),"",IF(AND($E2388&lt;$D$2,$G2388&lt;&gt;"X",$F2388&lt;&gt;"Réalisé",$F2388&lt;&gt;"Clôturé"),"RETARD",""))</f>
        <v/>
      </c>
      <c r="L2388">
        <f>IF(OR($B2388="",NOT(ISNUMBER($D2388))),"",IF(AND($D2388&gt;=$D$2,$D2388&lt;=$H$2,$G2388&lt;&gt;"X",$F2388&lt;&gt;"Réalisé",$F2388&lt;&gt;"Clôturé"),"≤ 7 j",""))</f>
        <v/>
      </c>
      <c r="M2388" s="29">
        <f>IF($B2388="","",IFERROR(INDEX($T$4:$T$3183,MATCH(SMALL($V$4:$V$3183,2385),$V$4:$V$3183,0)),""))</f>
        <v/>
      </c>
      <c r="O2388">
        <f>IF(INDEX(Suivi!$B:$B,2433)="","",INDEX(Suivi!$B:$B,2433))</f>
        <v/>
      </c>
      <c r="P2388">
        <f>IF($O2388="","",IF(INDEX(Suivi!$D:$D,2433)="",INDEX(Suivi!$C:$C,2433),INDEX(Suivi!$D:$D,2433)))</f>
        <v/>
      </c>
      <c r="Q2388">
        <f>IF($O2388="","",INDEX(Suivi!$E:$E,2433))</f>
        <v/>
      </c>
      <c r="R2388">
        <f>IF($O2388="","",INDEX(Suivi!$F:$F,2433))</f>
        <v/>
      </c>
      <c r="S2388">
        <f>IF($O2388="","",INDEX(Suivi!$G:$G,2433))</f>
        <v/>
      </c>
      <c r="T2388">
        <f>IF($O2388="","",IF(INDEX(Dossiers!$F$4:$F$63,45)="","",INDEX(Dossiers!$F$4:$F$63,45)))</f>
        <v/>
      </c>
      <c r="U2388">
        <f>IF($O2388="","",IF(INDEX(Dossiers!$G$4:$G$63,45)="","",INDEX(Dossiers!$G$4:$G$63,45)))</f>
        <v/>
      </c>
      <c r="V2388">
        <f>IF(OR($O2388="",NOT(ISNUMBER($Q2388))),"",$Q2388*1000000+2388)</f>
        <v/>
      </c>
      <c r="W2388" s="29">
        <f>IF($B2388="","",IFERROR(INDEX($U$4:$U$3183,MATCH(SMALL($V$4:$V$3183,2385),$V$4:$V$3183,0)),""))</f>
        <v/>
      </c>
    </row>
    <row r="2389">
      <c r="A2389">
        <f>IFERROR(INDEX($N$4:$N$3183,MATCH(SMALL($V$4:$V$3183,2386),$V$4:$V$3183,0)),"")</f>
        <v/>
      </c>
      <c r="B2389">
        <f>IFERROR(INDEX($O$4:$O$3183,MATCH(SMALL($V$4:$V$3183,2386),$V$4:$V$3183,0)),"")</f>
        <v/>
      </c>
      <c r="C2389">
        <f>IFERROR(INDEX($P$4:$P$3183,MATCH(SMALL($V$4:$V$3183,2386),$V$4:$V$3183,0)),"")</f>
        <v/>
      </c>
      <c r="D2389" s="29">
        <f>IFERROR(INDEX($Q$4:$Q$3183,MATCH(SMALL($V$4:$V$3183,2386),$V$4:$V$3183,0)),"")</f>
        <v/>
      </c>
      <c r="E2389" s="29">
        <f>IFERROR(INDEX($R$4:$R$3183,MATCH(SMALL($V$4:$V$3183,2386),$V$4:$V$3183,0)),"")</f>
        <v/>
      </c>
      <c r="F2389">
        <f>IFERROR(INDEX($S$4:$S$3183,MATCH(SMALL($V$4:$V$3183,2386),$V$4:$V$3183,0)),"")</f>
        <v/>
      </c>
      <c r="I2389" s="29">
        <f>IF($B2389="","",IFERROR(INDEX($U$4:$U$3183,MATCH(SMALL($V$4:$V$3183,2386),$V$4:$V$3183,0)),""))</f>
        <v/>
      </c>
      <c r="J2389">
        <f>IF($B2389="","",IF($D2389&gt;$F$2,"À venir",IF($E2389&lt;$D$2,"Passé","Dans la période")))</f>
        <v/>
      </c>
      <c r="K2389">
        <f>IF(OR($B2389="",NOT(ISNUMBER($D2389))),"",IF(AND($E2389&lt;$D$2,$G2389&lt;&gt;"X",$F2389&lt;&gt;"Réalisé",$F2389&lt;&gt;"Clôturé"),"RETARD",""))</f>
        <v/>
      </c>
      <c r="L2389">
        <f>IF(OR($B2389="",NOT(ISNUMBER($D2389))),"",IF(AND($D2389&gt;=$D$2,$D2389&lt;=$H$2,$G2389&lt;&gt;"X",$F2389&lt;&gt;"Réalisé",$F2389&lt;&gt;"Clôturé"),"≤ 7 j",""))</f>
        <v/>
      </c>
      <c r="M2389" s="29">
        <f>IF($B2389="","",IFERROR(INDEX($T$4:$T$3183,MATCH(SMALL($V$4:$V$3183,2386),$V$4:$V$3183,0)),""))</f>
        <v/>
      </c>
      <c r="O2389">
        <f>IF(INDEX(Suivi!$B:$B,2435)="","",INDEX(Suivi!$B:$B,2435))</f>
        <v/>
      </c>
      <c r="P2389">
        <f>IF($O2389="","",IF(INDEX(Suivi!$D:$D,2435)="",INDEX(Suivi!$C:$C,2435),INDEX(Suivi!$D:$D,2435)))</f>
        <v/>
      </c>
      <c r="Q2389">
        <f>IF($O2389="","",INDEX(Suivi!$E:$E,2435))</f>
        <v/>
      </c>
      <c r="R2389">
        <f>IF($O2389="","",INDEX(Suivi!$F:$F,2435))</f>
        <v/>
      </c>
      <c r="S2389">
        <f>IF($O2389="","",INDEX(Suivi!$G:$G,2435))</f>
        <v/>
      </c>
      <c r="T2389">
        <f>IF($O2389="","",IF(INDEX(Dossiers!$F$4:$F$63,46)="","",INDEX(Dossiers!$F$4:$F$63,46)))</f>
        <v/>
      </c>
      <c r="U2389">
        <f>IF($O2389="","",IF(INDEX(Dossiers!$G$4:$G$63,46)="","",INDEX(Dossiers!$G$4:$G$63,46)))</f>
        <v/>
      </c>
      <c r="V2389">
        <f>IF(OR($O2389="",NOT(ISNUMBER($Q2389))),"",$Q2389*1000000+2389)</f>
        <v/>
      </c>
      <c r="W2389" s="29">
        <f>IF($B2389="","",IFERROR(INDEX($U$4:$U$3183,MATCH(SMALL($V$4:$V$3183,2386),$V$4:$V$3183,0)),""))</f>
        <v/>
      </c>
    </row>
    <row r="2390">
      <c r="A2390">
        <f>IFERROR(INDEX($N$4:$N$3183,MATCH(SMALL($V$4:$V$3183,2387),$V$4:$V$3183,0)),"")</f>
        <v/>
      </c>
      <c r="B2390">
        <f>IFERROR(INDEX($O$4:$O$3183,MATCH(SMALL($V$4:$V$3183,2387),$V$4:$V$3183,0)),"")</f>
        <v/>
      </c>
      <c r="C2390">
        <f>IFERROR(INDEX($P$4:$P$3183,MATCH(SMALL($V$4:$V$3183,2387),$V$4:$V$3183,0)),"")</f>
        <v/>
      </c>
      <c r="D2390" s="29">
        <f>IFERROR(INDEX($Q$4:$Q$3183,MATCH(SMALL($V$4:$V$3183,2387),$V$4:$V$3183,0)),"")</f>
        <v/>
      </c>
      <c r="E2390" s="29">
        <f>IFERROR(INDEX($R$4:$R$3183,MATCH(SMALL($V$4:$V$3183,2387),$V$4:$V$3183,0)),"")</f>
        <v/>
      </c>
      <c r="F2390">
        <f>IFERROR(INDEX($S$4:$S$3183,MATCH(SMALL($V$4:$V$3183,2387),$V$4:$V$3183,0)),"")</f>
        <v/>
      </c>
      <c r="I2390" s="29">
        <f>IF($B2390="","",IFERROR(INDEX($U$4:$U$3183,MATCH(SMALL($V$4:$V$3183,2387),$V$4:$V$3183,0)),""))</f>
        <v/>
      </c>
      <c r="J2390">
        <f>IF($B2390="","",IF($D2390&gt;$F$2,"À venir",IF($E2390&lt;$D$2,"Passé","Dans la période")))</f>
        <v/>
      </c>
      <c r="K2390">
        <f>IF(OR($B2390="",NOT(ISNUMBER($D2390))),"",IF(AND($E2390&lt;$D$2,$G2390&lt;&gt;"X",$F2390&lt;&gt;"Réalisé",$F2390&lt;&gt;"Clôturé"),"RETARD",""))</f>
        <v/>
      </c>
      <c r="L2390">
        <f>IF(OR($B2390="",NOT(ISNUMBER($D2390))),"",IF(AND($D2390&gt;=$D$2,$D2390&lt;=$H$2,$G2390&lt;&gt;"X",$F2390&lt;&gt;"Réalisé",$F2390&lt;&gt;"Clôturé"),"≤ 7 j",""))</f>
        <v/>
      </c>
      <c r="M2390" s="29">
        <f>IF($B2390="","",IFERROR(INDEX($T$4:$T$3183,MATCH(SMALL($V$4:$V$3183,2387),$V$4:$V$3183,0)),""))</f>
        <v/>
      </c>
      <c r="O2390">
        <f>IF(INDEX(Suivi!$B:$B,2436)="","",INDEX(Suivi!$B:$B,2436))</f>
        <v/>
      </c>
      <c r="P2390">
        <f>IF($O2390="","",IF(INDEX(Suivi!$D:$D,2436)="",INDEX(Suivi!$C:$C,2436),INDEX(Suivi!$D:$D,2436)))</f>
        <v/>
      </c>
      <c r="Q2390">
        <f>IF($O2390="","",INDEX(Suivi!$E:$E,2436))</f>
        <v/>
      </c>
      <c r="R2390">
        <f>IF($O2390="","",INDEX(Suivi!$F:$F,2436))</f>
        <v/>
      </c>
      <c r="S2390">
        <f>IF($O2390="","",INDEX(Suivi!$G:$G,2436))</f>
        <v/>
      </c>
      <c r="T2390">
        <f>IF($O2390="","",IF(INDEX(Dossiers!$F$4:$F$63,46)="","",INDEX(Dossiers!$F$4:$F$63,46)))</f>
        <v/>
      </c>
      <c r="U2390">
        <f>IF($O2390="","",IF(INDEX(Dossiers!$G$4:$G$63,46)="","",INDEX(Dossiers!$G$4:$G$63,46)))</f>
        <v/>
      </c>
      <c r="V2390">
        <f>IF(OR($O2390="",NOT(ISNUMBER($Q2390))),"",$Q2390*1000000+2390)</f>
        <v/>
      </c>
      <c r="W2390" s="29">
        <f>IF($B2390="","",IFERROR(INDEX($U$4:$U$3183,MATCH(SMALL($V$4:$V$3183,2387),$V$4:$V$3183,0)),""))</f>
        <v/>
      </c>
    </row>
    <row r="2391">
      <c r="A2391">
        <f>IFERROR(INDEX($N$4:$N$3183,MATCH(SMALL($V$4:$V$3183,2388),$V$4:$V$3183,0)),"")</f>
        <v/>
      </c>
      <c r="B2391">
        <f>IFERROR(INDEX($O$4:$O$3183,MATCH(SMALL($V$4:$V$3183,2388),$V$4:$V$3183,0)),"")</f>
        <v/>
      </c>
      <c r="C2391">
        <f>IFERROR(INDEX($P$4:$P$3183,MATCH(SMALL($V$4:$V$3183,2388),$V$4:$V$3183,0)),"")</f>
        <v/>
      </c>
      <c r="D2391" s="29">
        <f>IFERROR(INDEX($Q$4:$Q$3183,MATCH(SMALL($V$4:$V$3183,2388),$V$4:$V$3183,0)),"")</f>
        <v/>
      </c>
      <c r="E2391" s="29">
        <f>IFERROR(INDEX($R$4:$R$3183,MATCH(SMALL($V$4:$V$3183,2388),$V$4:$V$3183,0)),"")</f>
        <v/>
      </c>
      <c r="F2391">
        <f>IFERROR(INDEX($S$4:$S$3183,MATCH(SMALL($V$4:$V$3183,2388),$V$4:$V$3183,0)),"")</f>
        <v/>
      </c>
      <c r="I2391" s="29">
        <f>IF($B2391="","",IFERROR(INDEX($U$4:$U$3183,MATCH(SMALL($V$4:$V$3183,2388),$V$4:$V$3183,0)),""))</f>
        <v/>
      </c>
      <c r="J2391">
        <f>IF($B2391="","",IF($D2391&gt;$F$2,"À venir",IF($E2391&lt;$D$2,"Passé","Dans la période")))</f>
        <v/>
      </c>
      <c r="K2391">
        <f>IF(OR($B2391="",NOT(ISNUMBER($D2391))),"",IF(AND($E2391&lt;$D$2,$G2391&lt;&gt;"X",$F2391&lt;&gt;"Réalisé",$F2391&lt;&gt;"Clôturé"),"RETARD",""))</f>
        <v/>
      </c>
      <c r="L2391">
        <f>IF(OR($B2391="",NOT(ISNUMBER($D2391))),"",IF(AND($D2391&gt;=$D$2,$D2391&lt;=$H$2,$G2391&lt;&gt;"X",$F2391&lt;&gt;"Réalisé",$F2391&lt;&gt;"Clôturé"),"≤ 7 j",""))</f>
        <v/>
      </c>
      <c r="M2391" s="29">
        <f>IF($B2391="","",IFERROR(INDEX($T$4:$T$3183,MATCH(SMALL($V$4:$V$3183,2388),$V$4:$V$3183,0)),""))</f>
        <v/>
      </c>
      <c r="O2391">
        <f>IF(INDEX(Suivi!$B:$B,2437)="","",INDEX(Suivi!$B:$B,2437))</f>
        <v/>
      </c>
      <c r="P2391">
        <f>IF($O2391="","",IF(INDEX(Suivi!$D:$D,2437)="",INDEX(Suivi!$C:$C,2437),INDEX(Suivi!$D:$D,2437)))</f>
        <v/>
      </c>
      <c r="Q2391">
        <f>IF($O2391="","",INDEX(Suivi!$E:$E,2437))</f>
        <v/>
      </c>
      <c r="R2391">
        <f>IF($O2391="","",INDEX(Suivi!$F:$F,2437))</f>
        <v/>
      </c>
      <c r="S2391">
        <f>IF($O2391="","",INDEX(Suivi!$G:$G,2437))</f>
        <v/>
      </c>
      <c r="T2391">
        <f>IF($O2391="","",IF(INDEX(Dossiers!$F$4:$F$63,46)="","",INDEX(Dossiers!$F$4:$F$63,46)))</f>
        <v/>
      </c>
      <c r="U2391">
        <f>IF($O2391="","",IF(INDEX(Dossiers!$G$4:$G$63,46)="","",INDEX(Dossiers!$G$4:$G$63,46)))</f>
        <v/>
      </c>
      <c r="V2391">
        <f>IF(OR($O2391="",NOT(ISNUMBER($Q2391))),"",$Q2391*1000000+2391)</f>
        <v/>
      </c>
      <c r="W2391" s="29">
        <f>IF($B2391="","",IFERROR(INDEX($U$4:$U$3183,MATCH(SMALL($V$4:$V$3183,2388),$V$4:$V$3183,0)),""))</f>
        <v/>
      </c>
    </row>
    <row r="2392">
      <c r="A2392">
        <f>IFERROR(INDEX($N$4:$N$3183,MATCH(SMALL($V$4:$V$3183,2389),$V$4:$V$3183,0)),"")</f>
        <v/>
      </c>
      <c r="B2392">
        <f>IFERROR(INDEX($O$4:$O$3183,MATCH(SMALL($V$4:$V$3183,2389),$V$4:$V$3183,0)),"")</f>
        <v/>
      </c>
      <c r="C2392">
        <f>IFERROR(INDEX($P$4:$P$3183,MATCH(SMALL($V$4:$V$3183,2389),$V$4:$V$3183,0)),"")</f>
        <v/>
      </c>
      <c r="D2392" s="29">
        <f>IFERROR(INDEX($Q$4:$Q$3183,MATCH(SMALL($V$4:$V$3183,2389),$V$4:$V$3183,0)),"")</f>
        <v/>
      </c>
      <c r="E2392" s="29">
        <f>IFERROR(INDEX($R$4:$R$3183,MATCH(SMALL($V$4:$V$3183,2389),$V$4:$V$3183,0)),"")</f>
        <v/>
      </c>
      <c r="F2392">
        <f>IFERROR(INDEX($S$4:$S$3183,MATCH(SMALL($V$4:$V$3183,2389),$V$4:$V$3183,0)),"")</f>
        <v/>
      </c>
      <c r="I2392" s="29">
        <f>IF($B2392="","",IFERROR(INDEX($U$4:$U$3183,MATCH(SMALL($V$4:$V$3183,2389),$V$4:$V$3183,0)),""))</f>
        <v/>
      </c>
      <c r="J2392">
        <f>IF($B2392="","",IF($D2392&gt;$F$2,"À venir",IF($E2392&lt;$D$2,"Passé","Dans la période")))</f>
        <v/>
      </c>
      <c r="K2392">
        <f>IF(OR($B2392="",NOT(ISNUMBER($D2392))),"",IF(AND($E2392&lt;$D$2,$G2392&lt;&gt;"X",$F2392&lt;&gt;"Réalisé",$F2392&lt;&gt;"Clôturé"),"RETARD",""))</f>
        <v/>
      </c>
      <c r="L2392">
        <f>IF(OR($B2392="",NOT(ISNUMBER($D2392))),"",IF(AND($D2392&gt;=$D$2,$D2392&lt;=$H$2,$G2392&lt;&gt;"X",$F2392&lt;&gt;"Réalisé",$F2392&lt;&gt;"Clôturé"),"≤ 7 j",""))</f>
        <v/>
      </c>
      <c r="M2392" s="29">
        <f>IF($B2392="","",IFERROR(INDEX($T$4:$T$3183,MATCH(SMALL($V$4:$V$3183,2389),$V$4:$V$3183,0)),""))</f>
        <v/>
      </c>
      <c r="O2392">
        <f>IF(INDEX(Suivi!$B:$B,2438)="","",INDEX(Suivi!$B:$B,2438))</f>
        <v/>
      </c>
      <c r="P2392">
        <f>IF($O2392="","",IF(INDEX(Suivi!$D:$D,2438)="",INDEX(Suivi!$C:$C,2438),INDEX(Suivi!$D:$D,2438)))</f>
        <v/>
      </c>
      <c r="Q2392">
        <f>IF($O2392="","",INDEX(Suivi!$E:$E,2438))</f>
        <v/>
      </c>
      <c r="R2392">
        <f>IF($O2392="","",INDEX(Suivi!$F:$F,2438))</f>
        <v/>
      </c>
      <c r="S2392">
        <f>IF($O2392="","",INDEX(Suivi!$G:$G,2438))</f>
        <v/>
      </c>
      <c r="T2392">
        <f>IF($O2392="","",IF(INDEX(Dossiers!$F$4:$F$63,46)="","",INDEX(Dossiers!$F$4:$F$63,46)))</f>
        <v/>
      </c>
      <c r="U2392">
        <f>IF($O2392="","",IF(INDEX(Dossiers!$G$4:$G$63,46)="","",INDEX(Dossiers!$G$4:$G$63,46)))</f>
        <v/>
      </c>
      <c r="V2392">
        <f>IF(OR($O2392="",NOT(ISNUMBER($Q2392))),"",$Q2392*1000000+2392)</f>
        <v/>
      </c>
      <c r="W2392" s="29">
        <f>IF($B2392="","",IFERROR(INDEX($U$4:$U$3183,MATCH(SMALL($V$4:$V$3183,2389),$V$4:$V$3183,0)),""))</f>
        <v/>
      </c>
    </row>
    <row r="2393">
      <c r="A2393">
        <f>IFERROR(INDEX($N$4:$N$3183,MATCH(SMALL($V$4:$V$3183,2390),$V$4:$V$3183,0)),"")</f>
        <v/>
      </c>
      <c r="B2393">
        <f>IFERROR(INDEX($O$4:$O$3183,MATCH(SMALL($V$4:$V$3183,2390),$V$4:$V$3183,0)),"")</f>
        <v/>
      </c>
      <c r="C2393">
        <f>IFERROR(INDEX($P$4:$P$3183,MATCH(SMALL($V$4:$V$3183,2390),$V$4:$V$3183,0)),"")</f>
        <v/>
      </c>
      <c r="D2393" s="29">
        <f>IFERROR(INDEX($Q$4:$Q$3183,MATCH(SMALL($V$4:$V$3183,2390),$V$4:$V$3183,0)),"")</f>
        <v/>
      </c>
      <c r="E2393" s="29">
        <f>IFERROR(INDEX($R$4:$R$3183,MATCH(SMALL($V$4:$V$3183,2390),$V$4:$V$3183,0)),"")</f>
        <v/>
      </c>
      <c r="F2393">
        <f>IFERROR(INDEX($S$4:$S$3183,MATCH(SMALL($V$4:$V$3183,2390),$V$4:$V$3183,0)),"")</f>
        <v/>
      </c>
      <c r="I2393" s="29">
        <f>IF($B2393="","",IFERROR(INDEX($U$4:$U$3183,MATCH(SMALL($V$4:$V$3183,2390),$V$4:$V$3183,0)),""))</f>
        <v/>
      </c>
      <c r="J2393">
        <f>IF($B2393="","",IF($D2393&gt;$F$2,"À venir",IF($E2393&lt;$D$2,"Passé","Dans la période")))</f>
        <v/>
      </c>
      <c r="K2393">
        <f>IF(OR($B2393="",NOT(ISNUMBER($D2393))),"",IF(AND($E2393&lt;$D$2,$G2393&lt;&gt;"X",$F2393&lt;&gt;"Réalisé",$F2393&lt;&gt;"Clôturé"),"RETARD",""))</f>
        <v/>
      </c>
      <c r="L2393">
        <f>IF(OR($B2393="",NOT(ISNUMBER($D2393))),"",IF(AND($D2393&gt;=$D$2,$D2393&lt;=$H$2,$G2393&lt;&gt;"X",$F2393&lt;&gt;"Réalisé",$F2393&lt;&gt;"Clôturé"),"≤ 7 j",""))</f>
        <v/>
      </c>
      <c r="M2393" s="29">
        <f>IF($B2393="","",IFERROR(INDEX($T$4:$T$3183,MATCH(SMALL($V$4:$V$3183,2390),$V$4:$V$3183,0)),""))</f>
        <v/>
      </c>
      <c r="O2393">
        <f>IF(INDEX(Suivi!$B:$B,2439)="","",INDEX(Suivi!$B:$B,2439))</f>
        <v/>
      </c>
      <c r="P2393">
        <f>IF($O2393="","",IF(INDEX(Suivi!$D:$D,2439)="",INDEX(Suivi!$C:$C,2439),INDEX(Suivi!$D:$D,2439)))</f>
        <v/>
      </c>
      <c r="Q2393">
        <f>IF($O2393="","",INDEX(Suivi!$E:$E,2439))</f>
        <v/>
      </c>
      <c r="R2393">
        <f>IF($O2393="","",INDEX(Suivi!$F:$F,2439))</f>
        <v/>
      </c>
      <c r="S2393">
        <f>IF($O2393="","",INDEX(Suivi!$G:$G,2439))</f>
        <v/>
      </c>
      <c r="T2393">
        <f>IF($O2393="","",IF(INDEX(Dossiers!$F$4:$F$63,46)="","",INDEX(Dossiers!$F$4:$F$63,46)))</f>
        <v/>
      </c>
      <c r="U2393">
        <f>IF($O2393="","",IF(INDEX(Dossiers!$G$4:$G$63,46)="","",INDEX(Dossiers!$G$4:$G$63,46)))</f>
        <v/>
      </c>
      <c r="V2393">
        <f>IF(OR($O2393="",NOT(ISNUMBER($Q2393))),"",$Q2393*1000000+2393)</f>
        <v/>
      </c>
      <c r="W2393" s="29">
        <f>IF($B2393="","",IFERROR(INDEX($U$4:$U$3183,MATCH(SMALL($V$4:$V$3183,2390),$V$4:$V$3183,0)),""))</f>
        <v/>
      </c>
    </row>
    <row r="2394">
      <c r="A2394">
        <f>IFERROR(INDEX($N$4:$N$3183,MATCH(SMALL($V$4:$V$3183,2391),$V$4:$V$3183,0)),"")</f>
        <v/>
      </c>
      <c r="B2394">
        <f>IFERROR(INDEX($O$4:$O$3183,MATCH(SMALL($V$4:$V$3183,2391),$V$4:$V$3183,0)),"")</f>
        <v/>
      </c>
      <c r="C2394">
        <f>IFERROR(INDEX($P$4:$P$3183,MATCH(SMALL($V$4:$V$3183,2391),$V$4:$V$3183,0)),"")</f>
        <v/>
      </c>
      <c r="D2394" s="29">
        <f>IFERROR(INDEX($Q$4:$Q$3183,MATCH(SMALL($V$4:$V$3183,2391),$V$4:$V$3183,0)),"")</f>
        <v/>
      </c>
      <c r="E2394" s="29">
        <f>IFERROR(INDEX($R$4:$R$3183,MATCH(SMALL($V$4:$V$3183,2391),$V$4:$V$3183,0)),"")</f>
        <v/>
      </c>
      <c r="F2394">
        <f>IFERROR(INDEX($S$4:$S$3183,MATCH(SMALL($V$4:$V$3183,2391),$V$4:$V$3183,0)),"")</f>
        <v/>
      </c>
      <c r="I2394" s="29">
        <f>IF($B2394="","",IFERROR(INDEX($U$4:$U$3183,MATCH(SMALL($V$4:$V$3183,2391),$V$4:$V$3183,0)),""))</f>
        <v/>
      </c>
      <c r="J2394">
        <f>IF($B2394="","",IF($D2394&gt;$F$2,"À venir",IF($E2394&lt;$D$2,"Passé","Dans la période")))</f>
        <v/>
      </c>
      <c r="K2394">
        <f>IF(OR($B2394="",NOT(ISNUMBER($D2394))),"",IF(AND($E2394&lt;$D$2,$G2394&lt;&gt;"X",$F2394&lt;&gt;"Réalisé",$F2394&lt;&gt;"Clôturé"),"RETARD",""))</f>
        <v/>
      </c>
      <c r="L2394">
        <f>IF(OR($B2394="",NOT(ISNUMBER($D2394))),"",IF(AND($D2394&gt;=$D$2,$D2394&lt;=$H$2,$G2394&lt;&gt;"X",$F2394&lt;&gt;"Réalisé",$F2394&lt;&gt;"Clôturé"),"≤ 7 j",""))</f>
        <v/>
      </c>
      <c r="M2394" s="29">
        <f>IF($B2394="","",IFERROR(INDEX($T$4:$T$3183,MATCH(SMALL($V$4:$V$3183,2391),$V$4:$V$3183,0)),""))</f>
        <v/>
      </c>
      <c r="O2394">
        <f>IF(INDEX(Suivi!$B:$B,2440)="","",INDEX(Suivi!$B:$B,2440))</f>
        <v/>
      </c>
      <c r="P2394">
        <f>IF($O2394="","",IF(INDEX(Suivi!$D:$D,2440)="",INDEX(Suivi!$C:$C,2440),INDEX(Suivi!$D:$D,2440)))</f>
        <v/>
      </c>
      <c r="Q2394">
        <f>IF($O2394="","",INDEX(Suivi!$E:$E,2440))</f>
        <v/>
      </c>
      <c r="R2394">
        <f>IF($O2394="","",INDEX(Suivi!$F:$F,2440))</f>
        <v/>
      </c>
      <c r="S2394">
        <f>IF($O2394="","",INDEX(Suivi!$G:$G,2440))</f>
        <v/>
      </c>
      <c r="T2394">
        <f>IF($O2394="","",IF(INDEX(Dossiers!$F$4:$F$63,46)="","",INDEX(Dossiers!$F$4:$F$63,46)))</f>
        <v/>
      </c>
      <c r="U2394">
        <f>IF($O2394="","",IF(INDEX(Dossiers!$G$4:$G$63,46)="","",INDEX(Dossiers!$G$4:$G$63,46)))</f>
        <v/>
      </c>
      <c r="V2394">
        <f>IF(OR($O2394="",NOT(ISNUMBER($Q2394))),"",$Q2394*1000000+2394)</f>
        <v/>
      </c>
      <c r="W2394" s="29">
        <f>IF($B2394="","",IFERROR(INDEX($U$4:$U$3183,MATCH(SMALL($V$4:$V$3183,2391),$V$4:$V$3183,0)),""))</f>
        <v/>
      </c>
    </row>
    <row r="2395">
      <c r="A2395">
        <f>IFERROR(INDEX($N$4:$N$3183,MATCH(SMALL($V$4:$V$3183,2392),$V$4:$V$3183,0)),"")</f>
        <v/>
      </c>
      <c r="B2395">
        <f>IFERROR(INDEX($O$4:$O$3183,MATCH(SMALL($V$4:$V$3183,2392),$V$4:$V$3183,0)),"")</f>
        <v/>
      </c>
      <c r="C2395">
        <f>IFERROR(INDEX($P$4:$P$3183,MATCH(SMALL($V$4:$V$3183,2392),$V$4:$V$3183,0)),"")</f>
        <v/>
      </c>
      <c r="D2395" s="29">
        <f>IFERROR(INDEX($Q$4:$Q$3183,MATCH(SMALL($V$4:$V$3183,2392),$V$4:$V$3183,0)),"")</f>
        <v/>
      </c>
      <c r="E2395" s="29">
        <f>IFERROR(INDEX($R$4:$R$3183,MATCH(SMALL($V$4:$V$3183,2392),$V$4:$V$3183,0)),"")</f>
        <v/>
      </c>
      <c r="F2395">
        <f>IFERROR(INDEX($S$4:$S$3183,MATCH(SMALL($V$4:$V$3183,2392),$V$4:$V$3183,0)),"")</f>
        <v/>
      </c>
      <c r="I2395" s="29">
        <f>IF($B2395="","",IFERROR(INDEX($U$4:$U$3183,MATCH(SMALL($V$4:$V$3183,2392),$V$4:$V$3183,0)),""))</f>
        <v/>
      </c>
      <c r="J2395">
        <f>IF($B2395="","",IF($D2395&gt;$F$2,"À venir",IF($E2395&lt;$D$2,"Passé","Dans la période")))</f>
        <v/>
      </c>
      <c r="K2395">
        <f>IF(OR($B2395="",NOT(ISNUMBER($D2395))),"",IF(AND($E2395&lt;$D$2,$G2395&lt;&gt;"X",$F2395&lt;&gt;"Réalisé",$F2395&lt;&gt;"Clôturé"),"RETARD",""))</f>
        <v/>
      </c>
      <c r="L2395">
        <f>IF(OR($B2395="",NOT(ISNUMBER($D2395))),"",IF(AND($D2395&gt;=$D$2,$D2395&lt;=$H$2,$G2395&lt;&gt;"X",$F2395&lt;&gt;"Réalisé",$F2395&lt;&gt;"Clôturé"),"≤ 7 j",""))</f>
        <v/>
      </c>
      <c r="M2395" s="29">
        <f>IF($B2395="","",IFERROR(INDEX($T$4:$T$3183,MATCH(SMALL($V$4:$V$3183,2392),$V$4:$V$3183,0)),""))</f>
        <v/>
      </c>
      <c r="O2395">
        <f>IF(INDEX(Suivi!$B:$B,2441)="","",INDEX(Suivi!$B:$B,2441))</f>
        <v/>
      </c>
      <c r="P2395">
        <f>IF($O2395="","",IF(INDEX(Suivi!$D:$D,2441)="",INDEX(Suivi!$C:$C,2441),INDEX(Suivi!$D:$D,2441)))</f>
        <v/>
      </c>
      <c r="Q2395">
        <f>IF($O2395="","",INDEX(Suivi!$E:$E,2441))</f>
        <v/>
      </c>
      <c r="R2395">
        <f>IF($O2395="","",INDEX(Suivi!$F:$F,2441))</f>
        <v/>
      </c>
      <c r="S2395">
        <f>IF($O2395="","",INDEX(Suivi!$G:$G,2441))</f>
        <v/>
      </c>
      <c r="T2395">
        <f>IF($O2395="","",IF(INDEX(Dossiers!$F$4:$F$63,46)="","",INDEX(Dossiers!$F$4:$F$63,46)))</f>
        <v/>
      </c>
      <c r="U2395">
        <f>IF($O2395="","",IF(INDEX(Dossiers!$G$4:$G$63,46)="","",INDEX(Dossiers!$G$4:$G$63,46)))</f>
        <v/>
      </c>
      <c r="V2395">
        <f>IF(OR($O2395="",NOT(ISNUMBER($Q2395))),"",$Q2395*1000000+2395)</f>
        <v/>
      </c>
      <c r="W2395" s="29">
        <f>IF($B2395="","",IFERROR(INDEX($U$4:$U$3183,MATCH(SMALL($V$4:$V$3183,2392),$V$4:$V$3183,0)),""))</f>
        <v/>
      </c>
    </row>
    <row r="2396">
      <c r="A2396">
        <f>IFERROR(INDEX($N$4:$N$3183,MATCH(SMALL($V$4:$V$3183,2393),$V$4:$V$3183,0)),"")</f>
        <v/>
      </c>
      <c r="B2396">
        <f>IFERROR(INDEX($O$4:$O$3183,MATCH(SMALL($V$4:$V$3183,2393),$V$4:$V$3183,0)),"")</f>
        <v/>
      </c>
      <c r="C2396">
        <f>IFERROR(INDEX($P$4:$P$3183,MATCH(SMALL($V$4:$V$3183,2393),$V$4:$V$3183,0)),"")</f>
        <v/>
      </c>
      <c r="D2396" s="29">
        <f>IFERROR(INDEX($Q$4:$Q$3183,MATCH(SMALL($V$4:$V$3183,2393),$V$4:$V$3183,0)),"")</f>
        <v/>
      </c>
      <c r="E2396" s="29">
        <f>IFERROR(INDEX($R$4:$R$3183,MATCH(SMALL($V$4:$V$3183,2393),$V$4:$V$3183,0)),"")</f>
        <v/>
      </c>
      <c r="F2396">
        <f>IFERROR(INDEX($S$4:$S$3183,MATCH(SMALL($V$4:$V$3183,2393),$V$4:$V$3183,0)),"")</f>
        <v/>
      </c>
      <c r="I2396" s="29">
        <f>IF($B2396="","",IFERROR(INDEX($U$4:$U$3183,MATCH(SMALL($V$4:$V$3183,2393),$V$4:$V$3183,0)),""))</f>
        <v/>
      </c>
      <c r="J2396">
        <f>IF($B2396="","",IF($D2396&gt;$F$2,"À venir",IF($E2396&lt;$D$2,"Passé","Dans la période")))</f>
        <v/>
      </c>
      <c r="K2396">
        <f>IF(OR($B2396="",NOT(ISNUMBER($D2396))),"",IF(AND($E2396&lt;$D$2,$G2396&lt;&gt;"X",$F2396&lt;&gt;"Réalisé",$F2396&lt;&gt;"Clôturé"),"RETARD",""))</f>
        <v/>
      </c>
      <c r="L2396">
        <f>IF(OR($B2396="",NOT(ISNUMBER($D2396))),"",IF(AND($D2396&gt;=$D$2,$D2396&lt;=$H$2,$G2396&lt;&gt;"X",$F2396&lt;&gt;"Réalisé",$F2396&lt;&gt;"Clôturé"),"≤ 7 j",""))</f>
        <v/>
      </c>
      <c r="M2396" s="29">
        <f>IF($B2396="","",IFERROR(INDEX($T$4:$T$3183,MATCH(SMALL($V$4:$V$3183,2393),$V$4:$V$3183,0)),""))</f>
        <v/>
      </c>
      <c r="O2396">
        <f>IF(INDEX(Suivi!$B:$B,2442)="","",INDEX(Suivi!$B:$B,2442))</f>
        <v/>
      </c>
      <c r="P2396">
        <f>IF($O2396="","",IF(INDEX(Suivi!$D:$D,2442)="",INDEX(Suivi!$C:$C,2442),INDEX(Suivi!$D:$D,2442)))</f>
        <v/>
      </c>
      <c r="Q2396">
        <f>IF($O2396="","",INDEX(Suivi!$E:$E,2442))</f>
        <v/>
      </c>
      <c r="R2396">
        <f>IF($O2396="","",INDEX(Suivi!$F:$F,2442))</f>
        <v/>
      </c>
      <c r="S2396">
        <f>IF($O2396="","",INDEX(Suivi!$G:$G,2442))</f>
        <v/>
      </c>
      <c r="T2396">
        <f>IF($O2396="","",IF(INDEX(Dossiers!$F$4:$F$63,46)="","",INDEX(Dossiers!$F$4:$F$63,46)))</f>
        <v/>
      </c>
      <c r="U2396">
        <f>IF($O2396="","",IF(INDEX(Dossiers!$G$4:$G$63,46)="","",INDEX(Dossiers!$G$4:$G$63,46)))</f>
        <v/>
      </c>
      <c r="V2396">
        <f>IF(OR($O2396="",NOT(ISNUMBER($Q2396))),"",$Q2396*1000000+2396)</f>
        <v/>
      </c>
      <c r="W2396" s="29">
        <f>IF($B2396="","",IFERROR(INDEX($U$4:$U$3183,MATCH(SMALL($V$4:$V$3183,2393),$V$4:$V$3183,0)),""))</f>
        <v/>
      </c>
    </row>
    <row r="2397">
      <c r="A2397">
        <f>IFERROR(INDEX($N$4:$N$3183,MATCH(SMALL($V$4:$V$3183,2394),$V$4:$V$3183,0)),"")</f>
        <v/>
      </c>
      <c r="B2397">
        <f>IFERROR(INDEX($O$4:$O$3183,MATCH(SMALL($V$4:$V$3183,2394),$V$4:$V$3183,0)),"")</f>
        <v/>
      </c>
      <c r="C2397">
        <f>IFERROR(INDEX($P$4:$P$3183,MATCH(SMALL($V$4:$V$3183,2394),$V$4:$V$3183,0)),"")</f>
        <v/>
      </c>
      <c r="D2397" s="29">
        <f>IFERROR(INDEX($Q$4:$Q$3183,MATCH(SMALL($V$4:$V$3183,2394),$V$4:$V$3183,0)),"")</f>
        <v/>
      </c>
      <c r="E2397" s="29">
        <f>IFERROR(INDEX($R$4:$R$3183,MATCH(SMALL($V$4:$V$3183,2394),$V$4:$V$3183,0)),"")</f>
        <v/>
      </c>
      <c r="F2397">
        <f>IFERROR(INDEX($S$4:$S$3183,MATCH(SMALL($V$4:$V$3183,2394),$V$4:$V$3183,0)),"")</f>
        <v/>
      </c>
      <c r="I2397" s="29">
        <f>IF($B2397="","",IFERROR(INDEX($U$4:$U$3183,MATCH(SMALL($V$4:$V$3183,2394),$V$4:$V$3183,0)),""))</f>
        <v/>
      </c>
      <c r="J2397">
        <f>IF($B2397="","",IF($D2397&gt;$F$2,"À venir",IF($E2397&lt;$D$2,"Passé","Dans la période")))</f>
        <v/>
      </c>
      <c r="K2397">
        <f>IF(OR($B2397="",NOT(ISNUMBER($D2397))),"",IF(AND($E2397&lt;$D$2,$G2397&lt;&gt;"X",$F2397&lt;&gt;"Réalisé",$F2397&lt;&gt;"Clôturé"),"RETARD",""))</f>
        <v/>
      </c>
      <c r="L2397">
        <f>IF(OR($B2397="",NOT(ISNUMBER($D2397))),"",IF(AND($D2397&gt;=$D$2,$D2397&lt;=$H$2,$G2397&lt;&gt;"X",$F2397&lt;&gt;"Réalisé",$F2397&lt;&gt;"Clôturé"),"≤ 7 j",""))</f>
        <v/>
      </c>
      <c r="M2397" s="29">
        <f>IF($B2397="","",IFERROR(INDEX($T$4:$T$3183,MATCH(SMALL($V$4:$V$3183,2394),$V$4:$V$3183,0)),""))</f>
        <v/>
      </c>
      <c r="O2397">
        <f>IF(INDEX(Suivi!$B:$B,2443)="","",INDEX(Suivi!$B:$B,2443))</f>
        <v/>
      </c>
      <c r="P2397">
        <f>IF($O2397="","",IF(INDEX(Suivi!$D:$D,2443)="",INDEX(Suivi!$C:$C,2443),INDEX(Suivi!$D:$D,2443)))</f>
        <v/>
      </c>
      <c r="Q2397">
        <f>IF($O2397="","",INDEX(Suivi!$E:$E,2443))</f>
        <v/>
      </c>
      <c r="R2397">
        <f>IF($O2397="","",INDEX(Suivi!$F:$F,2443))</f>
        <v/>
      </c>
      <c r="S2397">
        <f>IF($O2397="","",INDEX(Suivi!$G:$G,2443))</f>
        <v/>
      </c>
      <c r="T2397">
        <f>IF($O2397="","",IF(INDEX(Dossiers!$F$4:$F$63,46)="","",INDEX(Dossiers!$F$4:$F$63,46)))</f>
        <v/>
      </c>
      <c r="U2397">
        <f>IF($O2397="","",IF(INDEX(Dossiers!$G$4:$G$63,46)="","",INDEX(Dossiers!$G$4:$G$63,46)))</f>
        <v/>
      </c>
      <c r="V2397">
        <f>IF(OR($O2397="",NOT(ISNUMBER($Q2397))),"",$Q2397*1000000+2397)</f>
        <v/>
      </c>
      <c r="W2397" s="29">
        <f>IF($B2397="","",IFERROR(INDEX($U$4:$U$3183,MATCH(SMALL($V$4:$V$3183,2394),$V$4:$V$3183,0)),""))</f>
        <v/>
      </c>
    </row>
    <row r="2398">
      <c r="A2398">
        <f>IFERROR(INDEX($N$4:$N$3183,MATCH(SMALL($V$4:$V$3183,2395),$V$4:$V$3183,0)),"")</f>
        <v/>
      </c>
      <c r="B2398">
        <f>IFERROR(INDEX($O$4:$O$3183,MATCH(SMALL($V$4:$V$3183,2395),$V$4:$V$3183,0)),"")</f>
        <v/>
      </c>
      <c r="C2398">
        <f>IFERROR(INDEX($P$4:$P$3183,MATCH(SMALL($V$4:$V$3183,2395),$V$4:$V$3183,0)),"")</f>
        <v/>
      </c>
      <c r="D2398" s="29">
        <f>IFERROR(INDEX($Q$4:$Q$3183,MATCH(SMALL($V$4:$V$3183,2395),$V$4:$V$3183,0)),"")</f>
        <v/>
      </c>
      <c r="E2398" s="29">
        <f>IFERROR(INDEX($R$4:$R$3183,MATCH(SMALL($V$4:$V$3183,2395),$V$4:$V$3183,0)),"")</f>
        <v/>
      </c>
      <c r="F2398">
        <f>IFERROR(INDEX($S$4:$S$3183,MATCH(SMALL($V$4:$V$3183,2395),$V$4:$V$3183,0)),"")</f>
        <v/>
      </c>
      <c r="I2398" s="29">
        <f>IF($B2398="","",IFERROR(INDEX($U$4:$U$3183,MATCH(SMALL($V$4:$V$3183,2395),$V$4:$V$3183,0)),""))</f>
        <v/>
      </c>
      <c r="J2398">
        <f>IF($B2398="","",IF($D2398&gt;$F$2,"À venir",IF($E2398&lt;$D$2,"Passé","Dans la période")))</f>
        <v/>
      </c>
      <c r="K2398">
        <f>IF(OR($B2398="",NOT(ISNUMBER($D2398))),"",IF(AND($E2398&lt;$D$2,$G2398&lt;&gt;"X",$F2398&lt;&gt;"Réalisé",$F2398&lt;&gt;"Clôturé"),"RETARD",""))</f>
        <v/>
      </c>
      <c r="L2398">
        <f>IF(OR($B2398="",NOT(ISNUMBER($D2398))),"",IF(AND($D2398&gt;=$D$2,$D2398&lt;=$H$2,$G2398&lt;&gt;"X",$F2398&lt;&gt;"Réalisé",$F2398&lt;&gt;"Clôturé"),"≤ 7 j",""))</f>
        <v/>
      </c>
      <c r="M2398" s="29">
        <f>IF($B2398="","",IFERROR(INDEX($T$4:$T$3183,MATCH(SMALL($V$4:$V$3183,2395),$V$4:$V$3183,0)),""))</f>
        <v/>
      </c>
      <c r="O2398">
        <f>IF(INDEX(Suivi!$B:$B,2444)="","",INDEX(Suivi!$B:$B,2444))</f>
        <v/>
      </c>
      <c r="P2398">
        <f>IF($O2398="","",IF(INDEX(Suivi!$D:$D,2444)="",INDEX(Suivi!$C:$C,2444),INDEX(Suivi!$D:$D,2444)))</f>
        <v/>
      </c>
      <c r="Q2398">
        <f>IF($O2398="","",INDEX(Suivi!$E:$E,2444))</f>
        <v/>
      </c>
      <c r="R2398">
        <f>IF($O2398="","",INDEX(Suivi!$F:$F,2444))</f>
        <v/>
      </c>
      <c r="S2398">
        <f>IF($O2398="","",INDEX(Suivi!$G:$G,2444))</f>
        <v/>
      </c>
      <c r="T2398">
        <f>IF($O2398="","",IF(INDEX(Dossiers!$F$4:$F$63,46)="","",INDEX(Dossiers!$F$4:$F$63,46)))</f>
        <v/>
      </c>
      <c r="U2398">
        <f>IF($O2398="","",IF(INDEX(Dossiers!$G$4:$G$63,46)="","",INDEX(Dossiers!$G$4:$G$63,46)))</f>
        <v/>
      </c>
      <c r="V2398">
        <f>IF(OR($O2398="",NOT(ISNUMBER($Q2398))),"",$Q2398*1000000+2398)</f>
        <v/>
      </c>
      <c r="W2398" s="29">
        <f>IF($B2398="","",IFERROR(INDEX($U$4:$U$3183,MATCH(SMALL($V$4:$V$3183,2395),$V$4:$V$3183,0)),""))</f>
        <v/>
      </c>
    </row>
    <row r="2399">
      <c r="A2399">
        <f>IFERROR(INDEX($N$4:$N$3183,MATCH(SMALL($V$4:$V$3183,2396),$V$4:$V$3183,0)),"")</f>
        <v/>
      </c>
      <c r="B2399">
        <f>IFERROR(INDEX($O$4:$O$3183,MATCH(SMALL($V$4:$V$3183,2396),$V$4:$V$3183,0)),"")</f>
        <v/>
      </c>
      <c r="C2399">
        <f>IFERROR(INDEX($P$4:$P$3183,MATCH(SMALL($V$4:$V$3183,2396),$V$4:$V$3183,0)),"")</f>
        <v/>
      </c>
      <c r="D2399" s="29">
        <f>IFERROR(INDEX($Q$4:$Q$3183,MATCH(SMALL($V$4:$V$3183,2396),$V$4:$V$3183,0)),"")</f>
        <v/>
      </c>
      <c r="E2399" s="29">
        <f>IFERROR(INDEX($R$4:$R$3183,MATCH(SMALL($V$4:$V$3183,2396),$V$4:$V$3183,0)),"")</f>
        <v/>
      </c>
      <c r="F2399">
        <f>IFERROR(INDEX($S$4:$S$3183,MATCH(SMALL($V$4:$V$3183,2396),$V$4:$V$3183,0)),"")</f>
        <v/>
      </c>
      <c r="I2399" s="29">
        <f>IF($B2399="","",IFERROR(INDEX($U$4:$U$3183,MATCH(SMALL($V$4:$V$3183,2396),$V$4:$V$3183,0)),""))</f>
        <v/>
      </c>
      <c r="J2399">
        <f>IF($B2399="","",IF($D2399&gt;$F$2,"À venir",IF($E2399&lt;$D$2,"Passé","Dans la période")))</f>
        <v/>
      </c>
      <c r="K2399">
        <f>IF(OR($B2399="",NOT(ISNUMBER($D2399))),"",IF(AND($E2399&lt;$D$2,$G2399&lt;&gt;"X",$F2399&lt;&gt;"Réalisé",$F2399&lt;&gt;"Clôturé"),"RETARD",""))</f>
        <v/>
      </c>
      <c r="L2399">
        <f>IF(OR($B2399="",NOT(ISNUMBER($D2399))),"",IF(AND($D2399&gt;=$D$2,$D2399&lt;=$H$2,$G2399&lt;&gt;"X",$F2399&lt;&gt;"Réalisé",$F2399&lt;&gt;"Clôturé"),"≤ 7 j",""))</f>
        <v/>
      </c>
      <c r="M2399" s="29">
        <f>IF($B2399="","",IFERROR(INDEX($T$4:$T$3183,MATCH(SMALL($V$4:$V$3183,2396),$V$4:$V$3183,0)),""))</f>
        <v/>
      </c>
      <c r="O2399">
        <f>IF(INDEX(Suivi!$B:$B,2445)="","",INDEX(Suivi!$B:$B,2445))</f>
        <v/>
      </c>
      <c r="P2399">
        <f>IF($O2399="","",IF(INDEX(Suivi!$D:$D,2445)="",INDEX(Suivi!$C:$C,2445),INDEX(Suivi!$D:$D,2445)))</f>
        <v/>
      </c>
      <c r="Q2399">
        <f>IF($O2399="","",INDEX(Suivi!$E:$E,2445))</f>
        <v/>
      </c>
      <c r="R2399">
        <f>IF($O2399="","",INDEX(Suivi!$F:$F,2445))</f>
        <v/>
      </c>
      <c r="S2399">
        <f>IF($O2399="","",INDEX(Suivi!$G:$G,2445))</f>
        <v/>
      </c>
      <c r="T2399">
        <f>IF($O2399="","",IF(INDEX(Dossiers!$F$4:$F$63,46)="","",INDEX(Dossiers!$F$4:$F$63,46)))</f>
        <v/>
      </c>
      <c r="U2399">
        <f>IF($O2399="","",IF(INDEX(Dossiers!$G$4:$G$63,46)="","",INDEX(Dossiers!$G$4:$G$63,46)))</f>
        <v/>
      </c>
      <c r="V2399">
        <f>IF(OR($O2399="",NOT(ISNUMBER($Q2399))),"",$Q2399*1000000+2399)</f>
        <v/>
      </c>
      <c r="W2399" s="29">
        <f>IF($B2399="","",IFERROR(INDEX($U$4:$U$3183,MATCH(SMALL($V$4:$V$3183,2396),$V$4:$V$3183,0)),""))</f>
        <v/>
      </c>
    </row>
    <row r="2400">
      <c r="A2400">
        <f>IFERROR(INDEX($N$4:$N$3183,MATCH(SMALL($V$4:$V$3183,2397),$V$4:$V$3183,0)),"")</f>
        <v/>
      </c>
      <c r="B2400">
        <f>IFERROR(INDEX($O$4:$O$3183,MATCH(SMALL($V$4:$V$3183,2397),$V$4:$V$3183,0)),"")</f>
        <v/>
      </c>
      <c r="C2400">
        <f>IFERROR(INDEX($P$4:$P$3183,MATCH(SMALL($V$4:$V$3183,2397),$V$4:$V$3183,0)),"")</f>
        <v/>
      </c>
      <c r="D2400" s="29">
        <f>IFERROR(INDEX($Q$4:$Q$3183,MATCH(SMALL($V$4:$V$3183,2397),$V$4:$V$3183,0)),"")</f>
        <v/>
      </c>
      <c r="E2400" s="29">
        <f>IFERROR(INDEX($R$4:$R$3183,MATCH(SMALL($V$4:$V$3183,2397),$V$4:$V$3183,0)),"")</f>
        <v/>
      </c>
      <c r="F2400">
        <f>IFERROR(INDEX($S$4:$S$3183,MATCH(SMALL($V$4:$V$3183,2397),$V$4:$V$3183,0)),"")</f>
        <v/>
      </c>
      <c r="I2400" s="29">
        <f>IF($B2400="","",IFERROR(INDEX($U$4:$U$3183,MATCH(SMALL($V$4:$V$3183,2397),$V$4:$V$3183,0)),""))</f>
        <v/>
      </c>
      <c r="J2400">
        <f>IF($B2400="","",IF($D2400&gt;$F$2,"À venir",IF($E2400&lt;$D$2,"Passé","Dans la période")))</f>
        <v/>
      </c>
      <c r="K2400">
        <f>IF(OR($B2400="",NOT(ISNUMBER($D2400))),"",IF(AND($E2400&lt;$D$2,$G2400&lt;&gt;"X",$F2400&lt;&gt;"Réalisé",$F2400&lt;&gt;"Clôturé"),"RETARD",""))</f>
        <v/>
      </c>
      <c r="L2400">
        <f>IF(OR($B2400="",NOT(ISNUMBER($D2400))),"",IF(AND($D2400&gt;=$D$2,$D2400&lt;=$H$2,$G2400&lt;&gt;"X",$F2400&lt;&gt;"Réalisé",$F2400&lt;&gt;"Clôturé"),"≤ 7 j",""))</f>
        <v/>
      </c>
      <c r="M2400" s="29">
        <f>IF($B2400="","",IFERROR(INDEX($T$4:$T$3183,MATCH(SMALL($V$4:$V$3183,2397),$V$4:$V$3183,0)),""))</f>
        <v/>
      </c>
      <c r="O2400">
        <f>IF(INDEX(Suivi!$B:$B,2446)="","",INDEX(Suivi!$B:$B,2446))</f>
        <v/>
      </c>
      <c r="P2400">
        <f>IF($O2400="","",IF(INDEX(Suivi!$D:$D,2446)="",INDEX(Suivi!$C:$C,2446),INDEX(Suivi!$D:$D,2446)))</f>
        <v/>
      </c>
      <c r="Q2400">
        <f>IF($O2400="","",INDEX(Suivi!$E:$E,2446))</f>
        <v/>
      </c>
      <c r="R2400">
        <f>IF($O2400="","",INDEX(Suivi!$F:$F,2446))</f>
        <v/>
      </c>
      <c r="S2400">
        <f>IF($O2400="","",INDEX(Suivi!$G:$G,2446))</f>
        <v/>
      </c>
      <c r="T2400">
        <f>IF($O2400="","",IF(INDEX(Dossiers!$F$4:$F$63,46)="","",INDEX(Dossiers!$F$4:$F$63,46)))</f>
        <v/>
      </c>
      <c r="U2400">
        <f>IF($O2400="","",IF(INDEX(Dossiers!$G$4:$G$63,46)="","",INDEX(Dossiers!$G$4:$G$63,46)))</f>
        <v/>
      </c>
      <c r="V2400">
        <f>IF(OR($O2400="",NOT(ISNUMBER($Q2400))),"",$Q2400*1000000+2400)</f>
        <v/>
      </c>
      <c r="W2400" s="29">
        <f>IF($B2400="","",IFERROR(INDEX($U$4:$U$3183,MATCH(SMALL($V$4:$V$3183,2397),$V$4:$V$3183,0)),""))</f>
        <v/>
      </c>
    </row>
    <row r="2401">
      <c r="A2401">
        <f>IFERROR(INDEX($N$4:$N$3183,MATCH(SMALL($V$4:$V$3183,2398),$V$4:$V$3183,0)),"")</f>
        <v/>
      </c>
      <c r="B2401">
        <f>IFERROR(INDEX($O$4:$O$3183,MATCH(SMALL($V$4:$V$3183,2398),$V$4:$V$3183,0)),"")</f>
        <v/>
      </c>
      <c r="C2401">
        <f>IFERROR(INDEX($P$4:$P$3183,MATCH(SMALL($V$4:$V$3183,2398),$V$4:$V$3183,0)),"")</f>
        <v/>
      </c>
      <c r="D2401" s="29">
        <f>IFERROR(INDEX($Q$4:$Q$3183,MATCH(SMALL($V$4:$V$3183,2398),$V$4:$V$3183,0)),"")</f>
        <v/>
      </c>
      <c r="E2401" s="29">
        <f>IFERROR(INDEX($R$4:$R$3183,MATCH(SMALL($V$4:$V$3183,2398),$V$4:$V$3183,0)),"")</f>
        <v/>
      </c>
      <c r="F2401">
        <f>IFERROR(INDEX($S$4:$S$3183,MATCH(SMALL($V$4:$V$3183,2398),$V$4:$V$3183,0)),"")</f>
        <v/>
      </c>
      <c r="I2401" s="29">
        <f>IF($B2401="","",IFERROR(INDEX($U$4:$U$3183,MATCH(SMALL($V$4:$V$3183,2398),$V$4:$V$3183,0)),""))</f>
        <v/>
      </c>
      <c r="J2401">
        <f>IF($B2401="","",IF($D2401&gt;$F$2,"À venir",IF($E2401&lt;$D$2,"Passé","Dans la période")))</f>
        <v/>
      </c>
      <c r="K2401">
        <f>IF(OR($B2401="",NOT(ISNUMBER($D2401))),"",IF(AND($E2401&lt;$D$2,$G2401&lt;&gt;"X",$F2401&lt;&gt;"Réalisé",$F2401&lt;&gt;"Clôturé"),"RETARD",""))</f>
        <v/>
      </c>
      <c r="L2401">
        <f>IF(OR($B2401="",NOT(ISNUMBER($D2401))),"",IF(AND($D2401&gt;=$D$2,$D2401&lt;=$H$2,$G2401&lt;&gt;"X",$F2401&lt;&gt;"Réalisé",$F2401&lt;&gt;"Clôturé"),"≤ 7 j",""))</f>
        <v/>
      </c>
      <c r="M2401" s="29">
        <f>IF($B2401="","",IFERROR(INDEX($T$4:$T$3183,MATCH(SMALL($V$4:$V$3183,2398),$V$4:$V$3183,0)),""))</f>
        <v/>
      </c>
      <c r="O2401">
        <f>IF(INDEX(Suivi!$B:$B,2447)="","",INDEX(Suivi!$B:$B,2447))</f>
        <v/>
      </c>
      <c r="P2401">
        <f>IF($O2401="","",IF(INDEX(Suivi!$D:$D,2447)="",INDEX(Suivi!$C:$C,2447),INDEX(Suivi!$D:$D,2447)))</f>
        <v/>
      </c>
      <c r="Q2401">
        <f>IF($O2401="","",INDEX(Suivi!$E:$E,2447))</f>
        <v/>
      </c>
      <c r="R2401">
        <f>IF($O2401="","",INDEX(Suivi!$F:$F,2447))</f>
        <v/>
      </c>
      <c r="S2401">
        <f>IF($O2401="","",INDEX(Suivi!$G:$G,2447))</f>
        <v/>
      </c>
      <c r="T2401">
        <f>IF($O2401="","",IF(INDEX(Dossiers!$F$4:$F$63,46)="","",INDEX(Dossiers!$F$4:$F$63,46)))</f>
        <v/>
      </c>
      <c r="U2401">
        <f>IF($O2401="","",IF(INDEX(Dossiers!$G$4:$G$63,46)="","",INDEX(Dossiers!$G$4:$G$63,46)))</f>
        <v/>
      </c>
      <c r="V2401">
        <f>IF(OR($O2401="",NOT(ISNUMBER($Q2401))),"",$Q2401*1000000+2401)</f>
        <v/>
      </c>
      <c r="W2401" s="29">
        <f>IF($B2401="","",IFERROR(INDEX($U$4:$U$3183,MATCH(SMALL($V$4:$V$3183,2398),$V$4:$V$3183,0)),""))</f>
        <v/>
      </c>
    </row>
    <row r="2402">
      <c r="A2402">
        <f>IFERROR(INDEX($N$4:$N$3183,MATCH(SMALL($V$4:$V$3183,2399),$V$4:$V$3183,0)),"")</f>
        <v/>
      </c>
      <c r="B2402">
        <f>IFERROR(INDEX($O$4:$O$3183,MATCH(SMALL($V$4:$V$3183,2399),$V$4:$V$3183,0)),"")</f>
        <v/>
      </c>
      <c r="C2402">
        <f>IFERROR(INDEX($P$4:$P$3183,MATCH(SMALL($V$4:$V$3183,2399),$V$4:$V$3183,0)),"")</f>
        <v/>
      </c>
      <c r="D2402" s="29">
        <f>IFERROR(INDEX($Q$4:$Q$3183,MATCH(SMALL($V$4:$V$3183,2399),$V$4:$V$3183,0)),"")</f>
        <v/>
      </c>
      <c r="E2402" s="29">
        <f>IFERROR(INDEX($R$4:$R$3183,MATCH(SMALL($V$4:$V$3183,2399),$V$4:$V$3183,0)),"")</f>
        <v/>
      </c>
      <c r="F2402">
        <f>IFERROR(INDEX($S$4:$S$3183,MATCH(SMALL($V$4:$V$3183,2399),$V$4:$V$3183,0)),"")</f>
        <v/>
      </c>
      <c r="I2402" s="29">
        <f>IF($B2402="","",IFERROR(INDEX($U$4:$U$3183,MATCH(SMALL($V$4:$V$3183,2399),$V$4:$V$3183,0)),""))</f>
        <v/>
      </c>
      <c r="J2402">
        <f>IF($B2402="","",IF($D2402&gt;$F$2,"À venir",IF($E2402&lt;$D$2,"Passé","Dans la période")))</f>
        <v/>
      </c>
      <c r="K2402">
        <f>IF(OR($B2402="",NOT(ISNUMBER($D2402))),"",IF(AND($E2402&lt;$D$2,$G2402&lt;&gt;"X",$F2402&lt;&gt;"Réalisé",$F2402&lt;&gt;"Clôturé"),"RETARD",""))</f>
        <v/>
      </c>
      <c r="L2402">
        <f>IF(OR($B2402="",NOT(ISNUMBER($D2402))),"",IF(AND($D2402&gt;=$D$2,$D2402&lt;=$H$2,$G2402&lt;&gt;"X",$F2402&lt;&gt;"Réalisé",$F2402&lt;&gt;"Clôturé"),"≤ 7 j",""))</f>
        <v/>
      </c>
      <c r="M2402" s="29">
        <f>IF($B2402="","",IFERROR(INDEX($T$4:$T$3183,MATCH(SMALL($V$4:$V$3183,2399),$V$4:$V$3183,0)),""))</f>
        <v/>
      </c>
      <c r="O2402">
        <f>IF(INDEX(Suivi!$B:$B,2448)="","",INDEX(Suivi!$B:$B,2448))</f>
        <v/>
      </c>
      <c r="P2402">
        <f>IF($O2402="","",IF(INDEX(Suivi!$D:$D,2448)="",INDEX(Suivi!$C:$C,2448),INDEX(Suivi!$D:$D,2448)))</f>
        <v/>
      </c>
      <c r="Q2402">
        <f>IF($O2402="","",INDEX(Suivi!$E:$E,2448))</f>
        <v/>
      </c>
      <c r="R2402">
        <f>IF($O2402="","",INDEX(Suivi!$F:$F,2448))</f>
        <v/>
      </c>
      <c r="S2402">
        <f>IF($O2402="","",INDEX(Suivi!$G:$G,2448))</f>
        <v/>
      </c>
      <c r="T2402">
        <f>IF($O2402="","",IF(INDEX(Dossiers!$F$4:$F$63,46)="","",INDEX(Dossiers!$F$4:$F$63,46)))</f>
        <v/>
      </c>
      <c r="U2402">
        <f>IF($O2402="","",IF(INDEX(Dossiers!$G$4:$G$63,46)="","",INDEX(Dossiers!$G$4:$G$63,46)))</f>
        <v/>
      </c>
      <c r="V2402">
        <f>IF(OR($O2402="",NOT(ISNUMBER($Q2402))),"",$Q2402*1000000+2402)</f>
        <v/>
      </c>
      <c r="W2402" s="29">
        <f>IF($B2402="","",IFERROR(INDEX($U$4:$U$3183,MATCH(SMALL($V$4:$V$3183,2399),$V$4:$V$3183,0)),""))</f>
        <v/>
      </c>
    </row>
    <row r="2403">
      <c r="A2403">
        <f>IFERROR(INDEX($N$4:$N$3183,MATCH(SMALL($V$4:$V$3183,2400),$V$4:$V$3183,0)),"")</f>
        <v/>
      </c>
      <c r="B2403">
        <f>IFERROR(INDEX($O$4:$O$3183,MATCH(SMALL($V$4:$V$3183,2400),$V$4:$V$3183,0)),"")</f>
        <v/>
      </c>
      <c r="C2403">
        <f>IFERROR(INDEX($P$4:$P$3183,MATCH(SMALL($V$4:$V$3183,2400),$V$4:$V$3183,0)),"")</f>
        <v/>
      </c>
      <c r="D2403" s="29">
        <f>IFERROR(INDEX($Q$4:$Q$3183,MATCH(SMALL($V$4:$V$3183,2400),$V$4:$V$3183,0)),"")</f>
        <v/>
      </c>
      <c r="E2403" s="29">
        <f>IFERROR(INDEX($R$4:$R$3183,MATCH(SMALL($V$4:$V$3183,2400),$V$4:$V$3183,0)),"")</f>
        <v/>
      </c>
      <c r="F2403">
        <f>IFERROR(INDEX($S$4:$S$3183,MATCH(SMALL($V$4:$V$3183,2400),$V$4:$V$3183,0)),"")</f>
        <v/>
      </c>
      <c r="I2403" s="29">
        <f>IF($B2403="","",IFERROR(INDEX($U$4:$U$3183,MATCH(SMALL($V$4:$V$3183,2400),$V$4:$V$3183,0)),""))</f>
        <v/>
      </c>
      <c r="J2403">
        <f>IF($B2403="","",IF($D2403&gt;$F$2,"À venir",IF($E2403&lt;$D$2,"Passé","Dans la période")))</f>
        <v/>
      </c>
      <c r="K2403">
        <f>IF(OR($B2403="",NOT(ISNUMBER($D2403))),"",IF(AND($E2403&lt;$D$2,$G2403&lt;&gt;"X",$F2403&lt;&gt;"Réalisé",$F2403&lt;&gt;"Clôturé"),"RETARD",""))</f>
        <v/>
      </c>
      <c r="L2403">
        <f>IF(OR($B2403="",NOT(ISNUMBER($D2403))),"",IF(AND($D2403&gt;=$D$2,$D2403&lt;=$H$2,$G2403&lt;&gt;"X",$F2403&lt;&gt;"Réalisé",$F2403&lt;&gt;"Clôturé"),"≤ 7 j",""))</f>
        <v/>
      </c>
      <c r="M2403" s="29">
        <f>IF($B2403="","",IFERROR(INDEX($T$4:$T$3183,MATCH(SMALL($V$4:$V$3183,2400),$V$4:$V$3183,0)),""))</f>
        <v/>
      </c>
      <c r="O2403">
        <f>IF(INDEX(Suivi!$B:$B,2449)="","",INDEX(Suivi!$B:$B,2449))</f>
        <v/>
      </c>
      <c r="P2403">
        <f>IF($O2403="","",IF(INDEX(Suivi!$D:$D,2449)="",INDEX(Suivi!$C:$C,2449),INDEX(Suivi!$D:$D,2449)))</f>
        <v/>
      </c>
      <c r="Q2403">
        <f>IF($O2403="","",INDEX(Suivi!$E:$E,2449))</f>
        <v/>
      </c>
      <c r="R2403">
        <f>IF($O2403="","",INDEX(Suivi!$F:$F,2449))</f>
        <v/>
      </c>
      <c r="S2403">
        <f>IF($O2403="","",INDEX(Suivi!$G:$G,2449))</f>
        <v/>
      </c>
      <c r="T2403">
        <f>IF($O2403="","",IF(INDEX(Dossiers!$F$4:$F$63,46)="","",INDEX(Dossiers!$F$4:$F$63,46)))</f>
        <v/>
      </c>
      <c r="U2403">
        <f>IF($O2403="","",IF(INDEX(Dossiers!$G$4:$G$63,46)="","",INDEX(Dossiers!$G$4:$G$63,46)))</f>
        <v/>
      </c>
      <c r="V2403">
        <f>IF(OR($O2403="",NOT(ISNUMBER($Q2403))),"",$Q2403*1000000+2403)</f>
        <v/>
      </c>
      <c r="W2403" s="29">
        <f>IF($B2403="","",IFERROR(INDEX($U$4:$U$3183,MATCH(SMALL($V$4:$V$3183,2400),$V$4:$V$3183,0)),""))</f>
        <v/>
      </c>
    </row>
    <row r="2404">
      <c r="A2404">
        <f>IFERROR(INDEX($N$4:$N$3183,MATCH(SMALL($V$4:$V$3183,2401),$V$4:$V$3183,0)),"")</f>
        <v/>
      </c>
      <c r="B2404">
        <f>IFERROR(INDEX($O$4:$O$3183,MATCH(SMALL($V$4:$V$3183,2401),$V$4:$V$3183,0)),"")</f>
        <v/>
      </c>
      <c r="C2404">
        <f>IFERROR(INDEX($P$4:$P$3183,MATCH(SMALL($V$4:$V$3183,2401),$V$4:$V$3183,0)),"")</f>
        <v/>
      </c>
      <c r="D2404" s="29">
        <f>IFERROR(INDEX($Q$4:$Q$3183,MATCH(SMALL($V$4:$V$3183,2401),$V$4:$V$3183,0)),"")</f>
        <v/>
      </c>
      <c r="E2404" s="29">
        <f>IFERROR(INDEX($R$4:$R$3183,MATCH(SMALL($V$4:$V$3183,2401),$V$4:$V$3183,0)),"")</f>
        <v/>
      </c>
      <c r="F2404">
        <f>IFERROR(INDEX($S$4:$S$3183,MATCH(SMALL($V$4:$V$3183,2401),$V$4:$V$3183,0)),"")</f>
        <v/>
      </c>
      <c r="I2404" s="29">
        <f>IF($B2404="","",IFERROR(INDEX($U$4:$U$3183,MATCH(SMALL($V$4:$V$3183,2401),$V$4:$V$3183,0)),""))</f>
        <v/>
      </c>
      <c r="J2404">
        <f>IF($B2404="","",IF($D2404&gt;$F$2,"À venir",IF($E2404&lt;$D$2,"Passé","Dans la période")))</f>
        <v/>
      </c>
      <c r="K2404">
        <f>IF(OR($B2404="",NOT(ISNUMBER($D2404))),"",IF(AND($E2404&lt;$D$2,$G2404&lt;&gt;"X",$F2404&lt;&gt;"Réalisé",$F2404&lt;&gt;"Clôturé"),"RETARD",""))</f>
        <v/>
      </c>
      <c r="L2404">
        <f>IF(OR($B2404="",NOT(ISNUMBER($D2404))),"",IF(AND($D2404&gt;=$D$2,$D2404&lt;=$H$2,$G2404&lt;&gt;"X",$F2404&lt;&gt;"Réalisé",$F2404&lt;&gt;"Clôturé"),"≤ 7 j",""))</f>
        <v/>
      </c>
      <c r="M2404" s="29">
        <f>IF($B2404="","",IFERROR(INDEX($T$4:$T$3183,MATCH(SMALL($V$4:$V$3183,2401),$V$4:$V$3183,0)),""))</f>
        <v/>
      </c>
      <c r="O2404">
        <f>IF(INDEX(Suivi!$B:$B,2450)="","",INDEX(Suivi!$B:$B,2450))</f>
        <v/>
      </c>
      <c r="P2404">
        <f>IF($O2404="","",IF(INDEX(Suivi!$D:$D,2450)="",INDEX(Suivi!$C:$C,2450),INDEX(Suivi!$D:$D,2450)))</f>
        <v/>
      </c>
      <c r="Q2404">
        <f>IF($O2404="","",INDEX(Suivi!$E:$E,2450))</f>
        <v/>
      </c>
      <c r="R2404">
        <f>IF($O2404="","",INDEX(Suivi!$F:$F,2450))</f>
        <v/>
      </c>
      <c r="S2404">
        <f>IF($O2404="","",INDEX(Suivi!$G:$G,2450))</f>
        <v/>
      </c>
      <c r="T2404">
        <f>IF($O2404="","",IF(INDEX(Dossiers!$F$4:$F$63,46)="","",INDEX(Dossiers!$F$4:$F$63,46)))</f>
        <v/>
      </c>
      <c r="U2404">
        <f>IF($O2404="","",IF(INDEX(Dossiers!$G$4:$G$63,46)="","",INDEX(Dossiers!$G$4:$G$63,46)))</f>
        <v/>
      </c>
      <c r="V2404">
        <f>IF(OR($O2404="",NOT(ISNUMBER($Q2404))),"",$Q2404*1000000+2404)</f>
        <v/>
      </c>
      <c r="W2404" s="29">
        <f>IF($B2404="","",IFERROR(INDEX($U$4:$U$3183,MATCH(SMALL($V$4:$V$3183,2401),$V$4:$V$3183,0)),""))</f>
        <v/>
      </c>
    </row>
    <row r="2405">
      <c r="A2405">
        <f>IFERROR(INDEX($N$4:$N$3183,MATCH(SMALL($V$4:$V$3183,2402),$V$4:$V$3183,0)),"")</f>
        <v/>
      </c>
      <c r="B2405">
        <f>IFERROR(INDEX($O$4:$O$3183,MATCH(SMALL($V$4:$V$3183,2402),$V$4:$V$3183,0)),"")</f>
        <v/>
      </c>
      <c r="C2405">
        <f>IFERROR(INDEX($P$4:$P$3183,MATCH(SMALL($V$4:$V$3183,2402),$V$4:$V$3183,0)),"")</f>
        <v/>
      </c>
      <c r="D2405" s="29">
        <f>IFERROR(INDEX($Q$4:$Q$3183,MATCH(SMALL($V$4:$V$3183,2402),$V$4:$V$3183,0)),"")</f>
        <v/>
      </c>
      <c r="E2405" s="29">
        <f>IFERROR(INDEX($R$4:$R$3183,MATCH(SMALL($V$4:$V$3183,2402),$V$4:$V$3183,0)),"")</f>
        <v/>
      </c>
      <c r="F2405">
        <f>IFERROR(INDEX($S$4:$S$3183,MATCH(SMALL($V$4:$V$3183,2402),$V$4:$V$3183,0)),"")</f>
        <v/>
      </c>
      <c r="I2405" s="29">
        <f>IF($B2405="","",IFERROR(INDEX($U$4:$U$3183,MATCH(SMALL($V$4:$V$3183,2402),$V$4:$V$3183,0)),""))</f>
        <v/>
      </c>
      <c r="J2405">
        <f>IF($B2405="","",IF($D2405&gt;$F$2,"À venir",IF($E2405&lt;$D$2,"Passé","Dans la période")))</f>
        <v/>
      </c>
      <c r="K2405">
        <f>IF(OR($B2405="",NOT(ISNUMBER($D2405))),"",IF(AND($E2405&lt;$D$2,$G2405&lt;&gt;"X",$F2405&lt;&gt;"Réalisé",$F2405&lt;&gt;"Clôturé"),"RETARD",""))</f>
        <v/>
      </c>
      <c r="L2405">
        <f>IF(OR($B2405="",NOT(ISNUMBER($D2405))),"",IF(AND($D2405&gt;=$D$2,$D2405&lt;=$H$2,$G2405&lt;&gt;"X",$F2405&lt;&gt;"Réalisé",$F2405&lt;&gt;"Clôturé"),"≤ 7 j",""))</f>
        <v/>
      </c>
      <c r="M2405" s="29">
        <f>IF($B2405="","",IFERROR(INDEX($T$4:$T$3183,MATCH(SMALL($V$4:$V$3183,2402),$V$4:$V$3183,0)),""))</f>
        <v/>
      </c>
      <c r="O2405">
        <f>IF(INDEX(Suivi!$B:$B,2451)="","",INDEX(Suivi!$B:$B,2451))</f>
        <v/>
      </c>
      <c r="P2405">
        <f>IF($O2405="","",IF(INDEX(Suivi!$D:$D,2451)="",INDEX(Suivi!$C:$C,2451),INDEX(Suivi!$D:$D,2451)))</f>
        <v/>
      </c>
      <c r="Q2405">
        <f>IF($O2405="","",INDEX(Suivi!$E:$E,2451))</f>
        <v/>
      </c>
      <c r="R2405">
        <f>IF($O2405="","",INDEX(Suivi!$F:$F,2451))</f>
        <v/>
      </c>
      <c r="S2405">
        <f>IF($O2405="","",INDEX(Suivi!$G:$G,2451))</f>
        <v/>
      </c>
      <c r="T2405">
        <f>IF($O2405="","",IF(INDEX(Dossiers!$F$4:$F$63,46)="","",INDEX(Dossiers!$F$4:$F$63,46)))</f>
        <v/>
      </c>
      <c r="U2405">
        <f>IF($O2405="","",IF(INDEX(Dossiers!$G$4:$G$63,46)="","",INDEX(Dossiers!$G$4:$G$63,46)))</f>
        <v/>
      </c>
      <c r="V2405">
        <f>IF(OR($O2405="",NOT(ISNUMBER($Q2405))),"",$Q2405*1000000+2405)</f>
        <v/>
      </c>
      <c r="W2405" s="29">
        <f>IF($B2405="","",IFERROR(INDEX($U$4:$U$3183,MATCH(SMALL($V$4:$V$3183,2402),$V$4:$V$3183,0)),""))</f>
        <v/>
      </c>
    </row>
    <row r="2406">
      <c r="A2406">
        <f>IFERROR(INDEX($N$4:$N$3183,MATCH(SMALL($V$4:$V$3183,2403),$V$4:$V$3183,0)),"")</f>
        <v/>
      </c>
      <c r="B2406">
        <f>IFERROR(INDEX($O$4:$O$3183,MATCH(SMALL($V$4:$V$3183,2403),$V$4:$V$3183,0)),"")</f>
        <v/>
      </c>
      <c r="C2406">
        <f>IFERROR(INDEX($P$4:$P$3183,MATCH(SMALL($V$4:$V$3183,2403),$V$4:$V$3183,0)),"")</f>
        <v/>
      </c>
      <c r="D2406" s="29">
        <f>IFERROR(INDEX($Q$4:$Q$3183,MATCH(SMALL($V$4:$V$3183,2403),$V$4:$V$3183,0)),"")</f>
        <v/>
      </c>
      <c r="E2406" s="29">
        <f>IFERROR(INDEX($R$4:$R$3183,MATCH(SMALL($V$4:$V$3183,2403),$V$4:$V$3183,0)),"")</f>
        <v/>
      </c>
      <c r="F2406">
        <f>IFERROR(INDEX($S$4:$S$3183,MATCH(SMALL($V$4:$V$3183,2403),$V$4:$V$3183,0)),"")</f>
        <v/>
      </c>
      <c r="I2406" s="29">
        <f>IF($B2406="","",IFERROR(INDEX($U$4:$U$3183,MATCH(SMALL($V$4:$V$3183,2403),$V$4:$V$3183,0)),""))</f>
        <v/>
      </c>
      <c r="J2406">
        <f>IF($B2406="","",IF($D2406&gt;$F$2,"À venir",IF($E2406&lt;$D$2,"Passé","Dans la période")))</f>
        <v/>
      </c>
      <c r="K2406">
        <f>IF(OR($B2406="",NOT(ISNUMBER($D2406))),"",IF(AND($E2406&lt;$D$2,$G2406&lt;&gt;"X",$F2406&lt;&gt;"Réalisé",$F2406&lt;&gt;"Clôturé"),"RETARD",""))</f>
        <v/>
      </c>
      <c r="L2406">
        <f>IF(OR($B2406="",NOT(ISNUMBER($D2406))),"",IF(AND($D2406&gt;=$D$2,$D2406&lt;=$H$2,$G2406&lt;&gt;"X",$F2406&lt;&gt;"Réalisé",$F2406&lt;&gt;"Clôturé"),"≤ 7 j",""))</f>
        <v/>
      </c>
      <c r="M2406" s="29">
        <f>IF($B2406="","",IFERROR(INDEX($T$4:$T$3183,MATCH(SMALL($V$4:$V$3183,2403),$V$4:$V$3183,0)),""))</f>
        <v/>
      </c>
      <c r="O2406">
        <f>IF(INDEX(Suivi!$B:$B,2452)="","",INDEX(Suivi!$B:$B,2452))</f>
        <v/>
      </c>
      <c r="P2406">
        <f>IF($O2406="","",IF(INDEX(Suivi!$D:$D,2452)="",INDEX(Suivi!$C:$C,2452),INDEX(Suivi!$D:$D,2452)))</f>
        <v/>
      </c>
      <c r="Q2406">
        <f>IF($O2406="","",INDEX(Suivi!$E:$E,2452))</f>
        <v/>
      </c>
      <c r="R2406">
        <f>IF($O2406="","",INDEX(Suivi!$F:$F,2452))</f>
        <v/>
      </c>
      <c r="S2406">
        <f>IF($O2406="","",INDEX(Suivi!$G:$G,2452))</f>
        <v/>
      </c>
      <c r="T2406">
        <f>IF($O2406="","",IF(INDEX(Dossiers!$F$4:$F$63,46)="","",INDEX(Dossiers!$F$4:$F$63,46)))</f>
        <v/>
      </c>
      <c r="U2406">
        <f>IF($O2406="","",IF(INDEX(Dossiers!$G$4:$G$63,46)="","",INDEX(Dossiers!$G$4:$G$63,46)))</f>
        <v/>
      </c>
      <c r="V2406">
        <f>IF(OR($O2406="",NOT(ISNUMBER($Q2406))),"",$Q2406*1000000+2406)</f>
        <v/>
      </c>
      <c r="W2406" s="29">
        <f>IF($B2406="","",IFERROR(INDEX($U$4:$U$3183,MATCH(SMALL($V$4:$V$3183,2403),$V$4:$V$3183,0)),""))</f>
        <v/>
      </c>
    </row>
    <row r="2407">
      <c r="A2407">
        <f>IFERROR(INDEX($N$4:$N$3183,MATCH(SMALL($V$4:$V$3183,2404),$V$4:$V$3183,0)),"")</f>
        <v/>
      </c>
      <c r="B2407">
        <f>IFERROR(INDEX($O$4:$O$3183,MATCH(SMALL($V$4:$V$3183,2404),$V$4:$V$3183,0)),"")</f>
        <v/>
      </c>
      <c r="C2407">
        <f>IFERROR(INDEX($P$4:$P$3183,MATCH(SMALL($V$4:$V$3183,2404),$V$4:$V$3183,0)),"")</f>
        <v/>
      </c>
      <c r="D2407" s="29">
        <f>IFERROR(INDEX($Q$4:$Q$3183,MATCH(SMALL($V$4:$V$3183,2404),$V$4:$V$3183,0)),"")</f>
        <v/>
      </c>
      <c r="E2407" s="29">
        <f>IFERROR(INDEX($R$4:$R$3183,MATCH(SMALL($V$4:$V$3183,2404),$V$4:$V$3183,0)),"")</f>
        <v/>
      </c>
      <c r="F2407">
        <f>IFERROR(INDEX($S$4:$S$3183,MATCH(SMALL($V$4:$V$3183,2404),$V$4:$V$3183,0)),"")</f>
        <v/>
      </c>
      <c r="I2407" s="29">
        <f>IF($B2407="","",IFERROR(INDEX($U$4:$U$3183,MATCH(SMALL($V$4:$V$3183,2404),$V$4:$V$3183,0)),""))</f>
        <v/>
      </c>
      <c r="J2407">
        <f>IF($B2407="","",IF($D2407&gt;$F$2,"À venir",IF($E2407&lt;$D$2,"Passé","Dans la période")))</f>
        <v/>
      </c>
      <c r="K2407">
        <f>IF(OR($B2407="",NOT(ISNUMBER($D2407))),"",IF(AND($E2407&lt;$D$2,$G2407&lt;&gt;"X",$F2407&lt;&gt;"Réalisé",$F2407&lt;&gt;"Clôturé"),"RETARD",""))</f>
        <v/>
      </c>
      <c r="L2407">
        <f>IF(OR($B2407="",NOT(ISNUMBER($D2407))),"",IF(AND($D2407&gt;=$D$2,$D2407&lt;=$H$2,$G2407&lt;&gt;"X",$F2407&lt;&gt;"Réalisé",$F2407&lt;&gt;"Clôturé"),"≤ 7 j",""))</f>
        <v/>
      </c>
      <c r="M2407" s="29">
        <f>IF($B2407="","",IFERROR(INDEX($T$4:$T$3183,MATCH(SMALL($V$4:$V$3183,2404),$V$4:$V$3183,0)),""))</f>
        <v/>
      </c>
      <c r="O2407">
        <f>IF(INDEX(Suivi!$B:$B,2453)="","",INDEX(Suivi!$B:$B,2453))</f>
        <v/>
      </c>
      <c r="P2407">
        <f>IF($O2407="","",IF(INDEX(Suivi!$D:$D,2453)="",INDEX(Suivi!$C:$C,2453),INDEX(Suivi!$D:$D,2453)))</f>
        <v/>
      </c>
      <c r="Q2407">
        <f>IF($O2407="","",INDEX(Suivi!$E:$E,2453))</f>
        <v/>
      </c>
      <c r="R2407">
        <f>IF($O2407="","",INDEX(Suivi!$F:$F,2453))</f>
        <v/>
      </c>
      <c r="S2407">
        <f>IF($O2407="","",INDEX(Suivi!$G:$G,2453))</f>
        <v/>
      </c>
      <c r="T2407">
        <f>IF($O2407="","",IF(INDEX(Dossiers!$F$4:$F$63,46)="","",INDEX(Dossiers!$F$4:$F$63,46)))</f>
        <v/>
      </c>
      <c r="U2407">
        <f>IF($O2407="","",IF(INDEX(Dossiers!$G$4:$G$63,46)="","",INDEX(Dossiers!$G$4:$G$63,46)))</f>
        <v/>
      </c>
      <c r="V2407">
        <f>IF(OR($O2407="",NOT(ISNUMBER($Q2407))),"",$Q2407*1000000+2407)</f>
        <v/>
      </c>
      <c r="W2407" s="29">
        <f>IF($B2407="","",IFERROR(INDEX($U$4:$U$3183,MATCH(SMALL($V$4:$V$3183,2404),$V$4:$V$3183,0)),""))</f>
        <v/>
      </c>
    </row>
    <row r="2408">
      <c r="A2408">
        <f>IFERROR(INDEX($N$4:$N$3183,MATCH(SMALL($V$4:$V$3183,2405),$V$4:$V$3183,0)),"")</f>
        <v/>
      </c>
      <c r="B2408">
        <f>IFERROR(INDEX($O$4:$O$3183,MATCH(SMALL($V$4:$V$3183,2405),$V$4:$V$3183,0)),"")</f>
        <v/>
      </c>
      <c r="C2408">
        <f>IFERROR(INDEX($P$4:$P$3183,MATCH(SMALL($V$4:$V$3183,2405),$V$4:$V$3183,0)),"")</f>
        <v/>
      </c>
      <c r="D2408" s="29">
        <f>IFERROR(INDEX($Q$4:$Q$3183,MATCH(SMALL($V$4:$V$3183,2405),$V$4:$V$3183,0)),"")</f>
        <v/>
      </c>
      <c r="E2408" s="29">
        <f>IFERROR(INDEX($R$4:$R$3183,MATCH(SMALL($V$4:$V$3183,2405),$V$4:$V$3183,0)),"")</f>
        <v/>
      </c>
      <c r="F2408">
        <f>IFERROR(INDEX($S$4:$S$3183,MATCH(SMALL($V$4:$V$3183,2405),$V$4:$V$3183,0)),"")</f>
        <v/>
      </c>
      <c r="I2408" s="29">
        <f>IF($B2408="","",IFERROR(INDEX($U$4:$U$3183,MATCH(SMALL($V$4:$V$3183,2405),$V$4:$V$3183,0)),""))</f>
        <v/>
      </c>
      <c r="J2408">
        <f>IF($B2408="","",IF($D2408&gt;$F$2,"À venir",IF($E2408&lt;$D$2,"Passé","Dans la période")))</f>
        <v/>
      </c>
      <c r="K2408">
        <f>IF(OR($B2408="",NOT(ISNUMBER($D2408))),"",IF(AND($E2408&lt;$D$2,$G2408&lt;&gt;"X",$F2408&lt;&gt;"Réalisé",$F2408&lt;&gt;"Clôturé"),"RETARD",""))</f>
        <v/>
      </c>
      <c r="L2408">
        <f>IF(OR($B2408="",NOT(ISNUMBER($D2408))),"",IF(AND($D2408&gt;=$D$2,$D2408&lt;=$H$2,$G2408&lt;&gt;"X",$F2408&lt;&gt;"Réalisé",$F2408&lt;&gt;"Clôturé"),"≤ 7 j",""))</f>
        <v/>
      </c>
      <c r="M2408" s="29">
        <f>IF($B2408="","",IFERROR(INDEX($T$4:$T$3183,MATCH(SMALL($V$4:$V$3183,2405),$V$4:$V$3183,0)),""))</f>
        <v/>
      </c>
      <c r="O2408">
        <f>IF(INDEX(Suivi!$B:$B,2454)="","",INDEX(Suivi!$B:$B,2454))</f>
        <v/>
      </c>
      <c r="P2408">
        <f>IF($O2408="","",IF(INDEX(Suivi!$D:$D,2454)="",INDEX(Suivi!$C:$C,2454),INDEX(Suivi!$D:$D,2454)))</f>
        <v/>
      </c>
      <c r="Q2408">
        <f>IF($O2408="","",INDEX(Suivi!$E:$E,2454))</f>
        <v/>
      </c>
      <c r="R2408">
        <f>IF($O2408="","",INDEX(Suivi!$F:$F,2454))</f>
        <v/>
      </c>
      <c r="S2408">
        <f>IF($O2408="","",INDEX(Suivi!$G:$G,2454))</f>
        <v/>
      </c>
      <c r="T2408">
        <f>IF($O2408="","",IF(INDEX(Dossiers!$F$4:$F$63,46)="","",INDEX(Dossiers!$F$4:$F$63,46)))</f>
        <v/>
      </c>
      <c r="U2408">
        <f>IF($O2408="","",IF(INDEX(Dossiers!$G$4:$G$63,46)="","",INDEX(Dossiers!$G$4:$G$63,46)))</f>
        <v/>
      </c>
      <c r="V2408">
        <f>IF(OR($O2408="",NOT(ISNUMBER($Q2408))),"",$Q2408*1000000+2408)</f>
        <v/>
      </c>
      <c r="W2408" s="29">
        <f>IF($B2408="","",IFERROR(INDEX($U$4:$U$3183,MATCH(SMALL($V$4:$V$3183,2405),$V$4:$V$3183,0)),""))</f>
        <v/>
      </c>
    </row>
    <row r="2409">
      <c r="A2409">
        <f>IFERROR(INDEX($N$4:$N$3183,MATCH(SMALL($V$4:$V$3183,2406),$V$4:$V$3183,0)),"")</f>
        <v/>
      </c>
      <c r="B2409">
        <f>IFERROR(INDEX($O$4:$O$3183,MATCH(SMALL($V$4:$V$3183,2406),$V$4:$V$3183,0)),"")</f>
        <v/>
      </c>
      <c r="C2409">
        <f>IFERROR(INDEX($P$4:$P$3183,MATCH(SMALL($V$4:$V$3183,2406),$V$4:$V$3183,0)),"")</f>
        <v/>
      </c>
      <c r="D2409" s="29">
        <f>IFERROR(INDEX($Q$4:$Q$3183,MATCH(SMALL($V$4:$V$3183,2406),$V$4:$V$3183,0)),"")</f>
        <v/>
      </c>
      <c r="E2409" s="29">
        <f>IFERROR(INDEX($R$4:$R$3183,MATCH(SMALL($V$4:$V$3183,2406),$V$4:$V$3183,0)),"")</f>
        <v/>
      </c>
      <c r="F2409">
        <f>IFERROR(INDEX($S$4:$S$3183,MATCH(SMALL($V$4:$V$3183,2406),$V$4:$V$3183,0)),"")</f>
        <v/>
      </c>
      <c r="I2409" s="29">
        <f>IF($B2409="","",IFERROR(INDEX($U$4:$U$3183,MATCH(SMALL($V$4:$V$3183,2406),$V$4:$V$3183,0)),""))</f>
        <v/>
      </c>
      <c r="J2409">
        <f>IF($B2409="","",IF($D2409&gt;$F$2,"À venir",IF($E2409&lt;$D$2,"Passé","Dans la période")))</f>
        <v/>
      </c>
      <c r="K2409">
        <f>IF(OR($B2409="",NOT(ISNUMBER($D2409))),"",IF(AND($E2409&lt;$D$2,$G2409&lt;&gt;"X",$F2409&lt;&gt;"Réalisé",$F2409&lt;&gt;"Clôturé"),"RETARD",""))</f>
        <v/>
      </c>
      <c r="L2409">
        <f>IF(OR($B2409="",NOT(ISNUMBER($D2409))),"",IF(AND($D2409&gt;=$D$2,$D2409&lt;=$H$2,$G2409&lt;&gt;"X",$F2409&lt;&gt;"Réalisé",$F2409&lt;&gt;"Clôturé"),"≤ 7 j",""))</f>
        <v/>
      </c>
      <c r="M2409" s="29">
        <f>IF($B2409="","",IFERROR(INDEX($T$4:$T$3183,MATCH(SMALL($V$4:$V$3183,2406),$V$4:$V$3183,0)),""))</f>
        <v/>
      </c>
      <c r="O2409">
        <f>IF(INDEX(Suivi!$B:$B,2455)="","",INDEX(Suivi!$B:$B,2455))</f>
        <v/>
      </c>
      <c r="P2409">
        <f>IF($O2409="","",IF(INDEX(Suivi!$D:$D,2455)="",INDEX(Suivi!$C:$C,2455),INDEX(Suivi!$D:$D,2455)))</f>
        <v/>
      </c>
      <c r="Q2409">
        <f>IF($O2409="","",INDEX(Suivi!$E:$E,2455))</f>
        <v/>
      </c>
      <c r="R2409">
        <f>IF($O2409="","",INDEX(Suivi!$F:$F,2455))</f>
        <v/>
      </c>
      <c r="S2409">
        <f>IF($O2409="","",INDEX(Suivi!$G:$G,2455))</f>
        <v/>
      </c>
      <c r="T2409">
        <f>IF($O2409="","",IF(INDEX(Dossiers!$F$4:$F$63,46)="","",INDEX(Dossiers!$F$4:$F$63,46)))</f>
        <v/>
      </c>
      <c r="U2409">
        <f>IF($O2409="","",IF(INDEX(Dossiers!$G$4:$G$63,46)="","",INDEX(Dossiers!$G$4:$G$63,46)))</f>
        <v/>
      </c>
      <c r="V2409">
        <f>IF(OR($O2409="",NOT(ISNUMBER($Q2409))),"",$Q2409*1000000+2409)</f>
        <v/>
      </c>
      <c r="W2409" s="29">
        <f>IF($B2409="","",IFERROR(INDEX($U$4:$U$3183,MATCH(SMALL($V$4:$V$3183,2406),$V$4:$V$3183,0)),""))</f>
        <v/>
      </c>
    </row>
    <row r="2410">
      <c r="A2410">
        <f>IFERROR(INDEX($N$4:$N$3183,MATCH(SMALL($V$4:$V$3183,2407),$V$4:$V$3183,0)),"")</f>
        <v/>
      </c>
      <c r="B2410">
        <f>IFERROR(INDEX($O$4:$O$3183,MATCH(SMALL($V$4:$V$3183,2407),$V$4:$V$3183,0)),"")</f>
        <v/>
      </c>
      <c r="C2410">
        <f>IFERROR(INDEX($P$4:$P$3183,MATCH(SMALL($V$4:$V$3183,2407),$V$4:$V$3183,0)),"")</f>
        <v/>
      </c>
      <c r="D2410" s="29">
        <f>IFERROR(INDEX($Q$4:$Q$3183,MATCH(SMALL($V$4:$V$3183,2407),$V$4:$V$3183,0)),"")</f>
        <v/>
      </c>
      <c r="E2410" s="29">
        <f>IFERROR(INDEX($R$4:$R$3183,MATCH(SMALL($V$4:$V$3183,2407),$V$4:$V$3183,0)),"")</f>
        <v/>
      </c>
      <c r="F2410">
        <f>IFERROR(INDEX($S$4:$S$3183,MATCH(SMALL($V$4:$V$3183,2407),$V$4:$V$3183,0)),"")</f>
        <v/>
      </c>
      <c r="I2410" s="29">
        <f>IF($B2410="","",IFERROR(INDEX($U$4:$U$3183,MATCH(SMALL($V$4:$V$3183,2407),$V$4:$V$3183,0)),""))</f>
        <v/>
      </c>
      <c r="J2410">
        <f>IF($B2410="","",IF($D2410&gt;$F$2,"À venir",IF($E2410&lt;$D$2,"Passé","Dans la période")))</f>
        <v/>
      </c>
      <c r="K2410">
        <f>IF(OR($B2410="",NOT(ISNUMBER($D2410))),"",IF(AND($E2410&lt;$D$2,$G2410&lt;&gt;"X",$F2410&lt;&gt;"Réalisé",$F2410&lt;&gt;"Clôturé"),"RETARD",""))</f>
        <v/>
      </c>
      <c r="L2410">
        <f>IF(OR($B2410="",NOT(ISNUMBER($D2410))),"",IF(AND($D2410&gt;=$D$2,$D2410&lt;=$H$2,$G2410&lt;&gt;"X",$F2410&lt;&gt;"Réalisé",$F2410&lt;&gt;"Clôturé"),"≤ 7 j",""))</f>
        <v/>
      </c>
      <c r="M2410" s="29">
        <f>IF($B2410="","",IFERROR(INDEX($T$4:$T$3183,MATCH(SMALL($V$4:$V$3183,2407),$V$4:$V$3183,0)),""))</f>
        <v/>
      </c>
      <c r="O2410">
        <f>IF(INDEX(Suivi!$B:$B,2456)="","",INDEX(Suivi!$B:$B,2456))</f>
        <v/>
      </c>
      <c r="P2410">
        <f>IF($O2410="","",IF(INDEX(Suivi!$D:$D,2456)="",INDEX(Suivi!$C:$C,2456),INDEX(Suivi!$D:$D,2456)))</f>
        <v/>
      </c>
      <c r="Q2410">
        <f>IF($O2410="","",INDEX(Suivi!$E:$E,2456))</f>
        <v/>
      </c>
      <c r="R2410">
        <f>IF($O2410="","",INDEX(Suivi!$F:$F,2456))</f>
        <v/>
      </c>
      <c r="S2410">
        <f>IF($O2410="","",INDEX(Suivi!$G:$G,2456))</f>
        <v/>
      </c>
      <c r="T2410">
        <f>IF($O2410="","",IF(INDEX(Dossiers!$F$4:$F$63,46)="","",INDEX(Dossiers!$F$4:$F$63,46)))</f>
        <v/>
      </c>
      <c r="U2410">
        <f>IF($O2410="","",IF(INDEX(Dossiers!$G$4:$G$63,46)="","",INDEX(Dossiers!$G$4:$G$63,46)))</f>
        <v/>
      </c>
      <c r="V2410">
        <f>IF(OR($O2410="",NOT(ISNUMBER($Q2410))),"",$Q2410*1000000+2410)</f>
        <v/>
      </c>
      <c r="W2410" s="29">
        <f>IF($B2410="","",IFERROR(INDEX($U$4:$U$3183,MATCH(SMALL($V$4:$V$3183,2407),$V$4:$V$3183,0)),""))</f>
        <v/>
      </c>
    </row>
    <row r="2411">
      <c r="A2411">
        <f>IFERROR(INDEX($N$4:$N$3183,MATCH(SMALL($V$4:$V$3183,2408),$V$4:$V$3183,0)),"")</f>
        <v/>
      </c>
      <c r="B2411">
        <f>IFERROR(INDEX($O$4:$O$3183,MATCH(SMALL($V$4:$V$3183,2408),$V$4:$V$3183,0)),"")</f>
        <v/>
      </c>
      <c r="C2411">
        <f>IFERROR(INDEX($P$4:$P$3183,MATCH(SMALL($V$4:$V$3183,2408),$V$4:$V$3183,0)),"")</f>
        <v/>
      </c>
      <c r="D2411" s="29">
        <f>IFERROR(INDEX($Q$4:$Q$3183,MATCH(SMALL($V$4:$V$3183,2408),$V$4:$V$3183,0)),"")</f>
        <v/>
      </c>
      <c r="E2411" s="29">
        <f>IFERROR(INDEX($R$4:$R$3183,MATCH(SMALL($V$4:$V$3183,2408),$V$4:$V$3183,0)),"")</f>
        <v/>
      </c>
      <c r="F2411">
        <f>IFERROR(INDEX($S$4:$S$3183,MATCH(SMALL($V$4:$V$3183,2408),$V$4:$V$3183,0)),"")</f>
        <v/>
      </c>
      <c r="I2411" s="29">
        <f>IF($B2411="","",IFERROR(INDEX($U$4:$U$3183,MATCH(SMALL($V$4:$V$3183,2408),$V$4:$V$3183,0)),""))</f>
        <v/>
      </c>
      <c r="J2411">
        <f>IF($B2411="","",IF($D2411&gt;$F$2,"À venir",IF($E2411&lt;$D$2,"Passé","Dans la période")))</f>
        <v/>
      </c>
      <c r="K2411">
        <f>IF(OR($B2411="",NOT(ISNUMBER($D2411))),"",IF(AND($E2411&lt;$D$2,$G2411&lt;&gt;"X",$F2411&lt;&gt;"Réalisé",$F2411&lt;&gt;"Clôturé"),"RETARD",""))</f>
        <v/>
      </c>
      <c r="L2411">
        <f>IF(OR($B2411="",NOT(ISNUMBER($D2411))),"",IF(AND($D2411&gt;=$D$2,$D2411&lt;=$H$2,$G2411&lt;&gt;"X",$F2411&lt;&gt;"Réalisé",$F2411&lt;&gt;"Clôturé"),"≤ 7 j",""))</f>
        <v/>
      </c>
      <c r="M2411" s="29">
        <f>IF($B2411="","",IFERROR(INDEX($T$4:$T$3183,MATCH(SMALL($V$4:$V$3183,2408),$V$4:$V$3183,0)),""))</f>
        <v/>
      </c>
      <c r="O2411">
        <f>IF(INDEX(Suivi!$B:$B,2457)="","",INDEX(Suivi!$B:$B,2457))</f>
        <v/>
      </c>
      <c r="P2411">
        <f>IF($O2411="","",IF(INDEX(Suivi!$D:$D,2457)="",INDEX(Suivi!$C:$C,2457),INDEX(Suivi!$D:$D,2457)))</f>
        <v/>
      </c>
      <c r="Q2411">
        <f>IF($O2411="","",INDEX(Suivi!$E:$E,2457))</f>
        <v/>
      </c>
      <c r="R2411">
        <f>IF($O2411="","",INDEX(Suivi!$F:$F,2457))</f>
        <v/>
      </c>
      <c r="S2411">
        <f>IF($O2411="","",INDEX(Suivi!$G:$G,2457))</f>
        <v/>
      </c>
      <c r="T2411">
        <f>IF($O2411="","",IF(INDEX(Dossiers!$F$4:$F$63,46)="","",INDEX(Dossiers!$F$4:$F$63,46)))</f>
        <v/>
      </c>
      <c r="U2411">
        <f>IF($O2411="","",IF(INDEX(Dossiers!$G$4:$G$63,46)="","",INDEX(Dossiers!$G$4:$G$63,46)))</f>
        <v/>
      </c>
      <c r="V2411">
        <f>IF(OR($O2411="",NOT(ISNUMBER($Q2411))),"",$Q2411*1000000+2411)</f>
        <v/>
      </c>
      <c r="W2411" s="29">
        <f>IF($B2411="","",IFERROR(INDEX($U$4:$U$3183,MATCH(SMALL($V$4:$V$3183,2408),$V$4:$V$3183,0)),""))</f>
        <v/>
      </c>
    </row>
    <row r="2412">
      <c r="A2412">
        <f>IFERROR(INDEX($N$4:$N$3183,MATCH(SMALL($V$4:$V$3183,2409),$V$4:$V$3183,0)),"")</f>
        <v/>
      </c>
      <c r="B2412">
        <f>IFERROR(INDEX($O$4:$O$3183,MATCH(SMALL($V$4:$V$3183,2409),$V$4:$V$3183,0)),"")</f>
        <v/>
      </c>
      <c r="C2412">
        <f>IFERROR(INDEX($P$4:$P$3183,MATCH(SMALL($V$4:$V$3183,2409),$V$4:$V$3183,0)),"")</f>
        <v/>
      </c>
      <c r="D2412" s="29">
        <f>IFERROR(INDEX($Q$4:$Q$3183,MATCH(SMALL($V$4:$V$3183,2409),$V$4:$V$3183,0)),"")</f>
        <v/>
      </c>
      <c r="E2412" s="29">
        <f>IFERROR(INDEX($R$4:$R$3183,MATCH(SMALL($V$4:$V$3183,2409),$V$4:$V$3183,0)),"")</f>
        <v/>
      </c>
      <c r="F2412">
        <f>IFERROR(INDEX($S$4:$S$3183,MATCH(SMALL($V$4:$V$3183,2409),$V$4:$V$3183,0)),"")</f>
        <v/>
      </c>
      <c r="I2412" s="29">
        <f>IF($B2412="","",IFERROR(INDEX($U$4:$U$3183,MATCH(SMALL($V$4:$V$3183,2409),$V$4:$V$3183,0)),""))</f>
        <v/>
      </c>
      <c r="J2412">
        <f>IF($B2412="","",IF($D2412&gt;$F$2,"À venir",IF($E2412&lt;$D$2,"Passé","Dans la période")))</f>
        <v/>
      </c>
      <c r="K2412">
        <f>IF(OR($B2412="",NOT(ISNUMBER($D2412))),"",IF(AND($E2412&lt;$D$2,$G2412&lt;&gt;"X",$F2412&lt;&gt;"Réalisé",$F2412&lt;&gt;"Clôturé"),"RETARD",""))</f>
        <v/>
      </c>
      <c r="L2412">
        <f>IF(OR($B2412="",NOT(ISNUMBER($D2412))),"",IF(AND($D2412&gt;=$D$2,$D2412&lt;=$H$2,$G2412&lt;&gt;"X",$F2412&lt;&gt;"Réalisé",$F2412&lt;&gt;"Clôturé"),"≤ 7 j",""))</f>
        <v/>
      </c>
      <c r="M2412" s="29">
        <f>IF($B2412="","",IFERROR(INDEX($T$4:$T$3183,MATCH(SMALL($V$4:$V$3183,2409),$V$4:$V$3183,0)),""))</f>
        <v/>
      </c>
      <c r="O2412">
        <f>IF(INDEX(Suivi!$B:$B,2458)="","",INDEX(Suivi!$B:$B,2458))</f>
        <v/>
      </c>
      <c r="P2412">
        <f>IF($O2412="","",IF(INDEX(Suivi!$D:$D,2458)="",INDEX(Suivi!$C:$C,2458),INDEX(Suivi!$D:$D,2458)))</f>
        <v/>
      </c>
      <c r="Q2412">
        <f>IF($O2412="","",INDEX(Suivi!$E:$E,2458))</f>
        <v/>
      </c>
      <c r="R2412">
        <f>IF($O2412="","",INDEX(Suivi!$F:$F,2458))</f>
        <v/>
      </c>
      <c r="S2412">
        <f>IF($O2412="","",INDEX(Suivi!$G:$G,2458))</f>
        <v/>
      </c>
      <c r="T2412">
        <f>IF($O2412="","",IF(INDEX(Dossiers!$F$4:$F$63,46)="","",INDEX(Dossiers!$F$4:$F$63,46)))</f>
        <v/>
      </c>
      <c r="U2412">
        <f>IF($O2412="","",IF(INDEX(Dossiers!$G$4:$G$63,46)="","",INDEX(Dossiers!$G$4:$G$63,46)))</f>
        <v/>
      </c>
      <c r="V2412">
        <f>IF(OR($O2412="",NOT(ISNUMBER($Q2412))),"",$Q2412*1000000+2412)</f>
        <v/>
      </c>
      <c r="W2412" s="29">
        <f>IF($B2412="","",IFERROR(INDEX($U$4:$U$3183,MATCH(SMALL($V$4:$V$3183,2409),$V$4:$V$3183,0)),""))</f>
        <v/>
      </c>
    </row>
    <row r="2413">
      <c r="A2413">
        <f>IFERROR(INDEX($N$4:$N$3183,MATCH(SMALL($V$4:$V$3183,2410),$V$4:$V$3183,0)),"")</f>
        <v/>
      </c>
      <c r="B2413">
        <f>IFERROR(INDEX($O$4:$O$3183,MATCH(SMALL($V$4:$V$3183,2410),$V$4:$V$3183,0)),"")</f>
        <v/>
      </c>
      <c r="C2413">
        <f>IFERROR(INDEX($P$4:$P$3183,MATCH(SMALL($V$4:$V$3183,2410),$V$4:$V$3183,0)),"")</f>
        <v/>
      </c>
      <c r="D2413" s="29">
        <f>IFERROR(INDEX($Q$4:$Q$3183,MATCH(SMALL($V$4:$V$3183,2410),$V$4:$V$3183,0)),"")</f>
        <v/>
      </c>
      <c r="E2413" s="29">
        <f>IFERROR(INDEX($R$4:$R$3183,MATCH(SMALL($V$4:$V$3183,2410),$V$4:$V$3183,0)),"")</f>
        <v/>
      </c>
      <c r="F2413">
        <f>IFERROR(INDEX($S$4:$S$3183,MATCH(SMALL($V$4:$V$3183,2410),$V$4:$V$3183,0)),"")</f>
        <v/>
      </c>
      <c r="I2413" s="29">
        <f>IF($B2413="","",IFERROR(INDEX($U$4:$U$3183,MATCH(SMALL($V$4:$V$3183,2410),$V$4:$V$3183,0)),""))</f>
        <v/>
      </c>
      <c r="J2413">
        <f>IF($B2413="","",IF($D2413&gt;$F$2,"À venir",IF($E2413&lt;$D$2,"Passé","Dans la période")))</f>
        <v/>
      </c>
      <c r="K2413">
        <f>IF(OR($B2413="",NOT(ISNUMBER($D2413))),"",IF(AND($E2413&lt;$D$2,$G2413&lt;&gt;"X",$F2413&lt;&gt;"Réalisé",$F2413&lt;&gt;"Clôturé"),"RETARD",""))</f>
        <v/>
      </c>
      <c r="L2413">
        <f>IF(OR($B2413="",NOT(ISNUMBER($D2413))),"",IF(AND($D2413&gt;=$D$2,$D2413&lt;=$H$2,$G2413&lt;&gt;"X",$F2413&lt;&gt;"Réalisé",$F2413&lt;&gt;"Clôturé"),"≤ 7 j",""))</f>
        <v/>
      </c>
      <c r="M2413" s="29">
        <f>IF($B2413="","",IFERROR(INDEX($T$4:$T$3183,MATCH(SMALL($V$4:$V$3183,2410),$V$4:$V$3183,0)),""))</f>
        <v/>
      </c>
      <c r="O2413">
        <f>IF(INDEX(Suivi!$B:$B,2459)="","",INDEX(Suivi!$B:$B,2459))</f>
        <v/>
      </c>
      <c r="P2413">
        <f>IF($O2413="","",IF(INDEX(Suivi!$D:$D,2459)="",INDEX(Suivi!$C:$C,2459),INDEX(Suivi!$D:$D,2459)))</f>
        <v/>
      </c>
      <c r="Q2413">
        <f>IF($O2413="","",INDEX(Suivi!$E:$E,2459))</f>
        <v/>
      </c>
      <c r="R2413">
        <f>IF($O2413="","",INDEX(Suivi!$F:$F,2459))</f>
        <v/>
      </c>
      <c r="S2413">
        <f>IF($O2413="","",INDEX(Suivi!$G:$G,2459))</f>
        <v/>
      </c>
      <c r="T2413">
        <f>IF($O2413="","",IF(INDEX(Dossiers!$F$4:$F$63,46)="","",INDEX(Dossiers!$F$4:$F$63,46)))</f>
        <v/>
      </c>
      <c r="U2413">
        <f>IF($O2413="","",IF(INDEX(Dossiers!$G$4:$G$63,46)="","",INDEX(Dossiers!$G$4:$G$63,46)))</f>
        <v/>
      </c>
      <c r="V2413">
        <f>IF(OR($O2413="",NOT(ISNUMBER($Q2413))),"",$Q2413*1000000+2413)</f>
        <v/>
      </c>
      <c r="W2413" s="29">
        <f>IF($B2413="","",IFERROR(INDEX($U$4:$U$3183,MATCH(SMALL($V$4:$V$3183,2410),$V$4:$V$3183,0)),""))</f>
        <v/>
      </c>
    </row>
    <row r="2414">
      <c r="A2414">
        <f>IFERROR(INDEX($N$4:$N$3183,MATCH(SMALL($V$4:$V$3183,2411),$V$4:$V$3183,0)),"")</f>
        <v/>
      </c>
      <c r="B2414">
        <f>IFERROR(INDEX($O$4:$O$3183,MATCH(SMALL($V$4:$V$3183,2411),$V$4:$V$3183,0)),"")</f>
        <v/>
      </c>
      <c r="C2414">
        <f>IFERROR(INDEX($P$4:$P$3183,MATCH(SMALL($V$4:$V$3183,2411),$V$4:$V$3183,0)),"")</f>
        <v/>
      </c>
      <c r="D2414" s="29">
        <f>IFERROR(INDEX($Q$4:$Q$3183,MATCH(SMALL($V$4:$V$3183,2411),$V$4:$V$3183,0)),"")</f>
        <v/>
      </c>
      <c r="E2414" s="29">
        <f>IFERROR(INDEX($R$4:$R$3183,MATCH(SMALL($V$4:$V$3183,2411),$V$4:$V$3183,0)),"")</f>
        <v/>
      </c>
      <c r="F2414">
        <f>IFERROR(INDEX($S$4:$S$3183,MATCH(SMALL($V$4:$V$3183,2411),$V$4:$V$3183,0)),"")</f>
        <v/>
      </c>
      <c r="I2414" s="29">
        <f>IF($B2414="","",IFERROR(INDEX($U$4:$U$3183,MATCH(SMALL($V$4:$V$3183,2411),$V$4:$V$3183,0)),""))</f>
        <v/>
      </c>
      <c r="J2414">
        <f>IF($B2414="","",IF($D2414&gt;$F$2,"À venir",IF($E2414&lt;$D$2,"Passé","Dans la période")))</f>
        <v/>
      </c>
      <c r="K2414">
        <f>IF(OR($B2414="",NOT(ISNUMBER($D2414))),"",IF(AND($E2414&lt;$D$2,$G2414&lt;&gt;"X",$F2414&lt;&gt;"Réalisé",$F2414&lt;&gt;"Clôturé"),"RETARD",""))</f>
        <v/>
      </c>
      <c r="L2414">
        <f>IF(OR($B2414="",NOT(ISNUMBER($D2414))),"",IF(AND($D2414&gt;=$D$2,$D2414&lt;=$H$2,$G2414&lt;&gt;"X",$F2414&lt;&gt;"Réalisé",$F2414&lt;&gt;"Clôturé"),"≤ 7 j",""))</f>
        <v/>
      </c>
      <c r="M2414" s="29">
        <f>IF($B2414="","",IFERROR(INDEX($T$4:$T$3183,MATCH(SMALL($V$4:$V$3183,2411),$V$4:$V$3183,0)),""))</f>
        <v/>
      </c>
      <c r="O2414">
        <f>IF(INDEX(Suivi!$B:$B,2460)="","",INDEX(Suivi!$B:$B,2460))</f>
        <v/>
      </c>
      <c r="P2414">
        <f>IF($O2414="","",IF(INDEX(Suivi!$D:$D,2460)="",INDEX(Suivi!$C:$C,2460),INDEX(Suivi!$D:$D,2460)))</f>
        <v/>
      </c>
      <c r="Q2414">
        <f>IF($O2414="","",INDEX(Suivi!$E:$E,2460))</f>
        <v/>
      </c>
      <c r="R2414">
        <f>IF($O2414="","",INDEX(Suivi!$F:$F,2460))</f>
        <v/>
      </c>
      <c r="S2414">
        <f>IF($O2414="","",INDEX(Suivi!$G:$G,2460))</f>
        <v/>
      </c>
      <c r="T2414">
        <f>IF($O2414="","",IF(INDEX(Dossiers!$F$4:$F$63,46)="","",INDEX(Dossiers!$F$4:$F$63,46)))</f>
        <v/>
      </c>
      <c r="U2414">
        <f>IF($O2414="","",IF(INDEX(Dossiers!$G$4:$G$63,46)="","",INDEX(Dossiers!$G$4:$G$63,46)))</f>
        <v/>
      </c>
      <c r="V2414">
        <f>IF(OR($O2414="",NOT(ISNUMBER($Q2414))),"",$Q2414*1000000+2414)</f>
        <v/>
      </c>
      <c r="W2414" s="29">
        <f>IF($B2414="","",IFERROR(INDEX($U$4:$U$3183,MATCH(SMALL($V$4:$V$3183,2411),$V$4:$V$3183,0)),""))</f>
        <v/>
      </c>
    </row>
    <row r="2415">
      <c r="A2415">
        <f>IFERROR(INDEX($N$4:$N$3183,MATCH(SMALL($V$4:$V$3183,2412),$V$4:$V$3183,0)),"")</f>
        <v/>
      </c>
      <c r="B2415">
        <f>IFERROR(INDEX($O$4:$O$3183,MATCH(SMALL($V$4:$V$3183,2412),$V$4:$V$3183,0)),"")</f>
        <v/>
      </c>
      <c r="C2415">
        <f>IFERROR(INDEX($P$4:$P$3183,MATCH(SMALL($V$4:$V$3183,2412),$V$4:$V$3183,0)),"")</f>
        <v/>
      </c>
      <c r="D2415" s="29">
        <f>IFERROR(INDEX($Q$4:$Q$3183,MATCH(SMALL($V$4:$V$3183,2412),$V$4:$V$3183,0)),"")</f>
        <v/>
      </c>
      <c r="E2415" s="29">
        <f>IFERROR(INDEX($R$4:$R$3183,MATCH(SMALL($V$4:$V$3183,2412),$V$4:$V$3183,0)),"")</f>
        <v/>
      </c>
      <c r="F2415">
        <f>IFERROR(INDEX($S$4:$S$3183,MATCH(SMALL($V$4:$V$3183,2412),$V$4:$V$3183,0)),"")</f>
        <v/>
      </c>
      <c r="I2415" s="29">
        <f>IF($B2415="","",IFERROR(INDEX($U$4:$U$3183,MATCH(SMALL($V$4:$V$3183,2412),$V$4:$V$3183,0)),""))</f>
        <v/>
      </c>
      <c r="J2415">
        <f>IF($B2415="","",IF($D2415&gt;$F$2,"À venir",IF($E2415&lt;$D$2,"Passé","Dans la période")))</f>
        <v/>
      </c>
      <c r="K2415">
        <f>IF(OR($B2415="",NOT(ISNUMBER($D2415))),"",IF(AND($E2415&lt;$D$2,$G2415&lt;&gt;"X",$F2415&lt;&gt;"Réalisé",$F2415&lt;&gt;"Clôturé"),"RETARD",""))</f>
        <v/>
      </c>
      <c r="L2415">
        <f>IF(OR($B2415="",NOT(ISNUMBER($D2415))),"",IF(AND($D2415&gt;=$D$2,$D2415&lt;=$H$2,$G2415&lt;&gt;"X",$F2415&lt;&gt;"Réalisé",$F2415&lt;&gt;"Clôturé"),"≤ 7 j",""))</f>
        <v/>
      </c>
      <c r="M2415" s="29">
        <f>IF($B2415="","",IFERROR(INDEX($T$4:$T$3183,MATCH(SMALL($V$4:$V$3183,2412),$V$4:$V$3183,0)),""))</f>
        <v/>
      </c>
      <c r="O2415">
        <f>IF(INDEX(Suivi!$B:$B,2461)="","",INDEX(Suivi!$B:$B,2461))</f>
        <v/>
      </c>
      <c r="P2415">
        <f>IF($O2415="","",IF(INDEX(Suivi!$D:$D,2461)="",INDEX(Suivi!$C:$C,2461),INDEX(Suivi!$D:$D,2461)))</f>
        <v/>
      </c>
      <c r="Q2415">
        <f>IF($O2415="","",INDEX(Suivi!$E:$E,2461))</f>
        <v/>
      </c>
      <c r="R2415">
        <f>IF($O2415="","",INDEX(Suivi!$F:$F,2461))</f>
        <v/>
      </c>
      <c r="S2415">
        <f>IF($O2415="","",INDEX(Suivi!$G:$G,2461))</f>
        <v/>
      </c>
      <c r="T2415">
        <f>IF($O2415="","",IF(INDEX(Dossiers!$F$4:$F$63,46)="","",INDEX(Dossiers!$F$4:$F$63,46)))</f>
        <v/>
      </c>
      <c r="U2415">
        <f>IF($O2415="","",IF(INDEX(Dossiers!$G$4:$G$63,46)="","",INDEX(Dossiers!$G$4:$G$63,46)))</f>
        <v/>
      </c>
      <c r="V2415">
        <f>IF(OR($O2415="",NOT(ISNUMBER($Q2415))),"",$Q2415*1000000+2415)</f>
        <v/>
      </c>
      <c r="W2415" s="29">
        <f>IF($B2415="","",IFERROR(INDEX($U$4:$U$3183,MATCH(SMALL($V$4:$V$3183,2412),$V$4:$V$3183,0)),""))</f>
        <v/>
      </c>
    </row>
    <row r="2416">
      <c r="A2416">
        <f>IFERROR(INDEX($N$4:$N$3183,MATCH(SMALL($V$4:$V$3183,2413),$V$4:$V$3183,0)),"")</f>
        <v/>
      </c>
      <c r="B2416">
        <f>IFERROR(INDEX($O$4:$O$3183,MATCH(SMALL($V$4:$V$3183,2413),$V$4:$V$3183,0)),"")</f>
        <v/>
      </c>
      <c r="C2416">
        <f>IFERROR(INDEX($P$4:$P$3183,MATCH(SMALL($V$4:$V$3183,2413),$V$4:$V$3183,0)),"")</f>
        <v/>
      </c>
      <c r="D2416" s="29">
        <f>IFERROR(INDEX($Q$4:$Q$3183,MATCH(SMALL($V$4:$V$3183,2413),$V$4:$V$3183,0)),"")</f>
        <v/>
      </c>
      <c r="E2416" s="29">
        <f>IFERROR(INDEX($R$4:$R$3183,MATCH(SMALL($V$4:$V$3183,2413),$V$4:$V$3183,0)),"")</f>
        <v/>
      </c>
      <c r="F2416">
        <f>IFERROR(INDEX($S$4:$S$3183,MATCH(SMALL($V$4:$V$3183,2413),$V$4:$V$3183,0)),"")</f>
        <v/>
      </c>
      <c r="I2416" s="29">
        <f>IF($B2416="","",IFERROR(INDEX($U$4:$U$3183,MATCH(SMALL($V$4:$V$3183,2413),$V$4:$V$3183,0)),""))</f>
        <v/>
      </c>
      <c r="J2416">
        <f>IF($B2416="","",IF($D2416&gt;$F$2,"À venir",IF($E2416&lt;$D$2,"Passé","Dans la période")))</f>
        <v/>
      </c>
      <c r="K2416">
        <f>IF(OR($B2416="",NOT(ISNUMBER($D2416))),"",IF(AND($E2416&lt;$D$2,$G2416&lt;&gt;"X",$F2416&lt;&gt;"Réalisé",$F2416&lt;&gt;"Clôturé"),"RETARD",""))</f>
        <v/>
      </c>
      <c r="L2416">
        <f>IF(OR($B2416="",NOT(ISNUMBER($D2416))),"",IF(AND($D2416&gt;=$D$2,$D2416&lt;=$H$2,$G2416&lt;&gt;"X",$F2416&lt;&gt;"Réalisé",$F2416&lt;&gt;"Clôturé"),"≤ 7 j",""))</f>
        <v/>
      </c>
      <c r="M2416" s="29">
        <f>IF($B2416="","",IFERROR(INDEX($T$4:$T$3183,MATCH(SMALL($V$4:$V$3183,2413),$V$4:$V$3183,0)),""))</f>
        <v/>
      </c>
      <c r="O2416">
        <f>IF(INDEX(Suivi!$B:$B,2462)="","",INDEX(Suivi!$B:$B,2462))</f>
        <v/>
      </c>
      <c r="P2416">
        <f>IF($O2416="","",IF(INDEX(Suivi!$D:$D,2462)="",INDEX(Suivi!$C:$C,2462),INDEX(Suivi!$D:$D,2462)))</f>
        <v/>
      </c>
      <c r="Q2416">
        <f>IF($O2416="","",INDEX(Suivi!$E:$E,2462))</f>
        <v/>
      </c>
      <c r="R2416">
        <f>IF($O2416="","",INDEX(Suivi!$F:$F,2462))</f>
        <v/>
      </c>
      <c r="S2416">
        <f>IF($O2416="","",INDEX(Suivi!$G:$G,2462))</f>
        <v/>
      </c>
      <c r="T2416">
        <f>IF($O2416="","",IF(INDEX(Dossiers!$F$4:$F$63,46)="","",INDEX(Dossiers!$F$4:$F$63,46)))</f>
        <v/>
      </c>
      <c r="U2416">
        <f>IF($O2416="","",IF(INDEX(Dossiers!$G$4:$G$63,46)="","",INDEX(Dossiers!$G$4:$G$63,46)))</f>
        <v/>
      </c>
      <c r="V2416">
        <f>IF(OR($O2416="",NOT(ISNUMBER($Q2416))),"",$Q2416*1000000+2416)</f>
        <v/>
      </c>
      <c r="W2416" s="29">
        <f>IF($B2416="","",IFERROR(INDEX($U$4:$U$3183,MATCH(SMALL($V$4:$V$3183,2413),$V$4:$V$3183,0)),""))</f>
        <v/>
      </c>
    </row>
    <row r="2417">
      <c r="A2417">
        <f>IFERROR(INDEX($N$4:$N$3183,MATCH(SMALL($V$4:$V$3183,2414),$V$4:$V$3183,0)),"")</f>
        <v/>
      </c>
      <c r="B2417">
        <f>IFERROR(INDEX($O$4:$O$3183,MATCH(SMALL($V$4:$V$3183,2414),$V$4:$V$3183,0)),"")</f>
        <v/>
      </c>
      <c r="C2417">
        <f>IFERROR(INDEX($P$4:$P$3183,MATCH(SMALL($V$4:$V$3183,2414),$V$4:$V$3183,0)),"")</f>
        <v/>
      </c>
      <c r="D2417" s="29">
        <f>IFERROR(INDEX($Q$4:$Q$3183,MATCH(SMALL($V$4:$V$3183,2414),$V$4:$V$3183,0)),"")</f>
        <v/>
      </c>
      <c r="E2417" s="29">
        <f>IFERROR(INDEX($R$4:$R$3183,MATCH(SMALL($V$4:$V$3183,2414),$V$4:$V$3183,0)),"")</f>
        <v/>
      </c>
      <c r="F2417">
        <f>IFERROR(INDEX($S$4:$S$3183,MATCH(SMALL($V$4:$V$3183,2414),$V$4:$V$3183,0)),"")</f>
        <v/>
      </c>
      <c r="I2417" s="29">
        <f>IF($B2417="","",IFERROR(INDEX($U$4:$U$3183,MATCH(SMALL($V$4:$V$3183,2414),$V$4:$V$3183,0)),""))</f>
        <v/>
      </c>
      <c r="J2417">
        <f>IF($B2417="","",IF($D2417&gt;$F$2,"À venir",IF($E2417&lt;$D$2,"Passé","Dans la période")))</f>
        <v/>
      </c>
      <c r="K2417">
        <f>IF(OR($B2417="",NOT(ISNUMBER($D2417))),"",IF(AND($E2417&lt;$D$2,$G2417&lt;&gt;"X",$F2417&lt;&gt;"Réalisé",$F2417&lt;&gt;"Clôturé"),"RETARD",""))</f>
        <v/>
      </c>
      <c r="L2417">
        <f>IF(OR($B2417="",NOT(ISNUMBER($D2417))),"",IF(AND($D2417&gt;=$D$2,$D2417&lt;=$H$2,$G2417&lt;&gt;"X",$F2417&lt;&gt;"Réalisé",$F2417&lt;&gt;"Clôturé"),"≤ 7 j",""))</f>
        <v/>
      </c>
      <c r="M2417" s="29">
        <f>IF($B2417="","",IFERROR(INDEX($T$4:$T$3183,MATCH(SMALL($V$4:$V$3183,2414),$V$4:$V$3183,0)),""))</f>
        <v/>
      </c>
      <c r="O2417">
        <f>IF(INDEX(Suivi!$B:$B,2463)="","",INDEX(Suivi!$B:$B,2463))</f>
        <v/>
      </c>
      <c r="P2417">
        <f>IF($O2417="","",IF(INDEX(Suivi!$D:$D,2463)="",INDEX(Suivi!$C:$C,2463),INDEX(Suivi!$D:$D,2463)))</f>
        <v/>
      </c>
      <c r="Q2417">
        <f>IF($O2417="","",INDEX(Suivi!$E:$E,2463))</f>
        <v/>
      </c>
      <c r="R2417">
        <f>IF($O2417="","",INDEX(Suivi!$F:$F,2463))</f>
        <v/>
      </c>
      <c r="S2417">
        <f>IF($O2417="","",INDEX(Suivi!$G:$G,2463))</f>
        <v/>
      </c>
      <c r="T2417">
        <f>IF($O2417="","",IF(INDEX(Dossiers!$F$4:$F$63,46)="","",INDEX(Dossiers!$F$4:$F$63,46)))</f>
        <v/>
      </c>
      <c r="U2417">
        <f>IF($O2417="","",IF(INDEX(Dossiers!$G$4:$G$63,46)="","",INDEX(Dossiers!$G$4:$G$63,46)))</f>
        <v/>
      </c>
      <c r="V2417">
        <f>IF(OR($O2417="",NOT(ISNUMBER($Q2417))),"",$Q2417*1000000+2417)</f>
        <v/>
      </c>
      <c r="W2417" s="29">
        <f>IF($B2417="","",IFERROR(INDEX($U$4:$U$3183,MATCH(SMALL($V$4:$V$3183,2414),$V$4:$V$3183,0)),""))</f>
        <v/>
      </c>
    </row>
    <row r="2418">
      <c r="A2418">
        <f>IFERROR(INDEX($N$4:$N$3183,MATCH(SMALL($V$4:$V$3183,2415),$V$4:$V$3183,0)),"")</f>
        <v/>
      </c>
      <c r="B2418">
        <f>IFERROR(INDEX($O$4:$O$3183,MATCH(SMALL($V$4:$V$3183,2415),$V$4:$V$3183,0)),"")</f>
        <v/>
      </c>
      <c r="C2418">
        <f>IFERROR(INDEX($P$4:$P$3183,MATCH(SMALL($V$4:$V$3183,2415),$V$4:$V$3183,0)),"")</f>
        <v/>
      </c>
      <c r="D2418" s="29">
        <f>IFERROR(INDEX($Q$4:$Q$3183,MATCH(SMALL($V$4:$V$3183,2415),$V$4:$V$3183,0)),"")</f>
        <v/>
      </c>
      <c r="E2418" s="29">
        <f>IFERROR(INDEX($R$4:$R$3183,MATCH(SMALL($V$4:$V$3183,2415),$V$4:$V$3183,0)),"")</f>
        <v/>
      </c>
      <c r="F2418">
        <f>IFERROR(INDEX($S$4:$S$3183,MATCH(SMALL($V$4:$V$3183,2415),$V$4:$V$3183,0)),"")</f>
        <v/>
      </c>
      <c r="I2418" s="29">
        <f>IF($B2418="","",IFERROR(INDEX($U$4:$U$3183,MATCH(SMALL($V$4:$V$3183,2415),$V$4:$V$3183,0)),""))</f>
        <v/>
      </c>
      <c r="J2418">
        <f>IF($B2418="","",IF($D2418&gt;$F$2,"À venir",IF($E2418&lt;$D$2,"Passé","Dans la période")))</f>
        <v/>
      </c>
      <c r="K2418">
        <f>IF(OR($B2418="",NOT(ISNUMBER($D2418))),"",IF(AND($E2418&lt;$D$2,$G2418&lt;&gt;"X",$F2418&lt;&gt;"Réalisé",$F2418&lt;&gt;"Clôturé"),"RETARD",""))</f>
        <v/>
      </c>
      <c r="L2418">
        <f>IF(OR($B2418="",NOT(ISNUMBER($D2418))),"",IF(AND($D2418&gt;=$D$2,$D2418&lt;=$H$2,$G2418&lt;&gt;"X",$F2418&lt;&gt;"Réalisé",$F2418&lt;&gt;"Clôturé"),"≤ 7 j",""))</f>
        <v/>
      </c>
      <c r="M2418" s="29">
        <f>IF($B2418="","",IFERROR(INDEX($T$4:$T$3183,MATCH(SMALL($V$4:$V$3183,2415),$V$4:$V$3183,0)),""))</f>
        <v/>
      </c>
      <c r="O2418">
        <f>IF(INDEX(Suivi!$B:$B,2464)="","",INDEX(Suivi!$B:$B,2464))</f>
        <v/>
      </c>
      <c r="P2418">
        <f>IF($O2418="","",IF(INDEX(Suivi!$D:$D,2464)="",INDEX(Suivi!$C:$C,2464),INDEX(Suivi!$D:$D,2464)))</f>
        <v/>
      </c>
      <c r="Q2418">
        <f>IF($O2418="","",INDEX(Suivi!$E:$E,2464))</f>
        <v/>
      </c>
      <c r="R2418">
        <f>IF($O2418="","",INDEX(Suivi!$F:$F,2464))</f>
        <v/>
      </c>
      <c r="S2418">
        <f>IF($O2418="","",INDEX(Suivi!$G:$G,2464))</f>
        <v/>
      </c>
      <c r="T2418">
        <f>IF($O2418="","",IF(INDEX(Dossiers!$F$4:$F$63,46)="","",INDEX(Dossiers!$F$4:$F$63,46)))</f>
        <v/>
      </c>
      <c r="U2418">
        <f>IF($O2418="","",IF(INDEX(Dossiers!$G$4:$G$63,46)="","",INDEX(Dossiers!$G$4:$G$63,46)))</f>
        <v/>
      </c>
      <c r="V2418">
        <f>IF(OR($O2418="",NOT(ISNUMBER($Q2418))),"",$Q2418*1000000+2418)</f>
        <v/>
      </c>
      <c r="W2418" s="29">
        <f>IF($B2418="","",IFERROR(INDEX($U$4:$U$3183,MATCH(SMALL($V$4:$V$3183,2415),$V$4:$V$3183,0)),""))</f>
        <v/>
      </c>
    </row>
    <row r="2419">
      <c r="A2419">
        <f>IFERROR(INDEX($N$4:$N$3183,MATCH(SMALL($V$4:$V$3183,2416),$V$4:$V$3183,0)),"")</f>
        <v/>
      </c>
      <c r="B2419">
        <f>IFERROR(INDEX($O$4:$O$3183,MATCH(SMALL($V$4:$V$3183,2416),$V$4:$V$3183,0)),"")</f>
        <v/>
      </c>
      <c r="C2419">
        <f>IFERROR(INDEX($P$4:$P$3183,MATCH(SMALL($V$4:$V$3183,2416),$V$4:$V$3183,0)),"")</f>
        <v/>
      </c>
      <c r="D2419" s="29">
        <f>IFERROR(INDEX($Q$4:$Q$3183,MATCH(SMALL($V$4:$V$3183,2416),$V$4:$V$3183,0)),"")</f>
        <v/>
      </c>
      <c r="E2419" s="29">
        <f>IFERROR(INDEX($R$4:$R$3183,MATCH(SMALL($V$4:$V$3183,2416),$V$4:$V$3183,0)),"")</f>
        <v/>
      </c>
      <c r="F2419">
        <f>IFERROR(INDEX($S$4:$S$3183,MATCH(SMALL($V$4:$V$3183,2416),$V$4:$V$3183,0)),"")</f>
        <v/>
      </c>
      <c r="I2419" s="29">
        <f>IF($B2419="","",IFERROR(INDEX($U$4:$U$3183,MATCH(SMALL($V$4:$V$3183,2416),$V$4:$V$3183,0)),""))</f>
        <v/>
      </c>
      <c r="J2419">
        <f>IF($B2419="","",IF($D2419&gt;$F$2,"À venir",IF($E2419&lt;$D$2,"Passé","Dans la période")))</f>
        <v/>
      </c>
      <c r="K2419">
        <f>IF(OR($B2419="",NOT(ISNUMBER($D2419))),"",IF(AND($E2419&lt;$D$2,$G2419&lt;&gt;"X",$F2419&lt;&gt;"Réalisé",$F2419&lt;&gt;"Clôturé"),"RETARD",""))</f>
        <v/>
      </c>
      <c r="L2419">
        <f>IF(OR($B2419="",NOT(ISNUMBER($D2419))),"",IF(AND($D2419&gt;=$D$2,$D2419&lt;=$H$2,$G2419&lt;&gt;"X",$F2419&lt;&gt;"Réalisé",$F2419&lt;&gt;"Clôturé"),"≤ 7 j",""))</f>
        <v/>
      </c>
      <c r="M2419" s="29">
        <f>IF($B2419="","",IFERROR(INDEX($T$4:$T$3183,MATCH(SMALL($V$4:$V$3183,2416),$V$4:$V$3183,0)),""))</f>
        <v/>
      </c>
      <c r="O2419">
        <f>IF(INDEX(Suivi!$B:$B,2465)="","",INDEX(Suivi!$B:$B,2465))</f>
        <v/>
      </c>
      <c r="P2419">
        <f>IF($O2419="","",IF(INDEX(Suivi!$D:$D,2465)="",INDEX(Suivi!$C:$C,2465),INDEX(Suivi!$D:$D,2465)))</f>
        <v/>
      </c>
      <c r="Q2419">
        <f>IF($O2419="","",INDEX(Suivi!$E:$E,2465))</f>
        <v/>
      </c>
      <c r="R2419">
        <f>IF($O2419="","",INDEX(Suivi!$F:$F,2465))</f>
        <v/>
      </c>
      <c r="S2419">
        <f>IF($O2419="","",INDEX(Suivi!$G:$G,2465))</f>
        <v/>
      </c>
      <c r="T2419">
        <f>IF($O2419="","",IF(INDEX(Dossiers!$F$4:$F$63,46)="","",INDEX(Dossiers!$F$4:$F$63,46)))</f>
        <v/>
      </c>
      <c r="U2419">
        <f>IF($O2419="","",IF(INDEX(Dossiers!$G$4:$G$63,46)="","",INDEX(Dossiers!$G$4:$G$63,46)))</f>
        <v/>
      </c>
      <c r="V2419">
        <f>IF(OR($O2419="",NOT(ISNUMBER($Q2419))),"",$Q2419*1000000+2419)</f>
        <v/>
      </c>
      <c r="W2419" s="29">
        <f>IF($B2419="","",IFERROR(INDEX($U$4:$U$3183,MATCH(SMALL($V$4:$V$3183,2416),$V$4:$V$3183,0)),""))</f>
        <v/>
      </c>
    </row>
    <row r="2420">
      <c r="A2420">
        <f>IFERROR(INDEX($N$4:$N$3183,MATCH(SMALL($V$4:$V$3183,2417),$V$4:$V$3183,0)),"")</f>
        <v/>
      </c>
      <c r="B2420">
        <f>IFERROR(INDEX($O$4:$O$3183,MATCH(SMALL($V$4:$V$3183,2417),$V$4:$V$3183,0)),"")</f>
        <v/>
      </c>
      <c r="C2420">
        <f>IFERROR(INDEX($P$4:$P$3183,MATCH(SMALL($V$4:$V$3183,2417),$V$4:$V$3183,0)),"")</f>
        <v/>
      </c>
      <c r="D2420" s="29">
        <f>IFERROR(INDEX($Q$4:$Q$3183,MATCH(SMALL($V$4:$V$3183,2417),$V$4:$V$3183,0)),"")</f>
        <v/>
      </c>
      <c r="E2420" s="29">
        <f>IFERROR(INDEX($R$4:$R$3183,MATCH(SMALL($V$4:$V$3183,2417),$V$4:$V$3183,0)),"")</f>
        <v/>
      </c>
      <c r="F2420">
        <f>IFERROR(INDEX($S$4:$S$3183,MATCH(SMALL($V$4:$V$3183,2417),$V$4:$V$3183,0)),"")</f>
        <v/>
      </c>
      <c r="I2420" s="29">
        <f>IF($B2420="","",IFERROR(INDEX($U$4:$U$3183,MATCH(SMALL($V$4:$V$3183,2417),$V$4:$V$3183,0)),""))</f>
        <v/>
      </c>
      <c r="J2420">
        <f>IF($B2420="","",IF($D2420&gt;$F$2,"À venir",IF($E2420&lt;$D$2,"Passé","Dans la période")))</f>
        <v/>
      </c>
      <c r="K2420">
        <f>IF(OR($B2420="",NOT(ISNUMBER($D2420))),"",IF(AND($E2420&lt;$D$2,$G2420&lt;&gt;"X",$F2420&lt;&gt;"Réalisé",$F2420&lt;&gt;"Clôturé"),"RETARD",""))</f>
        <v/>
      </c>
      <c r="L2420">
        <f>IF(OR($B2420="",NOT(ISNUMBER($D2420))),"",IF(AND($D2420&gt;=$D$2,$D2420&lt;=$H$2,$G2420&lt;&gt;"X",$F2420&lt;&gt;"Réalisé",$F2420&lt;&gt;"Clôturé"),"≤ 7 j",""))</f>
        <v/>
      </c>
      <c r="M2420" s="29">
        <f>IF($B2420="","",IFERROR(INDEX($T$4:$T$3183,MATCH(SMALL($V$4:$V$3183,2417),$V$4:$V$3183,0)),""))</f>
        <v/>
      </c>
      <c r="O2420">
        <f>IF(INDEX(Suivi!$B:$B,2466)="","",INDEX(Suivi!$B:$B,2466))</f>
        <v/>
      </c>
      <c r="P2420">
        <f>IF($O2420="","",IF(INDEX(Suivi!$D:$D,2466)="",INDEX(Suivi!$C:$C,2466),INDEX(Suivi!$D:$D,2466)))</f>
        <v/>
      </c>
      <c r="Q2420">
        <f>IF($O2420="","",INDEX(Suivi!$E:$E,2466))</f>
        <v/>
      </c>
      <c r="R2420">
        <f>IF($O2420="","",INDEX(Suivi!$F:$F,2466))</f>
        <v/>
      </c>
      <c r="S2420">
        <f>IF($O2420="","",INDEX(Suivi!$G:$G,2466))</f>
        <v/>
      </c>
      <c r="T2420">
        <f>IF($O2420="","",IF(INDEX(Dossiers!$F$4:$F$63,46)="","",INDEX(Dossiers!$F$4:$F$63,46)))</f>
        <v/>
      </c>
      <c r="U2420">
        <f>IF($O2420="","",IF(INDEX(Dossiers!$G$4:$G$63,46)="","",INDEX(Dossiers!$G$4:$G$63,46)))</f>
        <v/>
      </c>
      <c r="V2420">
        <f>IF(OR($O2420="",NOT(ISNUMBER($Q2420))),"",$Q2420*1000000+2420)</f>
        <v/>
      </c>
      <c r="W2420" s="29">
        <f>IF($B2420="","",IFERROR(INDEX($U$4:$U$3183,MATCH(SMALL($V$4:$V$3183,2417),$V$4:$V$3183,0)),""))</f>
        <v/>
      </c>
    </row>
    <row r="2421">
      <c r="A2421">
        <f>IFERROR(INDEX($N$4:$N$3183,MATCH(SMALL($V$4:$V$3183,2418),$V$4:$V$3183,0)),"")</f>
        <v/>
      </c>
      <c r="B2421">
        <f>IFERROR(INDEX($O$4:$O$3183,MATCH(SMALL($V$4:$V$3183,2418),$V$4:$V$3183,0)),"")</f>
        <v/>
      </c>
      <c r="C2421">
        <f>IFERROR(INDEX($P$4:$P$3183,MATCH(SMALL($V$4:$V$3183,2418),$V$4:$V$3183,0)),"")</f>
        <v/>
      </c>
      <c r="D2421" s="29">
        <f>IFERROR(INDEX($Q$4:$Q$3183,MATCH(SMALL($V$4:$V$3183,2418),$V$4:$V$3183,0)),"")</f>
        <v/>
      </c>
      <c r="E2421" s="29">
        <f>IFERROR(INDEX($R$4:$R$3183,MATCH(SMALL($V$4:$V$3183,2418),$V$4:$V$3183,0)),"")</f>
        <v/>
      </c>
      <c r="F2421">
        <f>IFERROR(INDEX($S$4:$S$3183,MATCH(SMALL($V$4:$V$3183,2418),$V$4:$V$3183,0)),"")</f>
        <v/>
      </c>
      <c r="I2421" s="29">
        <f>IF($B2421="","",IFERROR(INDEX($U$4:$U$3183,MATCH(SMALL($V$4:$V$3183,2418),$V$4:$V$3183,0)),""))</f>
        <v/>
      </c>
      <c r="J2421">
        <f>IF($B2421="","",IF($D2421&gt;$F$2,"À venir",IF($E2421&lt;$D$2,"Passé","Dans la période")))</f>
        <v/>
      </c>
      <c r="K2421">
        <f>IF(OR($B2421="",NOT(ISNUMBER($D2421))),"",IF(AND($E2421&lt;$D$2,$G2421&lt;&gt;"X",$F2421&lt;&gt;"Réalisé",$F2421&lt;&gt;"Clôturé"),"RETARD",""))</f>
        <v/>
      </c>
      <c r="L2421">
        <f>IF(OR($B2421="",NOT(ISNUMBER($D2421))),"",IF(AND($D2421&gt;=$D$2,$D2421&lt;=$H$2,$G2421&lt;&gt;"X",$F2421&lt;&gt;"Réalisé",$F2421&lt;&gt;"Clôturé"),"≤ 7 j",""))</f>
        <v/>
      </c>
      <c r="M2421" s="29">
        <f>IF($B2421="","",IFERROR(INDEX($T$4:$T$3183,MATCH(SMALL($V$4:$V$3183,2418),$V$4:$V$3183,0)),""))</f>
        <v/>
      </c>
      <c r="O2421">
        <f>IF(INDEX(Suivi!$B:$B,2467)="","",INDEX(Suivi!$B:$B,2467))</f>
        <v/>
      </c>
      <c r="P2421">
        <f>IF($O2421="","",IF(INDEX(Suivi!$D:$D,2467)="",INDEX(Suivi!$C:$C,2467),INDEX(Suivi!$D:$D,2467)))</f>
        <v/>
      </c>
      <c r="Q2421">
        <f>IF($O2421="","",INDEX(Suivi!$E:$E,2467))</f>
        <v/>
      </c>
      <c r="R2421">
        <f>IF($O2421="","",INDEX(Suivi!$F:$F,2467))</f>
        <v/>
      </c>
      <c r="S2421">
        <f>IF($O2421="","",INDEX(Suivi!$G:$G,2467))</f>
        <v/>
      </c>
      <c r="T2421">
        <f>IF($O2421="","",IF(INDEX(Dossiers!$F$4:$F$63,46)="","",INDEX(Dossiers!$F$4:$F$63,46)))</f>
        <v/>
      </c>
      <c r="U2421">
        <f>IF($O2421="","",IF(INDEX(Dossiers!$G$4:$G$63,46)="","",INDEX(Dossiers!$G$4:$G$63,46)))</f>
        <v/>
      </c>
      <c r="V2421">
        <f>IF(OR($O2421="",NOT(ISNUMBER($Q2421))),"",$Q2421*1000000+2421)</f>
        <v/>
      </c>
      <c r="W2421" s="29">
        <f>IF($B2421="","",IFERROR(INDEX($U$4:$U$3183,MATCH(SMALL($V$4:$V$3183,2418),$V$4:$V$3183,0)),""))</f>
        <v/>
      </c>
    </row>
    <row r="2422">
      <c r="A2422">
        <f>IFERROR(INDEX($N$4:$N$3183,MATCH(SMALL($V$4:$V$3183,2419),$V$4:$V$3183,0)),"")</f>
        <v/>
      </c>
      <c r="B2422">
        <f>IFERROR(INDEX($O$4:$O$3183,MATCH(SMALL($V$4:$V$3183,2419),$V$4:$V$3183,0)),"")</f>
        <v/>
      </c>
      <c r="C2422">
        <f>IFERROR(INDEX($P$4:$P$3183,MATCH(SMALL($V$4:$V$3183,2419),$V$4:$V$3183,0)),"")</f>
        <v/>
      </c>
      <c r="D2422" s="29">
        <f>IFERROR(INDEX($Q$4:$Q$3183,MATCH(SMALL($V$4:$V$3183,2419),$V$4:$V$3183,0)),"")</f>
        <v/>
      </c>
      <c r="E2422" s="29">
        <f>IFERROR(INDEX($R$4:$R$3183,MATCH(SMALL($V$4:$V$3183,2419),$V$4:$V$3183,0)),"")</f>
        <v/>
      </c>
      <c r="F2422">
        <f>IFERROR(INDEX($S$4:$S$3183,MATCH(SMALL($V$4:$V$3183,2419),$V$4:$V$3183,0)),"")</f>
        <v/>
      </c>
      <c r="I2422" s="29">
        <f>IF($B2422="","",IFERROR(INDEX($U$4:$U$3183,MATCH(SMALL($V$4:$V$3183,2419),$V$4:$V$3183,0)),""))</f>
        <v/>
      </c>
      <c r="J2422">
        <f>IF($B2422="","",IF($D2422&gt;$F$2,"À venir",IF($E2422&lt;$D$2,"Passé","Dans la période")))</f>
        <v/>
      </c>
      <c r="K2422">
        <f>IF(OR($B2422="",NOT(ISNUMBER($D2422))),"",IF(AND($E2422&lt;$D$2,$G2422&lt;&gt;"X",$F2422&lt;&gt;"Réalisé",$F2422&lt;&gt;"Clôturé"),"RETARD",""))</f>
        <v/>
      </c>
      <c r="L2422">
        <f>IF(OR($B2422="",NOT(ISNUMBER($D2422))),"",IF(AND($D2422&gt;=$D$2,$D2422&lt;=$H$2,$G2422&lt;&gt;"X",$F2422&lt;&gt;"Réalisé",$F2422&lt;&gt;"Clôturé"),"≤ 7 j",""))</f>
        <v/>
      </c>
      <c r="M2422" s="29">
        <f>IF($B2422="","",IFERROR(INDEX($T$4:$T$3183,MATCH(SMALL($V$4:$V$3183,2419),$V$4:$V$3183,0)),""))</f>
        <v/>
      </c>
      <c r="O2422">
        <f>IF(INDEX(Suivi!$B:$B,2468)="","",INDEX(Suivi!$B:$B,2468))</f>
        <v/>
      </c>
      <c r="P2422">
        <f>IF($O2422="","",IF(INDEX(Suivi!$D:$D,2468)="",INDEX(Suivi!$C:$C,2468),INDEX(Suivi!$D:$D,2468)))</f>
        <v/>
      </c>
      <c r="Q2422">
        <f>IF($O2422="","",INDEX(Suivi!$E:$E,2468))</f>
        <v/>
      </c>
      <c r="R2422">
        <f>IF($O2422="","",INDEX(Suivi!$F:$F,2468))</f>
        <v/>
      </c>
      <c r="S2422">
        <f>IF($O2422="","",INDEX(Suivi!$G:$G,2468))</f>
        <v/>
      </c>
      <c r="T2422">
        <f>IF($O2422="","",IF(INDEX(Dossiers!$F$4:$F$63,46)="","",INDEX(Dossiers!$F$4:$F$63,46)))</f>
        <v/>
      </c>
      <c r="U2422">
        <f>IF($O2422="","",IF(INDEX(Dossiers!$G$4:$G$63,46)="","",INDEX(Dossiers!$G$4:$G$63,46)))</f>
        <v/>
      </c>
      <c r="V2422">
        <f>IF(OR($O2422="",NOT(ISNUMBER($Q2422))),"",$Q2422*1000000+2422)</f>
        <v/>
      </c>
      <c r="W2422" s="29">
        <f>IF($B2422="","",IFERROR(INDEX($U$4:$U$3183,MATCH(SMALL($V$4:$V$3183,2419),$V$4:$V$3183,0)),""))</f>
        <v/>
      </c>
    </row>
    <row r="2423">
      <c r="A2423">
        <f>IFERROR(INDEX($N$4:$N$3183,MATCH(SMALL($V$4:$V$3183,2420),$V$4:$V$3183,0)),"")</f>
        <v/>
      </c>
      <c r="B2423">
        <f>IFERROR(INDEX($O$4:$O$3183,MATCH(SMALL($V$4:$V$3183,2420),$V$4:$V$3183,0)),"")</f>
        <v/>
      </c>
      <c r="C2423">
        <f>IFERROR(INDEX($P$4:$P$3183,MATCH(SMALL($V$4:$V$3183,2420),$V$4:$V$3183,0)),"")</f>
        <v/>
      </c>
      <c r="D2423" s="29">
        <f>IFERROR(INDEX($Q$4:$Q$3183,MATCH(SMALL($V$4:$V$3183,2420),$V$4:$V$3183,0)),"")</f>
        <v/>
      </c>
      <c r="E2423" s="29">
        <f>IFERROR(INDEX($R$4:$R$3183,MATCH(SMALL($V$4:$V$3183,2420),$V$4:$V$3183,0)),"")</f>
        <v/>
      </c>
      <c r="F2423">
        <f>IFERROR(INDEX($S$4:$S$3183,MATCH(SMALL($V$4:$V$3183,2420),$V$4:$V$3183,0)),"")</f>
        <v/>
      </c>
      <c r="I2423" s="29">
        <f>IF($B2423="","",IFERROR(INDEX($U$4:$U$3183,MATCH(SMALL($V$4:$V$3183,2420),$V$4:$V$3183,0)),""))</f>
        <v/>
      </c>
      <c r="J2423">
        <f>IF($B2423="","",IF($D2423&gt;$F$2,"À venir",IF($E2423&lt;$D$2,"Passé","Dans la période")))</f>
        <v/>
      </c>
      <c r="K2423">
        <f>IF(OR($B2423="",NOT(ISNUMBER($D2423))),"",IF(AND($E2423&lt;$D$2,$G2423&lt;&gt;"X",$F2423&lt;&gt;"Réalisé",$F2423&lt;&gt;"Clôturé"),"RETARD",""))</f>
        <v/>
      </c>
      <c r="L2423">
        <f>IF(OR($B2423="",NOT(ISNUMBER($D2423))),"",IF(AND($D2423&gt;=$D$2,$D2423&lt;=$H$2,$G2423&lt;&gt;"X",$F2423&lt;&gt;"Réalisé",$F2423&lt;&gt;"Clôturé"),"≤ 7 j",""))</f>
        <v/>
      </c>
      <c r="M2423" s="29">
        <f>IF($B2423="","",IFERROR(INDEX($T$4:$T$3183,MATCH(SMALL($V$4:$V$3183,2420),$V$4:$V$3183,0)),""))</f>
        <v/>
      </c>
      <c r="O2423">
        <f>IF(INDEX(Suivi!$B:$B,2469)="","",INDEX(Suivi!$B:$B,2469))</f>
        <v/>
      </c>
      <c r="P2423">
        <f>IF($O2423="","",IF(INDEX(Suivi!$D:$D,2469)="",INDEX(Suivi!$C:$C,2469),INDEX(Suivi!$D:$D,2469)))</f>
        <v/>
      </c>
      <c r="Q2423">
        <f>IF($O2423="","",INDEX(Suivi!$E:$E,2469))</f>
        <v/>
      </c>
      <c r="R2423">
        <f>IF($O2423="","",INDEX(Suivi!$F:$F,2469))</f>
        <v/>
      </c>
      <c r="S2423">
        <f>IF($O2423="","",INDEX(Suivi!$G:$G,2469))</f>
        <v/>
      </c>
      <c r="T2423">
        <f>IF($O2423="","",IF(INDEX(Dossiers!$F$4:$F$63,46)="","",INDEX(Dossiers!$F$4:$F$63,46)))</f>
        <v/>
      </c>
      <c r="U2423">
        <f>IF($O2423="","",IF(INDEX(Dossiers!$G$4:$G$63,46)="","",INDEX(Dossiers!$G$4:$G$63,46)))</f>
        <v/>
      </c>
      <c r="V2423">
        <f>IF(OR($O2423="",NOT(ISNUMBER($Q2423))),"",$Q2423*1000000+2423)</f>
        <v/>
      </c>
      <c r="W2423" s="29">
        <f>IF($B2423="","",IFERROR(INDEX($U$4:$U$3183,MATCH(SMALL($V$4:$V$3183,2420),$V$4:$V$3183,0)),""))</f>
        <v/>
      </c>
    </row>
    <row r="2424">
      <c r="A2424">
        <f>IFERROR(INDEX($N$4:$N$3183,MATCH(SMALL($V$4:$V$3183,2421),$V$4:$V$3183,0)),"")</f>
        <v/>
      </c>
      <c r="B2424">
        <f>IFERROR(INDEX($O$4:$O$3183,MATCH(SMALL($V$4:$V$3183,2421),$V$4:$V$3183,0)),"")</f>
        <v/>
      </c>
      <c r="C2424">
        <f>IFERROR(INDEX($P$4:$P$3183,MATCH(SMALL($V$4:$V$3183,2421),$V$4:$V$3183,0)),"")</f>
        <v/>
      </c>
      <c r="D2424" s="29">
        <f>IFERROR(INDEX($Q$4:$Q$3183,MATCH(SMALL($V$4:$V$3183,2421),$V$4:$V$3183,0)),"")</f>
        <v/>
      </c>
      <c r="E2424" s="29">
        <f>IFERROR(INDEX($R$4:$R$3183,MATCH(SMALL($V$4:$V$3183,2421),$V$4:$V$3183,0)),"")</f>
        <v/>
      </c>
      <c r="F2424">
        <f>IFERROR(INDEX($S$4:$S$3183,MATCH(SMALL($V$4:$V$3183,2421),$V$4:$V$3183,0)),"")</f>
        <v/>
      </c>
      <c r="I2424" s="29">
        <f>IF($B2424="","",IFERROR(INDEX($U$4:$U$3183,MATCH(SMALL($V$4:$V$3183,2421),$V$4:$V$3183,0)),""))</f>
        <v/>
      </c>
      <c r="J2424">
        <f>IF($B2424="","",IF($D2424&gt;$F$2,"À venir",IF($E2424&lt;$D$2,"Passé","Dans la période")))</f>
        <v/>
      </c>
      <c r="K2424">
        <f>IF(OR($B2424="",NOT(ISNUMBER($D2424))),"",IF(AND($E2424&lt;$D$2,$G2424&lt;&gt;"X",$F2424&lt;&gt;"Réalisé",$F2424&lt;&gt;"Clôturé"),"RETARD",""))</f>
        <v/>
      </c>
      <c r="L2424">
        <f>IF(OR($B2424="",NOT(ISNUMBER($D2424))),"",IF(AND($D2424&gt;=$D$2,$D2424&lt;=$H$2,$G2424&lt;&gt;"X",$F2424&lt;&gt;"Réalisé",$F2424&lt;&gt;"Clôturé"),"≤ 7 j",""))</f>
        <v/>
      </c>
      <c r="M2424" s="29">
        <f>IF($B2424="","",IFERROR(INDEX($T$4:$T$3183,MATCH(SMALL($V$4:$V$3183,2421),$V$4:$V$3183,0)),""))</f>
        <v/>
      </c>
      <c r="O2424">
        <f>IF(INDEX(Suivi!$B:$B,2470)="","",INDEX(Suivi!$B:$B,2470))</f>
        <v/>
      </c>
      <c r="P2424">
        <f>IF($O2424="","",IF(INDEX(Suivi!$D:$D,2470)="",INDEX(Suivi!$C:$C,2470),INDEX(Suivi!$D:$D,2470)))</f>
        <v/>
      </c>
      <c r="Q2424">
        <f>IF($O2424="","",INDEX(Suivi!$E:$E,2470))</f>
        <v/>
      </c>
      <c r="R2424">
        <f>IF($O2424="","",INDEX(Suivi!$F:$F,2470))</f>
        <v/>
      </c>
      <c r="S2424">
        <f>IF($O2424="","",INDEX(Suivi!$G:$G,2470))</f>
        <v/>
      </c>
      <c r="T2424">
        <f>IF($O2424="","",IF(INDEX(Dossiers!$F$4:$F$63,46)="","",INDEX(Dossiers!$F$4:$F$63,46)))</f>
        <v/>
      </c>
      <c r="U2424">
        <f>IF($O2424="","",IF(INDEX(Dossiers!$G$4:$G$63,46)="","",INDEX(Dossiers!$G$4:$G$63,46)))</f>
        <v/>
      </c>
      <c r="V2424">
        <f>IF(OR($O2424="",NOT(ISNUMBER($Q2424))),"",$Q2424*1000000+2424)</f>
        <v/>
      </c>
      <c r="W2424" s="29">
        <f>IF($B2424="","",IFERROR(INDEX($U$4:$U$3183,MATCH(SMALL($V$4:$V$3183,2421),$V$4:$V$3183,0)),""))</f>
        <v/>
      </c>
    </row>
    <row r="2425">
      <c r="A2425">
        <f>IFERROR(INDEX($N$4:$N$3183,MATCH(SMALL($V$4:$V$3183,2422),$V$4:$V$3183,0)),"")</f>
        <v/>
      </c>
      <c r="B2425">
        <f>IFERROR(INDEX($O$4:$O$3183,MATCH(SMALL($V$4:$V$3183,2422),$V$4:$V$3183,0)),"")</f>
        <v/>
      </c>
      <c r="C2425">
        <f>IFERROR(INDEX($P$4:$P$3183,MATCH(SMALL($V$4:$V$3183,2422),$V$4:$V$3183,0)),"")</f>
        <v/>
      </c>
      <c r="D2425" s="29">
        <f>IFERROR(INDEX($Q$4:$Q$3183,MATCH(SMALL($V$4:$V$3183,2422),$V$4:$V$3183,0)),"")</f>
        <v/>
      </c>
      <c r="E2425" s="29">
        <f>IFERROR(INDEX($R$4:$R$3183,MATCH(SMALL($V$4:$V$3183,2422),$V$4:$V$3183,0)),"")</f>
        <v/>
      </c>
      <c r="F2425">
        <f>IFERROR(INDEX($S$4:$S$3183,MATCH(SMALL($V$4:$V$3183,2422),$V$4:$V$3183,0)),"")</f>
        <v/>
      </c>
      <c r="I2425" s="29">
        <f>IF($B2425="","",IFERROR(INDEX($U$4:$U$3183,MATCH(SMALL($V$4:$V$3183,2422),$V$4:$V$3183,0)),""))</f>
        <v/>
      </c>
      <c r="J2425">
        <f>IF($B2425="","",IF($D2425&gt;$F$2,"À venir",IF($E2425&lt;$D$2,"Passé","Dans la période")))</f>
        <v/>
      </c>
      <c r="K2425">
        <f>IF(OR($B2425="",NOT(ISNUMBER($D2425))),"",IF(AND($E2425&lt;$D$2,$G2425&lt;&gt;"X",$F2425&lt;&gt;"Réalisé",$F2425&lt;&gt;"Clôturé"),"RETARD",""))</f>
        <v/>
      </c>
      <c r="L2425">
        <f>IF(OR($B2425="",NOT(ISNUMBER($D2425))),"",IF(AND($D2425&gt;=$D$2,$D2425&lt;=$H$2,$G2425&lt;&gt;"X",$F2425&lt;&gt;"Réalisé",$F2425&lt;&gt;"Clôturé"),"≤ 7 j",""))</f>
        <v/>
      </c>
      <c r="M2425" s="29">
        <f>IF($B2425="","",IFERROR(INDEX($T$4:$T$3183,MATCH(SMALL($V$4:$V$3183,2422),$V$4:$V$3183,0)),""))</f>
        <v/>
      </c>
      <c r="O2425">
        <f>IF(INDEX(Suivi!$B:$B,2471)="","",INDEX(Suivi!$B:$B,2471))</f>
        <v/>
      </c>
      <c r="P2425">
        <f>IF($O2425="","",IF(INDEX(Suivi!$D:$D,2471)="",INDEX(Suivi!$C:$C,2471),INDEX(Suivi!$D:$D,2471)))</f>
        <v/>
      </c>
      <c r="Q2425">
        <f>IF($O2425="","",INDEX(Suivi!$E:$E,2471))</f>
        <v/>
      </c>
      <c r="R2425">
        <f>IF($O2425="","",INDEX(Suivi!$F:$F,2471))</f>
        <v/>
      </c>
      <c r="S2425">
        <f>IF($O2425="","",INDEX(Suivi!$G:$G,2471))</f>
        <v/>
      </c>
      <c r="T2425">
        <f>IF($O2425="","",IF(INDEX(Dossiers!$F$4:$F$63,46)="","",INDEX(Dossiers!$F$4:$F$63,46)))</f>
        <v/>
      </c>
      <c r="U2425">
        <f>IF($O2425="","",IF(INDEX(Dossiers!$G$4:$G$63,46)="","",INDEX(Dossiers!$G$4:$G$63,46)))</f>
        <v/>
      </c>
      <c r="V2425">
        <f>IF(OR($O2425="",NOT(ISNUMBER($Q2425))),"",$Q2425*1000000+2425)</f>
        <v/>
      </c>
      <c r="W2425" s="29">
        <f>IF($B2425="","",IFERROR(INDEX($U$4:$U$3183,MATCH(SMALL($V$4:$V$3183,2422),$V$4:$V$3183,0)),""))</f>
        <v/>
      </c>
    </row>
    <row r="2426">
      <c r="A2426">
        <f>IFERROR(INDEX($N$4:$N$3183,MATCH(SMALL($V$4:$V$3183,2423),$V$4:$V$3183,0)),"")</f>
        <v/>
      </c>
      <c r="B2426">
        <f>IFERROR(INDEX($O$4:$O$3183,MATCH(SMALL($V$4:$V$3183,2423),$V$4:$V$3183,0)),"")</f>
        <v/>
      </c>
      <c r="C2426">
        <f>IFERROR(INDEX($P$4:$P$3183,MATCH(SMALL($V$4:$V$3183,2423),$V$4:$V$3183,0)),"")</f>
        <v/>
      </c>
      <c r="D2426" s="29">
        <f>IFERROR(INDEX($Q$4:$Q$3183,MATCH(SMALL($V$4:$V$3183,2423),$V$4:$V$3183,0)),"")</f>
        <v/>
      </c>
      <c r="E2426" s="29">
        <f>IFERROR(INDEX($R$4:$R$3183,MATCH(SMALL($V$4:$V$3183,2423),$V$4:$V$3183,0)),"")</f>
        <v/>
      </c>
      <c r="F2426">
        <f>IFERROR(INDEX($S$4:$S$3183,MATCH(SMALL($V$4:$V$3183,2423),$V$4:$V$3183,0)),"")</f>
        <v/>
      </c>
      <c r="I2426" s="29">
        <f>IF($B2426="","",IFERROR(INDEX($U$4:$U$3183,MATCH(SMALL($V$4:$V$3183,2423),$V$4:$V$3183,0)),""))</f>
        <v/>
      </c>
      <c r="J2426">
        <f>IF($B2426="","",IF($D2426&gt;$F$2,"À venir",IF($E2426&lt;$D$2,"Passé","Dans la période")))</f>
        <v/>
      </c>
      <c r="K2426">
        <f>IF(OR($B2426="",NOT(ISNUMBER($D2426))),"",IF(AND($E2426&lt;$D$2,$G2426&lt;&gt;"X",$F2426&lt;&gt;"Réalisé",$F2426&lt;&gt;"Clôturé"),"RETARD",""))</f>
        <v/>
      </c>
      <c r="L2426">
        <f>IF(OR($B2426="",NOT(ISNUMBER($D2426))),"",IF(AND($D2426&gt;=$D$2,$D2426&lt;=$H$2,$G2426&lt;&gt;"X",$F2426&lt;&gt;"Réalisé",$F2426&lt;&gt;"Clôturé"),"≤ 7 j",""))</f>
        <v/>
      </c>
      <c r="M2426" s="29">
        <f>IF($B2426="","",IFERROR(INDEX($T$4:$T$3183,MATCH(SMALL($V$4:$V$3183,2423),$V$4:$V$3183,0)),""))</f>
        <v/>
      </c>
      <c r="O2426">
        <f>IF(INDEX(Suivi!$B:$B,2472)="","",INDEX(Suivi!$B:$B,2472))</f>
        <v/>
      </c>
      <c r="P2426">
        <f>IF($O2426="","",IF(INDEX(Suivi!$D:$D,2472)="",INDEX(Suivi!$C:$C,2472),INDEX(Suivi!$D:$D,2472)))</f>
        <v/>
      </c>
      <c r="Q2426">
        <f>IF($O2426="","",INDEX(Suivi!$E:$E,2472))</f>
        <v/>
      </c>
      <c r="R2426">
        <f>IF($O2426="","",INDEX(Suivi!$F:$F,2472))</f>
        <v/>
      </c>
      <c r="S2426">
        <f>IF($O2426="","",INDEX(Suivi!$G:$G,2472))</f>
        <v/>
      </c>
      <c r="T2426">
        <f>IF($O2426="","",IF(INDEX(Dossiers!$F$4:$F$63,46)="","",INDEX(Dossiers!$F$4:$F$63,46)))</f>
        <v/>
      </c>
      <c r="U2426">
        <f>IF($O2426="","",IF(INDEX(Dossiers!$G$4:$G$63,46)="","",INDEX(Dossiers!$G$4:$G$63,46)))</f>
        <v/>
      </c>
      <c r="V2426">
        <f>IF(OR($O2426="",NOT(ISNUMBER($Q2426))),"",$Q2426*1000000+2426)</f>
        <v/>
      </c>
      <c r="W2426" s="29">
        <f>IF($B2426="","",IFERROR(INDEX($U$4:$U$3183,MATCH(SMALL($V$4:$V$3183,2423),$V$4:$V$3183,0)),""))</f>
        <v/>
      </c>
    </row>
    <row r="2427">
      <c r="A2427">
        <f>IFERROR(INDEX($N$4:$N$3183,MATCH(SMALL($V$4:$V$3183,2424),$V$4:$V$3183,0)),"")</f>
        <v/>
      </c>
      <c r="B2427">
        <f>IFERROR(INDEX($O$4:$O$3183,MATCH(SMALL($V$4:$V$3183,2424),$V$4:$V$3183,0)),"")</f>
        <v/>
      </c>
      <c r="C2427">
        <f>IFERROR(INDEX($P$4:$P$3183,MATCH(SMALL($V$4:$V$3183,2424),$V$4:$V$3183,0)),"")</f>
        <v/>
      </c>
      <c r="D2427" s="29">
        <f>IFERROR(INDEX($Q$4:$Q$3183,MATCH(SMALL($V$4:$V$3183,2424),$V$4:$V$3183,0)),"")</f>
        <v/>
      </c>
      <c r="E2427" s="29">
        <f>IFERROR(INDEX($R$4:$R$3183,MATCH(SMALL($V$4:$V$3183,2424),$V$4:$V$3183,0)),"")</f>
        <v/>
      </c>
      <c r="F2427">
        <f>IFERROR(INDEX($S$4:$S$3183,MATCH(SMALL($V$4:$V$3183,2424),$V$4:$V$3183,0)),"")</f>
        <v/>
      </c>
      <c r="I2427" s="29">
        <f>IF($B2427="","",IFERROR(INDEX($U$4:$U$3183,MATCH(SMALL($V$4:$V$3183,2424),$V$4:$V$3183,0)),""))</f>
        <v/>
      </c>
      <c r="J2427">
        <f>IF($B2427="","",IF($D2427&gt;$F$2,"À venir",IF($E2427&lt;$D$2,"Passé","Dans la période")))</f>
        <v/>
      </c>
      <c r="K2427">
        <f>IF(OR($B2427="",NOT(ISNUMBER($D2427))),"",IF(AND($E2427&lt;$D$2,$G2427&lt;&gt;"X",$F2427&lt;&gt;"Réalisé",$F2427&lt;&gt;"Clôturé"),"RETARD",""))</f>
        <v/>
      </c>
      <c r="L2427">
        <f>IF(OR($B2427="",NOT(ISNUMBER($D2427))),"",IF(AND($D2427&gt;=$D$2,$D2427&lt;=$H$2,$G2427&lt;&gt;"X",$F2427&lt;&gt;"Réalisé",$F2427&lt;&gt;"Clôturé"),"≤ 7 j",""))</f>
        <v/>
      </c>
      <c r="M2427" s="29">
        <f>IF($B2427="","",IFERROR(INDEX($T$4:$T$3183,MATCH(SMALL($V$4:$V$3183,2424),$V$4:$V$3183,0)),""))</f>
        <v/>
      </c>
      <c r="O2427">
        <f>IF(INDEX(Suivi!$B:$B,2473)="","",INDEX(Suivi!$B:$B,2473))</f>
        <v/>
      </c>
      <c r="P2427">
        <f>IF($O2427="","",IF(INDEX(Suivi!$D:$D,2473)="",INDEX(Suivi!$C:$C,2473),INDEX(Suivi!$D:$D,2473)))</f>
        <v/>
      </c>
      <c r="Q2427">
        <f>IF($O2427="","",INDEX(Suivi!$E:$E,2473))</f>
        <v/>
      </c>
      <c r="R2427">
        <f>IF($O2427="","",INDEX(Suivi!$F:$F,2473))</f>
        <v/>
      </c>
      <c r="S2427">
        <f>IF($O2427="","",INDEX(Suivi!$G:$G,2473))</f>
        <v/>
      </c>
      <c r="T2427">
        <f>IF($O2427="","",IF(INDEX(Dossiers!$F$4:$F$63,46)="","",INDEX(Dossiers!$F$4:$F$63,46)))</f>
        <v/>
      </c>
      <c r="U2427">
        <f>IF($O2427="","",IF(INDEX(Dossiers!$G$4:$G$63,46)="","",INDEX(Dossiers!$G$4:$G$63,46)))</f>
        <v/>
      </c>
      <c r="V2427">
        <f>IF(OR($O2427="",NOT(ISNUMBER($Q2427))),"",$Q2427*1000000+2427)</f>
        <v/>
      </c>
      <c r="W2427" s="29">
        <f>IF($B2427="","",IFERROR(INDEX($U$4:$U$3183,MATCH(SMALL($V$4:$V$3183,2424),$V$4:$V$3183,0)),""))</f>
        <v/>
      </c>
    </row>
    <row r="2428">
      <c r="A2428">
        <f>IFERROR(INDEX($N$4:$N$3183,MATCH(SMALL($V$4:$V$3183,2425),$V$4:$V$3183,0)),"")</f>
        <v/>
      </c>
      <c r="B2428">
        <f>IFERROR(INDEX($O$4:$O$3183,MATCH(SMALL($V$4:$V$3183,2425),$V$4:$V$3183,0)),"")</f>
        <v/>
      </c>
      <c r="C2428">
        <f>IFERROR(INDEX($P$4:$P$3183,MATCH(SMALL($V$4:$V$3183,2425),$V$4:$V$3183,0)),"")</f>
        <v/>
      </c>
      <c r="D2428" s="29">
        <f>IFERROR(INDEX($Q$4:$Q$3183,MATCH(SMALL($V$4:$V$3183,2425),$V$4:$V$3183,0)),"")</f>
        <v/>
      </c>
      <c r="E2428" s="29">
        <f>IFERROR(INDEX($R$4:$R$3183,MATCH(SMALL($V$4:$V$3183,2425),$V$4:$V$3183,0)),"")</f>
        <v/>
      </c>
      <c r="F2428">
        <f>IFERROR(INDEX($S$4:$S$3183,MATCH(SMALL($V$4:$V$3183,2425),$V$4:$V$3183,0)),"")</f>
        <v/>
      </c>
      <c r="I2428" s="29">
        <f>IF($B2428="","",IFERROR(INDEX($U$4:$U$3183,MATCH(SMALL($V$4:$V$3183,2425),$V$4:$V$3183,0)),""))</f>
        <v/>
      </c>
      <c r="J2428">
        <f>IF($B2428="","",IF($D2428&gt;$F$2,"À venir",IF($E2428&lt;$D$2,"Passé","Dans la période")))</f>
        <v/>
      </c>
      <c r="K2428">
        <f>IF(OR($B2428="",NOT(ISNUMBER($D2428))),"",IF(AND($E2428&lt;$D$2,$G2428&lt;&gt;"X",$F2428&lt;&gt;"Réalisé",$F2428&lt;&gt;"Clôturé"),"RETARD",""))</f>
        <v/>
      </c>
      <c r="L2428">
        <f>IF(OR($B2428="",NOT(ISNUMBER($D2428))),"",IF(AND($D2428&gt;=$D$2,$D2428&lt;=$H$2,$G2428&lt;&gt;"X",$F2428&lt;&gt;"Réalisé",$F2428&lt;&gt;"Clôturé"),"≤ 7 j",""))</f>
        <v/>
      </c>
      <c r="M2428" s="29">
        <f>IF($B2428="","",IFERROR(INDEX($T$4:$T$3183,MATCH(SMALL($V$4:$V$3183,2425),$V$4:$V$3183,0)),""))</f>
        <v/>
      </c>
      <c r="O2428">
        <f>IF(INDEX(Suivi!$B:$B,2474)="","",INDEX(Suivi!$B:$B,2474))</f>
        <v/>
      </c>
      <c r="P2428">
        <f>IF($O2428="","",IF(INDEX(Suivi!$D:$D,2474)="",INDEX(Suivi!$C:$C,2474),INDEX(Suivi!$D:$D,2474)))</f>
        <v/>
      </c>
      <c r="Q2428">
        <f>IF($O2428="","",INDEX(Suivi!$E:$E,2474))</f>
        <v/>
      </c>
      <c r="R2428">
        <f>IF($O2428="","",INDEX(Suivi!$F:$F,2474))</f>
        <v/>
      </c>
      <c r="S2428">
        <f>IF($O2428="","",INDEX(Suivi!$G:$G,2474))</f>
        <v/>
      </c>
      <c r="T2428">
        <f>IF($O2428="","",IF(INDEX(Dossiers!$F$4:$F$63,46)="","",INDEX(Dossiers!$F$4:$F$63,46)))</f>
        <v/>
      </c>
      <c r="U2428">
        <f>IF($O2428="","",IF(INDEX(Dossiers!$G$4:$G$63,46)="","",INDEX(Dossiers!$G$4:$G$63,46)))</f>
        <v/>
      </c>
      <c r="V2428">
        <f>IF(OR($O2428="",NOT(ISNUMBER($Q2428))),"",$Q2428*1000000+2428)</f>
        <v/>
      </c>
      <c r="W2428" s="29">
        <f>IF($B2428="","",IFERROR(INDEX($U$4:$U$3183,MATCH(SMALL($V$4:$V$3183,2425),$V$4:$V$3183,0)),""))</f>
        <v/>
      </c>
    </row>
    <row r="2429">
      <c r="A2429">
        <f>IFERROR(INDEX($N$4:$N$3183,MATCH(SMALL($V$4:$V$3183,2426),$V$4:$V$3183,0)),"")</f>
        <v/>
      </c>
      <c r="B2429">
        <f>IFERROR(INDEX($O$4:$O$3183,MATCH(SMALL($V$4:$V$3183,2426),$V$4:$V$3183,0)),"")</f>
        <v/>
      </c>
      <c r="C2429">
        <f>IFERROR(INDEX($P$4:$P$3183,MATCH(SMALL($V$4:$V$3183,2426),$V$4:$V$3183,0)),"")</f>
        <v/>
      </c>
      <c r="D2429" s="29">
        <f>IFERROR(INDEX($Q$4:$Q$3183,MATCH(SMALL($V$4:$V$3183,2426),$V$4:$V$3183,0)),"")</f>
        <v/>
      </c>
      <c r="E2429" s="29">
        <f>IFERROR(INDEX($R$4:$R$3183,MATCH(SMALL($V$4:$V$3183,2426),$V$4:$V$3183,0)),"")</f>
        <v/>
      </c>
      <c r="F2429">
        <f>IFERROR(INDEX($S$4:$S$3183,MATCH(SMALL($V$4:$V$3183,2426),$V$4:$V$3183,0)),"")</f>
        <v/>
      </c>
      <c r="I2429" s="29">
        <f>IF($B2429="","",IFERROR(INDEX($U$4:$U$3183,MATCH(SMALL($V$4:$V$3183,2426),$V$4:$V$3183,0)),""))</f>
        <v/>
      </c>
      <c r="J2429">
        <f>IF($B2429="","",IF($D2429&gt;$F$2,"À venir",IF($E2429&lt;$D$2,"Passé","Dans la période")))</f>
        <v/>
      </c>
      <c r="K2429">
        <f>IF(OR($B2429="",NOT(ISNUMBER($D2429))),"",IF(AND($E2429&lt;$D$2,$G2429&lt;&gt;"X",$F2429&lt;&gt;"Réalisé",$F2429&lt;&gt;"Clôturé"),"RETARD",""))</f>
        <v/>
      </c>
      <c r="L2429">
        <f>IF(OR($B2429="",NOT(ISNUMBER($D2429))),"",IF(AND($D2429&gt;=$D$2,$D2429&lt;=$H$2,$G2429&lt;&gt;"X",$F2429&lt;&gt;"Réalisé",$F2429&lt;&gt;"Clôturé"),"≤ 7 j",""))</f>
        <v/>
      </c>
      <c r="M2429" s="29">
        <f>IF($B2429="","",IFERROR(INDEX($T$4:$T$3183,MATCH(SMALL($V$4:$V$3183,2426),$V$4:$V$3183,0)),""))</f>
        <v/>
      </c>
      <c r="O2429">
        <f>IF(INDEX(Suivi!$B:$B,2475)="","",INDEX(Suivi!$B:$B,2475))</f>
        <v/>
      </c>
      <c r="P2429">
        <f>IF($O2429="","",IF(INDEX(Suivi!$D:$D,2475)="",INDEX(Suivi!$C:$C,2475),INDEX(Suivi!$D:$D,2475)))</f>
        <v/>
      </c>
      <c r="Q2429">
        <f>IF($O2429="","",INDEX(Suivi!$E:$E,2475))</f>
        <v/>
      </c>
      <c r="R2429">
        <f>IF($O2429="","",INDEX(Suivi!$F:$F,2475))</f>
        <v/>
      </c>
      <c r="S2429">
        <f>IF($O2429="","",INDEX(Suivi!$G:$G,2475))</f>
        <v/>
      </c>
      <c r="T2429">
        <f>IF($O2429="","",IF(INDEX(Dossiers!$F$4:$F$63,46)="","",INDEX(Dossiers!$F$4:$F$63,46)))</f>
        <v/>
      </c>
      <c r="U2429">
        <f>IF($O2429="","",IF(INDEX(Dossiers!$G$4:$G$63,46)="","",INDEX(Dossiers!$G$4:$G$63,46)))</f>
        <v/>
      </c>
      <c r="V2429">
        <f>IF(OR($O2429="",NOT(ISNUMBER($Q2429))),"",$Q2429*1000000+2429)</f>
        <v/>
      </c>
      <c r="W2429" s="29">
        <f>IF($B2429="","",IFERROR(INDEX($U$4:$U$3183,MATCH(SMALL($V$4:$V$3183,2426),$V$4:$V$3183,0)),""))</f>
        <v/>
      </c>
    </row>
    <row r="2430">
      <c r="A2430">
        <f>IFERROR(INDEX($N$4:$N$3183,MATCH(SMALL($V$4:$V$3183,2427),$V$4:$V$3183,0)),"")</f>
        <v/>
      </c>
      <c r="B2430">
        <f>IFERROR(INDEX($O$4:$O$3183,MATCH(SMALL($V$4:$V$3183,2427),$V$4:$V$3183,0)),"")</f>
        <v/>
      </c>
      <c r="C2430">
        <f>IFERROR(INDEX($P$4:$P$3183,MATCH(SMALL($V$4:$V$3183,2427),$V$4:$V$3183,0)),"")</f>
        <v/>
      </c>
      <c r="D2430" s="29">
        <f>IFERROR(INDEX($Q$4:$Q$3183,MATCH(SMALL($V$4:$V$3183,2427),$V$4:$V$3183,0)),"")</f>
        <v/>
      </c>
      <c r="E2430" s="29">
        <f>IFERROR(INDEX($R$4:$R$3183,MATCH(SMALL($V$4:$V$3183,2427),$V$4:$V$3183,0)),"")</f>
        <v/>
      </c>
      <c r="F2430">
        <f>IFERROR(INDEX($S$4:$S$3183,MATCH(SMALL($V$4:$V$3183,2427),$V$4:$V$3183,0)),"")</f>
        <v/>
      </c>
      <c r="I2430" s="29">
        <f>IF($B2430="","",IFERROR(INDEX($U$4:$U$3183,MATCH(SMALL($V$4:$V$3183,2427),$V$4:$V$3183,0)),""))</f>
        <v/>
      </c>
      <c r="J2430">
        <f>IF($B2430="","",IF($D2430&gt;$F$2,"À venir",IF($E2430&lt;$D$2,"Passé","Dans la période")))</f>
        <v/>
      </c>
      <c r="K2430">
        <f>IF(OR($B2430="",NOT(ISNUMBER($D2430))),"",IF(AND($E2430&lt;$D$2,$G2430&lt;&gt;"X",$F2430&lt;&gt;"Réalisé",$F2430&lt;&gt;"Clôturé"),"RETARD",""))</f>
        <v/>
      </c>
      <c r="L2430">
        <f>IF(OR($B2430="",NOT(ISNUMBER($D2430))),"",IF(AND($D2430&gt;=$D$2,$D2430&lt;=$H$2,$G2430&lt;&gt;"X",$F2430&lt;&gt;"Réalisé",$F2430&lt;&gt;"Clôturé"),"≤ 7 j",""))</f>
        <v/>
      </c>
      <c r="M2430" s="29">
        <f>IF($B2430="","",IFERROR(INDEX($T$4:$T$3183,MATCH(SMALL($V$4:$V$3183,2427),$V$4:$V$3183,0)),""))</f>
        <v/>
      </c>
      <c r="O2430">
        <f>IF(INDEX(Suivi!$B:$B,2476)="","",INDEX(Suivi!$B:$B,2476))</f>
        <v/>
      </c>
      <c r="P2430">
        <f>IF($O2430="","",IF(INDEX(Suivi!$D:$D,2476)="",INDEX(Suivi!$C:$C,2476),INDEX(Suivi!$D:$D,2476)))</f>
        <v/>
      </c>
      <c r="Q2430">
        <f>IF($O2430="","",INDEX(Suivi!$E:$E,2476))</f>
        <v/>
      </c>
      <c r="R2430">
        <f>IF($O2430="","",INDEX(Suivi!$F:$F,2476))</f>
        <v/>
      </c>
      <c r="S2430">
        <f>IF($O2430="","",INDEX(Suivi!$G:$G,2476))</f>
        <v/>
      </c>
      <c r="T2430">
        <f>IF($O2430="","",IF(INDEX(Dossiers!$F$4:$F$63,46)="","",INDEX(Dossiers!$F$4:$F$63,46)))</f>
        <v/>
      </c>
      <c r="U2430">
        <f>IF($O2430="","",IF(INDEX(Dossiers!$G$4:$G$63,46)="","",INDEX(Dossiers!$G$4:$G$63,46)))</f>
        <v/>
      </c>
      <c r="V2430">
        <f>IF(OR($O2430="",NOT(ISNUMBER($Q2430))),"",$Q2430*1000000+2430)</f>
        <v/>
      </c>
      <c r="W2430" s="29">
        <f>IF($B2430="","",IFERROR(INDEX($U$4:$U$3183,MATCH(SMALL($V$4:$V$3183,2427),$V$4:$V$3183,0)),""))</f>
        <v/>
      </c>
    </row>
    <row r="2431">
      <c r="A2431">
        <f>IFERROR(INDEX($N$4:$N$3183,MATCH(SMALL($V$4:$V$3183,2428),$V$4:$V$3183,0)),"")</f>
        <v/>
      </c>
      <c r="B2431">
        <f>IFERROR(INDEX($O$4:$O$3183,MATCH(SMALL($V$4:$V$3183,2428),$V$4:$V$3183,0)),"")</f>
        <v/>
      </c>
      <c r="C2431">
        <f>IFERROR(INDEX($P$4:$P$3183,MATCH(SMALL($V$4:$V$3183,2428),$V$4:$V$3183,0)),"")</f>
        <v/>
      </c>
      <c r="D2431" s="29">
        <f>IFERROR(INDEX($Q$4:$Q$3183,MATCH(SMALL($V$4:$V$3183,2428),$V$4:$V$3183,0)),"")</f>
        <v/>
      </c>
      <c r="E2431" s="29">
        <f>IFERROR(INDEX($R$4:$R$3183,MATCH(SMALL($V$4:$V$3183,2428),$V$4:$V$3183,0)),"")</f>
        <v/>
      </c>
      <c r="F2431">
        <f>IFERROR(INDEX($S$4:$S$3183,MATCH(SMALL($V$4:$V$3183,2428),$V$4:$V$3183,0)),"")</f>
        <v/>
      </c>
      <c r="I2431" s="29">
        <f>IF($B2431="","",IFERROR(INDEX($U$4:$U$3183,MATCH(SMALL($V$4:$V$3183,2428),$V$4:$V$3183,0)),""))</f>
        <v/>
      </c>
      <c r="J2431">
        <f>IF($B2431="","",IF($D2431&gt;$F$2,"À venir",IF($E2431&lt;$D$2,"Passé","Dans la période")))</f>
        <v/>
      </c>
      <c r="K2431">
        <f>IF(OR($B2431="",NOT(ISNUMBER($D2431))),"",IF(AND($E2431&lt;$D$2,$G2431&lt;&gt;"X",$F2431&lt;&gt;"Réalisé",$F2431&lt;&gt;"Clôturé"),"RETARD",""))</f>
        <v/>
      </c>
      <c r="L2431">
        <f>IF(OR($B2431="",NOT(ISNUMBER($D2431))),"",IF(AND($D2431&gt;=$D$2,$D2431&lt;=$H$2,$G2431&lt;&gt;"X",$F2431&lt;&gt;"Réalisé",$F2431&lt;&gt;"Clôturé"),"≤ 7 j",""))</f>
        <v/>
      </c>
      <c r="M2431" s="29">
        <f>IF($B2431="","",IFERROR(INDEX($T$4:$T$3183,MATCH(SMALL($V$4:$V$3183,2428),$V$4:$V$3183,0)),""))</f>
        <v/>
      </c>
      <c r="O2431">
        <f>IF(INDEX(Suivi!$B:$B,2477)="","",INDEX(Suivi!$B:$B,2477))</f>
        <v/>
      </c>
      <c r="P2431">
        <f>IF($O2431="","",IF(INDEX(Suivi!$D:$D,2477)="",INDEX(Suivi!$C:$C,2477),INDEX(Suivi!$D:$D,2477)))</f>
        <v/>
      </c>
      <c r="Q2431">
        <f>IF($O2431="","",INDEX(Suivi!$E:$E,2477))</f>
        <v/>
      </c>
      <c r="R2431">
        <f>IF($O2431="","",INDEX(Suivi!$F:$F,2477))</f>
        <v/>
      </c>
      <c r="S2431">
        <f>IF($O2431="","",INDEX(Suivi!$G:$G,2477))</f>
        <v/>
      </c>
      <c r="T2431">
        <f>IF($O2431="","",IF(INDEX(Dossiers!$F$4:$F$63,46)="","",INDEX(Dossiers!$F$4:$F$63,46)))</f>
        <v/>
      </c>
      <c r="U2431">
        <f>IF($O2431="","",IF(INDEX(Dossiers!$G$4:$G$63,46)="","",INDEX(Dossiers!$G$4:$G$63,46)))</f>
        <v/>
      </c>
      <c r="V2431">
        <f>IF(OR($O2431="",NOT(ISNUMBER($Q2431))),"",$Q2431*1000000+2431)</f>
        <v/>
      </c>
      <c r="W2431" s="29">
        <f>IF($B2431="","",IFERROR(INDEX($U$4:$U$3183,MATCH(SMALL($V$4:$V$3183,2428),$V$4:$V$3183,0)),""))</f>
        <v/>
      </c>
    </row>
    <row r="2432">
      <c r="A2432">
        <f>IFERROR(INDEX($N$4:$N$3183,MATCH(SMALL($V$4:$V$3183,2429),$V$4:$V$3183,0)),"")</f>
        <v/>
      </c>
      <c r="B2432">
        <f>IFERROR(INDEX($O$4:$O$3183,MATCH(SMALL($V$4:$V$3183,2429),$V$4:$V$3183,0)),"")</f>
        <v/>
      </c>
      <c r="C2432">
        <f>IFERROR(INDEX($P$4:$P$3183,MATCH(SMALL($V$4:$V$3183,2429),$V$4:$V$3183,0)),"")</f>
        <v/>
      </c>
      <c r="D2432" s="29">
        <f>IFERROR(INDEX($Q$4:$Q$3183,MATCH(SMALL($V$4:$V$3183,2429),$V$4:$V$3183,0)),"")</f>
        <v/>
      </c>
      <c r="E2432" s="29">
        <f>IFERROR(INDEX($R$4:$R$3183,MATCH(SMALL($V$4:$V$3183,2429),$V$4:$V$3183,0)),"")</f>
        <v/>
      </c>
      <c r="F2432">
        <f>IFERROR(INDEX($S$4:$S$3183,MATCH(SMALL($V$4:$V$3183,2429),$V$4:$V$3183,0)),"")</f>
        <v/>
      </c>
      <c r="I2432" s="29">
        <f>IF($B2432="","",IFERROR(INDEX($U$4:$U$3183,MATCH(SMALL($V$4:$V$3183,2429),$V$4:$V$3183,0)),""))</f>
        <v/>
      </c>
      <c r="J2432">
        <f>IF($B2432="","",IF($D2432&gt;$F$2,"À venir",IF($E2432&lt;$D$2,"Passé","Dans la période")))</f>
        <v/>
      </c>
      <c r="K2432">
        <f>IF(OR($B2432="",NOT(ISNUMBER($D2432))),"",IF(AND($E2432&lt;$D$2,$G2432&lt;&gt;"X",$F2432&lt;&gt;"Réalisé",$F2432&lt;&gt;"Clôturé"),"RETARD",""))</f>
        <v/>
      </c>
      <c r="L2432">
        <f>IF(OR($B2432="",NOT(ISNUMBER($D2432))),"",IF(AND($D2432&gt;=$D$2,$D2432&lt;=$H$2,$G2432&lt;&gt;"X",$F2432&lt;&gt;"Réalisé",$F2432&lt;&gt;"Clôturé"),"≤ 7 j",""))</f>
        <v/>
      </c>
      <c r="M2432" s="29">
        <f>IF($B2432="","",IFERROR(INDEX($T$4:$T$3183,MATCH(SMALL($V$4:$V$3183,2429),$V$4:$V$3183,0)),""))</f>
        <v/>
      </c>
      <c r="O2432">
        <f>IF(INDEX(Suivi!$B:$B,2478)="","",INDEX(Suivi!$B:$B,2478))</f>
        <v/>
      </c>
      <c r="P2432">
        <f>IF($O2432="","",IF(INDEX(Suivi!$D:$D,2478)="",INDEX(Suivi!$C:$C,2478),INDEX(Suivi!$D:$D,2478)))</f>
        <v/>
      </c>
      <c r="Q2432">
        <f>IF($O2432="","",INDEX(Suivi!$E:$E,2478))</f>
        <v/>
      </c>
      <c r="R2432">
        <f>IF($O2432="","",INDEX(Suivi!$F:$F,2478))</f>
        <v/>
      </c>
      <c r="S2432">
        <f>IF($O2432="","",INDEX(Suivi!$G:$G,2478))</f>
        <v/>
      </c>
      <c r="T2432">
        <f>IF($O2432="","",IF(INDEX(Dossiers!$F$4:$F$63,46)="","",INDEX(Dossiers!$F$4:$F$63,46)))</f>
        <v/>
      </c>
      <c r="U2432">
        <f>IF($O2432="","",IF(INDEX(Dossiers!$G$4:$G$63,46)="","",INDEX(Dossiers!$G$4:$G$63,46)))</f>
        <v/>
      </c>
      <c r="V2432">
        <f>IF(OR($O2432="",NOT(ISNUMBER($Q2432))),"",$Q2432*1000000+2432)</f>
        <v/>
      </c>
      <c r="W2432" s="29">
        <f>IF($B2432="","",IFERROR(INDEX($U$4:$U$3183,MATCH(SMALL($V$4:$V$3183,2429),$V$4:$V$3183,0)),""))</f>
        <v/>
      </c>
    </row>
    <row r="2433">
      <c r="A2433">
        <f>IFERROR(INDEX($N$4:$N$3183,MATCH(SMALL($V$4:$V$3183,2430),$V$4:$V$3183,0)),"")</f>
        <v/>
      </c>
      <c r="B2433">
        <f>IFERROR(INDEX($O$4:$O$3183,MATCH(SMALL($V$4:$V$3183,2430),$V$4:$V$3183,0)),"")</f>
        <v/>
      </c>
      <c r="C2433">
        <f>IFERROR(INDEX($P$4:$P$3183,MATCH(SMALL($V$4:$V$3183,2430),$V$4:$V$3183,0)),"")</f>
        <v/>
      </c>
      <c r="D2433" s="29">
        <f>IFERROR(INDEX($Q$4:$Q$3183,MATCH(SMALL($V$4:$V$3183,2430),$V$4:$V$3183,0)),"")</f>
        <v/>
      </c>
      <c r="E2433" s="29">
        <f>IFERROR(INDEX($R$4:$R$3183,MATCH(SMALL($V$4:$V$3183,2430),$V$4:$V$3183,0)),"")</f>
        <v/>
      </c>
      <c r="F2433">
        <f>IFERROR(INDEX($S$4:$S$3183,MATCH(SMALL($V$4:$V$3183,2430),$V$4:$V$3183,0)),"")</f>
        <v/>
      </c>
      <c r="I2433" s="29">
        <f>IF($B2433="","",IFERROR(INDEX($U$4:$U$3183,MATCH(SMALL($V$4:$V$3183,2430),$V$4:$V$3183,0)),""))</f>
        <v/>
      </c>
      <c r="J2433">
        <f>IF($B2433="","",IF($D2433&gt;$F$2,"À venir",IF($E2433&lt;$D$2,"Passé","Dans la période")))</f>
        <v/>
      </c>
      <c r="K2433">
        <f>IF(OR($B2433="",NOT(ISNUMBER($D2433))),"",IF(AND($E2433&lt;$D$2,$G2433&lt;&gt;"X",$F2433&lt;&gt;"Réalisé",$F2433&lt;&gt;"Clôturé"),"RETARD",""))</f>
        <v/>
      </c>
      <c r="L2433">
        <f>IF(OR($B2433="",NOT(ISNUMBER($D2433))),"",IF(AND($D2433&gt;=$D$2,$D2433&lt;=$H$2,$G2433&lt;&gt;"X",$F2433&lt;&gt;"Réalisé",$F2433&lt;&gt;"Clôturé"),"≤ 7 j",""))</f>
        <v/>
      </c>
      <c r="M2433" s="29">
        <f>IF($B2433="","",IFERROR(INDEX($T$4:$T$3183,MATCH(SMALL($V$4:$V$3183,2430),$V$4:$V$3183,0)),""))</f>
        <v/>
      </c>
      <c r="O2433">
        <f>IF(INDEX(Suivi!$B:$B,2479)="","",INDEX(Suivi!$B:$B,2479))</f>
        <v/>
      </c>
      <c r="P2433">
        <f>IF($O2433="","",IF(INDEX(Suivi!$D:$D,2479)="",INDEX(Suivi!$C:$C,2479),INDEX(Suivi!$D:$D,2479)))</f>
        <v/>
      </c>
      <c r="Q2433">
        <f>IF($O2433="","",INDEX(Suivi!$E:$E,2479))</f>
        <v/>
      </c>
      <c r="R2433">
        <f>IF($O2433="","",INDEX(Suivi!$F:$F,2479))</f>
        <v/>
      </c>
      <c r="S2433">
        <f>IF($O2433="","",INDEX(Suivi!$G:$G,2479))</f>
        <v/>
      </c>
      <c r="T2433">
        <f>IF($O2433="","",IF(INDEX(Dossiers!$F$4:$F$63,46)="","",INDEX(Dossiers!$F$4:$F$63,46)))</f>
        <v/>
      </c>
      <c r="U2433">
        <f>IF($O2433="","",IF(INDEX(Dossiers!$G$4:$G$63,46)="","",INDEX(Dossiers!$G$4:$G$63,46)))</f>
        <v/>
      </c>
      <c r="V2433">
        <f>IF(OR($O2433="",NOT(ISNUMBER($Q2433))),"",$Q2433*1000000+2433)</f>
        <v/>
      </c>
      <c r="W2433" s="29">
        <f>IF($B2433="","",IFERROR(INDEX($U$4:$U$3183,MATCH(SMALL($V$4:$V$3183,2430),$V$4:$V$3183,0)),""))</f>
        <v/>
      </c>
    </row>
    <row r="2434">
      <c r="A2434">
        <f>IFERROR(INDEX($N$4:$N$3183,MATCH(SMALL($V$4:$V$3183,2431),$V$4:$V$3183,0)),"")</f>
        <v/>
      </c>
      <c r="B2434">
        <f>IFERROR(INDEX($O$4:$O$3183,MATCH(SMALL($V$4:$V$3183,2431),$V$4:$V$3183,0)),"")</f>
        <v/>
      </c>
      <c r="C2434">
        <f>IFERROR(INDEX($P$4:$P$3183,MATCH(SMALL($V$4:$V$3183,2431),$V$4:$V$3183,0)),"")</f>
        <v/>
      </c>
      <c r="D2434" s="29">
        <f>IFERROR(INDEX($Q$4:$Q$3183,MATCH(SMALL($V$4:$V$3183,2431),$V$4:$V$3183,0)),"")</f>
        <v/>
      </c>
      <c r="E2434" s="29">
        <f>IFERROR(INDEX($R$4:$R$3183,MATCH(SMALL($V$4:$V$3183,2431),$V$4:$V$3183,0)),"")</f>
        <v/>
      </c>
      <c r="F2434">
        <f>IFERROR(INDEX($S$4:$S$3183,MATCH(SMALL($V$4:$V$3183,2431),$V$4:$V$3183,0)),"")</f>
        <v/>
      </c>
      <c r="I2434" s="29">
        <f>IF($B2434="","",IFERROR(INDEX($U$4:$U$3183,MATCH(SMALL($V$4:$V$3183,2431),$V$4:$V$3183,0)),""))</f>
        <v/>
      </c>
      <c r="J2434">
        <f>IF($B2434="","",IF($D2434&gt;$F$2,"À venir",IF($E2434&lt;$D$2,"Passé","Dans la période")))</f>
        <v/>
      </c>
      <c r="K2434">
        <f>IF(OR($B2434="",NOT(ISNUMBER($D2434))),"",IF(AND($E2434&lt;$D$2,$G2434&lt;&gt;"X",$F2434&lt;&gt;"Réalisé",$F2434&lt;&gt;"Clôturé"),"RETARD",""))</f>
        <v/>
      </c>
      <c r="L2434">
        <f>IF(OR($B2434="",NOT(ISNUMBER($D2434))),"",IF(AND($D2434&gt;=$D$2,$D2434&lt;=$H$2,$G2434&lt;&gt;"X",$F2434&lt;&gt;"Réalisé",$F2434&lt;&gt;"Clôturé"),"≤ 7 j",""))</f>
        <v/>
      </c>
      <c r="M2434" s="29">
        <f>IF($B2434="","",IFERROR(INDEX($T$4:$T$3183,MATCH(SMALL($V$4:$V$3183,2431),$V$4:$V$3183,0)),""))</f>
        <v/>
      </c>
      <c r="O2434">
        <f>IF(INDEX(Suivi!$B:$B,2480)="","",INDEX(Suivi!$B:$B,2480))</f>
        <v/>
      </c>
      <c r="P2434">
        <f>IF($O2434="","",IF(INDEX(Suivi!$D:$D,2480)="",INDEX(Suivi!$C:$C,2480),INDEX(Suivi!$D:$D,2480)))</f>
        <v/>
      </c>
      <c r="Q2434">
        <f>IF($O2434="","",INDEX(Suivi!$E:$E,2480))</f>
        <v/>
      </c>
      <c r="R2434">
        <f>IF($O2434="","",INDEX(Suivi!$F:$F,2480))</f>
        <v/>
      </c>
      <c r="S2434">
        <f>IF($O2434="","",INDEX(Suivi!$G:$G,2480))</f>
        <v/>
      </c>
      <c r="T2434">
        <f>IF($O2434="","",IF(INDEX(Dossiers!$F$4:$F$63,46)="","",INDEX(Dossiers!$F$4:$F$63,46)))</f>
        <v/>
      </c>
      <c r="U2434">
        <f>IF($O2434="","",IF(INDEX(Dossiers!$G$4:$G$63,46)="","",INDEX(Dossiers!$G$4:$G$63,46)))</f>
        <v/>
      </c>
      <c r="V2434">
        <f>IF(OR($O2434="",NOT(ISNUMBER($Q2434))),"",$Q2434*1000000+2434)</f>
        <v/>
      </c>
      <c r="W2434" s="29">
        <f>IF($B2434="","",IFERROR(INDEX($U$4:$U$3183,MATCH(SMALL($V$4:$V$3183,2431),$V$4:$V$3183,0)),""))</f>
        <v/>
      </c>
    </row>
    <row r="2435">
      <c r="A2435">
        <f>IFERROR(INDEX($N$4:$N$3183,MATCH(SMALL($V$4:$V$3183,2432),$V$4:$V$3183,0)),"")</f>
        <v/>
      </c>
      <c r="B2435">
        <f>IFERROR(INDEX($O$4:$O$3183,MATCH(SMALL($V$4:$V$3183,2432),$V$4:$V$3183,0)),"")</f>
        <v/>
      </c>
      <c r="C2435">
        <f>IFERROR(INDEX($P$4:$P$3183,MATCH(SMALL($V$4:$V$3183,2432),$V$4:$V$3183,0)),"")</f>
        <v/>
      </c>
      <c r="D2435" s="29">
        <f>IFERROR(INDEX($Q$4:$Q$3183,MATCH(SMALL($V$4:$V$3183,2432),$V$4:$V$3183,0)),"")</f>
        <v/>
      </c>
      <c r="E2435" s="29">
        <f>IFERROR(INDEX($R$4:$R$3183,MATCH(SMALL($V$4:$V$3183,2432),$V$4:$V$3183,0)),"")</f>
        <v/>
      </c>
      <c r="F2435">
        <f>IFERROR(INDEX($S$4:$S$3183,MATCH(SMALL($V$4:$V$3183,2432),$V$4:$V$3183,0)),"")</f>
        <v/>
      </c>
      <c r="I2435" s="29">
        <f>IF($B2435="","",IFERROR(INDEX($U$4:$U$3183,MATCH(SMALL($V$4:$V$3183,2432),$V$4:$V$3183,0)),""))</f>
        <v/>
      </c>
      <c r="J2435">
        <f>IF($B2435="","",IF($D2435&gt;$F$2,"À venir",IF($E2435&lt;$D$2,"Passé","Dans la période")))</f>
        <v/>
      </c>
      <c r="K2435">
        <f>IF(OR($B2435="",NOT(ISNUMBER($D2435))),"",IF(AND($E2435&lt;$D$2,$G2435&lt;&gt;"X",$F2435&lt;&gt;"Réalisé",$F2435&lt;&gt;"Clôturé"),"RETARD",""))</f>
        <v/>
      </c>
      <c r="L2435">
        <f>IF(OR($B2435="",NOT(ISNUMBER($D2435))),"",IF(AND($D2435&gt;=$D$2,$D2435&lt;=$H$2,$G2435&lt;&gt;"X",$F2435&lt;&gt;"Réalisé",$F2435&lt;&gt;"Clôturé"),"≤ 7 j",""))</f>
        <v/>
      </c>
      <c r="M2435" s="29">
        <f>IF($B2435="","",IFERROR(INDEX($T$4:$T$3183,MATCH(SMALL($V$4:$V$3183,2432),$V$4:$V$3183,0)),""))</f>
        <v/>
      </c>
      <c r="O2435">
        <f>IF(INDEX(Suivi!$B:$B,2481)="","",INDEX(Suivi!$B:$B,2481))</f>
        <v/>
      </c>
      <c r="P2435">
        <f>IF($O2435="","",IF(INDEX(Suivi!$D:$D,2481)="",INDEX(Suivi!$C:$C,2481),INDEX(Suivi!$D:$D,2481)))</f>
        <v/>
      </c>
      <c r="Q2435">
        <f>IF($O2435="","",INDEX(Suivi!$E:$E,2481))</f>
        <v/>
      </c>
      <c r="R2435">
        <f>IF($O2435="","",INDEX(Suivi!$F:$F,2481))</f>
        <v/>
      </c>
      <c r="S2435">
        <f>IF($O2435="","",INDEX(Suivi!$G:$G,2481))</f>
        <v/>
      </c>
      <c r="T2435">
        <f>IF($O2435="","",IF(INDEX(Dossiers!$F$4:$F$63,46)="","",INDEX(Dossiers!$F$4:$F$63,46)))</f>
        <v/>
      </c>
      <c r="U2435">
        <f>IF($O2435="","",IF(INDEX(Dossiers!$G$4:$G$63,46)="","",INDEX(Dossiers!$G$4:$G$63,46)))</f>
        <v/>
      </c>
      <c r="V2435">
        <f>IF(OR($O2435="",NOT(ISNUMBER($Q2435))),"",$Q2435*1000000+2435)</f>
        <v/>
      </c>
      <c r="W2435" s="29">
        <f>IF($B2435="","",IFERROR(INDEX($U$4:$U$3183,MATCH(SMALL($V$4:$V$3183,2432),$V$4:$V$3183,0)),""))</f>
        <v/>
      </c>
    </row>
    <row r="2436">
      <c r="A2436">
        <f>IFERROR(INDEX($N$4:$N$3183,MATCH(SMALL($V$4:$V$3183,2433),$V$4:$V$3183,0)),"")</f>
        <v/>
      </c>
      <c r="B2436">
        <f>IFERROR(INDEX($O$4:$O$3183,MATCH(SMALL($V$4:$V$3183,2433),$V$4:$V$3183,0)),"")</f>
        <v/>
      </c>
      <c r="C2436">
        <f>IFERROR(INDEX($P$4:$P$3183,MATCH(SMALL($V$4:$V$3183,2433),$V$4:$V$3183,0)),"")</f>
        <v/>
      </c>
      <c r="D2436" s="29">
        <f>IFERROR(INDEX($Q$4:$Q$3183,MATCH(SMALL($V$4:$V$3183,2433),$V$4:$V$3183,0)),"")</f>
        <v/>
      </c>
      <c r="E2436" s="29">
        <f>IFERROR(INDEX($R$4:$R$3183,MATCH(SMALL($V$4:$V$3183,2433),$V$4:$V$3183,0)),"")</f>
        <v/>
      </c>
      <c r="F2436">
        <f>IFERROR(INDEX($S$4:$S$3183,MATCH(SMALL($V$4:$V$3183,2433),$V$4:$V$3183,0)),"")</f>
        <v/>
      </c>
      <c r="I2436" s="29">
        <f>IF($B2436="","",IFERROR(INDEX($U$4:$U$3183,MATCH(SMALL($V$4:$V$3183,2433),$V$4:$V$3183,0)),""))</f>
        <v/>
      </c>
      <c r="J2436">
        <f>IF($B2436="","",IF($D2436&gt;$F$2,"À venir",IF($E2436&lt;$D$2,"Passé","Dans la période")))</f>
        <v/>
      </c>
      <c r="K2436">
        <f>IF(OR($B2436="",NOT(ISNUMBER($D2436))),"",IF(AND($E2436&lt;$D$2,$G2436&lt;&gt;"X",$F2436&lt;&gt;"Réalisé",$F2436&lt;&gt;"Clôturé"),"RETARD",""))</f>
        <v/>
      </c>
      <c r="L2436">
        <f>IF(OR($B2436="",NOT(ISNUMBER($D2436))),"",IF(AND($D2436&gt;=$D$2,$D2436&lt;=$H$2,$G2436&lt;&gt;"X",$F2436&lt;&gt;"Réalisé",$F2436&lt;&gt;"Clôturé"),"≤ 7 j",""))</f>
        <v/>
      </c>
      <c r="M2436" s="29">
        <f>IF($B2436="","",IFERROR(INDEX($T$4:$T$3183,MATCH(SMALL($V$4:$V$3183,2433),$V$4:$V$3183,0)),""))</f>
        <v/>
      </c>
      <c r="O2436">
        <f>IF(INDEX(Suivi!$B:$B,2482)="","",INDEX(Suivi!$B:$B,2482))</f>
        <v/>
      </c>
      <c r="P2436">
        <f>IF($O2436="","",IF(INDEX(Suivi!$D:$D,2482)="",INDEX(Suivi!$C:$C,2482),INDEX(Suivi!$D:$D,2482)))</f>
        <v/>
      </c>
      <c r="Q2436">
        <f>IF($O2436="","",INDEX(Suivi!$E:$E,2482))</f>
        <v/>
      </c>
      <c r="R2436">
        <f>IF($O2436="","",INDEX(Suivi!$F:$F,2482))</f>
        <v/>
      </c>
      <c r="S2436">
        <f>IF($O2436="","",INDEX(Suivi!$G:$G,2482))</f>
        <v/>
      </c>
      <c r="T2436">
        <f>IF($O2436="","",IF(INDEX(Dossiers!$F$4:$F$63,46)="","",INDEX(Dossiers!$F$4:$F$63,46)))</f>
        <v/>
      </c>
      <c r="U2436">
        <f>IF($O2436="","",IF(INDEX(Dossiers!$G$4:$G$63,46)="","",INDEX(Dossiers!$G$4:$G$63,46)))</f>
        <v/>
      </c>
      <c r="V2436">
        <f>IF(OR($O2436="",NOT(ISNUMBER($Q2436))),"",$Q2436*1000000+2436)</f>
        <v/>
      </c>
      <c r="W2436" s="29">
        <f>IF($B2436="","",IFERROR(INDEX($U$4:$U$3183,MATCH(SMALL($V$4:$V$3183,2433),$V$4:$V$3183,0)),""))</f>
        <v/>
      </c>
    </row>
    <row r="2437">
      <c r="A2437">
        <f>IFERROR(INDEX($N$4:$N$3183,MATCH(SMALL($V$4:$V$3183,2434),$V$4:$V$3183,0)),"")</f>
        <v/>
      </c>
      <c r="B2437">
        <f>IFERROR(INDEX($O$4:$O$3183,MATCH(SMALL($V$4:$V$3183,2434),$V$4:$V$3183,0)),"")</f>
        <v/>
      </c>
      <c r="C2437">
        <f>IFERROR(INDEX($P$4:$P$3183,MATCH(SMALL($V$4:$V$3183,2434),$V$4:$V$3183,0)),"")</f>
        <v/>
      </c>
      <c r="D2437" s="29">
        <f>IFERROR(INDEX($Q$4:$Q$3183,MATCH(SMALL($V$4:$V$3183,2434),$V$4:$V$3183,0)),"")</f>
        <v/>
      </c>
      <c r="E2437" s="29">
        <f>IFERROR(INDEX($R$4:$R$3183,MATCH(SMALL($V$4:$V$3183,2434),$V$4:$V$3183,0)),"")</f>
        <v/>
      </c>
      <c r="F2437">
        <f>IFERROR(INDEX($S$4:$S$3183,MATCH(SMALL($V$4:$V$3183,2434),$V$4:$V$3183,0)),"")</f>
        <v/>
      </c>
      <c r="I2437" s="29">
        <f>IF($B2437="","",IFERROR(INDEX($U$4:$U$3183,MATCH(SMALL($V$4:$V$3183,2434),$V$4:$V$3183,0)),""))</f>
        <v/>
      </c>
      <c r="J2437">
        <f>IF($B2437="","",IF($D2437&gt;$F$2,"À venir",IF($E2437&lt;$D$2,"Passé","Dans la période")))</f>
        <v/>
      </c>
      <c r="K2437">
        <f>IF(OR($B2437="",NOT(ISNUMBER($D2437))),"",IF(AND($E2437&lt;$D$2,$G2437&lt;&gt;"X",$F2437&lt;&gt;"Réalisé",$F2437&lt;&gt;"Clôturé"),"RETARD",""))</f>
        <v/>
      </c>
      <c r="L2437">
        <f>IF(OR($B2437="",NOT(ISNUMBER($D2437))),"",IF(AND($D2437&gt;=$D$2,$D2437&lt;=$H$2,$G2437&lt;&gt;"X",$F2437&lt;&gt;"Réalisé",$F2437&lt;&gt;"Clôturé"),"≤ 7 j",""))</f>
        <v/>
      </c>
      <c r="M2437" s="29">
        <f>IF($B2437="","",IFERROR(INDEX($T$4:$T$3183,MATCH(SMALL($V$4:$V$3183,2434),$V$4:$V$3183,0)),""))</f>
        <v/>
      </c>
      <c r="O2437">
        <f>IF(INDEX(Suivi!$B:$B,2483)="","",INDEX(Suivi!$B:$B,2483))</f>
        <v/>
      </c>
      <c r="P2437">
        <f>IF($O2437="","",IF(INDEX(Suivi!$D:$D,2483)="",INDEX(Suivi!$C:$C,2483),INDEX(Suivi!$D:$D,2483)))</f>
        <v/>
      </c>
      <c r="Q2437">
        <f>IF($O2437="","",INDEX(Suivi!$E:$E,2483))</f>
        <v/>
      </c>
      <c r="R2437">
        <f>IF($O2437="","",INDEX(Suivi!$F:$F,2483))</f>
        <v/>
      </c>
      <c r="S2437">
        <f>IF($O2437="","",INDEX(Suivi!$G:$G,2483))</f>
        <v/>
      </c>
      <c r="T2437">
        <f>IF($O2437="","",IF(INDEX(Dossiers!$F$4:$F$63,46)="","",INDEX(Dossiers!$F$4:$F$63,46)))</f>
        <v/>
      </c>
      <c r="U2437">
        <f>IF($O2437="","",IF(INDEX(Dossiers!$G$4:$G$63,46)="","",INDEX(Dossiers!$G$4:$G$63,46)))</f>
        <v/>
      </c>
      <c r="V2437">
        <f>IF(OR($O2437="",NOT(ISNUMBER($Q2437))),"",$Q2437*1000000+2437)</f>
        <v/>
      </c>
      <c r="W2437" s="29">
        <f>IF($B2437="","",IFERROR(INDEX($U$4:$U$3183,MATCH(SMALL($V$4:$V$3183,2434),$V$4:$V$3183,0)),""))</f>
        <v/>
      </c>
    </row>
    <row r="2438">
      <c r="A2438">
        <f>IFERROR(INDEX($N$4:$N$3183,MATCH(SMALL($V$4:$V$3183,2435),$V$4:$V$3183,0)),"")</f>
        <v/>
      </c>
      <c r="B2438">
        <f>IFERROR(INDEX($O$4:$O$3183,MATCH(SMALL($V$4:$V$3183,2435),$V$4:$V$3183,0)),"")</f>
        <v/>
      </c>
      <c r="C2438">
        <f>IFERROR(INDEX($P$4:$P$3183,MATCH(SMALL($V$4:$V$3183,2435),$V$4:$V$3183,0)),"")</f>
        <v/>
      </c>
      <c r="D2438" s="29">
        <f>IFERROR(INDEX($Q$4:$Q$3183,MATCH(SMALL($V$4:$V$3183,2435),$V$4:$V$3183,0)),"")</f>
        <v/>
      </c>
      <c r="E2438" s="29">
        <f>IFERROR(INDEX($R$4:$R$3183,MATCH(SMALL($V$4:$V$3183,2435),$V$4:$V$3183,0)),"")</f>
        <v/>
      </c>
      <c r="F2438">
        <f>IFERROR(INDEX($S$4:$S$3183,MATCH(SMALL($V$4:$V$3183,2435),$V$4:$V$3183,0)),"")</f>
        <v/>
      </c>
      <c r="I2438" s="29">
        <f>IF($B2438="","",IFERROR(INDEX($U$4:$U$3183,MATCH(SMALL($V$4:$V$3183,2435),$V$4:$V$3183,0)),""))</f>
        <v/>
      </c>
      <c r="J2438">
        <f>IF($B2438="","",IF($D2438&gt;$F$2,"À venir",IF($E2438&lt;$D$2,"Passé","Dans la période")))</f>
        <v/>
      </c>
      <c r="K2438">
        <f>IF(OR($B2438="",NOT(ISNUMBER($D2438))),"",IF(AND($E2438&lt;$D$2,$G2438&lt;&gt;"X",$F2438&lt;&gt;"Réalisé",$F2438&lt;&gt;"Clôturé"),"RETARD",""))</f>
        <v/>
      </c>
      <c r="L2438">
        <f>IF(OR($B2438="",NOT(ISNUMBER($D2438))),"",IF(AND($D2438&gt;=$D$2,$D2438&lt;=$H$2,$G2438&lt;&gt;"X",$F2438&lt;&gt;"Réalisé",$F2438&lt;&gt;"Clôturé"),"≤ 7 j",""))</f>
        <v/>
      </c>
      <c r="M2438" s="29">
        <f>IF($B2438="","",IFERROR(INDEX($T$4:$T$3183,MATCH(SMALL($V$4:$V$3183,2435),$V$4:$V$3183,0)),""))</f>
        <v/>
      </c>
      <c r="O2438">
        <f>IF(INDEX(Suivi!$B:$B,2484)="","",INDEX(Suivi!$B:$B,2484))</f>
        <v/>
      </c>
      <c r="P2438">
        <f>IF($O2438="","",IF(INDEX(Suivi!$D:$D,2484)="",INDEX(Suivi!$C:$C,2484),INDEX(Suivi!$D:$D,2484)))</f>
        <v/>
      </c>
      <c r="Q2438">
        <f>IF($O2438="","",INDEX(Suivi!$E:$E,2484))</f>
        <v/>
      </c>
      <c r="R2438">
        <f>IF($O2438="","",INDEX(Suivi!$F:$F,2484))</f>
        <v/>
      </c>
      <c r="S2438">
        <f>IF($O2438="","",INDEX(Suivi!$G:$G,2484))</f>
        <v/>
      </c>
      <c r="T2438">
        <f>IF($O2438="","",IF(INDEX(Dossiers!$F$4:$F$63,46)="","",INDEX(Dossiers!$F$4:$F$63,46)))</f>
        <v/>
      </c>
      <c r="U2438">
        <f>IF($O2438="","",IF(INDEX(Dossiers!$G$4:$G$63,46)="","",INDEX(Dossiers!$G$4:$G$63,46)))</f>
        <v/>
      </c>
      <c r="V2438">
        <f>IF(OR($O2438="",NOT(ISNUMBER($Q2438))),"",$Q2438*1000000+2438)</f>
        <v/>
      </c>
      <c r="W2438" s="29">
        <f>IF($B2438="","",IFERROR(INDEX($U$4:$U$3183,MATCH(SMALL($V$4:$V$3183,2435),$V$4:$V$3183,0)),""))</f>
        <v/>
      </c>
    </row>
    <row r="2439">
      <c r="A2439">
        <f>IFERROR(INDEX($N$4:$N$3183,MATCH(SMALL($V$4:$V$3183,2436),$V$4:$V$3183,0)),"")</f>
        <v/>
      </c>
      <c r="B2439">
        <f>IFERROR(INDEX($O$4:$O$3183,MATCH(SMALL($V$4:$V$3183,2436),$V$4:$V$3183,0)),"")</f>
        <v/>
      </c>
      <c r="C2439">
        <f>IFERROR(INDEX($P$4:$P$3183,MATCH(SMALL($V$4:$V$3183,2436),$V$4:$V$3183,0)),"")</f>
        <v/>
      </c>
      <c r="D2439" s="29">
        <f>IFERROR(INDEX($Q$4:$Q$3183,MATCH(SMALL($V$4:$V$3183,2436),$V$4:$V$3183,0)),"")</f>
        <v/>
      </c>
      <c r="E2439" s="29">
        <f>IFERROR(INDEX($R$4:$R$3183,MATCH(SMALL($V$4:$V$3183,2436),$V$4:$V$3183,0)),"")</f>
        <v/>
      </c>
      <c r="F2439">
        <f>IFERROR(INDEX($S$4:$S$3183,MATCH(SMALL($V$4:$V$3183,2436),$V$4:$V$3183,0)),"")</f>
        <v/>
      </c>
      <c r="I2439" s="29">
        <f>IF($B2439="","",IFERROR(INDEX($U$4:$U$3183,MATCH(SMALL($V$4:$V$3183,2436),$V$4:$V$3183,0)),""))</f>
        <v/>
      </c>
      <c r="J2439">
        <f>IF($B2439="","",IF($D2439&gt;$F$2,"À venir",IF($E2439&lt;$D$2,"Passé","Dans la période")))</f>
        <v/>
      </c>
      <c r="K2439">
        <f>IF(OR($B2439="",NOT(ISNUMBER($D2439))),"",IF(AND($E2439&lt;$D$2,$G2439&lt;&gt;"X",$F2439&lt;&gt;"Réalisé",$F2439&lt;&gt;"Clôturé"),"RETARD",""))</f>
        <v/>
      </c>
      <c r="L2439">
        <f>IF(OR($B2439="",NOT(ISNUMBER($D2439))),"",IF(AND($D2439&gt;=$D$2,$D2439&lt;=$H$2,$G2439&lt;&gt;"X",$F2439&lt;&gt;"Réalisé",$F2439&lt;&gt;"Clôturé"),"≤ 7 j",""))</f>
        <v/>
      </c>
      <c r="M2439" s="29">
        <f>IF($B2439="","",IFERROR(INDEX($T$4:$T$3183,MATCH(SMALL($V$4:$V$3183,2436),$V$4:$V$3183,0)),""))</f>
        <v/>
      </c>
      <c r="O2439">
        <f>IF(INDEX(Suivi!$B:$B,2485)="","",INDEX(Suivi!$B:$B,2485))</f>
        <v/>
      </c>
      <c r="P2439">
        <f>IF($O2439="","",IF(INDEX(Suivi!$D:$D,2485)="",INDEX(Suivi!$C:$C,2485),INDEX(Suivi!$D:$D,2485)))</f>
        <v/>
      </c>
      <c r="Q2439">
        <f>IF($O2439="","",INDEX(Suivi!$E:$E,2485))</f>
        <v/>
      </c>
      <c r="R2439">
        <f>IF($O2439="","",INDEX(Suivi!$F:$F,2485))</f>
        <v/>
      </c>
      <c r="S2439">
        <f>IF($O2439="","",INDEX(Suivi!$G:$G,2485))</f>
        <v/>
      </c>
      <c r="T2439">
        <f>IF($O2439="","",IF(INDEX(Dossiers!$F$4:$F$63,46)="","",INDEX(Dossiers!$F$4:$F$63,46)))</f>
        <v/>
      </c>
      <c r="U2439">
        <f>IF($O2439="","",IF(INDEX(Dossiers!$G$4:$G$63,46)="","",INDEX(Dossiers!$G$4:$G$63,46)))</f>
        <v/>
      </c>
      <c r="V2439">
        <f>IF(OR($O2439="",NOT(ISNUMBER($Q2439))),"",$Q2439*1000000+2439)</f>
        <v/>
      </c>
      <c r="W2439" s="29">
        <f>IF($B2439="","",IFERROR(INDEX($U$4:$U$3183,MATCH(SMALL($V$4:$V$3183,2436),$V$4:$V$3183,0)),""))</f>
        <v/>
      </c>
    </row>
    <row r="2440">
      <c r="A2440">
        <f>IFERROR(INDEX($N$4:$N$3183,MATCH(SMALL($V$4:$V$3183,2437),$V$4:$V$3183,0)),"")</f>
        <v/>
      </c>
      <c r="B2440">
        <f>IFERROR(INDEX($O$4:$O$3183,MATCH(SMALL($V$4:$V$3183,2437),$V$4:$V$3183,0)),"")</f>
        <v/>
      </c>
      <c r="C2440">
        <f>IFERROR(INDEX($P$4:$P$3183,MATCH(SMALL($V$4:$V$3183,2437),$V$4:$V$3183,0)),"")</f>
        <v/>
      </c>
      <c r="D2440" s="29">
        <f>IFERROR(INDEX($Q$4:$Q$3183,MATCH(SMALL($V$4:$V$3183,2437),$V$4:$V$3183,0)),"")</f>
        <v/>
      </c>
      <c r="E2440" s="29">
        <f>IFERROR(INDEX($R$4:$R$3183,MATCH(SMALL($V$4:$V$3183,2437),$V$4:$V$3183,0)),"")</f>
        <v/>
      </c>
      <c r="F2440">
        <f>IFERROR(INDEX($S$4:$S$3183,MATCH(SMALL($V$4:$V$3183,2437),$V$4:$V$3183,0)),"")</f>
        <v/>
      </c>
      <c r="I2440" s="29">
        <f>IF($B2440="","",IFERROR(INDEX($U$4:$U$3183,MATCH(SMALL($V$4:$V$3183,2437),$V$4:$V$3183,0)),""))</f>
        <v/>
      </c>
      <c r="J2440">
        <f>IF($B2440="","",IF($D2440&gt;$F$2,"À venir",IF($E2440&lt;$D$2,"Passé","Dans la période")))</f>
        <v/>
      </c>
      <c r="K2440">
        <f>IF(OR($B2440="",NOT(ISNUMBER($D2440))),"",IF(AND($E2440&lt;$D$2,$G2440&lt;&gt;"X",$F2440&lt;&gt;"Réalisé",$F2440&lt;&gt;"Clôturé"),"RETARD",""))</f>
        <v/>
      </c>
      <c r="L2440">
        <f>IF(OR($B2440="",NOT(ISNUMBER($D2440))),"",IF(AND($D2440&gt;=$D$2,$D2440&lt;=$H$2,$G2440&lt;&gt;"X",$F2440&lt;&gt;"Réalisé",$F2440&lt;&gt;"Clôturé"),"≤ 7 j",""))</f>
        <v/>
      </c>
      <c r="M2440" s="29">
        <f>IF($B2440="","",IFERROR(INDEX($T$4:$T$3183,MATCH(SMALL($V$4:$V$3183,2437),$V$4:$V$3183,0)),""))</f>
        <v/>
      </c>
      <c r="O2440">
        <f>IF(INDEX(Suivi!$B:$B,2486)="","",INDEX(Suivi!$B:$B,2486))</f>
        <v/>
      </c>
      <c r="P2440">
        <f>IF($O2440="","",IF(INDEX(Suivi!$D:$D,2486)="",INDEX(Suivi!$C:$C,2486),INDEX(Suivi!$D:$D,2486)))</f>
        <v/>
      </c>
      <c r="Q2440">
        <f>IF($O2440="","",INDEX(Suivi!$E:$E,2486))</f>
        <v/>
      </c>
      <c r="R2440">
        <f>IF($O2440="","",INDEX(Suivi!$F:$F,2486))</f>
        <v/>
      </c>
      <c r="S2440">
        <f>IF($O2440="","",INDEX(Suivi!$G:$G,2486))</f>
        <v/>
      </c>
      <c r="T2440">
        <f>IF($O2440="","",IF(INDEX(Dossiers!$F$4:$F$63,46)="","",INDEX(Dossiers!$F$4:$F$63,46)))</f>
        <v/>
      </c>
      <c r="U2440">
        <f>IF($O2440="","",IF(INDEX(Dossiers!$G$4:$G$63,46)="","",INDEX(Dossiers!$G$4:$G$63,46)))</f>
        <v/>
      </c>
      <c r="V2440">
        <f>IF(OR($O2440="",NOT(ISNUMBER($Q2440))),"",$Q2440*1000000+2440)</f>
        <v/>
      </c>
      <c r="W2440" s="29">
        <f>IF($B2440="","",IFERROR(INDEX($U$4:$U$3183,MATCH(SMALL($V$4:$V$3183,2437),$V$4:$V$3183,0)),""))</f>
        <v/>
      </c>
    </row>
    <row r="2441">
      <c r="A2441">
        <f>IFERROR(INDEX($N$4:$N$3183,MATCH(SMALL($V$4:$V$3183,2438),$V$4:$V$3183,0)),"")</f>
        <v/>
      </c>
      <c r="B2441">
        <f>IFERROR(INDEX($O$4:$O$3183,MATCH(SMALL($V$4:$V$3183,2438),$V$4:$V$3183,0)),"")</f>
        <v/>
      </c>
      <c r="C2441">
        <f>IFERROR(INDEX($P$4:$P$3183,MATCH(SMALL($V$4:$V$3183,2438),$V$4:$V$3183,0)),"")</f>
        <v/>
      </c>
      <c r="D2441" s="29">
        <f>IFERROR(INDEX($Q$4:$Q$3183,MATCH(SMALL($V$4:$V$3183,2438),$V$4:$V$3183,0)),"")</f>
        <v/>
      </c>
      <c r="E2441" s="29">
        <f>IFERROR(INDEX($R$4:$R$3183,MATCH(SMALL($V$4:$V$3183,2438),$V$4:$V$3183,0)),"")</f>
        <v/>
      </c>
      <c r="F2441">
        <f>IFERROR(INDEX($S$4:$S$3183,MATCH(SMALL($V$4:$V$3183,2438),$V$4:$V$3183,0)),"")</f>
        <v/>
      </c>
      <c r="I2441" s="29">
        <f>IF($B2441="","",IFERROR(INDEX($U$4:$U$3183,MATCH(SMALL($V$4:$V$3183,2438),$V$4:$V$3183,0)),""))</f>
        <v/>
      </c>
      <c r="J2441">
        <f>IF($B2441="","",IF($D2441&gt;$F$2,"À venir",IF($E2441&lt;$D$2,"Passé","Dans la période")))</f>
        <v/>
      </c>
      <c r="K2441">
        <f>IF(OR($B2441="",NOT(ISNUMBER($D2441))),"",IF(AND($E2441&lt;$D$2,$G2441&lt;&gt;"X",$F2441&lt;&gt;"Réalisé",$F2441&lt;&gt;"Clôturé"),"RETARD",""))</f>
        <v/>
      </c>
      <c r="L2441">
        <f>IF(OR($B2441="",NOT(ISNUMBER($D2441))),"",IF(AND($D2441&gt;=$D$2,$D2441&lt;=$H$2,$G2441&lt;&gt;"X",$F2441&lt;&gt;"Réalisé",$F2441&lt;&gt;"Clôturé"),"≤ 7 j",""))</f>
        <v/>
      </c>
      <c r="M2441" s="29">
        <f>IF($B2441="","",IFERROR(INDEX($T$4:$T$3183,MATCH(SMALL($V$4:$V$3183,2438),$V$4:$V$3183,0)),""))</f>
        <v/>
      </c>
      <c r="O2441">
        <f>IF(INDEX(Suivi!$B:$B,2487)="","",INDEX(Suivi!$B:$B,2487))</f>
        <v/>
      </c>
      <c r="P2441">
        <f>IF($O2441="","",IF(INDEX(Suivi!$D:$D,2487)="",INDEX(Suivi!$C:$C,2487),INDEX(Suivi!$D:$D,2487)))</f>
        <v/>
      </c>
      <c r="Q2441">
        <f>IF($O2441="","",INDEX(Suivi!$E:$E,2487))</f>
        <v/>
      </c>
      <c r="R2441">
        <f>IF($O2441="","",INDEX(Suivi!$F:$F,2487))</f>
        <v/>
      </c>
      <c r="S2441">
        <f>IF($O2441="","",INDEX(Suivi!$G:$G,2487))</f>
        <v/>
      </c>
      <c r="T2441">
        <f>IF($O2441="","",IF(INDEX(Dossiers!$F$4:$F$63,46)="","",INDEX(Dossiers!$F$4:$F$63,46)))</f>
        <v/>
      </c>
      <c r="U2441">
        <f>IF($O2441="","",IF(INDEX(Dossiers!$G$4:$G$63,46)="","",INDEX(Dossiers!$G$4:$G$63,46)))</f>
        <v/>
      </c>
      <c r="V2441">
        <f>IF(OR($O2441="",NOT(ISNUMBER($Q2441))),"",$Q2441*1000000+2441)</f>
        <v/>
      </c>
      <c r="W2441" s="29">
        <f>IF($B2441="","",IFERROR(INDEX($U$4:$U$3183,MATCH(SMALL($V$4:$V$3183,2438),$V$4:$V$3183,0)),""))</f>
        <v/>
      </c>
    </row>
    <row r="2442">
      <c r="A2442">
        <f>IFERROR(INDEX($N$4:$N$3183,MATCH(SMALL($V$4:$V$3183,2439),$V$4:$V$3183,0)),"")</f>
        <v/>
      </c>
      <c r="B2442">
        <f>IFERROR(INDEX($O$4:$O$3183,MATCH(SMALL($V$4:$V$3183,2439),$V$4:$V$3183,0)),"")</f>
        <v/>
      </c>
      <c r="C2442">
        <f>IFERROR(INDEX($P$4:$P$3183,MATCH(SMALL($V$4:$V$3183,2439),$V$4:$V$3183,0)),"")</f>
        <v/>
      </c>
      <c r="D2442" s="29">
        <f>IFERROR(INDEX($Q$4:$Q$3183,MATCH(SMALL($V$4:$V$3183,2439),$V$4:$V$3183,0)),"")</f>
        <v/>
      </c>
      <c r="E2442" s="29">
        <f>IFERROR(INDEX($R$4:$R$3183,MATCH(SMALL($V$4:$V$3183,2439),$V$4:$V$3183,0)),"")</f>
        <v/>
      </c>
      <c r="F2442">
        <f>IFERROR(INDEX($S$4:$S$3183,MATCH(SMALL($V$4:$V$3183,2439),$V$4:$V$3183,0)),"")</f>
        <v/>
      </c>
      <c r="I2442" s="29">
        <f>IF($B2442="","",IFERROR(INDEX($U$4:$U$3183,MATCH(SMALL($V$4:$V$3183,2439),$V$4:$V$3183,0)),""))</f>
        <v/>
      </c>
      <c r="J2442">
        <f>IF($B2442="","",IF($D2442&gt;$F$2,"À venir",IF($E2442&lt;$D$2,"Passé","Dans la période")))</f>
        <v/>
      </c>
      <c r="K2442">
        <f>IF(OR($B2442="",NOT(ISNUMBER($D2442))),"",IF(AND($E2442&lt;$D$2,$G2442&lt;&gt;"X",$F2442&lt;&gt;"Réalisé",$F2442&lt;&gt;"Clôturé"),"RETARD",""))</f>
        <v/>
      </c>
      <c r="L2442">
        <f>IF(OR($B2442="",NOT(ISNUMBER($D2442))),"",IF(AND($D2442&gt;=$D$2,$D2442&lt;=$H$2,$G2442&lt;&gt;"X",$F2442&lt;&gt;"Réalisé",$F2442&lt;&gt;"Clôturé"),"≤ 7 j",""))</f>
        <v/>
      </c>
      <c r="M2442" s="29">
        <f>IF($B2442="","",IFERROR(INDEX($T$4:$T$3183,MATCH(SMALL($V$4:$V$3183,2439),$V$4:$V$3183,0)),""))</f>
        <v/>
      </c>
      <c r="O2442">
        <f>IF(INDEX(Suivi!$B:$B,2489)="","",INDEX(Suivi!$B:$B,2489))</f>
        <v/>
      </c>
      <c r="P2442">
        <f>IF($O2442="","",IF(INDEX(Suivi!$D:$D,2489)="",INDEX(Suivi!$C:$C,2489),INDEX(Suivi!$D:$D,2489)))</f>
        <v/>
      </c>
      <c r="Q2442">
        <f>IF($O2442="","",INDEX(Suivi!$E:$E,2489))</f>
        <v/>
      </c>
      <c r="R2442">
        <f>IF($O2442="","",INDEX(Suivi!$F:$F,2489))</f>
        <v/>
      </c>
      <c r="S2442">
        <f>IF($O2442="","",INDEX(Suivi!$G:$G,2489))</f>
        <v/>
      </c>
      <c r="T2442">
        <f>IF($O2442="","",IF(INDEX(Dossiers!$F$4:$F$63,47)="","",INDEX(Dossiers!$F$4:$F$63,47)))</f>
        <v/>
      </c>
      <c r="U2442">
        <f>IF($O2442="","",IF(INDEX(Dossiers!$G$4:$G$63,47)="","",INDEX(Dossiers!$G$4:$G$63,47)))</f>
        <v/>
      </c>
      <c r="V2442">
        <f>IF(OR($O2442="",NOT(ISNUMBER($Q2442))),"",$Q2442*1000000+2442)</f>
        <v/>
      </c>
      <c r="W2442" s="29">
        <f>IF($B2442="","",IFERROR(INDEX($U$4:$U$3183,MATCH(SMALL($V$4:$V$3183,2439),$V$4:$V$3183,0)),""))</f>
        <v/>
      </c>
    </row>
    <row r="2443">
      <c r="A2443">
        <f>IFERROR(INDEX($N$4:$N$3183,MATCH(SMALL($V$4:$V$3183,2440),$V$4:$V$3183,0)),"")</f>
        <v/>
      </c>
      <c r="B2443">
        <f>IFERROR(INDEX($O$4:$O$3183,MATCH(SMALL($V$4:$V$3183,2440),$V$4:$V$3183,0)),"")</f>
        <v/>
      </c>
      <c r="C2443">
        <f>IFERROR(INDEX($P$4:$P$3183,MATCH(SMALL($V$4:$V$3183,2440),$V$4:$V$3183,0)),"")</f>
        <v/>
      </c>
      <c r="D2443" s="29">
        <f>IFERROR(INDEX($Q$4:$Q$3183,MATCH(SMALL($V$4:$V$3183,2440),$V$4:$V$3183,0)),"")</f>
        <v/>
      </c>
      <c r="E2443" s="29">
        <f>IFERROR(INDEX($R$4:$R$3183,MATCH(SMALL($V$4:$V$3183,2440),$V$4:$V$3183,0)),"")</f>
        <v/>
      </c>
      <c r="F2443">
        <f>IFERROR(INDEX($S$4:$S$3183,MATCH(SMALL($V$4:$V$3183,2440),$V$4:$V$3183,0)),"")</f>
        <v/>
      </c>
      <c r="I2443" s="29">
        <f>IF($B2443="","",IFERROR(INDEX($U$4:$U$3183,MATCH(SMALL($V$4:$V$3183,2440),$V$4:$V$3183,0)),""))</f>
        <v/>
      </c>
      <c r="J2443">
        <f>IF($B2443="","",IF($D2443&gt;$F$2,"À venir",IF($E2443&lt;$D$2,"Passé","Dans la période")))</f>
        <v/>
      </c>
      <c r="K2443">
        <f>IF(OR($B2443="",NOT(ISNUMBER($D2443))),"",IF(AND($E2443&lt;$D$2,$G2443&lt;&gt;"X",$F2443&lt;&gt;"Réalisé",$F2443&lt;&gt;"Clôturé"),"RETARD",""))</f>
        <v/>
      </c>
      <c r="L2443">
        <f>IF(OR($B2443="",NOT(ISNUMBER($D2443))),"",IF(AND($D2443&gt;=$D$2,$D2443&lt;=$H$2,$G2443&lt;&gt;"X",$F2443&lt;&gt;"Réalisé",$F2443&lt;&gt;"Clôturé"),"≤ 7 j",""))</f>
        <v/>
      </c>
      <c r="M2443" s="29">
        <f>IF($B2443="","",IFERROR(INDEX($T$4:$T$3183,MATCH(SMALL($V$4:$V$3183,2440),$V$4:$V$3183,0)),""))</f>
        <v/>
      </c>
      <c r="O2443">
        <f>IF(INDEX(Suivi!$B:$B,2490)="","",INDEX(Suivi!$B:$B,2490))</f>
        <v/>
      </c>
      <c r="P2443">
        <f>IF($O2443="","",IF(INDEX(Suivi!$D:$D,2490)="",INDEX(Suivi!$C:$C,2490),INDEX(Suivi!$D:$D,2490)))</f>
        <v/>
      </c>
      <c r="Q2443">
        <f>IF($O2443="","",INDEX(Suivi!$E:$E,2490))</f>
        <v/>
      </c>
      <c r="R2443">
        <f>IF($O2443="","",INDEX(Suivi!$F:$F,2490))</f>
        <v/>
      </c>
      <c r="S2443">
        <f>IF($O2443="","",INDEX(Suivi!$G:$G,2490))</f>
        <v/>
      </c>
      <c r="T2443">
        <f>IF($O2443="","",IF(INDEX(Dossiers!$F$4:$F$63,47)="","",INDEX(Dossiers!$F$4:$F$63,47)))</f>
        <v/>
      </c>
      <c r="U2443">
        <f>IF($O2443="","",IF(INDEX(Dossiers!$G$4:$G$63,47)="","",INDEX(Dossiers!$G$4:$G$63,47)))</f>
        <v/>
      </c>
      <c r="V2443">
        <f>IF(OR($O2443="",NOT(ISNUMBER($Q2443))),"",$Q2443*1000000+2443)</f>
        <v/>
      </c>
      <c r="W2443" s="29">
        <f>IF($B2443="","",IFERROR(INDEX($U$4:$U$3183,MATCH(SMALL($V$4:$V$3183,2440),$V$4:$V$3183,0)),""))</f>
        <v/>
      </c>
    </row>
    <row r="2444">
      <c r="A2444">
        <f>IFERROR(INDEX($N$4:$N$3183,MATCH(SMALL($V$4:$V$3183,2441),$V$4:$V$3183,0)),"")</f>
        <v/>
      </c>
      <c r="B2444">
        <f>IFERROR(INDEX($O$4:$O$3183,MATCH(SMALL($V$4:$V$3183,2441),$V$4:$V$3183,0)),"")</f>
        <v/>
      </c>
      <c r="C2444">
        <f>IFERROR(INDEX($P$4:$P$3183,MATCH(SMALL($V$4:$V$3183,2441),$V$4:$V$3183,0)),"")</f>
        <v/>
      </c>
      <c r="D2444" s="29">
        <f>IFERROR(INDEX($Q$4:$Q$3183,MATCH(SMALL($V$4:$V$3183,2441),$V$4:$V$3183,0)),"")</f>
        <v/>
      </c>
      <c r="E2444" s="29">
        <f>IFERROR(INDEX($R$4:$R$3183,MATCH(SMALL($V$4:$V$3183,2441),$V$4:$V$3183,0)),"")</f>
        <v/>
      </c>
      <c r="F2444">
        <f>IFERROR(INDEX($S$4:$S$3183,MATCH(SMALL($V$4:$V$3183,2441),$V$4:$V$3183,0)),"")</f>
        <v/>
      </c>
      <c r="I2444" s="29">
        <f>IF($B2444="","",IFERROR(INDEX($U$4:$U$3183,MATCH(SMALL($V$4:$V$3183,2441),$V$4:$V$3183,0)),""))</f>
        <v/>
      </c>
      <c r="J2444">
        <f>IF($B2444="","",IF($D2444&gt;$F$2,"À venir",IF($E2444&lt;$D$2,"Passé","Dans la période")))</f>
        <v/>
      </c>
      <c r="K2444">
        <f>IF(OR($B2444="",NOT(ISNUMBER($D2444))),"",IF(AND($E2444&lt;$D$2,$G2444&lt;&gt;"X",$F2444&lt;&gt;"Réalisé",$F2444&lt;&gt;"Clôturé"),"RETARD",""))</f>
        <v/>
      </c>
      <c r="L2444">
        <f>IF(OR($B2444="",NOT(ISNUMBER($D2444))),"",IF(AND($D2444&gt;=$D$2,$D2444&lt;=$H$2,$G2444&lt;&gt;"X",$F2444&lt;&gt;"Réalisé",$F2444&lt;&gt;"Clôturé"),"≤ 7 j",""))</f>
        <v/>
      </c>
      <c r="M2444" s="29">
        <f>IF($B2444="","",IFERROR(INDEX($T$4:$T$3183,MATCH(SMALL($V$4:$V$3183,2441),$V$4:$V$3183,0)),""))</f>
        <v/>
      </c>
      <c r="O2444">
        <f>IF(INDEX(Suivi!$B:$B,2491)="","",INDEX(Suivi!$B:$B,2491))</f>
        <v/>
      </c>
      <c r="P2444">
        <f>IF($O2444="","",IF(INDEX(Suivi!$D:$D,2491)="",INDEX(Suivi!$C:$C,2491),INDEX(Suivi!$D:$D,2491)))</f>
        <v/>
      </c>
      <c r="Q2444">
        <f>IF($O2444="","",INDEX(Suivi!$E:$E,2491))</f>
        <v/>
      </c>
      <c r="R2444">
        <f>IF($O2444="","",INDEX(Suivi!$F:$F,2491))</f>
        <v/>
      </c>
      <c r="S2444">
        <f>IF($O2444="","",INDEX(Suivi!$G:$G,2491))</f>
        <v/>
      </c>
      <c r="T2444">
        <f>IF($O2444="","",IF(INDEX(Dossiers!$F$4:$F$63,47)="","",INDEX(Dossiers!$F$4:$F$63,47)))</f>
        <v/>
      </c>
      <c r="U2444">
        <f>IF($O2444="","",IF(INDEX(Dossiers!$G$4:$G$63,47)="","",INDEX(Dossiers!$G$4:$G$63,47)))</f>
        <v/>
      </c>
      <c r="V2444">
        <f>IF(OR($O2444="",NOT(ISNUMBER($Q2444))),"",$Q2444*1000000+2444)</f>
        <v/>
      </c>
      <c r="W2444" s="29">
        <f>IF($B2444="","",IFERROR(INDEX($U$4:$U$3183,MATCH(SMALL($V$4:$V$3183,2441),$V$4:$V$3183,0)),""))</f>
        <v/>
      </c>
    </row>
    <row r="2445">
      <c r="A2445">
        <f>IFERROR(INDEX($N$4:$N$3183,MATCH(SMALL($V$4:$V$3183,2442),$V$4:$V$3183,0)),"")</f>
        <v/>
      </c>
      <c r="B2445">
        <f>IFERROR(INDEX($O$4:$O$3183,MATCH(SMALL($V$4:$V$3183,2442),$V$4:$V$3183,0)),"")</f>
        <v/>
      </c>
      <c r="C2445">
        <f>IFERROR(INDEX($P$4:$P$3183,MATCH(SMALL($V$4:$V$3183,2442),$V$4:$V$3183,0)),"")</f>
        <v/>
      </c>
      <c r="D2445" s="29">
        <f>IFERROR(INDEX($Q$4:$Q$3183,MATCH(SMALL($V$4:$V$3183,2442),$V$4:$V$3183,0)),"")</f>
        <v/>
      </c>
      <c r="E2445" s="29">
        <f>IFERROR(INDEX($R$4:$R$3183,MATCH(SMALL($V$4:$V$3183,2442),$V$4:$V$3183,0)),"")</f>
        <v/>
      </c>
      <c r="F2445">
        <f>IFERROR(INDEX($S$4:$S$3183,MATCH(SMALL($V$4:$V$3183,2442),$V$4:$V$3183,0)),"")</f>
        <v/>
      </c>
      <c r="I2445" s="29">
        <f>IF($B2445="","",IFERROR(INDEX($U$4:$U$3183,MATCH(SMALL($V$4:$V$3183,2442),$V$4:$V$3183,0)),""))</f>
        <v/>
      </c>
      <c r="J2445">
        <f>IF($B2445="","",IF($D2445&gt;$F$2,"À venir",IF($E2445&lt;$D$2,"Passé","Dans la période")))</f>
        <v/>
      </c>
      <c r="K2445">
        <f>IF(OR($B2445="",NOT(ISNUMBER($D2445))),"",IF(AND($E2445&lt;$D$2,$G2445&lt;&gt;"X",$F2445&lt;&gt;"Réalisé",$F2445&lt;&gt;"Clôturé"),"RETARD",""))</f>
        <v/>
      </c>
      <c r="L2445">
        <f>IF(OR($B2445="",NOT(ISNUMBER($D2445))),"",IF(AND($D2445&gt;=$D$2,$D2445&lt;=$H$2,$G2445&lt;&gt;"X",$F2445&lt;&gt;"Réalisé",$F2445&lt;&gt;"Clôturé"),"≤ 7 j",""))</f>
        <v/>
      </c>
      <c r="M2445" s="29">
        <f>IF($B2445="","",IFERROR(INDEX($T$4:$T$3183,MATCH(SMALL($V$4:$V$3183,2442),$V$4:$V$3183,0)),""))</f>
        <v/>
      </c>
      <c r="O2445">
        <f>IF(INDEX(Suivi!$B:$B,2492)="","",INDEX(Suivi!$B:$B,2492))</f>
        <v/>
      </c>
      <c r="P2445">
        <f>IF($O2445="","",IF(INDEX(Suivi!$D:$D,2492)="",INDEX(Suivi!$C:$C,2492),INDEX(Suivi!$D:$D,2492)))</f>
        <v/>
      </c>
      <c r="Q2445">
        <f>IF($O2445="","",INDEX(Suivi!$E:$E,2492))</f>
        <v/>
      </c>
      <c r="R2445">
        <f>IF($O2445="","",INDEX(Suivi!$F:$F,2492))</f>
        <v/>
      </c>
      <c r="S2445">
        <f>IF($O2445="","",INDEX(Suivi!$G:$G,2492))</f>
        <v/>
      </c>
      <c r="T2445">
        <f>IF($O2445="","",IF(INDEX(Dossiers!$F$4:$F$63,47)="","",INDEX(Dossiers!$F$4:$F$63,47)))</f>
        <v/>
      </c>
      <c r="U2445">
        <f>IF($O2445="","",IF(INDEX(Dossiers!$G$4:$G$63,47)="","",INDEX(Dossiers!$G$4:$G$63,47)))</f>
        <v/>
      </c>
      <c r="V2445">
        <f>IF(OR($O2445="",NOT(ISNUMBER($Q2445))),"",$Q2445*1000000+2445)</f>
        <v/>
      </c>
      <c r="W2445" s="29">
        <f>IF($B2445="","",IFERROR(INDEX($U$4:$U$3183,MATCH(SMALL($V$4:$V$3183,2442),$V$4:$V$3183,0)),""))</f>
        <v/>
      </c>
    </row>
    <row r="2446">
      <c r="A2446">
        <f>IFERROR(INDEX($N$4:$N$3183,MATCH(SMALL($V$4:$V$3183,2443),$V$4:$V$3183,0)),"")</f>
        <v/>
      </c>
      <c r="B2446">
        <f>IFERROR(INDEX($O$4:$O$3183,MATCH(SMALL($V$4:$V$3183,2443),$V$4:$V$3183,0)),"")</f>
        <v/>
      </c>
      <c r="C2446">
        <f>IFERROR(INDEX($P$4:$P$3183,MATCH(SMALL($V$4:$V$3183,2443),$V$4:$V$3183,0)),"")</f>
        <v/>
      </c>
      <c r="D2446" s="29">
        <f>IFERROR(INDEX($Q$4:$Q$3183,MATCH(SMALL($V$4:$V$3183,2443),$V$4:$V$3183,0)),"")</f>
        <v/>
      </c>
      <c r="E2446" s="29">
        <f>IFERROR(INDEX($R$4:$R$3183,MATCH(SMALL($V$4:$V$3183,2443),$V$4:$V$3183,0)),"")</f>
        <v/>
      </c>
      <c r="F2446">
        <f>IFERROR(INDEX($S$4:$S$3183,MATCH(SMALL($V$4:$V$3183,2443),$V$4:$V$3183,0)),"")</f>
        <v/>
      </c>
      <c r="I2446" s="29">
        <f>IF($B2446="","",IFERROR(INDEX($U$4:$U$3183,MATCH(SMALL($V$4:$V$3183,2443),$V$4:$V$3183,0)),""))</f>
        <v/>
      </c>
      <c r="J2446">
        <f>IF($B2446="","",IF($D2446&gt;$F$2,"À venir",IF($E2446&lt;$D$2,"Passé","Dans la période")))</f>
        <v/>
      </c>
      <c r="K2446">
        <f>IF(OR($B2446="",NOT(ISNUMBER($D2446))),"",IF(AND($E2446&lt;$D$2,$G2446&lt;&gt;"X",$F2446&lt;&gt;"Réalisé",$F2446&lt;&gt;"Clôturé"),"RETARD",""))</f>
        <v/>
      </c>
      <c r="L2446">
        <f>IF(OR($B2446="",NOT(ISNUMBER($D2446))),"",IF(AND($D2446&gt;=$D$2,$D2446&lt;=$H$2,$G2446&lt;&gt;"X",$F2446&lt;&gt;"Réalisé",$F2446&lt;&gt;"Clôturé"),"≤ 7 j",""))</f>
        <v/>
      </c>
      <c r="M2446" s="29">
        <f>IF($B2446="","",IFERROR(INDEX($T$4:$T$3183,MATCH(SMALL($V$4:$V$3183,2443),$V$4:$V$3183,0)),""))</f>
        <v/>
      </c>
      <c r="O2446">
        <f>IF(INDEX(Suivi!$B:$B,2493)="","",INDEX(Suivi!$B:$B,2493))</f>
        <v/>
      </c>
      <c r="P2446">
        <f>IF($O2446="","",IF(INDEX(Suivi!$D:$D,2493)="",INDEX(Suivi!$C:$C,2493),INDEX(Suivi!$D:$D,2493)))</f>
        <v/>
      </c>
      <c r="Q2446">
        <f>IF($O2446="","",INDEX(Suivi!$E:$E,2493))</f>
        <v/>
      </c>
      <c r="R2446">
        <f>IF($O2446="","",INDEX(Suivi!$F:$F,2493))</f>
        <v/>
      </c>
      <c r="S2446">
        <f>IF($O2446="","",INDEX(Suivi!$G:$G,2493))</f>
        <v/>
      </c>
      <c r="T2446">
        <f>IF($O2446="","",IF(INDEX(Dossiers!$F$4:$F$63,47)="","",INDEX(Dossiers!$F$4:$F$63,47)))</f>
        <v/>
      </c>
      <c r="U2446">
        <f>IF($O2446="","",IF(INDEX(Dossiers!$G$4:$G$63,47)="","",INDEX(Dossiers!$G$4:$G$63,47)))</f>
        <v/>
      </c>
      <c r="V2446">
        <f>IF(OR($O2446="",NOT(ISNUMBER($Q2446))),"",$Q2446*1000000+2446)</f>
        <v/>
      </c>
      <c r="W2446" s="29">
        <f>IF($B2446="","",IFERROR(INDEX($U$4:$U$3183,MATCH(SMALL($V$4:$V$3183,2443),$V$4:$V$3183,0)),""))</f>
        <v/>
      </c>
    </row>
    <row r="2447">
      <c r="A2447">
        <f>IFERROR(INDEX($N$4:$N$3183,MATCH(SMALL($V$4:$V$3183,2444),$V$4:$V$3183,0)),"")</f>
        <v/>
      </c>
      <c r="B2447">
        <f>IFERROR(INDEX($O$4:$O$3183,MATCH(SMALL($V$4:$V$3183,2444),$V$4:$V$3183,0)),"")</f>
        <v/>
      </c>
      <c r="C2447">
        <f>IFERROR(INDEX($P$4:$P$3183,MATCH(SMALL($V$4:$V$3183,2444),$V$4:$V$3183,0)),"")</f>
        <v/>
      </c>
      <c r="D2447" s="29">
        <f>IFERROR(INDEX($Q$4:$Q$3183,MATCH(SMALL($V$4:$V$3183,2444),$V$4:$V$3183,0)),"")</f>
        <v/>
      </c>
      <c r="E2447" s="29">
        <f>IFERROR(INDEX($R$4:$R$3183,MATCH(SMALL($V$4:$V$3183,2444),$V$4:$V$3183,0)),"")</f>
        <v/>
      </c>
      <c r="F2447">
        <f>IFERROR(INDEX($S$4:$S$3183,MATCH(SMALL($V$4:$V$3183,2444),$V$4:$V$3183,0)),"")</f>
        <v/>
      </c>
      <c r="I2447" s="29">
        <f>IF($B2447="","",IFERROR(INDEX($U$4:$U$3183,MATCH(SMALL($V$4:$V$3183,2444),$V$4:$V$3183,0)),""))</f>
        <v/>
      </c>
      <c r="J2447">
        <f>IF($B2447="","",IF($D2447&gt;$F$2,"À venir",IF($E2447&lt;$D$2,"Passé","Dans la période")))</f>
        <v/>
      </c>
      <c r="K2447">
        <f>IF(OR($B2447="",NOT(ISNUMBER($D2447))),"",IF(AND($E2447&lt;$D$2,$G2447&lt;&gt;"X",$F2447&lt;&gt;"Réalisé",$F2447&lt;&gt;"Clôturé"),"RETARD",""))</f>
        <v/>
      </c>
      <c r="L2447">
        <f>IF(OR($B2447="",NOT(ISNUMBER($D2447))),"",IF(AND($D2447&gt;=$D$2,$D2447&lt;=$H$2,$G2447&lt;&gt;"X",$F2447&lt;&gt;"Réalisé",$F2447&lt;&gt;"Clôturé"),"≤ 7 j",""))</f>
        <v/>
      </c>
      <c r="M2447" s="29">
        <f>IF($B2447="","",IFERROR(INDEX($T$4:$T$3183,MATCH(SMALL($V$4:$V$3183,2444),$V$4:$V$3183,0)),""))</f>
        <v/>
      </c>
      <c r="O2447">
        <f>IF(INDEX(Suivi!$B:$B,2494)="","",INDEX(Suivi!$B:$B,2494))</f>
        <v/>
      </c>
      <c r="P2447">
        <f>IF($O2447="","",IF(INDEX(Suivi!$D:$D,2494)="",INDEX(Suivi!$C:$C,2494),INDEX(Suivi!$D:$D,2494)))</f>
        <v/>
      </c>
      <c r="Q2447">
        <f>IF($O2447="","",INDEX(Suivi!$E:$E,2494))</f>
        <v/>
      </c>
      <c r="R2447">
        <f>IF($O2447="","",INDEX(Suivi!$F:$F,2494))</f>
        <v/>
      </c>
      <c r="S2447">
        <f>IF($O2447="","",INDEX(Suivi!$G:$G,2494))</f>
        <v/>
      </c>
      <c r="T2447">
        <f>IF($O2447="","",IF(INDEX(Dossiers!$F$4:$F$63,47)="","",INDEX(Dossiers!$F$4:$F$63,47)))</f>
        <v/>
      </c>
      <c r="U2447">
        <f>IF($O2447="","",IF(INDEX(Dossiers!$G$4:$G$63,47)="","",INDEX(Dossiers!$G$4:$G$63,47)))</f>
        <v/>
      </c>
      <c r="V2447">
        <f>IF(OR($O2447="",NOT(ISNUMBER($Q2447))),"",$Q2447*1000000+2447)</f>
        <v/>
      </c>
      <c r="W2447" s="29">
        <f>IF($B2447="","",IFERROR(INDEX($U$4:$U$3183,MATCH(SMALL($V$4:$V$3183,2444),$V$4:$V$3183,0)),""))</f>
        <v/>
      </c>
    </row>
    <row r="2448">
      <c r="A2448">
        <f>IFERROR(INDEX($N$4:$N$3183,MATCH(SMALL($V$4:$V$3183,2445),$V$4:$V$3183,0)),"")</f>
        <v/>
      </c>
      <c r="B2448">
        <f>IFERROR(INDEX($O$4:$O$3183,MATCH(SMALL($V$4:$V$3183,2445),$V$4:$V$3183,0)),"")</f>
        <v/>
      </c>
      <c r="C2448">
        <f>IFERROR(INDEX($P$4:$P$3183,MATCH(SMALL($V$4:$V$3183,2445),$V$4:$V$3183,0)),"")</f>
        <v/>
      </c>
      <c r="D2448" s="29">
        <f>IFERROR(INDEX($Q$4:$Q$3183,MATCH(SMALL($V$4:$V$3183,2445),$V$4:$V$3183,0)),"")</f>
        <v/>
      </c>
      <c r="E2448" s="29">
        <f>IFERROR(INDEX($R$4:$R$3183,MATCH(SMALL($V$4:$V$3183,2445),$V$4:$V$3183,0)),"")</f>
        <v/>
      </c>
      <c r="F2448">
        <f>IFERROR(INDEX($S$4:$S$3183,MATCH(SMALL($V$4:$V$3183,2445),$V$4:$V$3183,0)),"")</f>
        <v/>
      </c>
      <c r="I2448" s="29">
        <f>IF($B2448="","",IFERROR(INDEX($U$4:$U$3183,MATCH(SMALL($V$4:$V$3183,2445),$V$4:$V$3183,0)),""))</f>
        <v/>
      </c>
      <c r="J2448">
        <f>IF($B2448="","",IF($D2448&gt;$F$2,"À venir",IF($E2448&lt;$D$2,"Passé","Dans la période")))</f>
        <v/>
      </c>
      <c r="K2448">
        <f>IF(OR($B2448="",NOT(ISNUMBER($D2448))),"",IF(AND($E2448&lt;$D$2,$G2448&lt;&gt;"X",$F2448&lt;&gt;"Réalisé",$F2448&lt;&gt;"Clôturé"),"RETARD",""))</f>
        <v/>
      </c>
      <c r="L2448">
        <f>IF(OR($B2448="",NOT(ISNUMBER($D2448))),"",IF(AND($D2448&gt;=$D$2,$D2448&lt;=$H$2,$G2448&lt;&gt;"X",$F2448&lt;&gt;"Réalisé",$F2448&lt;&gt;"Clôturé"),"≤ 7 j",""))</f>
        <v/>
      </c>
      <c r="M2448" s="29">
        <f>IF($B2448="","",IFERROR(INDEX($T$4:$T$3183,MATCH(SMALL($V$4:$V$3183,2445),$V$4:$V$3183,0)),""))</f>
        <v/>
      </c>
      <c r="O2448">
        <f>IF(INDEX(Suivi!$B:$B,2495)="","",INDEX(Suivi!$B:$B,2495))</f>
        <v/>
      </c>
      <c r="P2448">
        <f>IF($O2448="","",IF(INDEX(Suivi!$D:$D,2495)="",INDEX(Suivi!$C:$C,2495),INDEX(Suivi!$D:$D,2495)))</f>
        <v/>
      </c>
      <c r="Q2448">
        <f>IF($O2448="","",INDEX(Suivi!$E:$E,2495))</f>
        <v/>
      </c>
      <c r="R2448">
        <f>IF($O2448="","",INDEX(Suivi!$F:$F,2495))</f>
        <v/>
      </c>
      <c r="S2448">
        <f>IF($O2448="","",INDEX(Suivi!$G:$G,2495))</f>
        <v/>
      </c>
      <c r="T2448">
        <f>IF($O2448="","",IF(INDEX(Dossiers!$F$4:$F$63,47)="","",INDEX(Dossiers!$F$4:$F$63,47)))</f>
        <v/>
      </c>
      <c r="U2448">
        <f>IF($O2448="","",IF(INDEX(Dossiers!$G$4:$G$63,47)="","",INDEX(Dossiers!$G$4:$G$63,47)))</f>
        <v/>
      </c>
      <c r="V2448">
        <f>IF(OR($O2448="",NOT(ISNUMBER($Q2448))),"",$Q2448*1000000+2448)</f>
        <v/>
      </c>
      <c r="W2448" s="29">
        <f>IF($B2448="","",IFERROR(INDEX($U$4:$U$3183,MATCH(SMALL($V$4:$V$3183,2445),$V$4:$V$3183,0)),""))</f>
        <v/>
      </c>
    </row>
    <row r="2449">
      <c r="A2449">
        <f>IFERROR(INDEX($N$4:$N$3183,MATCH(SMALL($V$4:$V$3183,2446),$V$4:$V$3183,0)),"")</f>
        <v/>
      </c>
      <c r="B2449">
        <f>IFERROR(INDEX($O$4:$O$3183,MATCH(SMALL($V$4:$V$3183,2446),$V$4:$V$3183,0)),"")</f>
        <v/>
      </c>
      <c r="C2449">
        <f>IFERROR(INDEX($P$4:$P$3183,MATCH(SMALL($V$4:$V$3183,2446),$V$4:$V$3183,0)),"")</f>
        <v/>
      </c>
      <c r="D2449" s="29">
        <f>IFERROR(INDEX($Q$4:$Q$3183,MATCH(SMALL($V$4:$V$3183,2446),$V$4:$V$3183,0)),"")</f>
        <v/>
      </c>
      <c r="E2449" s="29">
        <f>IFERROR(INDEX($R$4:$R$3183,MATCH(SMALL($V$4:$V$3183,2446),$V$4:$V$3183,0)),"")</f>
        <v/>
      </c>
      <c r="F2449">
        <f>IFERROR(INDEX($S$4:$S$3183,MATCH(SMALL($V$4:$V$3183,2446),$V$4:$V$3183,0)),"")</f>
        <v/>
      </c>
      <c r="I2449" s="29">
        <f>IF($B2449="","",IFERROR(INDEX($U$4:$U$3183,MATCH(SMALL($V$4:$V$3183,2446),$V$4:$V$3183,0)),""))</f>
        <v/>
      </c>
      <c r="J2449">
        <f>IF($B2449="","",IF($D2449&gt;$F$2,"À venir",IF($E2449&lt;$D$2,"Passé","Dans la période")))</f>
        <v/>
      </c>
      <c r="K2449">
        <f>IF(OR($B2449="",NOT(ISNUMBER($D2449))),"",IF(AND($E2449&lt;$D$2,$G2449&lt;&gt;"X",$F2449&lt;&gt;"Réalisé",$F2449&lt;&gt;"Clôturé"),"RETARD",""))</f>
        <v/>
      </c>
      <c r="L2449">
        <f>IF(OR($B2449="",NOT(ISNUMBER($D2449))),"",IF(AND($D2449&gt;=$D$2,$D2449&lt;=$H$2,$G2449&lt;&gt;"X",$F2449&lt;&gt;"Réalisé",$F2449&lt;&gt;"Clôturé"),"≤ 7 j",""))</f>
        <v/>
      </c>
      <c r="M2449" s="29">
        <f>IF($B2449="","",IFERROR(INDEX($T$4:$T$3183,MATCH(SMALL($V$4:$V$3183,2446),$V$4:$V$3183,0)),""))</f>
        <v/>
      </c>
      <c r="O2449">
        <f>IF(INDEX(Suivi!$B:$B,2496)="","",INDEX(Suivi!$B:$B,2496))</f>
        <v/>
      </c>
      <c r="P2449">
        <f>IF($O2449="","",IF(INDEX(Suivi!$D:$D,2496)="",INDEX(Suivi!$C:$C,2496),INDEX(Suivi!$D:$D,2496)))</f>
        <v/>
      </c>
      <c r="Q2449">
        <f>IF($O2449="","",INDEX(Suivi!$E:$E,2496))</f>
        <v/>
      </c>
      <c r="R2449">
        <f>IF($O2449="","",INDEX(Suivi!$F:$F,2496))</f>
        <v/>
      </c>
      <c r="S2449">
        <f>IF($O2449="","",INDEX(Suivi!$G:$G,2496))</f>
        <v/>
      </c>
      <c r="T2449">
        <f>IF($O2449="","",IF(INDEX(Dossiers!$F$4:$F$63,47)="","",INDEX(Dossiers!$F$4:$F$63,47)))</f>
        <v/>
      </c>
      <c r="U2449">
        <f>IF($O2449="","",IF(INDEX(Dossiers!$G$4:$G$63,47)="","",INDEX(Dossiers!$G$4:$G$63,47)))</f>
        <v/>
      </c>
      <c r="V2449">
        <f>IF(OR($O2449="",NOT(ISNUMBER($Q2449))),"",$Q2449*1000000+2449)</f>
        <v/>
      </c>
      <c r="W2449" s="29">
        <f>IF($B2449="","",IFERROR(INDEX($U$4:$U$3183,MATCH(SMALL($V$4:$V$3183,2446),$V$4:$V$3183,0)),""))</f>
        <v/>
      </c>
    </row>
    <row r="2450">
      <c r="A2450">
        <f>IFERROR(INDEX($N$4:$N$3183,MATCH(SMALL($V$4:$V$3183,2447),$V$4:$V$3183,0)),"")</f>
        <v/>
      </c>
      <c r="B2450">
        <f>IFERROR(INDEX($O$4:$O$3183,MATCH(SMALL($V$4:$V$3183,2447),$V$4:$V$3183,0)),"")</f>
        <v/>
      </c>
      <c r="C2450">
        <f>IFERROR(INDEX($P$4:$P$3183,MATCH(SMALL($V$4:$V$3183,2447),$V$4:$V$3183,0)),"")</f>
        <v/>
      </c>
      <c r="D2450" s="29">
        <f>IFERROR(INDEX($Q$4:$Q$3183,MATCH(SMALL($V$4:$V$3183,2447),$V$4:$V$3183,0)),"")</f>
        <v/>
      </c>
      <c r="E2450" s="29">
        <f>IFERROR(INDEX($R$4:$R$3183,MATCH(SMALL($V$4:$V$3183,2447),$V$4:$V$3183,0)),"")</f>
        <v/>
      </c>
      <c r="F2450">
        <f>IFERROR(INDEX($S$4:$S$3183,MATCH(SMALL($V$4:$V$3183,2447),$V$4:$V$3183,0)),"")</f>
        <v/>
      </c>
      <c r="I2450" s="29">
        <f>IF($B2450="","",IFERROR(INDEX($U$4:$U$3183,MATCH(SMALL($V$4:$V$3183,2447),$V$4:$V$3183,0)),""))</f>
        <v/>
      </c>
      <c r="J2450">
        <f>IF($B2450="","",IF($D2450&gt;$F$2,"À venir",IF($E2450&lt;$D$2,"Passé","Dans la période")))</f>
        <v/>
      </c>
      <c r="K2450">
        <f>IF(OR($B2450="",NOT(ISNUMBER($D2450))),"",IF(AND($E2450&lt;$D$2,$G2450&lt;&gt;"X",$F2450&lt;&gt;"Réalisé",$F2450&lt;&gt;"Clôturé"),"RETARD",""))</f>
        <v/>
      </c>
      <c r="L2450">
        <f>IF(OR($B2450="",NOT(ISNUMBER($D2450))),"",IF(AND($D2450&gt;=$D$2,$D2450&lt;=$H$2,$G2450&lt;&gt;"X",$F2450&lt;&gt;"Réalisé",$F2450&lt;&gt;"Clôturé"),"≤ 7 j",""))</f>
        <v/>
      </c>
      <c r="M2450" s="29">
        <f>IF($B2450="","",IFERROR(INDEX($T$4:$T$3183,MATCH(SMALL($V$4:$V$3183,2447),$V$4:$V$3183,0)),""))</f>
        <v/>
      </c>
      <c r="O2450">
        <f>IF(INDEX(Suivi!$B:$B,2497)="","",INDEX(Suivi!$B:$B,2497))</f>
        <v/>
      </c>
      <c r="P2450">
        <f>IF($O2450="","",IF(INDEX(Suivi!$D:$D,2497)="",INDEX(Suivi!$C:$C,2497),INDEX(Suivi!$D:$D,2497)))</f>
        <v/>
      </c>
      <c r="Q2450">
        <f>IF($O2450="","",INDEX(Suivi!$E:$E,2497))</f>
        <v/>
      </c>
      <c r="R2450">
        <f>IF($O2450="","",INDEX(Suivi!$F:$F,2497))</f>
        <v/>
      </c>
      <c r="S2450">
        <f>IF($O2450="","",INDEX(Suivi!$G:$G,2497))</f>
        <v/>
      </c>
      <c r="T2450">
        <f>IF($O2450="","",IF(INDEX(Dossiers!$F$4:$F$63,47)="","",INDEX(Dossiers!$F$4:$F$63,47)))</f>
        <v/>
      </c>
      <c r="U2450">
        <f>IF($O2450="","",IF(INDEX(Dossiers!$G$4:$G$63,47)="","",INDEX(Dossiers!$G$4:$G$63,47)))</f>
        <v/>
      </c>
      <c r="V2450">
        <f>IF(OR($O2450="",NOT(ISNUMBER($Q2450))),"",$Q2450*1000000+2450)</f>
        <v/>
      </c>
      <c r="W2450" s="29">
        <f>IF($B2450="","",IFERROR(INDEX($U$4:$U$3183,MATCH(SMALL($V$4:$V$3183,2447),$V$4:$V$3183,0)),""))</f>
        <v/>
      </c>
    </row>
    <row r="2451">
      <c r="A2451">
        <f>IFERROR(INDEX($N$4:$N$3183,MATCH(SMALL($V$4:$V$3183,2448),$V$4:$V$3183,0)),"")</f>
        <v/>
      </c>
      <c r="B2451">
        <f>IFERROR(INDEX($O$4:$O$3183,MATCH(SMALL($V$4:$V$3183,2448),$V$4:$V$3183,0)),"")</f>
        <v/>
      </c>
      <c r="C2451">
        <f>IFERROR(INDEX($P$4:$P$3183,MATCH(SMALL($V$4:$V$3183,2448),$V$4:$V$3183,0)),"")</f>
        <v/>
      </c>
      <c r="D2451" s="29">
        <f>IFERROR(INDEX($Q$4:$Q$3183,MATCH(SMALL($V$4:$V$3183,2448),$V$4:$V$3183,0)),"")</f>
        <v/>
      </c>
      <c r="E2451" s="29">
        <f>IFERROR(INDEX($R$4:$R$3183,MATCH(SMALL($V$4:$V$3183,2448),$V$4:$V$3183,0)),"")</f>
        <v/>
      </c>
      <c r="F2451">
        <f>IFERROR(INDEX($S$4:$S$3183,MATCH(SMALL($V$4:$V$3183,2448),$V$4:$V$3183,0)),"")</f>
        <v/>
      </c>
      <c r="I2451" s="29">
        <f>IF($B2451="","",IFERROR(INDEX($U$4:$U$3183,MATCH(SMALL($V$4:$V$3183,2448),$V$4:$V$3183,0)),""))</f>
        <v/>
      </c>
      <c r="J2451">
        <f>IF($B2451="","",IF($D2451&gt;$F$2,"À venir",IF($E2451&lt;$D$2,"Passé","Dans la période")))</f>
        <v/>
      </c>
      <c r="K2451">
        <f>IF(OR($B2451="",NOT(ISNUMBER($D2451))),"",IF(AND($E2451&lt;$D$2,$G2451&lt;&gt;"X",$F2451&lt;&gt;"Réalisé",$F2451&lt;&gt;"Clôturé"),"RETARD",""))</f>
        <v/>
      </c>
      <c r="L2451">
        <f>IF(OR($B2451="",NOT(ISNUMBER($D2451))),"",IF(AND($D2451&gt;=$D$2,$D2451&lt;=$H$2,$G2451&lt;&gt;"X",$F2451&lt;&gt;"Réalisé",$F2451&lt;&gt;"Clôturé"),"≤ 7 j",""))</f>
        <v/>
      </c>
      <c r="M2451" s="29">
        <f>IF($B2451="","",IFERROR(INDEX($T$4:$T$3183,MATCH(SMALL($V$4:$V$3183,2448),$V$4:$V$3183,0)),""))</f>
        <v/>
      </c>
      <c r="O2451">
        <f>IF(INDEX(Suivi!$B:$B,2498)="","",INDEX(Suivi!$B:$B,2498))</f>
        <v/>
      </c>
      <c r="P2451">
        <f>IF($O2451="","",IF(INDEX(Suivi!$D:$D,2498)="",INDEX(Suivi!$C:$C,2498),INDEX(Suivi!$D:$D,2498)))</f>
        <v/>
      </c>
      <c r="Q2451">
        <f>IF($O2451="","",INDEX(Suivi!$E:$E,2498))</f>
        <v/>
      </c>
      <c r="R2451">
        <f>IF($O2451="","",INDEX(Suivi!$F:$F,2498))</f>
        <v/>
      </c>
      <c r="S2451">
        <f>IF($O2451="","",INDEX(Suivi!$G:$G,2498))</f>
        <v/>
      </c>
      <c r="T2451">
        <f>IF($O2451="","",IF(INDEX(Dossiers!$F$4:$F$63,47)="","",INDEX(Dossiers!$F$4:$F$63,47)))</f>
        <v/>
      </c>
      <c r="U2451">
        <f>IF($O2451="","",IF(INDEX(Dossiers!$G$4:$G$63,47)="","",INDEX(Dossiers!$G$4:$G$63,47)))</f>
        <v/>
      </c>
      <c r="V2451">
        <f>IF(OR($O2451="",NOT(ISNUMBER($Q2451))),"",$Q2451*1000000+2451)</f>
        <v/>
      </c>
      <c r="W2451" s="29">
        <f>IF($B2451="","",IFERROR(INDEX($U$4:$U$3183,MATCH(SMALL($V$4:$V$3183,2448),$V$4:$V$3183,0)),""))</f>
        <v/>
      </c>
    </row>
    <row r="2452">
      <c r="A2452">
        <f>IFERROR(INDEX($N$4:$N$3183,MATCH(SMALL($V$4:$V$3183,2449),$V$4:$V$3183,0)),"")</f>
        <v/>
      </c>
      <c r="B2452">
        <f>IFERROR(INDEX($O$4:$O$3183,MATCH(SMALL($V$4:$V$3183,2449),$V$4:$V$3183,0)),"")</f>
        <v/>
      </c>
      <c r="C2452">
        <f>IFERROR(INDEX($P$4:$P$3183,MATCH(SMALL($V$4:$V$3183,2449),$V$4:$V$3183,0)),"")</f>
        <v/>
      </c>
      <c r="D2452" s="29">
        <f>IFERROR(INDEX($Q$4:$Q$3183,MATCH(SMALL($V$4:$V$3183,2449),$V$4:$V$3183,0)),"")</f>
        <v/>
      </c>
      <c r="E2452" s="29">
        <f>IFERROR(INDEX($R$4:$R$3183,MATCH(SMALL($V$4:$V$3183,2449),$V$4:$V$3183,0)),"")</f>
        <v/>
      </c>
      <c r="F2452">
        <f>IFERROR(INDEX($S$4:$S$3183,MATCH(SMALL($V$4:$V$3183,2449),$V$4:$V$3183,0)),"")</f>
        <v/>
      </c>
      <c r="I2452" s="29">
        <f>IF($B2452="","",IFERROR(INDEX($U$4:$U$3183,MATCH(SMALL($V$4:$V$3183,2449),$V$4:$V$3183,0)),""))</f>
        <v/>
      </c>
      <c r="J2452">
        <f>IF($B2452="","",IF($D2452&gt;$F$2,"À venir",IF($E2452&lt;$D$2,"Passé","Dans la période")))</f>
        <v/>
      </c>
      <c r="K2452">
        <f>IF(OR($B2452="",NOT(ISNUMBER($D2452))),"",IF(AND($E2452&lt;$D$2,$G2452&lt;&gt;"X",$F2452&lt;&gt;"Réalisé",$F2452&lt;&gt;"Clôturé"),"RETARD",""))</f>
        <v/>
      </c>
      <c r="L2452">
        <f>IF(OR($B2452="",NOT(ISNUMBER($D2452))),"",IF(AND($D2452&gt;=$D$2,$D2452&lt;=$H$2,$G2452&lt;&gt;"X",$F2452&lt;&gt;"Réalisé",$F2452&lt;&gt;"Clôturé"),"≤ 7 j",""))</f>
        <v/>
      </c>
      <c r="M2452" s="29">
        <f>IF($B2452="","",IFERROR(INDEX($T$4:$T$3183,MATCH(SMALL($V$4:$V$3183,2449),$V$4:$V$3183,0)),""))</f>
        <v/>
      </c>
      <c r="O2452">
        <f>IF(INDEX(Suivi!$B:$B,2499)="","",INDEX(Suivi!$B:$B,2499))</f>
        <v/>
      </c>
      <c r="P2452">
        <f>IF($O2452="","",IF(INDEX(Suivi!$D:$D,2499)="",INDEX(Suivi!$C:$C,2499),INDEX(Suivi!$D:$D,2499)))</f>
        <v/>
      </c>
      <c r="Q2452">
        <f>IF($O2452="","",INDEX(Suivi!$E:$E,2499))</f>
        <v/>
      </c>
      <c r="R2452">
        <f>IF($O2452="","",INDEX(Suivi!$F:$F,2499))</f>
        <v/>
      </c>
      <c r="S2452">
        <f>IF($O2452="","",INDEX(Suivi!$G:$G,2499))</f>
        <v/>
      </c>
      <c r="T2452">
        <f>IF($O2452="","",IF(INDEX(Dossiers!$F$4:$F$63,47)="","",INDEX(Dossiers!$F$4:$F$63,47)))</f>
        <v/>
      </c>
      <c r="U2452">
        <f>IF($O2452="","",IF(INDEX(Dossiers!$G$4:$G$63,47)="","",INDEX(Dossiers!$G$4:$G$63,47)))</f>
        <v/>
      </c>
      <c r="V2452">
        <f>IF(OR($O2452="",NOT(ISNUMBER($Q2452))),"",$Q2452*1000000+2452)</f>
        <v/>
      </c>
      <c r="W2452" s="29">
        <f>IF($B2452="","",IFERROR(INDEX($U$4:$U$3183,MATCH(SMALL($V$4:$V$3183,2449),$V$4:$V$3183,0)),""))</f>
        <v/>
      </c>
    </row>
    <row r="2453">
      <c r="A2453">
        <f>IFERROR(INDEX($N$4:$N$3183,MATCH(SMALL($V$4:$V$3183,2450),$V$4:$V$3183,0)),"")</f>
        <v/>
      </c>
      <c r="B2453">
        <f>IFERROR(INDEX($O$4:$O$3183,MATCH(SMALL($V$4:$V$3183,2450),$V$4:$V$3183,0)),"")</f>
        <v/>
      </c>
      <c r="C2453">
        <f>IFERROR(INDEX($P$4:$P$3183,MATCH(SMALL($V$4:$V$3183,2450),$V$4:$V$3183,0)),"")</f>
        <v/>
      </c>
      <c r="D2453" s="29">
        <f>IFERROR(INDEX($Q$4:$Q$3183,MATCH(SMALL($V$4:$V$3183,2450),$V$4:$V$3183,0)),"")</f>
        <v/>
      </c>
      <c r="E2453" s="29">
        <f>IFERROR(INDEX($R$4:$R$3183,MATCH(SMALL($V$4:$V$3183,2450),$V$4:$V$3183,0)),"")</f>
        <v/>
      </c>
      <c r="F2453">
        <f>IFERROR(INDEX($S$4:$S$3183,MATCH(SMALL($V$4:$V$3183,2450),$V$4:$V$3183,0)),"")</f>
        <v/>
      </c>
      <c r="I2453" s="29">
        <f>IF($B2453="","",IFERROR(INDEX($U$4:$U$3183,MATCH(SMALL($V$4:$V$3183,2450),$V$4:$V$3183,0)),""))</f>
        <v/>
      </c>
      <c r="J2453">
        <f>IF($B2453="","",IF($D2453&gt;$F$2,"À venir",IF($E2453&lt;$D$2,"Passé","Dans la période")))</f>
        <v/>
      </c>
      <c r="K2453">
        <f>IF(OR($B2453="",NOT(ISNUMBER($D2453))),"",IF(AND($E2453&lt;$D$2,$G2453&lt;&gt;"X",$F2453&lt;&gt;"Réalisé",$F2453&lt;&gt;"Clôturé"),"RETARD",""))</f>
        <v/>
      </c>
      <c r="L2453">
        <f>IF(OR($B2453="",NOT(ISNUMBER($D2453))),"",IF(AND($D2453&gt;=$D$2,$D2453&lt;=$H$2,$G2453&lt;&gt;"X",$F2453&lt;&gt;"Réalisé",$F2453&lt;&gt;"Clôturé"),"≤ 7 j",""))</f>
        <v/>
      </c>
      <c r="M2453" s="29">
        <f>IF($B2453="","",IFERROR(INDEX($T$4:$T$3183,MATCH(SMALL($V$4:$V$3183,2450),$V$4:$V$3183,0)),""))</f>
        <v/>
      </c>
      <c r="O2453">
        <f>IF(INDEX(Suivi!$B:$B,2500)="","",INDEX(Suivi!$B:$B,2500))</f>
        <v/>
      </c>
      <c r="P2453">
        <f>IF($O2453="","",IF(INDEX(Suivi!$D:$D,2500)="",INDEX(Suivi!$C:$C,2500),INDEX(Suivi!$D:$D,2500)))</f>
        <v/>
      </c>
      <c r="Q2453">
        <f>IF($O2453="","",INDEX(Suivi!$E:$E,2500))</f>
        <v/>
      </c>
      <c r="R2453">
        <f>IF($O2453="","",INDEX(Suivi!$F:$F,2500))</f>
        <v/>
      </c>
      <c r="S2453">
        <f>IF($O2453="","",INDEX(Suivi!$G:$G,2500))</f>
        <v/>
      </c>
      <c r="T2453">
        <f>IF($O2453="","",IF(INDEX(Dossiers!$F$4:$F$63,47)="","",INDEX(Dossiers!$F$4:$F$63,47)))</f>
        <v/>
      </c>
      <c r="U2453">
        <f>IF($O2453="","",IF(INDEX(Dossiers!$G$4:$G$63,47)="","",INDEX(Dossiers!$G$4:$G$63,47)))</f>
        <v/>
      </c>
      <c r="V2453">
        <f>IF(OR($O2453="",NOT(ISNUMBER($Q2453))),"",$Q2453*1000000+2453)</f>
        <v/>
      </c>
      <c r="W2453" s="29">
        <f>IF($B2453="","",IFERROR(INDEX($U$4:$U$3183,MATCH(SMALL($V$4:$V$3183,2450),$V$4:$V$3183,0)),""))</f>
        <v/>
      </c>
    </row>
    <row r="2454">
      <c r="A2454">
        <f>IFERROR(INDEX($N$4:$N$3183,MATCH(SMALL($V$4:$V$3183,2451),$V$4:$V$3183,0)),"")</f>
        <v/>
      </c>
      <c r="B2454">
        <f>IFERROR(INDEX($O$4:$O$3183,MATCH(SMALL($V$4:$V$3183,2451),$V$4:$V$3183,0)),"")</f>
        <v/>
      </c>
      <c r="C2454">
        <f>IFERROR(INDEX($P$4:$P$3183,MATCH(SMALL($V$4:$V$3183,2451),$V$4:$V$3183,0)),"")</f>
        <v/>
      </c>
      <c r="D2454" s="29">
        <f>IFERROR(INDEX($Q$4:$Q$3183,MATCH(SMALL($V$4:$V$3183,2451),$V$4:$V$3183,0)),"")</f>
        <v/>
      </c>
      <c r="E2454" s="29">
        <f>IFERROR(INDEX($R$4:$R$3183,MATCH(SMALL($V$4:$V$3183,2451),$V$4:$V$3183,0)),"")</f>
        <v/>
      </c>
      <c r="F2454">
        <f>IFERROR(INDEX($S$4:$S$3183,MATCH(SMALL($V$4:$V$3183,2451),$V$4:$V$3183,0)),"")</f>
        <v/>
      </c>
      <c r="I2454" s="29">
        <f>IF($B2454="","",IFERROR(INDEX($U$4:$U$3183,MATCH(SMALL($V$4:$V$3183,2451),$V$4:$V$3183,0)),""))</f>
        <v/>
      </c>
      <c r="J2454">
        <f>IF($B2454="","",IF($D2454&gt;$F$2,"À venir",IF($E2454&lt;$D$2,"Passé","Dans la période")))</f>
        <v/>
      </c>
      <c r="K2454">
        <f>IF(OR($B2454="",NOT(ISNUMBER($D2454))),"",IF(AND($E2454&lt;$D$2,$G2454&lt;&gt;"X",$F2454&lt;&gt;"Réalisé",$F2454&lt;&gt;"Clôturé"),"RETARD",""))</f>
        <v/>
      </c>
      <c r="L2454">
        <f>IF(OR($B2454="",NOT(ISNUMBER($D2454))),"",IF(AND($D2454&gt;=$D$2,$D2454&lt;=$H$2,$G2454&lt;&gt;"X",$F2454&lt;&gt;"Réalisé",$F2454&lt;&gt;"Clôturé"),"≤ 7 j",""))</f>
        <v/>
      </c>
      <c r="M2454" s="29">
        <f>IF($B2454="","",IFERROR(INDEX($T$4:$T$3183,MATCH(SMALL($V$4:$V$3183,2451),$V$4:$V$3183,0)),""))</f>
        <v/>
      </c>
      <c r="O2454">
        <f>IF(INDEX(Suivi!$B:$B,2501)="","",INDEX(Suivi!$B:$B,2501))</f>
        <v/>
      </c>
      <c r="P2454">
        <f>IF($O2454="","",IF(INDEX(Suivi!$D:$D,2501)="",INDEX(Suivi!$C:$C,2501),INDEX(Suivi!$D:$D,2501)))</f>
        <v/>
      </c>
      <c r="Q2454">
        <f>IF($O2454="","",INDEX(Suivi!$E:$E,2501))</f>
        <v/>
      </c>
      <c r="R2454">
        <f>IF($O2454="","",INDEX(Suivi!$F:$F,2501))</f>
        <v/>
      </c>
      <c r="S2454">
        <f>IF($O2454="","",INDEX(Suivi!$G:$G,2501))</f>
        <v/>
      </c>
      <c r="T2454">
        <f>IF($O2454="","",IF(INDEX(Dossiers!$F$4:$F$63,47)="","",INDEX(Dossiers!$F$4:$F$63,47)))</f>
        <v/>
      </c>
      <c r="U2454">
        <f>IF($O2454="","",IF(INDEX(Dossiers!$G$4:$G$63,47)="","",INDEX(Dossiers!$G$4:$G$63,47)))</f>
        <v/>
      </c>
      <c r="V2454">
        <f>IF(OR($O2454="",NOT(ISNUMBER($Q2454))),"",$Q2454*1000000+2454)</f>
        <v/>
      </c>
      <c r="W2454" s="29">
        <f>IF($B2454="","",IFERROR(INDEX($U$4:$U$3183,MATCH(SMALL($V$4:$V$3183,2451),$V$4:$V$3183,0)),""))</f>
        <v/>
      </c>
    </row>
    <row r="2455">
      <c r="A2455">
        <f>IFERROR(INDEX($N$4:$N$3183,MATCH(SMALL($V$4:$V$3183,2452),$V$4:$V$3183,0)),"")</f>
        <v/>
      </c>
      <c r="B2455">
        <f>IFERROR(INDEX($O$4:$O$3183,MATCH(SMALL($V$4:$V$3183,2452),$V$4:$V$3183,0)),"")</f>
        <v/>
      </c>
      <c r="C2455">
        <f>IFERROR(INDEX($P$4:$P$3183,MATCH(SMALL($V$4:$V$3183,2452),$V$4:$V$3183,0)),"")</f>
        <v/>
      </c>
      <c r="D2455" s="29">
        <f>IFERROR(INDEX($Q$4:$Q$3183,MATCH(SMALL($V$4:$V$3183,2452),$V$4:$V$3183,0)),"")</f>
        <v/>
      </c>
      <c r="E2455" s="29">
        <f>IFERROR(INDEX($R$4:$R$3183,MATCH(SMALL($V$4:$V$3183,2452),$V$4:$V$3183,0)),"")</f>
        <v/>
      </c>
      <c r="F2455">
        <f>IFERROR(INDEX($S$4:$S$3183,MATCH(SMALL($V$4:$V$3183,2452),$V$4:$V$3183,0)),"")</f>
        <v/>
      </c>
      <c r="I2455" s="29">
        <f>IF($B2455="","",IFERROR(INDEX($U$4:$U$3183,MATCH(SMALL($V$4:$V$3183,2452),$V$4:$V$3183,0)),""))</f>
        <v/>
      </c>
      <c r="J2455">
        <f>IF($B2455="","",IF($D2455&gt;$F$2,"À venir",IF($E2455&lt;$D$2,"Passé","Dans la période")))</f>
        <v/>
      </c>
      <c r="K2455">
        <f>IF(OR($B2455="",NOT(ISNUMBER($D2455))),"",IF(AND($E2455&lt;$D$2,$G2455&lt;&gt;"X",$F2455&lt;&gt;"Réalisé",$F2455&lt;&gt;"Clôturé"),"RETARD",""))</f>
        <v/>
      </c>
      <c r="L2455">
        <f>IF(OR($B2455="",NOT(ISNUMBER($D2455))),"",IF(AND($D2455&gt;=$D$2,$D2455&lt;=$H$2,$G2455&lt;&gt;"X",$F2455&lt;&gt;"Réalisé",$F2455&lt;&gt;"Clôturé"),"≤ 7 j",""))</f>
        <v/>
      </c>
      <c r="M2455" s="29">
        <f>IF($B2455="","",IFERROR(INDEX($T$4:$T$3183,MATCH(SMALL($V$4:$V$3183,2452),$V$4:$V$3183,0)),""))</f>
        <v/>
      </c>
      <c r="O2455">
        <f>IF(INDEX(Suivi!$B:$B,2502)="","",INDEX(Suivi!$B:$B,2502))</f>
        <v/>
      </c>
      <c r="P2455">
        <f>IF($O2455="","",IF(INDEX(Suivi!$D:$D,2502)="",INDEX(Suivi!$C:$C,2502),INDEX(Suivi!$D:$D,2502)))</f>
        <v/>
      </c>
      <c r="Q2455">
        <f>IF($O2455="","",INDEX(Suivi!$E:$E,2502))</f>
        <v/>
      </c>
      <c r="R2455">
        <f>IF($O2455="","",INDEX(Suivi!$F:$F,2502))</f>
        <v/>
      </c>
      <c r="S2455">
        <f>IF($O2455="","",INDEX(Suivi!$G:$G,2502))</f>
        <v/>
      </c>
      <c r="T2455">
        <f>IF($O2455="","",IF(INDEX(Dossiers!$F$4:$F$63,47)="","",INDEX(Dossiers!$F$4:$F$63,47)))</f>
        <v/>
      </c>
      <c r="U2455">
        <f>IF($O2455="","",IF(INDEX(Dossiers!$G$4:$G$63,47)="","",INDEX(Dossiers!$G$4:$G$63,47)))</f>
        <v/>
      </c>
      <c r="V2455">
        <f>IF(OR($O2455="",NOT(ISNUMBER($Q2455))),"",$Q2455*1000000+2455)</f>
        <v/>
      </c>
      <c r="W2455" s="29">
        <f>IF($B2455="","",IFERROR(INDEX($U$4:$U$3183,MATCH(SMALL($V$4:$V$3183,2452),$V$4:$V$3183,0)),""))</f>
        <v/>
      </c>
    </row>
    <row r="2456">
      <c r="A2456">
        <f>IFERROR(INDEX($N$4:$N$3183,MATCH(SMALL($V$4:$V$3183,2453),$V$4:$V$3183,0)),"")</f>
        <v/>
      </c>
      <c r="B2456">
        <f>IFERROR(INDEX($O$4:$O$3183,MATCH(SMALL($V$4:$V$3183,2453),$V$4:$V$3183,0)),"")</f>
        <v/>
      </c>
      <c r="C2456">
        <f>IFERROR(INDEX($P$4:$P$3183,MATCH(SMALL($V$4:$V$3183,2453),$V$4:$V$3183,0)),"")</f>
        <v/>
      </c>
      <c r="D2456" s="29">
        <f>IFERROR(INDEX($Q$4:$Q$3183,MATCH(SMALL($V$4:$V$3183,2453),$V$4:$V$3183,0)),"")</f>
        <v/>
      </c>
      <c r="E2456" s="29">
        <f>IFERROR(INDEX($R$4:$R$3183,MATCH(SMALL($V$4:$V$3183,2453),$V$4:$V$3183,0)),"")</f>
        <v/>
      </c>
      <c r="F2456">
        <f>IFERROR(INDEX($S$4:$S$3183,MATCH(SMALL($V$4:$V$3183,2453),$V$4:$V$3183,0)),"")</f>
        <v/>
      </c>
      <c r="I2456" s="29">
        <f>IF($B2456="","",IFERROR(INDEX($U$4:$U$3183,MATCH(SMALL($V$4:$V$3183,2453),$V$4:$V$3183,0)),""))</f>
        <v/>
      </c>
      <c r="J2456">
        <f>IF($B2456="","",IF($D2456&gt;$F$2,"À venir",IF($E2456&lt;$D$2,"Passé","Dans la période")))</f>
        <v/>
      </c>
      <c r="K2456">
        <f>IF(OR($B2456="",NOT(ISNUMBER($D2456))),"",IF(AND($E2456&lt;$D$2,$G2456&lt;&gt;"X",$F2456&lt;&gt;"Réalisé",$F2456&lt;&gt;"Clôturé"),"RETARD",""))</f>
        <v/>
      </c>
      <c r="L2456">
        <f>IF(OR($B2456="",NOT(ISNUMBER($D2456))),"",IF(AND($D2456&gt;=$D$2,$D2456&lt;=$H$2,$G2456&lt;&gt;"X",$F2456&lt;&gt;"Réalisé",$F2456&lt;&gt;"Clôturé"),"≤ 7 j",""))</f>
        <v/>
      </c>
      <c r="M2456" s="29">
        <f>IF($B2456="","",IFERROR(INDEX($T$4:$T$3183,MATCH(SMALL($V$4:$V$3183,2453),$V$4:$V$3183,0)),""))</f>
        <v/>
      </c>
      <c r="O2456">
        <f>IF(INDEX(Suivi!$B:$B,2503)="","",INDEX(Suivi!$B:$B,2503))</f>
        <v/>
      </c>
      <c r="P2456">
        <f>IF($O2456="","",IF(INDEX(Suivi!$D:$D,2503)="",INDEX(Suivi!$C:$C,2503),INDEX(Suivi!$D:$D,2503)))</f>
        <v/>
      </c>
      <c r="Q2456">
        <f>IF($O2456="","",INDEX(Suivi!$E:$E,2503))</f>
        <v/>
      </c>
      <c r="R2456">
        <f>IF($O2456="","",INDEX(Suivi!$F:$F,2503))</f>
        <v/>
      </c>
      <c r="S2456">
        <f>IF($O2456="","",INDEX(Suivi!$G:$G,2503))</f>
        <v/>
      </c>
      <c r="T2456">
        <f>IF($O2456="","",IF(INDEX(Dossiers!$F$4:$F$63,47)="","",INDEX(Dossiers!$F$4:$F$63,47)))</f>
        <v/>
      </c>
      <c r="U2456">
        <f>IF($O2456="","",IF(INDEX(Dossiers!$G$4:$G$63,47)="","",INDEX(Dossiers!$G$4:$G$63,47)))</f>
        <v/>
      </c>
      <c r="V2456">
        <f>IF(OR($O2456="",NOT(ISNUMBER($Q2456))),"",$Q2456*1000000+2456)</f>
        <v/>
      </c>
      <c r="W2456" s="29">
        <f>IF($B2456="","",IFERROR(INDEX($U$4:$U$3183,MATCH(SMALL($V$4:$V$3183,2453),$V$4:$V$3183,0)),""))</f>
        <v/>
      </c>
    </row>
    <row r="2457">
      <c r="A2457">
        <f>IFERROR(INDEX($N$4:$N$3183,MATCH(SMALL($V$4:$V$3183,2454),$V$4:$V$3183,0)),"")</f>
        <v/>
      </c>
      <c r="B2457">
        <f>IFERROR(INDEX($O$4:$O$3183,MATCH(SMALL($V$4:$V$3183,2454),$V$4:$V$3183,0)),"")</f>
        <v/>
      </c>
      <c r="C2457">
        <f>IFERROR(INDEX($P$4:$P$3183,MATCH(SMALL($V$4:$V$3183,2454),$V$4:$V$3183,0)),"")</f>
        <v/>
      </c>
      <c r="D2457" s="29">
        <f>IFERROR(INDEX($Q$4:$Q$3183,MATCH(SMALL($V$4:$V$3183,2454),$V$4:$V$3183,0)),"")</f>
        <v/>
      </c>
      <c r="E2457" s="29">
        <f>IFERROR(INDEX($R$4:$R$3183,MATCH(SMALL($V$4:$V$3183,2454),$V$4:$V$3183,0)),"")</f>
        <v/>
      </c>
      <c r="F2457">
        <f>IFERROR(INDEX($S$4:$S$3183,MATCH(SMALL($V$4:$V$3183,2454),$V$4:$V$3183,0)),"")</f>
        <v/>
      </c>
      <c r="I2457" s="29">
        <f>IF($B2457="","",IFERROR(INDEX($U$4:$U$3183,MATCH(SMALL($V$4:$V$3183,2454),$V$4:$V$3183,0)),""))</f>
        <v/>
      </c>
      <c r="J2457">
        <f>IF($B2457="","",IF($D2457&gt;$F$2,"À venir",IF($E2457&lt;$D$2,"Passé","Dans la période")))</f>
        <v/>
      </c>
      <c r="K2457">
        <f>IF(OR($B2457="",NOT(ISNUMBER($D2457))),"",IF(AND($E2457&lt;$D$2,$G2457&lt;&gt;"X",$F2457&lt;&gt;"Réalisé",$F2457&lt;&gt;"Clôturé"),"RETARD",""))</f>
        <v/>
      </c>
      <c r="L2457">
        <f>IF(OR($B2457="",NOT(ISNUMBER($D2457))),"",IF(AND($D2457&gt;=$D$2,$D2457&lt;=$H$2,$G2457&lt;&gt;"X",$F2457&lt;&gt;"Réalisé",$F2457&lt;&gt;"Clôturé"),"≤ 7 j",""))</f>
        <v/>
      </c>
      <c r="M2457" s="29">
        <f>IF($B2457="","",IFERROR(INDEX($T$4:$T$3183,MATCH(SMALL($V$4:$V$3183,2454),$V$4:$V$3183,0)),""))</f>
        <v/>
      </c>
      <c r="O2457">
        <f>IF(INDEX(Suivi!$B:$B,2504)="","",INDEX(Suivi!$B:$B,2504))</f>
        <v/>
      </c>
      <c r="P2457">
        <f>IF($O2457="","",IF(INDEX(Suivi!$D:$D,2504)="",INDEX(Suivi!$C:$C,2504),INDEX(Suivi!$D:$D,2504)))</f>
        <v/>
      </c>
      <c r="Q2457">
        <f>IF($O2457="","",INDEX(Suivi!$E:$E,2504))</f>
        <v/>
      </c>
      <c r="R2457">
        <f>IF($O2457="","",INDEX(Suivi!$F:$F,2504))</f>
        <v/>
      </c>
      <c r="S2457">
        <f>IF($O2457="","",INDEX(Suivi!$G:$G,2504))</f>
        <v/>
      </c>
      <c r="T2457">
        <f>IF($O2457="","",IF(INDEX(Dossiers!$F$4:$F$63,47)="","",INDEX(Dossiers!$F$4:$F$63,47)))</f>
        <v/>
      </c>
      <c r="U2457">
        <f>IF($O2457="","",IF(INDEX(Dossiers!$G$4:$G$63,47)="","",INDEX(Dossiers!$G$4:$G$63,47)))</f>
        <v/>
      </c>
      <c r="V2457">
        <f>IF(OR($O2457="",NOT(ISNUMBER($Q2457))),"",$Q2457*1000000+2457)</f>
        <v/>
      </c>
      <c r="W2457" s="29">
        <f>IF($B2457="","",IFERROR(INDEX($U$4:$U$3183,MATCH(SMALL($V$4:$V$3183,2454),$V$4:$V$3183,0)),""))</f>
        <v/>
      </c>
    </row>
    <row r="2458">
      <c r="A2458">
        <f>IFERROR(INDEX($N$4:$N$3183,MATCH(SMALL($V$4:$V$3183,2455),$V$4:$V$3183,0)),"")</f>
        <v/>
      </c>
      <c r="B2458">
        <f>IFERROR(INDEX($O$4:$O$3183,MATCH(SMALL($V$4:$V$3183,2455),$V$4:$V$3183,0)),"")</f>
        <v/>
      </c>
      <c r="C2458">
        <f>IFERROR(INDEX($P$4:$P$3183,MATCH(SMALL($V$4:$V$3183,2455),$V$4:$V$3183,0)),"")</f>
        <v/>
      </c>
      <c r="D2458" s="29">
        <f>IFERROR(INDEX($Q$4:$Q$3183,MATCH(SMALL($V$4:$V$3183,2455),$V$4:$V$3183,0)),"")</f>
        <v/>
      </c>
      <c r="E2458" s="29">
        <f>IFERROR(INDEX($R$4:$R$3183,MATCH(SMALL($V$4:$V$3183,2455),$V$4:$V$3183,0)),"")</f>
        <v/>
      </c>
      <c r="F2458">
        <f>IFERROR(INDEX($S$4:$S$3183,MATCH(SMALL($V$4:$V$3183,2455),$V$4:$V$3183,0)),"")</f>
        <v/>
      </c>
      <c r="I2458" s="29">
        <f>IF($B2458="","",IFERROR(INDEX($U$4:$U$3183,MATCH(SMALL($V$4:$V$3183,2455),$V$4:$V$3183,0)),""))</f>
        <v/>
      </c>
      <c r="J2458">
        <f>IF($B2458="","",IF($D2458&gt;$F$2,"À venir",IF($E2458&lt;$D$2,"Passé","Dans la période")))</f>
        <v/>
      </c>
      <c r="K2458">
        <f>IF(OR($B2458="",NOT(ISNUMBER($D2458))),"",IF(AND($E2458&lt;$D$2,$G2458&lt;&gt;"X",$F2458&lt;&gt;"Réalisé",$F2458&lt;&gt;"Clôturé"),"RETARD",""))</f>
        <v/>
      </c>
      <c r="L2458">
        <f>IF(OR($B2458="",NOT(ISNUMBER($D2458))),"",IF(AND($D2458&gt;=$D$2,$D2458&lt;=$H$2,$G2458&lt;&gt;"X",$F2458&lt;&gt;"Réalisé",$F2458&lt;&gt;"Clôturé"),"≤ 7 j",""))</f>
        <v/>
      </c>
      <c r="M2458" s="29">
        <f>IF($B2458="","",IFERROR(INDEX($T$4:$T$3183,MATCH(SMALL($V$4:$V$3183,2455),$V$4:$V$3183,0)),""))</f>
        <v/>
      </c>
      <c r="O2458">
        <f>IF(INDEX(Suivi!$B:$B,2505)="","",INDEX(Suivi!$B:$B,2505))</f>
        <v/>
      </c>
      <c r="P2458">
        <f>IF($O2458="","",IF(INDEX(Suivi!$D:$D,2505)="",INDEX(Suivi!$C:$C,2505),INDEX(Suivi!$D:$D,2505)))</f>
        <v/>
      </c>
      <c r="Q2458">
        <f>IF($O2458="","",INDEX(Suivi!$E:$E,2505))</f>
        <v/>
      </c>
      <c r="R2458">
        <f>IF($O2458="","",INDEX(Suivi!$F:$F,2505))</f>
        <v/>
      </c>
      <c r="S2458">
        <f>IF($O2458="","",INDEX(Suivi!$G:$G,2505))</f>
        <v/>
      </c>
      <c r="T2458">
        <f>IF($O2458="","",IF(INDEX(Dossiers!$F$4:$F$63,47)="","",INDEX(Dossiers!$F$4:$F$63,47)))</f>
        <v/>
      </c>
      <c r="U2458">
        <f>IF($O2458="","",IF(INDEX(Dossiers!$G$4:$G$63,47)="","",INDEX(Dossiers!$G$4:$G$63,47)))</f>
        <v/>
      </c>
      <c r="V2458">
        <f>IF(OR($O2458="",NOT(ISNUMBER($Q2458))),"",$Q2458*1000000+2458)</f>
        <v/>
      </c>
      <c r="W2458" s="29">
        <f>IF($B2458="","",IFERROR(INDEX($U$4:$U$3183,MATCH(SMALL($V$4:$V$3183,2455),$V$4:$V$3183,0)),""))</f>
        <v/>
      </c>
    </row>
    <row r="2459">
      <c r="A2459">
        <f>IFERROR(INDEX($N$4:$N$3183,MATCH(SMALL($V$4:$V$3183,2456),$V$4:$V$3183,0)),"")</f>
        <v/>
      </c>
      <c r="B2459">
        <f>IFERROR(INDEX($O$4:$O$3183,MATCH(SMALL($V$4:$V$3183,2456),$V$4:$V$3183,0)),"")</f>
        <v/>
      </c>
      <c r="C2459">
        <f>IFERROR(INDEX($P$4:$P$3183,MATCH(SMALL($V$4:$V$3183,2456),$V$4:$V$3183,0)),"")</f>
        <v/>
      </c>
      <c r="D2459" s="29">
        <f>IFERROR(INDEX($Q$4:$Q$3183,MATCH(SMALL($V$4:$V$3183,2456),$V$4:$V$3183,0)),"")</f>
        <v/>
      </c>
      <c r="E2459" s="29">
        <f>IFERROR(INDEX($R$4:$R$3183,MATCH(SMALL($V$4:$V$3183,2456),$V$4:$V$3183,0)),"")</f>
        <v/>
      </c>
      <c r="F2459">
        <f>IFERROR(INDEX($S$4:$S$3183,MATCH(SMALL($V$4:$V$3183,2456),$V$4:$V$3183,0)),"")</f>
        <v/>
      </c>
      <c r="I2459" s="29">
        <f>IF($B2459="","",IFERROR(INDEX($U$4:$U$3183,MATCH(SMALL($V$4:$V$3183,2456),$V$4:$V$3183,0)),""))</f>
        <v/>
      </c>
      <c r="J2459">
        <f>IF($B2459="","",IF($D2459&gt;$F$2,"À venir",IF($E2459&lt;$D$2,"Passé","Dans la période")))</f>
        <v/>
      </c>
      <c r="K2459">
        <f>IF(OR($B2459="",NOT(ISNUMBER($D2459))),"",IF(AND($E2459&lt;$D$2,$G2459&lt;&gt;"X",$F2459&lt;&gt;"Réalisé",$F2459&lt;&gt;"Clôturé"),"RETARD",""))</f>
        <v/>
      </c>
      <c r="L2459">
        <f>IF(OR($B2459="",NOT(ISNUMBER($D2459))),"",IF(AND($D2459&gt;=$D$2,$D2459&lt;=$H$2,$G2459&lt;&gt;"X",$F2459&lt;&gt;"Réalisé",$F2459&lt;&gt;"Clôturé"),"≤ 7 j",""))</f>
        <v/>
      </c>
      <c r="M2459" s="29">
        <f>IF($B2459="","",IFERROR(INDEX($T$4:$T$3183,MATCH(SMALL($V$4:$V$3183,2456),$V$4:$V$3183,0)),""))</f>
        <v/>
      </c>
      <c r="O2459">
        <f>IF(INDEX(Suivi!$B:$B,2506)="","",INDEX(Suivi!$B:$B,2506))</f>
        <v/>
      </c>
      <c r="P2459">
        <f>IF($O2459="","",IF(INDEX(Suivi!$D:$D,2506)="",INDEX(Suivi!$C:$C,2506),INDEX(Suivi!$D:$D,2506)))</f>
        <v/>
      </c>
      <c r="Q2459">
        <f>IF($O2459="","",INDEX(Suivi!$E:$E,2506))</f>
        <v/>
      </c>
      <c r="R2459">
        <f>IF($O2459="","",INDEX(Suivi!$F:$F,2506))</f>
        <v/>
      </c>
      <c r="S2459">
        <f>IF($O2459="","",INDEX(Suivi!$G:$G,2506))</f>
        <v/>
      </c>
      <c r="T2459">
        <f>IF($O2459="","",IF(INDEX(Dossiers!$F$4:$F$63,47)="","",INDEX(Dossiers!$F$4:$F$63,47)))</f>
        <v/>
      </c>
      <c r="U2459">
        <f>IF($O2459="","",IF(INDEX(Dossiers!$G$4:$G$63,47)="","",INDEX(Dossiers!$G$4:$G$63,47)))</f>
        <v/>
      </c>
      <c r="V2459">
        <f>IF(OR($O2459="",NOT(ISNUMBER($Q2459))),"",$Q2459*1000000+2459)</f>
        <v/>
      </c>
      <c r="W2459" s="29">
        <f>IF($B2459="","",IFERROR(INDEX($U$4:$U$3183,MATCH(SMALL($V$4:$V$3183,2456),$V$4:$V$3183,0)),""))</f>
        <v/>
      </c>
    </row>
    <row r="2460">
      <c r="A2460">
        <f>IFERROR(INDEX($N$4:$N$3183,MATCH(SMALL($V$4:$V$3183,2457),$V$4:$V$3183,0)),"")</f>
        <v/>
      </c>
      <c r="B2460">
        <f>IFERROR(INDEX($O$4:$O$3183,MATCH(SMALL($V$4:$V$3183,2457),$V$4:$V$3183,0)),"")</f>
        <v/>
      </c>
      <c r="C2460">
        <f>IFERROR(INDEX($P$4:$P$3183,MATCH(SMALL($V$4:$V$3183,2457),$V$4:$V$3183,0)),"")</f>
        <v/>
      </c>
      <c r="D2460" s="29">
        <f>IFERROR(INDEX($Q$4:$Q$3183,MATCH(SMALL($V$4:$V$3183,2457),$V$4:$V$3183,0)),"")</f>
        <v/>
      </c>
      <c r="E2460" s="29">
        <f>IFERROR(INDEX($R$4:$R$3183,MATCH(SMALL($V$4:$V$3183,2457),$V$4:$V$3183,0)),"")</f>
        <v/>
      </c>
      <c r="F2460">
        <f>IFERROR(INDEX($S$4:$S$3183,MATCH(SMALL($V$4:$V$3183,2457),$V$4:$V$3183,0)),"")</f>
        <v/>
      </c>
      <c r="I2460" s="29">
        <f>IF($B2460="","",IFERROR(INDEX($U$4:$U$3183,MATCH(SMALL($V$4:$V$3183,2457),$V$4:$V$3183,0)),""))</f>
        <v/>
      </c>
      <c r="J2460">
        <f>IF($B2460="","",IF($D2460&gt;$F$2,"À venir",IF($E2460&lt;$D$2,"Passé","Dans la période")))</f>
        <v/>
      </c>
      <c r="K2460">
        <f>IF(OR($B2460="",NOT(ISNUMBER($D2460))),"",IF(AND($E2460&lt;$D$2,$G2460&lt;&gt;"X",$F2460&lt;&gt;"Réalisé",$F2460&lt;&gt;"Clôturé"),"RETARD",""))</f>
        <v/>
      </c>
      <c r="L2460">
        <f>IF(OR($B2460="",NOT(ISNUMBER($D2460))),"",IF(AND($D2460&gt;=$D$2,$D2460&lt;=$H$2,$G2460&lt;&gt;"X",$F2460&lt;&gt;"Réalisé",$F2460&lt;&gt;"Clôturé"),"≤ 7 j",""))</f>
        <v/>
      </c>
      <c r="M2460" s="29">
        <f>IF($B2460="","",IFERROR(INDEX($T$4:$T$3183,MATCH(SMALL($V$4:$V$3183,2457),$V$4:$V$3183,0)),""))</f>
        <v/>
      </c>
      <c r="O2460">
        <f>IF(INDEX(Suivi!$B:$B,2507)="","",INDEX(Suivi!$B:$B,2507))</f>
        <v/>
      </c>
      <c r="P2460">
        <f>IF($O2460="","",IF(INDEX(Suivi!$D:$D,2507)="",INDEX(Suivi!$C:$C,2507),INDEX(Suivi!$D:$D,2507)))</f>
        <v/>
      </c>
      <c r="Q2460">
        <f>IF($O2460="","",INDEX(Suivi!$E:$E,2507))</f>
        <v/>
      </c>
      <c r="R2460">
        <f>IF($O2460="","",INDEX(Suivi!$F:$F,2507))</f>
        <v/>
      </c>
      <c r="S2460">
        <f>IF($O2460="","",INDEX(Suivi!$G:$G,2507))</f>
        <v/>
      </c>
      <c r="T2460">
        <f>IF($O2460="","",IF(INDEX(Dossiers!$F$4:$F$63,47)="","",INDEX(Dossiers!$F$4:$F$63,47)))</f>
        <v/>
      </c>
      <c r="U2460">
        <f>IF($O2460="","",IF(INDEX(Dossiers!$G$4:$G$63,47)="","",INDEX(Dossiers!$G$4:$G$63,47)))</f>
        <v/>
      </c>
      <c r="V2460">
        <f>IF(OR($O2460="",NOT(ISNUMBER($Q2460))),"",$Q2460*1000000+2460)</f>
        <v/>
      </c>
      <c r="W2460" s="29">
        <f>IF($B2460="","",IFERROR(INDEX($U$4:$U$3183,MATCH(SMALL($V$4:$V$3183,2457),$V$4:$V$3183,0)),""))</f>
        <v/>
      </c>
    </row>
    <row r="2461">
      <c r="A2461">
        <f>IFERROR(INDEX($N$4:$N$3183,MATCH(SMALL($V$4:$V$3183,2458),$V$4:$V$3183,0)),"")</f>
        <v/>
      </c>
      <c r="B2461">
        <f>IFERROR(INDEX($O$4:$O$3183,MATCH(SMALL($V$4:$V$3183,2458),$V$4:$V$3183,0)),"")</f>
        <v/>
      </c>
      <c r="C2461">
        <f>IFERROR(INDEX($P$4:$P$3183,MATCH(SMALL($V$4:$V$3183,2458),$V$4:$V$3183,0)),"")</f>
        <v/>
      </c>
      <c r="D2461" s="29">
        <f>IFERROR(INDEX($Q$4:$Q$3183,MATCH(SMALL($V$4:$V$3183,2458),$V$4:$V$3183,0)),"")</f>
        <v/>
      </c>
      <c r="E2461" s="29">
        <f>IFERROR(INDEX($R$4:$R$3183,MATCH(SMALL($V$4:$V$3183,2458),$V$4:$V$3183,0)),"")</f>
        <v/>
      </c>
      <c r="F2461">
        <f>IFERROR(INDEX($S$4:$S$3183,MATCH(SMALL($V$4:$V$3183,2458),$V$4:$V$3183,0)),"")</f>
        <v/>
      </c>
      <c r="I2461" s="29">
        <f>IF($B2461="","",IFERROR(INDEX($U$4:$U$3183,MATCH(SMALL($V$4:$V$3183,2458),$V$4:$V$3183,0)),""))</f>
        <v/>
      </c>
      <c r="J2461">
        <f>IF($B2461="","",IF($D2461&gt;$F$2,"À venir",IF($E2461&lt;$D$2,"Passé","Dans la période")))</f>
        <v/>
      </c>
      <c r="K2461">
        <f>IF(OR($B2461="",NOT(ISNUMBER($D2461))),"",IF(AND($E2461&lt;$D$2,$G2461&lt;&gt;"X",$F2461&lt;&gt;"Réalisé",$F2461&lt;&gt;"Clôturé"),"RETARD",""))</f>
        <v/>
      </c>
      <c r="L2461">
        <f>IF(OR($B2461="",NOT(ISNUMBER($D2461))),"",IF(AND($D2461&gt;=$D$2,$D2461&lt;=$H$2,$G2461&lt;&gt;"X",$F2461&lt;&gt;"Réalisé",$F2461&lt;&gt;"Clôturé"),"≤ 7 j",""))</f>
        <v/>
      </c>
      <c r="M2461" s="29">
        <f>IF($B2461="","",IFERROR(INDEX($T$4:$T$3183,MATCH(SMALL($V$4:$V$3183,2458),$V$4:$V$3183,0)),""))</f>
        <v/>
      </c>
      <c r="O2461">
        <f>IF(INDEX(Suivi!$B:$B,2508)="","",INDEX(Suivi!$B:$B,2508))</f>
        <v/>
      </c>
      <c r="P2461">
        <f>IF($O2461="","",IF(INDEX(Suivi!$D:$D,2508)="",INDEX(Suivi!$C:$C,2508),INDEX(Suivi!$D:$D,2508)))</f>
        <v/>
      </c>
      <c r="Q2461">
        <f>IF($O2461="","",INDEX(Suivi!$E:$E,2508))</f>
        <v/>
      </c>
      <c r="R2461">
        <f>IF($O2461="","",INDEX(Suivi!$F:$F,2508))</f>
        <v/>
      </c>
      <c r="S2461">
        <f>IF($O2461="","",INDEX(Suivi!$G:$G,2508))</f>
        <v/>
      </c>
      <c r="T2461">
        <f>IF($O2461="","",IF(INDEX(Dossiers!$F$4:$F$63,47)="","",INDEX(Dossiers!$F$4:$F$63,47)))</f>
        <v/>
      </c>
      <c r="U2461">
        <f>IF($O2461="","",IF(INDEX(Dossiers!$G$4:$G$63,47)="","",INDEX(Dossiers!$G$4:$G$63,47)))</f>
        <v/>
      </c>
      <c r="V2461">
        <f>IF(OR($O2461="",NOT(ISNUMBER($Q2461))),"",$Q2461*1000000+2461)</f>
        <v/>
      </c>
      <c r="W2461" s="29">
        <f>IF($B2461="","",IFERROR(INDEX($U$4:$U$3183,MATCH(SMALL($V$4:$V$3183,2458),$V$4:$V$3183,0)),""))</f>
        <v/>
      </c>
    </row>
    <row r="2462">
      <c r="A2462">
        <f>IFERROR(INDEX($N$4:$N$3183,MATCH(SMALL($V$4:$V$3183,2459),$V$4:$V$3183,0)),"")</f>
        <v/>
      </c>
      <c r="B2462">
        <f>IFERROR(INDEX($O$4:$O$3183,MATCH(SMALL($V$4:$V$3183,2459),$V$4:$V$3183,0)),"")</f>
        <v/>
      </c>
      <c r="C2462">
        <f>IFERROR(INDEX($P$4:$P$3183,MATCH(SMALL($V$4:$V$3183,2459),$V$4:$V$3183,0)),"")</f>
        <v/>
      </c>
      <c r="D2462" s="29">
        <f>IFERROR(INDEX($Q$4:$Q$3183,MATCH(SMALL($V$4:$V$3183,2459),$V$4:$V$3183,0)),"")</f>
        <v/>
      </c>
      <c r="E2462" s="29">
        <f>IFERROR(INDEX($R$4:$R$3183,MATCH(SMALL($V$4:$V$3183,2459),$V$4:$V$3183,0)),"")</f>
        <v/>
      </c>
      <c r="F2462">
        <f>IFERROR(INDEX($S$4:$S$3183,MATCH(SMALL($V$4:$V$3183,2459),$V$4:$V$3183,0)),"")</f>
        <v/>
      </c>
      <c r="I2462" s="29">
        <f>IF($B2462="","",IFERROR(INDEX($U$4:$U$3183,MATCH(SMALL($V$4:$V$3183,2459),$V$4:$V$3183,0)),""))</f>
        <v/>
      </c>
      <c r="J2462">
        <f>IF($B2462="","",IF($D2462&gt;$F$2,"À venir",IF($E2462&lt;$D$2,"Passé","Dans la période")))</f>
        <v/>
      </c>
      <c r="K2462">
        <f>IF(OR($B2462="",NOT(ISNUMBER($D2462))),"",IF(AND($E2462&lt;$D$2,$G2462&lt;&gt;"X",$F2462&lt;&gt;"Réalisé",$F2462&lt;&gt;"Clôturé"),"RETARD",""))</f>
        <v/>
      </c>
      <c r="L2462">
        <f>IF(OR($B2462="",NOT(ISNUMBER($D2462))),"",IF(AND($D2462&gt;=$D$2,$D2462&lt;=$H$2,$G2462&lt;&gt;"X",$F2462&lt;&gt;"Réalisé",$F2462&lt;&gt;"Clôturé"),"≤ 7 j",""))</f>
        <v/>
      </c>
      <c r="M2462" s="29">
        <f>IF($B2462="","",IFERROR(INDEX($T$4:$T$3183,MATCH(SMALL($V$4:$V$3183,2459),$V$4:$V$3183,0)),""))</f>
        <v/>
      </c>
      <c r="O2462">
        <f>IF(INDEX(Suivi!$B:$B,2509)="","",INDEX(Suivi!$B:$B,2509))</f>
        <v/>
      </c>
      <c r="P2462">
        <f>IF($O2462="","",IF(INDEX(Suivi!$D:$D,2509)="",INDEX(Suivi!$C:$C,2509),INDEX(Suivi!$D:$D,2509)))</f>
        <v/>
      </c>
      <c r="Q2462">
        <f>IF($O2462="","",INDEX(Suivi!$E:$E,2509))</f>
        <v/>
      </c>
      <c r="R2462">
        <f>IF($O2462="","",INDEX(Suivi!$F:$F,2509))</f>
        <v/>
      </c>
      <c r="S2462">
        <f>IF($O2462="","",INDEX(Suivi!$G:$G,2509))</f>
        <v/>
      </c>
      <c r="T2462">
        <f>IF($O2462="","",IF(INDEX(Dossiers!$F$4:$F$63,47)="","",INDEX(Dossiers!$F$4:$F$63,47)))</f>
        <v/>
      </c>
      <c r="U2462">
        <f>IF($O2462="","",IF(INDEX(Dossiers!$G$4:$G$63,47)="","",INDEX(Dossiers!$G$4:$G$63,47)))</f>
        <v/>
      </c>
      <c r="V2462">
        <f>IF(OR($O2462="",NOT(ISNUMBER($Q2462))),"",$Q2462*1000000+2462)</f>
        <v/>
      </c>
      <c r="W2462" s="29">
        <f>IF($B2462="","",IFERROR(INDEX($U$4:$U$3183,MATCH(SMALL($V$4:$V$3183,2459),$V$4:$V$3183,0)),""))</f>
        <v/>
      </c>
    </row>
    <row r="2463">
      <c r="A2463">
        <f>IFERROR(INDEX($N$4:$N$3183,MATCH(SMALL($V$4:$V$3183,2460),$V$4:$V$3183,0)),"")</f>
        <v/>
      </c>
      <c r="B2463">
        <f>IFERROR(INDEX($O$4:$O$3183,MATCH(SMALL($V$4:$V$3183,2460),$V$4:$V$3183,0)),"")</f>
        <v/>
      </c>
      <c r="C2463">
        <f>IFERROR(INDEX($P$4:$P$3183,MATCH(SMALL($V$4:$V$3183,2460),$V$4:$V$3183,0)),"")</f>
        <v/>
      </c>
      <c r="D2463" s="29">
        <f>IFERROR(INDEX($Q$4:$Q$3183,MATCH(SMALL($V$4:$V$3183,2460),$V$4:$V$3183,0)),"")</f>
        <v/>
      </c>
      <c r="E2463" s="29">
        <f>IFERROR(INDEX($R$4:$R$3183,MATCH(SMALL($V$4:$V$3183,2460),$V$4:$V$3183,0)),"")</f>
        <v/>
      </c>
      <c r="F2463">
        <f>IFERROR(INDEX($S$4:$S$3183,MATCH(SMALL($V$4:$V$3183,2460),$V$4:$V$3183,0)),"")</f>
        <v/>
      </c>
      <c r="I2463" s="29">
        <f>IF($B2463="","",IFERROR(INDEX($U$4:$U$3183,MATCH(SMALL($V$4:$V$3183,2460),$V$4:$V$3183,0)),""))</f>
        <v/>
      </c>
      <c r="J2463">
        <f>IF($B2463="","",IF($D2463&gt;$F$2,"À venir",IF($E2463&lt;$D$2,"Passé","Dans la période")))</f>
        <v/>
      </c>
      <c r="K2463">
        <f>IF(OR($B2463="",NOT(ISNUMBER($D2463))),"",IF(AND($E2463&lt;$D$2,$G2463&lt;&gt;"X",$F2463&lt;&gt;"Réalisé",$F2463&lt;&gt;"Clôturé"),"RETARD",""))</f>
        <v/>
      </c>
      <c r="L2463">
        <f>IF(OR($B2463="",NOT(ISNUMBER($D2463))),"",IF(AND($D2463&gt;=$D$2,$D2463&lt;=$H$2,$G2463&lt;&gt;"X",$F2463&lt;&gt;"Réalisé",$F2463&lt;&gt;"Clôturé"),"≤ 7 j",""))</f>
        <v/>
      </c>
      <c r="M2463" s="29">
        <f>IF($B2463="","",IFERROR(INDEX($T$4:$T$3183,MATCH(SMALL($V$4:$V$3183,2460),$V$4:$V$3183,0)),""))</f>
        <v/>
      </c>
      <c r="O2463">
        <f>IF(INDEX(Suivi!$B:$B,2510)="","",INDEX(Suivi!$B:$B,2510))</f>
        <v/>
      </c>
      <c r="P2463">
        <f>IF($O2463="","",IF(INDEX(Suivi!$D:$D,2510)="",INDEX(Suivi!$C:$C,2510),INDEX(Suivi!$D:$D,2510)))</f>
        <v/>
      </c>
      <c r="Q2463">
        <f>IF($O2463="","",INDEX(Suivi!$E:$E,2510))</f>
        <v/>
      </c>
      <c r="R2463">
        <f>IF($O2463="","",INDEX(Suivi!$F:$F,2510))</f>
        <v/>
      </c>
      <c r="S2463">
        <f>IF($O2463="","",INDEX(Suivi!$G:$G,2510))</f>
        <v/>
      </c>
      <c r="T2463">
        <f>IF($O2463="","",IF(INDEX(Dossiers!$F$4:$F$63,47)="","",INDEX(Dossiers!$F$4:$F$63,47)))</f>
        <v/>
      </c>
      <c r="U2463">
        <f>IF($O2463="","",IF(INDEX(Dossiers!$G$4:$G$63,47)="","",INDEX(Dossiers!$G$4:$G$63,47)))</f>
        <v/>
      </c>
      <c r="V2463">
        <f>IF(OR($O2463="",NOT(ISNUMBER($Q2463))),"",$Q2463*1000000+2463)</f>
        <v/>
      </c>
      <c r="W2463" s="29">
        <f>IF($B2463="","",IFERROR(INDEX($U$4:$U$3183,MATCH(SMALL($V$4:$V$3183,2460),$V$4:$V$3183,0)),""))</f>
        <v/>
      </c>
    </row>
    <row r="2464">
      <c r="A2464">
        <f>IFERROR(INDEX($N$4:$N$3183,MATCH(SMALL($V$4:$V$3183,2461),$V$4:$V$3183,0)),"")</f>
        <v/>
      </c>
      <c r="B2464">
        <f>IFERROR(INDEX($O$4:$O$3183,MATCH(SMALL($V$4:$V$3183,2461),$V$4:$V$3183,0)),"")</f>
        <v/>
      </c>
      <c r="C2464">
        <f>IFERROR(INDEX($P$4:$P$3183,MATCH(SMALL($V$4:$V$3183,2461),$V$4:$V$3183,0)),"")</f>
        <v/>
      </c>
      <c r="D2464" s="29">
        <f>IFERROR(INDEX($Q$4:$Q$3183,MATCH(SMALL($V$4:$V$3183,2461),$V$4:$V$3183,0)),"")</f>
        <v/>
      </c>
      <c r="E2464" s="29">
        <f>IFERROR(INDEX($R$4:$R$3183,MATCH(SMALL($V$4:$V$3183,2461),$V$4:$V$3183,0)),"")</f>
        <v/>
      </c>
      <c r="F2464">
        <f>IFERROR(INDEX($S$4:$S$3183,MATCH(SMALL($V$4:$V$3183,2461),$V$4:$V$3183,0)),"")</f>
        <v/>
      </c>
      <c r="I2464" s="29">
        <f>IF($B2464="","",IFERROR(INDEX($U$4:$U$3183,MATCH(SMALL($V$4:$V$3183,2461),$V$4:$V$3183,0)),""))</f>
        <v/>
      </c>
      <c r="J2464">
        <f>IF($B2464="","",IF($D2464&gt;$F$2,"À venir",IF($E2464&lt;$D$2,"Passé","Dans la période")))</f>
        <v/>
      </c>
      <c r="K2464">
        <f>IF(OR($B2464="",NOT(ISNUMBER($D2464))),"",IF(AND($E2464&lt;$D$2,$G2464&lt;&gt;"X",$F2464&lt;&gt;"Réalisé",$F2464&lt;&gt;"Clôturé"),"RETARD",""))</f>
        <v/>
      </c>
      <c r="L2464">
        <f>IF(OR($B2464="",NOT(ISNUMBER($D2464))),"",IF(AND($D2464&gt;=$D$2,$D2464&lt;=$H$2,$G2464&lt;&gt;"X",$F2464&lt;&gt;"Réalisé",$F2464&lt;&gt;"Clôturé"),"≤ 7 j",""))</f>
        <v/>
      </c>
      <c r="M2464" s="29">
        <f>IF($B2464="","",IFERROR(INDEX($T$4:$T$3183,MATCH(SMALL($V$4:$V$3183,2461),$V$4:$V$3183,0)),""))</f>
        <v/>
      </c>
      <c r="O2464">
        <f>IF(INDEX(Suivi!$B:$B,2511)="","",INDEX(Suivi!$B:$B,2511))</f>
        <v/>
      </c>
      <c r="P2464">
        <f>IF($O2464="","",IF(INDEX(Suivi!$D:$D,2511)="",INDEX(Suivi!$C:$C,2511),INDEX(Suivi!$D:$D,2511)))</f>
        <v/>
      </c>
      <c r="Q2464">
        <f>IF($O2464="","",INDEX(Suivi!$E:$E,2511))</f>
        <v/>
      </c>
      <c r="R2464">
        <f>IF($O2464="","",INDEX(Suivi!$F:$F,2511))</f>
        <v/>
      </c>
      <c r="S2464">
        <f>IF($O2464="","",INDEX(Suivi!$G:$G,2511))</f>
        <v/>
      </c>
      <c r="T2464">
        <f>IF($O2464="","",IF(INDEX(Dossiers!$F$4:$F$63,47)="","",INDEX(Dossiers!$F$4:$F$63,47)))</f>
        <v/>
      </c>
      <c r="U2464">
        <f>IF($O2464="","",IF(INDEX(Dossiers!$G$4:$G$63,47)="","",INDEX(Dossiers!$G$4:$G$63,47)))</f>
        <v/>
      </c>
      <c r="V2464">
        <f>IF(OR($O2464="",NOT(ISNUMBER($Q2464))),"",$Q2464*1000000+2464)</f>
        <v/>
      </c>
      <c r="W2464" s="29">
        <f>IF($B2464="","",IFERROR(INDEX($U$4:$U$3183,MATCH(SMALL($V$4:$V$3183,2461),$V$4:$V$3183,0)),""))</f>
        <v/>
      </c>
    </row>
    <row r="2465">
      <c r="A2465">
        <f>IFERROR(INDEX($N$4:$N$3183,MATCH(SMALL($V$4:$V$3183,2462),$V$4:$V$3183,0)),"")</f>
        <v/>
      </c>
      <c r="B2465">
        <f>IFERROR(INDEX($O$4:$O$3183,MATCH(SMALL($V$4:$V$3183,2462),$V$4:$V$3183,0)),"")</f>
        <v/>
      </c>
      <c r="C2465">
        <f>IFERROR(INDEX($P$4:$P$3183,MATCH(SMALL($V$4:$V$3183,2462),$V$4:$V$3183,0)),"")</f>
        <v/>
      </c>
      <c r="D2465" s="29">
        <f>IFERROR(INDEX($Q$4:$Q$3183,MATCH(SMALL($V$4:$V$3183,2462),$V$4:$V$3183,0)),"")</f>
        <v/>
      </c>
      <c r="E2465" s="29">
        <f>IFERROR(INDEX($R$4:$R$3183,MATCH(SMALL($V$4:$V$3183,2462),$V$4:$V$3183,0)),"")</f>
        <v/>
      </c>
      <c r="F2465">
        <f>IFERROR(INDEX($S$4:$S$3183,MATCH(SMALL($V$4:$V$3183,2462),$V$4:$V$3183,0)),"")</f>
        <v/>
      </c>
      <c r="I2465" s="29">
        <f>IF($B2465="","",IFERROR(INDEX($U$4:$U$3183,MATCH(SMALL($V$4:$V$3183,2462),$V$4:$V$3183,0)),""))</f>
        <v/>
      </c>
      <c r="J2465">
        <f>IF($B2465="","",IF($D2465&gt;$F$2,"À venir",IF($E2465&lt;$D$2,"Passé","Dans la période")))</f>
        <v/>
      </c>
      <c r="K2465">
        <f>IF(OR($B2465="",NOT(ISNUMBER($D2465))),"",IF(AND($E2465&lt;$D$2,$G2465&lt;&gt;"X",$F2465&lt;&gt;"Réalisé",$F2465&lt;&gt;"Clôturé"),"RETARD",""))</f>
        <v/>
      </c>
      <c r="L2465">
        <f>IF(OR($B2465="",NOT(ISNUMBER($D2465))),"",IF(AND($D2465&gt;=$D$2,$D2465&lt;=$H$2,$G2465&lt;&gt;"X",$F2465&lt;&gt;"Réalisé",$F2465&lt;&gt;"Clôturé"),"≤ 7 j",""))</f>
        <v/>
      </c>
      <c r="M2465" s="29">
        <f>IF($B2465="","",IFERROR(INDEX($T$4:$T$3183,MATCH(SMALL($V$4:$V$3183,2462),$V$4:$V$3183,0)),""))</f>
        <v/>
      </c>
      <c r="O2465">
        <f>IF(INDEX(Suivi!$B:$B,2512)="","",INDEX(Suivi!$B:$B,2512))</f>
        <v/>
      </c>
      <c r="P2465">
        <f>IF($O2465="","",IF(INDEX(Suivi!$D:$D,2512)="",INDEX(Suivi!$C:$C,2512),INDEX(Suivi!$D:$D,2512)))</f>
        <v/>
      </c>
      <c r="Q2465">
        <f>IF($O2465="","",INDEX(Suivi!$E:$E,2512))</f>
        <v/>
      </c>
      <c r="R2465">
        <f>IF($O2465="","",INDEX(Suivi!$F:$F,2512))</f>
        <v/>
      </c>
      <c r="S2465">
        <f>IF($O2465="","",INDEX(Suivi!$G:$G,2512))</f>
        <v/>
      </c>
      <c r="T2465">
        <f>IF($O2465="","",IF(INDEX(Dossiers!$F$4:$F$63,47)="","",INDEX(Dossiers!$F$4:$F$63,47)))</f>
        <v/>
      </c>
      <c r="U2465">
        <f>IF($O2465="","",IF(INDEX(Dossiers!$G$4:$G$63,47)="","",INDEX(Dossiers!$G$4:$G$63,47)))</f>
        <v/>
      </c>
      <c r="V2465">
        <f>IF(OR($O2465="",NOT(ISNUMBER($Q2465))),"",$Q2465*1000000+2465)</f>
        <v/>
      </c>
      <c r="W2465" s="29">
        <f>IF($B2465="","",IFERROR(INDEX($U$4:$U$3183,MATCH(SMALL($V$4:$V$3183,2462),$V$4:$V$3183,0)),""))</f>
        <v/>
      </c>
    </row>
    <row r="2466">
      <c r="A2466">
        <f>IFERROR(INDEX($N$4:$N$3183,MATCH(SMALL($V$4:$V$3183,2463),$V$4:$V$3183,0)),"")</f>
        <v/>
      </c>
      <c r="B2466">
        <f>IFERROR(INDEX($O$4:$O$3183,MATCH(SMALL($V$4:$V$3183,2463),$V$4:$V$3183,0)),"")</f>
        <v/>
      </c>
      <c r="C2466">
        <f>IFERROR(INDEX($P$4:$P$3183,MATCH(SMALL($V$4:$V$3183,2463),$V$4:$V$3183,0)),"")</f>
        <v/>
      </c>
      <c r="D2466" s="29">
        <f>IFERROR(INDEX($Q$4:$Q$3183,MATCH(SMALL($V$4:$V$3183,2463),$V$4:$V$3183,0)),"")</f>
        <v/>
      </c>
      <c r="E2466" s="29">
        <f>IFERROR(INDEX($R$4:$R$3183,MATCH(SMALL($V$4:$V$3183,2463),$V$4:$V$3183,0)),"")</f>
        <v/>
      </c>
      <c r="F2466">
        <f>IFERROR(INDEX($S$4:$S$3183,MATCH(SMALL($V$4:$V$3183,2463),$V$4:$V$3183,0)),"")</f>
        <v/>
      </c>
      <c r="I2466" s="29">
        <f>IF($B2466="","",IFERROR(INDEX($U$4:$U$3183,MATCH(SMALL($V$4:$V$3183,2463),$V$4:$V$3183,0)),""))</f>
        <v/>
      </c>
      <c r="J2466">
        <f>IF($B2466="","",IF($D2466&gt;$F$2,"À venir",IF($E2466&lt;$D$2,"Passé","Dans la période")))</f>
        <v/>
      </c>
      <c r="K2466">
        <f>IF(OR($B2466="",NOT(ISNUMBER($D2466))),"",IF(AND($E2466&lt;$D$2,$G2466&lt;&gt;"X",$F2466&lt;&gt;"Réalisé",$F2466&lt;&gt;"Clôturé"),"RETARD",""))</f>
        <v/>
      </c>
      <c r="L2466">
        <f>IF(OR($B2466="",NOT(ISNUMBER($D2466))),"",IF(AND($D2466&gt;=$D$2,$D2466&lt;=$H$2,$G2466&lt;&gt;"X",$F2466&lt;&gt;"Réalisé",$F2466&lt;&gt;"Clôturé"),"≤ 7 j",""))</f>
        <v/>
      </c>
      <c r="M2466" s="29">
        <f>IF($B2466="","",IFERROR(INDEX($T$4:$T$3183,MATCH(SMALL($V$4:$V$3183,2463),$V$4:$V$3183,0)),""))</f>
        <v/>
      </c>
      <c r="O2466">
        <f>IF(INDEX(Suivi!$B:$B,2513)="","",INDEX(Suivi!$B:$B,2513))</f>
        <v/>
      </c>
      <c r="P2466">
        <f>IF($O2466="","",IF(INDEX(Suivi!$D:$D,2513)="",INDEX(Suivi!$C:$C,2513),INDEX(Suivi!$D:$D,2513)))</f>
        <v/>
      </c>
      <c r="Q2466">
        <f>IF($O2466="","",INDEX(Suivi!$E:$E,2513))</f>
        <v/>
      </c>
      <c r="R2466">
        <f>IF($O2466="","",INDEX(Suivi!$F:$F,2513))</f>
        <v/>
      </c>
      <c r="S2466">
        <f>IF($O2466="","",INDEX(Suivi!$G:$G,2513))</f>
        <v/>
      </c>
      <c r="T2466">
        <f>IF($O2466="","",IF(INDEX(Dossiers!$F$4:$F$63,47)="","",INDEX(Dossiers!$F$4:$F$63,47)))</f>
        <v/>
      </c>
      <c r="U2466">
        <f>IF($O2466="","",IF(INDEX(Dossiers!$G$4:$G$63,47)="","",INDEX(Dossiers!$G$4:$G$63,47)))</f>
        <v/>
      </c>
      <c r="V2466">
        <f>IF(OR($O2466="",NOT(ISNUMBER($Q2466))),"",$Q2466*1000000+2466)</f>
        <v/>
      </c>
      <c r="W2466" s="29">
        <f>IF($B2466="","",IFERROR(INDEX($U$4:$U$3183,MATCH(SMALL($V$4:$V$3183,2463),$V$4:$V$3183,0)),""))</f>
        <v/>
      </c>
    </row>
    <row r="2467">
      <c r="A2467">
        <f>IFERROR(INDEX($N$4:$N$3183,MATCH(SMALL($V$4:$V$3183,2464),$V$4:$V$3183,0)),"")</f>
        <v/>
      </c>
      <c r="B2467">
        <f>IFERROR(INDEX($O$4:$O$3183,MATCH(SMALL($V$4:$V$3183,2464),$V$4:$V$3183,0)),"")</f>
        <v/>
      </c>
      <c r="C2467">
        <f>IFERROR(INDEX($P$4:$P$3183,MATCH(SMALL($V$4:$V$3183,2464),$V$4:$V$3183,0)),"")</f>
        <v/>
      </c>
      <c r="D2467" s="29">
        <f>IFERROR(INDEX($Q$4:$Q$3183,MATCH(SMALL($V$4:$V$3183,2464),$V$4:$V$3183,0)),"")</f>
        <v/>
      </c>
      <c r="E2467" s="29">
        <f>IFERROR(INDEX($R$4:$R$3183,MATCH(SMALL($V$4:$V$3183,2464),$V$4:$V$3183,0)),"")</f>
        <v/>
      </c>
      <c r="F2467">
        <f>IFERROR(INDEX($S$4:$S$3183,MATCH(SMALL($V$4:$V$3183,2464),$V$4:$V$3183,0)),"")</f>
        <v/>
      </c>
      <c r="I2467" s="29">
        <f>IF($B2467="","",IFERROR(INDEX($U$4:$U$3183,MATCH(SMALL($V$4:$V$3183,2464),$V$4:$V$3183,0)),""))</f>
        <v/>
      </c>
      <c r="J2467">
        <f>IF($B2467="","",IF($D2467&gt;$F$2,"À venir",IF($E2467&lt;$D$2,"Passé","Dans la période")))</f>
        <v/>
      </c>
      <c r="K2467">
        <f>IF(OR($B2467="",NOT(ISNUMBER($D2467))),"",IF(AND($E2467&lt;$D$2,$G2467&lt;&gt;"X",$F2467&lt;&gt;"Réalisé",$F2467&lt;&gt;"Clôturé"),"RETARD",""))</f>
        <v/>
      </c>
      <c r="L2467">
        <f>IF(OR($B2467="",NOT(ISNUMBER($D2467))),"",IF(AND($D2467&gt;=$D$2,$D2467&lt;=$H$2,$G2467&lt;&gt;"X",$F2467&lt;&gt;"Réalisé",$F2467&lt;&gt;"Clôturé"),"≤ 7 j",""))</f>
        <v/>
      </c>
      <c r="M2467" s="29">
        <f>IF($B2467="","",IFERROR(INDEX($T$4:$T$3183,MATCH(SMALL($V$4:$V$3183,2464),$V$4:$V$3183,0)),""))</f>
        <v/>
      </c>
      <c r="O2467">
        <f>IF(INDEX(Suivi!$B:$B,2514)="","",INDEX(Suivi!$B:$B,2514))</f>
        <v/>
      </c>
      <c r="P2467">
        <f>IF($O2467="","",IF(INDEX(Suivi!$D:$D,2514)="",INDEX(Suivi!$C:$C,2514),INDEX(Suivi!$D:$D,2514)))</f>
        <v/>
      </c>
      <c r="Q2467">
        <f>IF($O2467="","",INDEX(Suivi!$E:$E,2514))</f>
        <v/>
      </c>
      <c r="R2467">
        <f>IF($O2467="","",INDEX(Suivi!$F:$F,2514))</f>
        <v/>
      </c>
      <c r="S2467">
        <f>IF($O2467="","",INDEX(Suivi!$G:$G,2514))</f>
        <v/>
      </c>
      <c r="T2467">
        <f>IF($O2467="","",IF(INDEX(Dossiers!$F$4:$F$63,47)="","",INDEX(Dossiers!$F$4:$F$63,47)))</f>
        <v/>
      </c>
      <c r="U2467">
        <f>IF($O2467="","",IF(INDEX(Dossiers!$G$4:$G$63,47)="","",INDEX(Dossiers!$G$4:$G$63,47)))</f>
        <v/>
      </c>
      <c r="V2467">
        <f>IF(OR($O2467="",NOT(ISNUMBER($Q2467))),"",$Q2467*1000000+2467)</f>
        <v/>
      </c>
      <c r="W2467" s="29">
        <f>IF($B2467="","",IFERROR(INDEX($U$4:$U$3183,MATCH(SMALL($V$4:$V$3183,2464),$V$4:$V$3183,0)),""))</f>
        <v/>
      </c>
    </row>
    <row r="2468">
      <c r="A2468">
        <f>IFERROR(INDEX($N$4:$N$3183,MATCH(SMALL($V$4:$V$3183,2465),$V$4:$V$3183,0)),"")</f>
        <v/>
      </c>
      <c r="B2468">
        <f>IFERROR(INDEX($O$4:$O$3183,MATCH(SMALL($V$4:$V$3183,2465),$V$4:$V$3183,0)),"")</f>
        <v/>
      </c>
      <c r="C2468">
        <f>IFERROR(INDEX($P$4:$P$3183,MATCH(SMALL($V$4:$V$3183,2465),$V$4:$V$3183,0)),"")</f>
        <v/>
      </c>
      <c r="D2468" s="29">
        <f>IFERROR(INDEX($Q$4:$Q$3183,MATCH(SMALL($V$4:$V$3183,2465),$V$4:$V$3183,0)),"")</f>
        <v/>
      </c>
      <c r="E2468" s="29">
        <f>IFERROR(INDEX($R$4:$R$3183,MATCH(SMALL($V$4:$V$3183,2465),$V$4:$V$3183,0)),"")</f>
        <v/>
      </c>
      <c r="F2468">
        <f>IFERROR(INDEX($S$4:$S$3183,MATCH(SMALL($V$4:$V$3183,2465),$V$4:$V$3183,0)),"")</f>
        <v/>
      </c>
      <c r="I2468" s="29">
        <f>IF($B2468="","",IFERROR(INDEX($U$4:$U$3183,MATCH(SMALL($V$4:$V$3183,2465),$V$4:$V$3183,0)),""))</f>
        <v/>
      </c>
      <c r="J2468">
        <f>IF($B2468="","",IF($D2468&gt;$F$2,"À venir",IF($E2468&lt;$D$2,"Passé","Dans la période")))</f>
        <v/>
      </c>
      <c r="K2468">
        <f>IF(OR($B2468="",NOT(ISNUMBER($D2468))),"",IF(AND($E2468&lt;$D$2,$G2468&lt;&gt;"X",$F2468&lt;&gt;"Réalisé",$F2468&lt;&gt;"Clôturé"),"RETARD",""))</f>
        <v/>
      </c>
      <c r="L2468">
        <f>IF(OR($B2468="",NOT(ISNUMBER($D2468))),"",IF(AND($D2468&gt;=$D$2,$D2468&lt;=$H$2,$G2468&lt;&gt;"X",$F2468&lt;&gt;"Réalisé",$F2468&lt;&gt;"Clôturé"),"≤ 7 j",""))</f>
        <v/>
      </c>
      <c r="M2468" s="29">
        <f>IF($B2468="","",IFERROR(INDEX($T$4:$T$3183,MATCH(SMALL($V$4:$V$3183,2465),$V$4:$V$3183,0)),""))</f>
        <v/>
      </c>
      <c r="O2468">
        <f>IF(INDEX(Suivi!$B:$B,2515)="","",INDEX(Suivi!$B:$B,2515))</f>
        <v/>
      </c>
      <c r="P2468">
        <f>IF($O2468="","",IF(INDEX(Suivi!$D:$D,2515)="",INDEX(Suivi!$C:$C,2515),INDEX(Suivi!$D:$D,2515)))</f>
        <v/>
      </c>
      <c r="Q2468">
        <f>IF($O2468="","",INDEX(Suivi!$E:$E,2515))</f>
        <v/>
      </c>
      <c r="R2468">
        <f>IF($O2468="","",INDEX(Suivi!$F:$F,2515))</f>
        <v/>
      </c>
      <c r="S2468">
        <f>IF($O2468="","",INDEX(Suivi!$G:$G,2515))</f>
        <v/>
      </c>
      <c r="T2468">
        <f>IF($O2468="","",IF(INDEX(Dossiers!$F$4:$F$63,47)="","",INDEX(Dossiers!$F$4:$F$63,47)))</f>
        <v/>
      </c>
      <c r="U2468">
        <f>IF($O2468="","",IF(INDEX(Dossiers!$G$4:$G$63,47)="","",INDEX(Dossiers!$G$4:$G$63,47)))</f>
        <v/>
      </c>
      <c r="V2468">
        <f>IF(OR($O2468="",NOT(ISNUMBER($Q2468))),"",$Q2468*1000000+2468)</f>
        <v/>
      </c>
      <c r="W2468" s="29">
        <f>IF($B2468="","",IFERROR(INDEX($U$4:$U$3183,MATCH(SMALL($V$4:$V$3183,2465),$V$4:$V$3183,0)),""))</f>
        <v/>
      </c>
    </row>
    <row r="2469">
      <c r="A2469">
        <f>IFERROR(INDEX($N$4:$N$3183,MATCH(SMALL($V$4:$V$3183,2466),$V$4:$V$3183,0)),"")</f>
        <v/>
      </c>
      <c r="B2469">
        <f>IFERROR(INDEX($O$4:$O$3183,MATCH(SMALL($V$4:$V$3183,2466),$V$4:$V$3183,0)),"")</f>
        <v/>
      </c>
      <c r="C2469">
        <f>IFERROR(INDEX($P$4:$P$3183,MATCH(SMALL($V$4:$V$3183,2466),$V$4:$V$3183,0)),"")</f>
        <v/>
      </c>
      <c r="D2469" s="29">
        <f>IFERROR(INDEX($Q$4:$Q$3183,MATCH(SMALL($V$4:$V$3183,2466),$V$4:$V$3183,0)),"")</f>
        <v/>
      </c>
      <c r="E2469" s="29">
        <f>IFERROR(INDEX($R$4:$R$3183,MATCH(SMALL($V$4:$V$3183,2466),$V$4:$V$3183,0)),"")</f>
        <v/>
      </c>
      <c r="F2469">
        <f>IFERROR(INDEX($S$4:$S$3183,MATCH(SMALL($V$4:$V$3183,2466),$V$4:$V$3183,0)),"")</f>
        <v/>
      </c>
      <c r="I2469" s="29">
        <f>IF($B2469="","",IFERROR(INDEX($U$4:$U$3183,MATCH(SMALL($V$4:$V$3183,2466),$V$4:$V$3183,0)),""))</f>
        <v/>
      </c>
      <c r="J2469">
        <f>IF($B2469="","",IF($D2469&gt;$F$2,"À venir",IF($E2469&lt;$D$2,"Passé","Dans la période")))</f>
        <v/>
      </c>
      <c r="K2469">
        <f>IF(OR($B2469="",NOT(ISNUMBER($D2469))),"",IF(AND($E2469&lt;$D$2,$G2469&lt;&gt;"X",$F2469&lt;&gt;"Réalisé",$F2469&lt;&gt;"Clôturé"),"RETARD",""))</f>
        <v/>
      </c>
      <c r="L2469">
        <f>IF(OR($B2469="",NOT(ISNUMBER($D2469))),"",IF(AND($D2469&gt;=$D$2,$D2469&lt;=$H$2,$G2469&lt;&gt;"X",$F2469&lt;&gt;"Réalisé",$F2469&lt;&gt;"Clôturé"),"≤ 7 j",""))</f>
        <v/>
      </c>
      <c r="M2469" s="29">
        <f>IF($B2469="","",IFERROR(INDEX($T$4:$T$3183,MATCH(SMALL($V$4:$V$3183,2466),$V$4:$V$3183,0)),""))</f>
        <v/>
      </c>
      <c r="O2469">
        <f>IF(INDEX(Suivi!$B:$B,2516)="","",INDEX(Suivi!$B:$B,2516))</f>
        <v/>
      </c>
      <c r="P2469">
        <f>IF($O2469="","",IF(INDEX(Suivi!$D:$D,2516)="",INDEX(Suivi!$C:$C,2516),INDEX(Suivi!$D:$D,2516)))</f>
        <v/>
      </c>
      <c r="Q2469">
        <f>IF($O2469="","",INDEX(Suivi!$E:$E,2516))</f>
        <v/>
      </c>
      <c r="R2469">
        <f>IF($O2469="","",INDEX(Suivi!$F:$F,2516))</f>
        <v/>
      </c>
      <c r="S2469">
        <f>IF($O2469="","",INDEX(Suivi!$G:$G,2516))</f>
        <v/>
      </c>
      <c r="T2469">
        <f>IF($O2469="","",IF(INDEX(Dossiers!$F$4:$F$63,47)="","",INDEX(Dossiers!$F$4:$F$63,47)))</f>
        <v/>
      </c>
      <c r="U2469">
        <f>IF($O2469="","",IF(INDEX(Dossiers!$G$4:$G$63,47)="","",INDEX(Dossiers!$G$4:$G$63,47)))</f>
        <v/>
      </c>
      <c r="V2469">
        <f>IF(OR($O2469="",NOT(ISNUMBER($Q2469))),"",$Q2469*1000000+2469)</f>
        <v/>
      </c>
      <c r="W2469" s="29">
        <f>IF($B2469="","",IFERROR(INDEX($U$4:$U$3183,MATCH(SMALL($V$4:$V$3183,2466),$V$4:$V$3183,0)),""))</f>
        <v/>
      </c>
    </row>
    <row r="2470">
      <c r="A2470">
        <f>IFERROR(INDEX($N$4:$N$3183,MATCH(SMALL($V$4:$V$3183,2467),$V$4:$V$3183,0)),"")</f>
        <v/>
      </c>
      <c r="B2470">
        <f>IFERROR(INDEX($O$4:$O$3183,MATCH(SMALL($V$4:$V$3183,2467),$V$4:$V$3183,0)),"")</f>
        <v/>
      </c>
      <c r="C2470">
        <f>IFERROR(INDEX($P$4:$P$3183,MATCH(SMALL($V$4:$V$3183,2467),$V$4:$V$3183,0)),"")</f>
        <v/>
      </c>
      <c r="D2470" s="29">
        <f>IFERROR(INDEX($Q$4:$Q$3183,MATCH(SMALL($V$4:$V$3183,2467),$V$4:$V$3183,0)),"")</f>
        <v/>
      </c>
      <c r="E2470" s="29">
        <f>IFERROR(INDEX($R$4:$R$3183,MATCH(SMALL($V$4:$V$3183,2467),$V$4:$V$3183,0)),"")</f>
        <v/>
      </c>
      <c r="F2470">
        <f>IFERROR(INDEX($S$4:$S$3183,MATCH(SMALL($V$4:$V$3183,2467),$V$4:$V$3183,0)),"")</f>
        <v/>
      </c>
      <c r="I2470" s="29">
        <f>IF($B2470="","",IFERROR(INDEX($U$4:$U$3183,MATCH(SMALL($V$4:$V$3183,2467),$V$4:$V$3183,0)),""))</f>
        <v/>
      </c>
      <c r="J2470">
        <f>IF($B2470="","",IF($D2470&gt;$F$2,"À venir",IF($E2470&lt;$D$2,"Passé","Dans la période")))</f>
        <v/>
      </c>
      <c r="K2470">
        <f>IF(OR($B2470="",NOT(ISNUMBER($D2470))),"",IF(AND($E2470&lt;$D$2,$G2470&lt;&gt;"X",$F2470&lt;&gt;"Réalisé",$F2470&lt;&gt;"Clôturé"),"RETARD",""))</f>
        <v/>
      </c>
      <c r="L2470">
        <f>IF(OR($B2470="",NOT(ISNUMBER($D2470))),"",IF(AND($D2470&gt;=$D$2,$D2470&lt;=$H$2,$G2470&lt;&gt;"X",$F2470&lt;&gt;"Réalisé",$F2470&lt;&gt;"Clôturé"),"≤ 7 j",""))</f>
        <v/>
      </c>
      <c r="M2470" s="29">
        <f>IF($B2470="","",IFERROR(INDEX($T$4:$T$3183,MATCH(SMALL($V$4:$V$3183,2467),$V$4:$V$3183,0)),""))</f>
        <v/>
      </c>
      <c r="O2470">
        <f>IF(INDEX(Suivi!$B:$B,2517)="","",INDEX(Suivi!$B:$B,2517))</f>
        <v/>
      </c>
      <c r="P2470">
        <f>IF($O2470="","",IF(INDEX(Suivi!$D:$D,2517)="",INDEX(Suivi!$C:$C,2517),INDEX(Suivi!$D:$D,2517)))</f>
        <v/>
      </c>
      <c r="Q2470">
        <f>IF($O2470="","",INDEX(Suivi!$E:$E,2517))</f>
        <v/>
      </c>
      <c r="R2470">
        <f>IF($O2470="","",INDEX(Suivi!$F:$F,2517))</f>
        <v/>
      </c>
      <c r="S2470">
        <f>IF($O2470="","",INDEX(Suivi!$G:$G,2517))</f>
        <v/>
      </c>
      <c r="T2470">
        <f>IF($O2470="","",IF(INDEX(Dossiers!$F$4:$F$63,47)="","",INDEX(Dossiers!$F$4:$F$63,47)))</f>
        <v/>
      </c>
      <c r="U2470">
        <f>IF($O2470="","",IF(INDEX(Dossiers!$G$4:$G$63,47)="","",INDEX(Dossiers!$G$4:$G$63,47)))</f>
        <v/>
      </c>
      <c r="V2470">
        <f>IF(OR($O2470="",NOT(ISNUMBER($Q2470))),"",$Q2470*1000000+2470)</f>
        <v/>
      </c>
      <c r="W2470" s="29">
        <f>IF($B2470="","",IFERROR(INDEX($U$4:$U$3183,MATCH(SMALL($V$4:$V$3183,2467),$V$4:$V$3183,0)),""))</f>
        <v/>
      </c>
    </row>
    <row r="2471">
      <c r="A2471">
        <f>IFERROR(INDEX($N$4:$N$3183,MATCH(SMALL($V$4:$V$3183,2468),$V$4:$V$3183,0)),"")</f>
        <v/>
      </c>
      <c r="B2471">
        <f>IFERROR(INDEX($O$4:$O$3183,MATCH(SMALL($V$4:$V$3183,2468),$V$4:$V$3183,0)),"")</f>
        <v/>
      </c>
      <c r="C2471">
        <f>IFERROR(INDEX($P$4:$P$3183,MATCH(SMALL($V$4:$V$3183,2468),$V$4:$V$3183,0)),"")</f>
        <v/>
      </c>
      <c r="D2471" s="29">
        <f>IFERROR(INDEX($Q$4:$Q$3183,MATCH(SMALL($V$4:$V$3183,2468),$V$4:$V$3183,0)),"")</f>
        <v/>
      </c>
      <c r="E2471" s="29">
        <f>IFERROR(INDEX($R$4:$R$3183,MATCH(SMALL($V$4:$V$3183,2468),$V$4:$V$3183,0)),"")</f>
        <v/>
      </c>
      <c r="F2471">
        <f>IFERROR(INDEX($S$4:$S$3183,MATCH(SMALL($V$4:$V$3183,2468),$V$4:$V$3183,0)),"")</f>
        <v/>
      </c>
      <c r="I2471" s="29">
        <f>IF($B2471="","",IFERROR(INDEX($U$4:$U$3183,MATCH(SMALL($V$4:$V$3183,2468),$V$4:$V$3183,0)),""))</f>
        <v/>
      </c>
      <c r="J2471">
        <f>IF($B2471="","",IF($D2471&gt;$F$2,"À venir",IF($E2471&lt;$D$2,"Passé","Dans la période")))</f>
        <v/>
      </c>
      <c r="K2471">
        <f>IF(OR($B2471="",NOT(ISNUMBER($D2471))),"",IF(AND($E2471&lt;$D$2,$G2471&lt;&gt;"X",$F2471&lt;&gt;"Réalisé",$F2471&lt;&gt;"Clôturé"),"RETARD",""))</f>
        <v/>
      </c>
      <c r="L2471">
        <f>IF(OR($B2471="",NOT(ISNUMBER($D2471))),"",IF(AND($D2471&gt;=$D$2,$D2471&lt;=$H$2,$G2471&lt;&gt;"X",$F2471&lt;&gt;"Réalisé",$F2471&lt;&gt;"Clôturé"),"≤ 7 j",""))</f>
        <v/>
      </c>
      <c r="M2471" s="29">
        <f>IF($B2471="","",IFERROR(INDEX($T$4:$T$3183,MATCH(SMALL($V$4:$V$3183,2468),$V$4:$V$3183,0)),""))</f>
        <v/>
      </c>
      <c r="O2471">
        <f>IF(INDEX(Suivi!$B:$B,2518)="","",INDEX(Suivi!$B:$B,2518))</f>
        <v/>
      </c>
      <c r="P2471">
        <f>IF($O2471="","",IF(INDEX(Suivi!$D:$D,2518)="",INDEX(Suivi!$C:$C,2518),INDEX(Suivi!$D:$D,2518)))</f>
        <v/>
      </c>
      <c r="Q2471">
        <f>IF($O2471="","",INDEX(Suivi!$E:$E,2518))</f>
        <v/>
      </c>
      <c r="R2471">
        <f>IF($O2471="","",INDEX(Suivi!$F:$F,2518))</f>
        <v/>
      </c>
      <c r="S2471">
        <f>IF($O2471="","",INDEX(Suivi!$G:$G,2518))</f>
        <v/>
      </c>
      <c r="T2471">
        <f>IF($O2471="","",IF(INDEX(Dossiers!$F$4:$F$63,47)="","",INDEX(Dossiers!$F$4:$F$63,47)))</f>
        <v/>
      </c>
      <c r="U2471">
        <f>IF($O2471="","",IF(INDEX(Dossiers!$G$4:$G$63,47)="","",INDEX(Dossiers!$G$4:$G$63,47)))</f>
        <v/>
      </c>
      <c r="V2471">
        <f>IF(OR($O2471="",NOT(ISNUMBER($Q2471))),"",$Q2471*1000000+2471)</f>
        <v/>
      </c>
      <c r="W2471" s="29">
        <f>IF($B2471="","",IFERROR(INDEX($U$4:$U$3183,MATCH(SMALL($V$4:$V$3183,2468),$V$4:$V$3183,0)),""))</f>
        <v/>
      </c>
    </row>
    <row r="2472">
      <c r="A2472">
        <f>IFERROR(INDEX($N$4:$N$3183,MATCH(SMALL($V$4:$V$3183,2469),$V$4:$V$3183,0)),"")</f>
        <v/>
      </c>
      <c r="B2472">
        <f>IFERROR(INDEX($O$4:$O$3183,MATCH(SMALL($V$4:$V$3183,2469),$V$4:$V$3183,0)),"")</f>
        <v/>
      </c>
      <c r="C2472">
        <f>IFERROR(INDEX($P$4:$P$3183,MATCH(SMALL($V$4:$V$3183,2469),$V$4:$V$3183,0)),"")</f>
        <v/>
      </c>
      <c r="D2472" s="29">
        <f>IFERROR(INDEX($Q$4:$Q$3183,MATCH(SMALL($V$4:$V$3183,2469),$V$4:$V$3183,0)),"")</f>
        <v/>
      </c>
      <c r="E2472" s="29">
        <f>IFERROR(INDEX($R$4:$R$3183,MATCH(SMALL($V$4:$V$3183,2469),$V$4:$V$3183,0)),"")</f>
        <v/>
      </c>
      <c r="F2472">
        <f>IFERROR(INDEX($S$4:$S$3183,MATCH(SMALL($V$4:$V$3183,2469),$V$4:$V$3183,0)),"")</f>
        <v/>
      </c>
      <c r="I2472" s="29">
        <f>IF($B2472="","",IFERROR(INDEX($U$4:$U$3183,MATCH(SMALL($V$4:$V$3183,2469),$V$4:$V$3183,0)),""))</f>
        <v/>
      </c>
      <c r="J2472">
        <f>IF($B2472="","",IF($D2472&gt;$F$2,"À venir",IF($E2472&lt;$D$2,"Passé","Dans la période")))</f>
        <v/>
      </c>
      <c r="K2472">
        <f>IF(OR($B2472="",NOT(ISNUMBER($D2472))),"",IF(AND($E2472&lt;$D$2,$G2472&lt;&gt;"X",$F2472&lt;&gt;"Réalisé",$F2472&lt;&gt;"Clôturé"),"RETARD",""))</f>
        <v/>
      </c>
      <c r="L2472">
        <f>IF(OR($B2472="",NOT(ISNUMBER($D2472))),"",IF(AND($D2472&gt;=$D$2,$D2472&lt;=$H$2,$G2472&lt;&gt;"X",$F2472&lt;&gt;"Réalisé",$F2472&lt;&gt;"Clôturé"),"≤ 7 j",""))</f>
        <v/>
      </c>
      <c r="M2472" s="29">
        <f>IF($B2472="","",IFERROR(INDEX($T$4:$T$3183,MATCH(SMALL($V$4:$V$3183,2469),$V$4:$V$3183,0)),""))</f>
        <v/>
      </c>
      <c r="O2472">
        <f>IF(INDEX(Suivi!$B:$B,2519)="","",INDEX(Suivi!$B:$B,2519))</f>
        <v/>
      </c>
      <c r="P2472">
        <f>IF($O2472="","",IF(INDEX(Suivi!$D:$D,2519)="",INDEX(Suivi!$C:$C,2519),INDEX(Suivi!$D:$D,2519)))</f>
        <v/>
      </c>
      <c r="Q2472">
        <f>IF($O2472="","",INDEX(Suivi!$E:$E,2519))</f>
        <v/>
      </c>
      <c r="R2472">
        <f>IF($O2472="","",INDEX(Suivi!$F:$F,2519))</f>
        <v/>
      </c>
      <c r="S2472">
        <f>IF($O2472="","",INDEX(Suivi!$G:$G,2519))</f>
        <v/>
      </c>
      <c r="T2472">
        <f>IF($O2472="","",IF(INDEX(Dossiers!$F$4:$F$63,47)="","",INDEX(Dossiers!$F$4:$F$63,47)))</f>
        <v/>
      </c>
      <c r="U2472">
        <f>IF($O2472="","",IF(INDEX(Dossiers!$G$4:$G$63,47)="","",INDEX(Dossiers!$G$4:$G$63,47)))</f>
        <v/>
      </c>
      <c r="V2472">
        <f>IF(OR($O2472="",NOT(ISNUMBER($Q2472))),"",$Q2472*1000000+2472)</f>
        <v/>
      </c>
      <c r="W2472" s="29">
        <f>IF($B2472="","",IFERROR(INDEX($U$4:$U$3183,MATCH(SMALL($V$4:$V$3183,2469),$V$4:$V$3183,0)),""))</f>
        <v/>
      </c>
    </row>
    <row r="2473">
      <c r="A2473">
        <f>IFERROR(INDEX($N$4:$N$3183,MATCH(SMALL($V$4:$V$3183,2470),$V$4:$V$3183,0)),"")</f>
        <v/>
      </c>
      <c r="B2473">
        <f>IFERROR(INDEX($O$4:$O$3183,MATCH(SMALL($V$4:$V$3183,2470),$V$4:$V$3183,0)),"")</f>
        <v/>
      </c>
      <c r="C2473">
        <f>IFERROR(INDEX($P$4:$P$3183,MATCH(SMALL($V$4:$V$3183,2470),$V$4:$V$3183,0)),"")</f>
        <v/>
      </c>
      <c r="D2473" s="29">
        <f>IFERROR(INDEX($Q$4:$Q$3183,MATCH(SMALL($V$4:$V$3183,2470),$V$4:$V$3183,0)),"")</f>
        <v/>
      </c>
      <c r="E2473" s="29">
        <f>IFERROR(INDEX($R$4:$R$3183,MATCH(SMALL($V$4:$V$3183,2470),$V$4:$V$3183,0)),"")</f>
        <v/>
      </c>
      <c r="F2473">
        <f>IFERROR(INDEX($S$4:$S$3183,MATCH(SMALL($V$4:$V$3183,2470),$V$4:$V$3183,0)),"")</f>
        <v/>
      </c>
      <c r="I2473" s="29">
        <f>IF($B2473="","",IFERROR(INDEX($U$4:$U$3183,MATCH(SMALL($V$4:$V$3183,2470),$V$4:$V$3183,0)),""))</f>
        <v/>
      </c>
      <c r="J2473">
        <f>IF($B2473="","",IF($D2473&gt;$F$2,"À venir",IF($E2473&lt;$D$2,"Passé","Dans la période")))</f>
        <v/>
      </c>
      <c r="K2473">
        <f>IF(OR($B2473="",NOT(ISNUMBER($D2473))),"",IF(AND($E2473&lt;$D$2,$G2473&lt;&gt;"X",$F2473&lt;&gt;"Réalisé",$F2473&lt;&gt;"Clôturé"),"RETARD",""))</f>
        <v/>
      </c>
      <c r="L2473">
        <f>IF(OR($B2473="",NOT(ISNUMBER($D2473))),"",IF(AND($D2473&gt;=$D$2,$D2473&lt;=$H$2,$G2473&lt;&gt;"X",$F2473&lt;&gt;"Réalisé",$F2473&lt;&gt;"Clôturé"),"≤ 7 j",""))</f>
        <v/>
      </c>
      <c r="M2473" s="29">
        <f>IF($B2473="","",IFERROR(INDEX($T$4:$T$3183,MATCH(SMALL($V$4:$V$3183,2470),$V$4:$V$3183,0)),""))</f>
        <v/>
      </c>
      <c r="O2473">
        <f>IF(INDEX(Suivi!$B:$B,2520)="","",INDEX(Suivi!$B:$B,2520))</f>
        <v/>
      </c>
      <c r="P2473">
        <f>IF($O2473="","",IF(INDEX(Suivi!$D:$D,2520)="",INDEX(Suivi!$C:$C,2520),INDEX(Suivi!$D:$D,2520)))</f>
        <v/>
      </c>
      <c r="Q2473">
        <f>IF($O2473="","",INDEX(Suivi!$E:$E,2520))</f>
        <v/>
      </c>
      <c r="R2473">
        <f>IF($O2473="","",INDEX(Suivi!$F:$F,2520))</f>
        <v/>
      </c>
      <c r="S2473">
        <f>IF($O2473="","",INDEX(Suivi!$G:$G,2520))</f>
        <v/>
      </c>
      <c r="T2473">
        <f>IF($O2473="","",IF(INDEX(Dossiers!$F$4:$F$63,47)="","",INDEX(Dossiers!$F$4:$F$63,47)))</f>
        <v/>
      </c>
      <c r="U2473">
        <f>IF($O2473="","",IF(INDEX(Dossiers!$G$4:$G$63,47)="","",INDEX(Dossiers!$G$4:$G$63,47)))</f>
        <v/>
      </c>
      <c r="V2473">
        <f>IF(OR($O2473="",NOT(ISNUMBER($Q2473))),"",$Q2473*1000000+2473)</f>
        <v/>
      </c>
      <c r="W2473" s="29">
        <f>IF($B2473="","",IFERROR(INDEX($U$4:$U$3183,MATCH(SMALL($V$4:$V$3183,2470),$V$4:$V$3183,0)),""))</f>
        <v/>
      </c>
    </row>
    <row r="2474">
      <c r="A2474">
        <f>IFERROR(INDEX($N$4:$N$3183,MATCH(SMALL($V$4:$V$3183,2471),$V$4:$V$3183,0)),"")</f>
        <v/>
      </c>
      <c r="B2474">
        <f>IFERROR(INDEX($O$4:$O$3183,MATCH(SMALL($V$4:$V$3183,2471),$V$4:$V$3183,0)),"")</f>
        <v/>
      </c>
      <c r="C2474">
        <f>IFERROR(INDEX($P$4:$P$3183,MATCH(SMALL($V$4:$V$3183,2471),$V$4:$V$3183,0)),"")</f>
        <v/>
      </c>
      <c r="D2474" s="29">
        <f>IFERROR(INDEX($Q$4:$Q$3183,MATCH(SMALL($V$4:$V$3183,2471),$V$4:$V$3183,0)),"")</f>
        <v/>
      </c>
      <c r="E2474" s="29">
        <f>IFERROR(INDEX($R$4:$R$3183,MATCH(SMALL($V$4:$V$3183,2471),$V$4:$V$3183,0)),"")</f>
        <v/>
      </c>
      <c r="F2474">
        <f>IFERROR(INDEX($S$4:$S$3183,MATCH(SMALL($V$4:$V$3183,2471),$V$4:$V$3183,0)),"")</f>
        <v/>
      </c>
      <c r="I2474" s="29">
        <f>IF($B2474="","",IFERROR(INDEX($U$4:$U$3183,MATCH(SMALL($V$4:$V$3183,2471),$V$4:$V$3183,0)),""))</f>
        <v/>
      </c>
      <c r="J2474">
        <f>IF($B2474="","",IF($D2474&gt;$F$2,"À venir",IF($E2474&lt;$D$2,"Passé","Dans la période")))</f>
        <v/>
      </c>
      <c r="K2474">
        <f>IF(OR($B2474="",NOT(ISNUMBER($D2474))),"",IF(AND($E2474&lt;$D$2,$G2474&lt;&gt;"X",$F2474&lt;&gt;"Réalisé",$F2474&lt;&gt;"Clôturé"),"RETARD",""))</f>
        <v/>
      </c>
      <c r="L2474">
        <f>IF(OR($B2474="",NOT(ISNUMBER($D2474))),"",IF(AND($D2474&gt;=$D$2,$D2474&lt;=$H$2,$G2474&lt;&gt;"X",$F2474&lt;&gt;"Réalisé",$F2474&lt;&gt;"Clôturé"),"≤ 7 j",""))</f>
        <v/>
      </c>
      <c r="M2474" s="29">
        <f>IF($B2474="","",IFERROR(INDEX($T$4:$T$3183,MATCH(SMALL($V$4:$V$3183,2471),$V$4:$V$3183,0)),""))</f>
        <v/>
      </c>
      <c r="O2474">
        <f>IF(INDEX(Suivi!$B:$B,2521)="","",INDEX(Suivi!$B:$B,2521))</f>
        <v/>
      </c>
      <c r="P2474">
        <f>IF($O2474="","",IF(INDEX(Suivi!$D:$D,2521)="",INDEX(Suivi!$C:$C,2521),INDEX(Suivi!$D:$D,2521)))</f>
        <v/>
      </c>
      <c r="Q2474">
        <f>IF($O2474="","",INDEX(Suivi!$E:$E,2521))</f>
        <v/>
      </c>
      <c r="R2474">
        <f>IF($O2474="","",INDEX(Suivi!$F:$F,2521))</f>
        <v/>
      </c>
      <c r="S2474">
        <f>IF($O2474="","",INDEX(Suivi!$G:$G,2521))</f>
        <v/>
      </c>
      <c r="T2474">
        <f>IF($O2474="","",IF(INDEX(Dossiers!$F$4:$F$63,47)="","",INDEX(Dossiers!$F$4:$F$63,47)))</f>
        <v/>
      </c>
      <c r="U2474">
        <f>IF($O2474="","",IF(INDEX(Dossiers!$G$4:$G$63,47)="","",INDEX(Dossiers!$G$4:$G$63,47)))</f>
        <v/>
      </c>
      <c r="V2474">
        <f>IF(OR($O2474="",NOT(ISNUMBER($Q2474))),"",$Q2474*1000000+2474)</f>
        <v/>
      </c>
      <c r="W2474" s="29">
        <f>IF($B2474="","",IFERROR(INDEX($U$4:$U$3183,MATCH(SMALL($V$4:$V$3183,2471),$V$4:$V$3183,0)),""))</f>
        <v/>
      </c>
    </row>
    <row r="2475">
      <c r="A2475">
        <f>IFERROR(INDEX($N$4:$N$3183,MATCH(SMALL($V$4:$V$3183,2472),$V$4:$V$3183,0)),"")</f>
        <v/>
      </c>
      <c r="B2475">
        <f>IFERROR(INDEX($O$4:$O$3183,MATCH(SMALL($V$4:$V$3183,2472),$V$4:$V$3183,0)),"")</f>
        <v/>
      </c>
      <c r="C2475">
        <f>IFERROR(INDEX($P$4:$P$3183,MATCH(SMALL($V$4:$V$3183,2472),$V$4:$V$3183,0)),"")</f>
        <v/>
      </c>
      <c r="D2475" s="29">
        <f>IFERROR(INDEX($Q$4:$Q$3183,MATCH(SMALL($V$4:$V$3183,2472),$V$4:$V$3183,0)),"")</f>
        <v/>
      </c>
      <c r="E2475" s="29">
        <f>IFERROR(INDEX($R$4:$R$3183,MATCH(SMALL($V$4:$V$3183,2472),$V$4:$V$3183,0)),"")</f>
        <v/>
      </c>
      <c r="F2475">
        <f>IFERROR(INDEX($S$4:$S$3183,MATCH(SMALL($V$4:$V$3183,2472),$V$4:$V$3183,0)),"")</f>
        <v/>
      </c>
      <c r="I2475" s="29">
        <f>IF($B2475="","",IFERROR(INDEX($U$4:$U$3183,MATCH(SMALL($V$4:$V$3183,2472),$V$4:$V$3183,0)),""))</f>
        <v/>
      </c>
      <c r="J2475">
        <f>IF($B2475="","",IF($D2475&gt;$F$2,"À venir",IF($E2475&lt;$D$2,"Passé","Dans la période")))</f>
        <v/>
      </c>
      <c r="K2475">
        <f>IF(OR($B2475="",NOT(ISNUMBER($D2475))),"",IF(AND($E2475&lt;$D$2,$G2475&lt;&gt;"X",$F2475&lt;&gt;"Réalisé",$F2475&lt;&gt;"Clôturé"),"RETARD",""))</f>
        <v/>
      </c>
      <c r="L2475">
        <f>IF(OR($B2475="",NOT(ISNUMBER($D2475))),"",IF(AND($D2475&gt;=$D$2,$D2475&lt;=$H$2,$G2475&lt;&gt;"X",$F2475&lt;&gt;"Réalisé",$F2475&lt;&gt;"Clôturé"),"≤ 7 j",""))</f>
        <v/>
      </c>
      <c r="M2475" s="29">
        <f>IF($B2475="","",IFERROR(INDEX($T$4:$T$3183,MATCH(SMALL($V$4:$V$3183,2472),$V$4:$V$3183,0)),""))</f>
        <v/>
      </c>
      <c r="O2475">
        <f>IF(INDEX(Suivi!$B:$B,2522)="","",INDEX(Suivi!$B:$B,2522))</f>
        <v/>
      </c>
      <c r="P2475">
        <f>IF($O2475="","",IF(INDEX(Suivi!$D:$D,2522)="",INDEX(Suivi!$C:$C,2522),INDEX(Suivi!$D:$D,2522)))</f>
        <v/>
      </c>
      <c r="Q2475">
        <f>IF($O2475="","",INDEX(Suivi!$E:$E,2522))</f>
        <v/>
      </c>
      <c r="R2475">
        <f>IF($O2475="","",INDEX(Suivi!$F:$F,2522))</f>
        <v/>
      </c>
      <c r="S2475">
        <f>IF($O2475="","",INDEX(Suivi!$G:$G,2522))</f>
        <v/>
      </c>
      <c r="T2475">
        <f>IF($O2475="","",IF(INDEX(Dossiers!$F$4:$F$63,47)="","",INDEX(Dossiers!$F$4:$F$63,47)))</f>
        <v/>
      </c>
      <c r="U2475">
        <f>IF($O2475="","",IF(INDEX(Dossiers!$G$4:$G$63,47)="","",INDEX(Dossiers!$G$4:$G$63,47)))</f>
        <v/>
      </c>
      <c r="V2475">
        <f>IF(OR($O2475="",NOT(ISNUMBER($Q2475))),"",$Q2475*1000000+2475)</f>
        <v/>
      </c>
      <c r="W2475" s="29">
        <f>IF($B2475="","",IFERROR(INDEX($U$4:$U$3183,MATCH(SMALL($V$4:$V$3183,2472),$V$4:$V$3183,0)),""))</f>
        <v/>
      </c>
    </row>
    <row r="2476">
      <c r="A2476">
        <f>IFERROR(INDEX($N$4:$N$3183,MATCH(SMALL($V$4:$V$3183,2473),$V$4:$V$3183,0)),"")</f>
        <v/>
      </c>
      <c r="B2476">
        <f>IFERROR(INDEX($O$4:$O$3183,MATCH(SMALL($V$4:$V$3183,2473),$V$4:$V$3183,0)),"")</f>
        <v/>
      </c>
      <c r="C2476">
        <f>IFERROR(INDEX($P$4:$P$3183,MATCH(SMALL($V$4:$V$3183,2473),$V$4:$V$3183,0)),"")</f>
        <v/>
      </c>
      <c r="D2476" s="29">
        <f>IFERROR(INDEX($Q$4:$Q$3183,MATCH(SMALL($V$4:$V$3183,2473),$V$4:$V$3183,0)),"")</f>
        <v/>
      </c>
      <c r="E2476" s="29">
        <f>IFERROR(INDEX($R$4:$R$3183,MATCH(SMALL($V$4:$V$3183,2473),$V$4:$V$3183,0)),"")</f>
        <v/>
      </c>
      <c r="F2476">
        <f>IFERROR(INDEX($S$4:$S$3183,MATCH(SMALL($V$4:$V$3183,2473),$V$4:$V$3183,0)),"")</f>
        <v/>
      </c>
      <c r="I2476" s="29">
        <f>IF($B2476="","",IFERROR(INDEX($U$4:$U$3183,MATCH(SMALL($V$4:$V$3183,2473),$V$4:$V$3183,0)),""))</f>
        <v/>
      </c>
      <c r="J2476">
        <f>IF($B2476="","",IF($D2476&gt;$F$2,"À venir",IF($E2476&lt;$D$2,"Passé","Dans la période")))</f>
        <v/>
      </c>
      <c r="K2476">
        <f>IF(OR($B2476="",NOT(ISNUMBER($D2476))),"",IF(AND($E2476&lt;$D$2,$G2476&lt;&gt;"X",$F2476&lt;&gt;"Réalisé",$F2476&lt;&gt;"Clôturé"),"RETARD",""))</f>
        <v/>
      </c>
      <c r="L2476">
        <f>IF(OR($B2476="",NOT(ISNUMBER($D2476))),"",IF(AND($D2476&gt;=$D$2,$D2476&lt;=$H$2,$G2476&lt;&gt;"X",$F2476&lt;&gt;"Réalisé",$F2476&lt;&gt;"Clôturé"),"≤ 7 j",""))</f>
        <v/>
      </c>
      <c r="M2476" s="29">
        <f>IF($B2476="","",IFERROR(INDEX($T$4:$T$3183,MATCH(SMALL($V$4:$V$3183,2473),$V$4:$V$3183,0)),""))</f>
        <v/>
      </c>
      <c r="O2476">
        <f>IF(INDEX(Suivi!$B:$B,2523)="","",INDEX(Suivi!$B:$B,2523))</f>
        <v/>
      </c>
      <c r="P2476">
        <f>IF($O2476="","",IF(INDEX(Suivi!$D:$D,2523)="",INDEX(Suivi!$C:$C,2523),INDEX(Suivi!$D:$D,2523)))</f>
        <v/>
      </c>
      <c r="Q2476">
        <f>IF($O2476="","",INDEX(Suivi!$E:$E,2523))</f>
        <v/>
      </c>
      <c r="R2476">
        <f>IF($O2476="","",INDEX(Suivi!$F:$F,2523))</f>
        <v/>
      </c>
      <c r="S2476">
        <f>IF($O2476="","",INDEX(Suivi!$G:$G,2523))</f>
        <v/>
      </c>
      <c r="T2476">
        <f>IF($O2476="","",IF(INDEX(Dossiers!$F$4:$F$63,47)="","",INDEX(Dossiers!$F$4:$F$63,47)))</f>
        <v/>
      </c>
      <c r="U2476">
        <f>IF($O2476="","",IF(INDEX(Dossiers!$G$4:$G$63,47)="","",INDEX(Dossiers!$G$4:$G$63,47)))</f>
        <v/>
      </c>
      <c r="V2476">
        <f>IF(OR($O2476="",NOT(ISNUMBER($Q2476))),"",$Q2476*1000000+2476)</f>
        <v/>
      </c>
      <c r="W2476" s="29">
        <f>IF($B2476="","",IFERROR(INDEX($U$4:$U$3183,MATCH(SMALL($V$4:$V$3183,2473),$V$4:$V$3183,0)),""))</f>
        <v/>
      </c>
    </row>
    <row r="2477">
      <c r="A2477">
        <f>IFERROR(INDEX($N$4:$N$3183,MATCH(SMALL($V$4:$V$3183,2474),$V$4:$V$3183,0)),"")</f>
        <v/>
      </c>
      <c r="B2477">
        <f>IFERROR(INDEX($O$4:$O$3183,MATCH(SMALL($V$4:$V$3183,2474),$V$4:$V$3183,0)),"")</f>
        <v/>
      </c>
      <c r="C2477">
        <f>IFERROR(INDEX($P$4:$P$3183,MATCH(SMALL($V$4:$V$3183,2474),$V$4:$V$3183,0)),"")</f>
        <v/>
      </c>
      <c r="D2477" s="29">
        <f>IFERROR(INDEX($Q$4:$Q$3183,MATCH(SMALL($V$4:$V$3183,2474),$V$4:$V$3183,0)),"")</f>
        <v/>
      </c>
      <c r="E2477" s="29">
        <f>IFERROR(INDEX($R$4:$R$3183,MATCH(SMALL($V$4:$V$3183,2474),$V$4:$V$3183,0)),"")</f>
        <v/>
      </c>
      <c r="F2477">
        <f>IFERROR(INDEX($S$4:$S$3183,MATCH(SMALL($V$4:$V$3183,2474),$V$4:$V$3183,0)),"")</f>
        <v/>
      </c>
      <c r="I2477" s="29">
        <f>IF($B2477="","",IFERROR(INDEX($U$4:$U$3183,MATCH(SMALL($V$4:$V$3183,2474),$V$4:$V$3183,0)),""))</f>
        <v/>
      </c>
      <c r="J2477">
        <f>IF($B2477="","",IF($D2477&gt;$F$2,"À venir",IF($E2477&lt;$D$2,"Passé","Dans la période")))</f>
        <v/>
      </c>
      <c r="K2477">
        <f>IF(OR($B2477="",NOT(ISNUMBER($D2477))),"",IF(AND($E2477&lt;$D$2,$G2477&lt;&gt;"X",$F2477&lt;&gt;"Réalisé",$F2477&lt;&gt;"Clôturé"),"RETARD",""))</f>
        <v/>
      </c>
      <c r="L2477">
        <f>IF(OR($B2477="",NOT(ISNUMBER($D2477))),"",IF(AND($D2477&gt;=$D$2,$D2477&lt;=$H$2,$G2477&lt;&gt;"X",$F2477&lt;&gt;"Réalisé",$F2477&lt;&gt;"Clôturé"),"≤ 7 j",""))</f>
        <v/>
      </c>
      <c r="M2477" s="29">
        <f>IF($B2477="","",IFERROR(INDEX($T$4:$T$3183,MATCH(SMALL($V$4:$V$3183,2474),$V$4:$V$3183,0)),""))</f>
        <v/>
      </c>
      <c r="O2477">
        <f>IF(INDEX(Suivi!$B:$B,2524)="","",INDEX(Suivi!$B:$B,2524))</f>
        <v/>
      </c>
      <c r="P2477">
        <f>IF($O2477="","",IF(INDEX(Suivi!$D:$D,2524)="",INDEX(Suivi!$C:$C,2524),INDEX(Suivi!$D:$D,2524)))</f>
        <v/>
      </c>
      <c r="Q2477">
        <f>IF($O2477="","",INDEX(Suivi!$E:$E,2524))</f>
        <v/>
      </c>
      <c r="R2477">
        <f>IF($O2477="","",INDEX(Suivi!$F:$F,2524))</f>
        <v/>
      </c>
      <c r="S2477">
        <f>IF($O2477="","",INDEX(Suivi!$G:$G,2524))</f>
        <v/>
      </c>
      <c r="T2477">
        <f>IF($O2477="","",IF(INDEX(Dossiers!$F$4:$F$63,47)="","",INDEX(Dossiers!$F$4:$F$63,47)))</f>
        <v/>
      </c>
      <c r="U2477">
        <f>IF($O2477="","",IF(INDEX(Dossiers!$G$4:$G$63,47)="","",INDEX(Dossiers!$G$4:$G$63,47)))</f>
        <v/>
      </c>
      <c r="V2477">
        <f>IF(OR($O2477="",NOT(ISNUMBER($Q2477))),"",$Q2477*1000000+2477)</f>
        <v/>
      </c>
      <c r="W2477" s="29">
        <f>IF($B2477="","",IFERROR(INDEX($U$4:$U$3183,MATCH(SMALL($V$4:$V$3183,2474),$V$4:$V$3183,0)),""))</f>
        <v/>
      </c>
    </row>
    <row r="2478">
      <c r="A2478">
        <f>IFERROR(INDEX($N$4:$N$3183,MATCH(SMALL($V$4:$V$3183,2475),$V$4:$V$3183,0)),"")</f>
        <v/>
      </c>
      <c r="B2478">
        <f>IFERROR(INDEX($O$4:$O$3183,MATCH(SMALL($V$4:$V$3183,2475),$V$4:$V$3183,0)),"")</f>
        <v/>
      </c>
      <c r="C2478">
        <f>IFERROR(INDEX($P$4:$P$3183,MATCH(SMALL($V$4:$V$3183,2475),$V$4:$V$3183,0)),"")</f>
        <v/>
      </c>
      <c r="D2478" s="29">
        <f>IFERROR(INDEX($Q$4:$Q$3183,MATCH(SMALL($V$4:$V$3183,2475),$V$4:$V$3183,0)),"")</f>
        <v/>
      </c>
      <c r="E2478" s="29">
        <f>IFERROR(INDEX($R$4:$R$3183,MATCH(SMALL($V$4:$V$3183,2475),$V$4:$V$3183,0)),"")</f>
        <v/>
      </c>
      <c r="F2478">
        <f>IFERROR(INDEX($S$4:$S$3183,MATCH(SMALL($V$4:$V$3183,2475),$V$4:$V$3183,0)),"")</f>
        <v/>
      </c>
      <c r="I2478" s="29">
        <f>IF($B2478="","",IFERROR(INDEX($U$4:$U$3183,MATCH(SMALL($V$4:$V$3183,2475),$V$4:$V$3183,0)),""))</f>
        <v/>
      </c>
      <c r="J2478">
        <f>IF($B2478="","",IF($D2478&gt;$F$2,"À venir",IF($E2478&lt;$D$2,"Passé","Dans la période")))</f>
        <v/>
      </c>
      <c r="K2478">
        <f>IF(OR($B2478="",NOT(ISNUMBER($D2478))),"",IF(AND($E2478&lt;$D$2,$G2478&lt;&gt;"X",$F2478&lt;&gt;"Réalisé",$F2478&lt;&gt;"Clôturé"),"RETARD",""))</f>
        <v/>
      </c>
      <c r="L2478">
        <f>IF(OR($B2478="",NOT(ISNUMBER($D2478))),"",IF(AND($D2478&gt;=$D$2,$D2478&lt;=$H$2,$G2478&lt;&gt;"X",$F2478&lt;&gt;"Réalisé",$F2478&lt;&gt;"Clôturé"),"≤ 7 j",""))</f>
        <v/>
      </c>
      <c r="M2478" s="29">
        <f>IF($B2478="","",IFERROR(INDEX($T$4:$T$3183,MATCH(SMALL($V$4:$V$3183,2475),$V$4:$V$3183,0)),""))</f>
        <v/>
      </c>
      <c r="O2478">
        <f>IF(INDEX(Suivi!$B:$B,2525)="","",INDEX(Suivi!$B:$B,2525))</f>
        <v/>
      </c>
      <c r="P2478">
        <f>IF($O2478="","",IF(INDEX(Suivi!$D:$D,2525)="",INDEX(Suivi!$C:$C,2525),INDEX(Suivi!$D:$D,2525)))</f>
        <v/>
      </c>
      <c r="Q2478">
        <f>IF($O2478="","",INDEX(Suivi!$E:$E,2525))</f>
        <v/>
      </c>
      <c r="R2478">
        <f>IF($O2478="","",INDEX(Suivi!$F:$F,2525))</f>
        <v/>
      </c>
      <c r="S2478">
        <f>IF($O2478="","",INDEX(Suivi!$G:$G,2525))</f>
        <v/>
      </c>
      <c r="T2478">
        <f>IF($O2478="","",IF(INDEX(Dossiers!$F$4:$F$63,47)="","",INDEX(Dossiers!$F$4:$F$63,47)))</f>
        <v/>
      </c>
      <c r="U2478">
        <f>IF($O2478="","",IF(INDEX(Dossiers!$G$4:$G$63,47)="","",INDEX(Dossiers!$G$4:$G$63,47)))</f>
        <v/>
      </c>
      <c r="V2478">
        <f>IF(OR($O2478="",NOT(ISNUMBER($Q2478))),"",$Q2478*1000000+2478)</f>
        <v/>
      </c>
      <c r="W2478" s="29">
        <f>IF($B2478="","",IFERROR(INDEX($U$4:$U$3183,MATCH(SMALL($V$4:$V$3183,2475),$V$4:$V$3183,0)),""))</f>
        <v/>
      </c>
    </row>
    <row r="2479">
      <c r="A2479">
        <f>IFERROR(INDEX($N$4:$N$3183,MATCH(SMALL($V$4:$V$3183,2476),$V$4:$V$3183,0)),"")</f>
        <v/>
      </c>
      <c r="B2479">
        <f>IFERROR(INDEX($O$4:$O$3183,MATCH(SMALL($V$4:$V$3183,2476),$V$4:$V$3183,0)),"")</f>
        <v/>
      </c>
      <c r="C2479">
        <f>IFERROR(INDEX($P$4:$P$3183,MATCH(SMALL($V$4:$V$3183,2476),$V$4:$V$3183,0)),"")</f>
        <v/>
      </c>
      <c r="D2479" s="29">
        <f>IFERROR(INDEX($Q$4:$Q$3183,MATCH(SMALL($V$4:$V$3183,2476),$V$4:$V$3183,0)),"")</f>
        <v/>
      </c>
      <c r="E2479" s="29">
        <f>IFERROR(INDEX($R$4:$R$3183,MATCH(SMALL($V$4:$V$3183,2476),$V$4:$V$3183,0)),"")</f>
        <v/>
      </c>
      <c r="F2479">
        <f>IFERROR(INDEX($S$4:$S$3183,MATCH(SMALL($V$4:$V$3183,2476),$V$4:$V$3183,0)),"")</f>
        <v/>
      </c>
      <c r="I2479" s="29">
        <f>IF($B2479="","",IFERROR(INDEX($U$4:$U$3183,MATCH(SMALL($V$4:$V$3183,2476),$V$4:$V$3183,0)),""))</f>
        <v/>
      </c>
      <c r="J2479">
        <f>IF($B2479="","",IF($D2479&gt;$F$2,"À venir",IF($E2479&lt;$D$2,"Passé","Dans la période")))</f>
        <v/>
      </c>
      <c r="K2479">
        <f>IF(OR($B2479="",NOT(ISNUMBER($D2479))),"",IF(AND($E2479&lt;$D$2,$G2479&lt;&gt;"X",$F2479&lt;&gt;"Réalisé",$F2479&lt;&gt;"Clôturé"),"RETARD",""))</f>
        <v/>
      </c>
      <c r="L2479">
        <f>IF(OR($B2479="",NOT(ISNUMBER($D2479))),"",IF(AND($D2479&gt;=$D$2,$D2479&lt;=$H$2,$G2479&lt;&gt;"X",$F2479&lt;&gt;"Réalisé",$F2479&lt;&gt;"Clôturé"),"≤ 7 j",""))</f>
        <v/>
      </c>
      <c r="M2479" s="29">
        <f>IF($B2479="","",IFERROR(INDEX($T$4:$T$3183,MATCH(SMALL($V$4:$V$3183,2476),$V$4:$V$3183,0)),""))</f>
        <v/>
      </c>
      <c r="O2479">
        <f>IF(INDEX(Suivi!$B:$B,2526)="","",INDEX(Suivi!$B:$B,2526))</f>
        <v/>
      </c>
      <c r="P2479">
        <f>IF($O2479="","",IF(INDEX(Suivi!$D:$D,2526)="",INDEX(Suivi!$C:$C,2526),INDEX(Suivi!$D:$D,2526)))</f>
        <v/>
      </c>
      <c r="Q2479">
        <f>IF($O2479="","",INDEX(Suivi!$E:$E,2526))</f>
        <v/>
      </c>
      <c r="R2479">
        <f>IF($O2479="","",INDEX(Suivi!$F:$F,2526))</f>
        <v/>
      </c>
      <c r="S2479">
        <f>IF($O2479="","",INDEX(Suivi!$G:$G,2526))</f>
        <v/>
      </c>
      <c r="T2479">
        <f>IF($O2479="","",IF(INDEX(Dossiers!$F$4:$F$63,47)="","",INDEX(Dossiers!$F$4:$F$63,47)))</f>
        <v/>
      </c>
      <c r="U2479">
        <f>IF($O2479="","",IF(INDEX(Dossiers!$G$4:$G$63,47)="","",INDEX(Dossiers!$G$4:$G$63,47)))</f>
        <v/>
      </c>
      <c r="V2479">
        <f>IF(OR($O2479="",NOT(ISNUMBER($Q2479))),"",$Q2479*1000000+2479)</f>
        <v/>
      </c>
      <c r="W2479" s="29">
        <f>IF($B2479="","",IFERROR(INDEX($U$4:$U$3183,MATCH(SMALL($V$4:$V$3183,2476),$V$4:$V$3183,0)),""))</f>
        <v/>
      </c>
    </row>
    <row r="2480">
      <c r="A2480">
        <f>IFERROR(INDEX($N$4:$N$3183,MATCH(SMALL($V$4:$V$3183,2477),$V$4:$V$3183,0)),"")</f>
        <v/>
      </c>
      <c r="B2480">
        <f>IFERROR(INDEX($O$4:$O$3183,MATCH(SMALL($V$4:$V$3183,2477),$V$4:$V$3183,0)),"")</f>
        <v/>
      </c>
      <c r="C2480">
        <f>IFERROR(INDEX($P$4:$P$3183,MATCH(SMALL($V$4:$V$3183,2477),$V$4:$V$3183,0)),"")</f>
        <v/>
      </c>
      <c r="D2480" s="29">
        <f>IFERROR(INDEX($Q$4:$Q$3183,MATCH(SMALL($V$4:$V$3183,2477),$V$4:$V$3183,0)),"")</f>
        <v/>
      </c>
      <c r="E2480" s="29">
        <f>IFERROR(INDEX($R$4:$R$3183,MATCH(SMALL($V$4:$V$3183,2477),$V$4:$V$3183,0)),"")</f>
        <v/>
      </c>
      <c r="F2480">
        <f>IFERROR(INDEX($S$4:$S$3183,MATCH(SMALL($V$4:$V$3183,2477),$V$4:$V$3183,0)),"")</f>
        <v/>
      </c>
      <c r="I2480" s="29">
        <f>IF($B2480="","",IFERROR(INDEX($U$4:$U$3183,MATCH(SMALL($V$4:$V$3183,2477),$V$4:$V$3183,0)),""))</f>
        <v/>
      </c>
      <c r="J2480">
        <f>IF($B2480="","",IF($D2480&gt;$F$2,"À venir",IF($E2480&lt;$D$2,"Passé","Dans la période")))</f>
        <v/>
      </c>
      <c r="K2480">
        <f>IF(OR($B2480="",NOT(ISNUMBER($D2480))),"",IF(AND($E2480&lt;$D$2,$G2480&lt;&gt;"X",$F2480&lt;&gt;"Réalisé",$F2480&lt;&gt;"Clôturé"),"RETARD",""))</f>
        <v/>
      </c>
      <c r="L2480">
        <f>IF(OR($B2480="",NOT(ISNUMBER($D2480))),"",IF(AND($D2480&gt;=$D$2,$D2480&lt;=$H$2,$G2480&lt;&gt;"X",$F2480&lt;&gt;"Réalisé",$F2480&lt;&gt;"Clôturé"),"≤ 7 j",""))</f>
        <v/>
      </c>
      <c r="M2480" s="29">
        <f>IF($B2480="","",IFERROR(INDEX($T$4:$T$3183,MATCH(SMALL($V$4:$V$3183,2477),$V$4:$V$3183,0)),""))</f>
        <v/>
      </c>
      <c r="O2480">
        <f>IF(INDEX(Suivi!$B:$B,2527)="","",INDEX(Suivi!$B:$B,2527))</f>
        <v/>
      </c>
      <c r="P2480">
        <f>IF($O2480="","",IF(INDEX(Suivi!$D:$D,2527)="",INDEX(Suivi!$C:$C,2527),INDEX(Suivi!$D:$D,2527)))</f>
        <v/>
      </c>
      <c r="Q2480">
        <f>IF($O2480="","",INDEX(Suivi!$E:$E,2527))</f>
        <v/>
      </c>
      <c r="R2480">
        <f>IF($O2480="","",INDEX(Suivi!$F:$F,2527))</f>
        <v/>
      </c>
      <c r="S2480">
        <f>IF($O2480="","",INDEX(Suivi!$G:$G,2527))</f>
        <v/>
      </c>
      <c r="T2480">
        <f>IF($O2480="","",IF(INDEX(Dossiers!$F$4:$F$63,47)="","",INDEX(Dossiers!$F$4:$F$63,47)))</f>
        <v/>
      </c>
      <c r="U2480">
        <f>IF($O2480="","",IF(INDEX(Dossiers!$G$4:$G$63,47)="","",INDEX(Dossiers!$G$4:$G$63,47)))</f>
        <v/>
      </c>
      <c r="V2480">
        <f>IF(OR($O2480="",NOT(ISNUMBER($Q2480))),"",$Q2480*1000000+2480)</f>
        <v/>
      </c>
      <c r="W2480" s="29">
        <f>IF($B2480="","",IFERROR(INDEX($U$4:$U$3183,MATCH(SMALL($V$4:$V$3183,2477),$V$4:$V$3183,0)),""))</f>
        <v/>
      </c>
    </row>
    <row r="2481">
      <c r="A2481">
        <f>IFERROR(INDEX($N$4:$N$3183,MATCH(SMALL($V$4:$V$3183,2478),$V$4:$V$3183,0)),"")</f>
        <v/>
      </c>
      <c r="B2481">
        <f>IFERROR(INDEX($O$4:$O$3183,MATCH(SMALL($V$4:$V$3183,2478),$V$4:$V$3183,0)),"")</f>
        <v/>
      </c>
      <c r="C2481">
        <f>IFERROR(INDEX($P$4:$P$3183,MATCH(SMALL($V$4:$V$3183,2478),$V$4:$V$3183,0)),"")</f>
        <v/>
      </c>
      <c r="D2481" s="29">
        <f>IFERROR(INDEX($Q$4:$Q$3183,MATCH(SMALL($V$4:$V$3183,2478),$V$4:$V$3183,0)),"")</f>
        <v/>
      </c>
      <c r="E2481" s="29">
        <f>IFERROR(INDEX($R$4:$R$3183,MATCH(SMALL($V$4:$V$3183,2478),$V$4:$V$3183,0)),"")</f>
        <v/>
      </c>
      <c r="F2481">
        <f>IFERROR(INDEX($S$4:$S$3183,MATCH(SMALL($V$4:$V$3183,2478),$V$4:$V$3183,0)),"")</f>
        <v/>
      </c>
      <c r="I2481" s="29">
        <f>IF($B2481="","",IFERROR(INDEX($U$4:$U$3183,MATCH(SMALL($V$4:$V$3183,2478),$V$4:$V$3183,0)),""))</f>
        <v/>
      </c>
      <c r="J2481">
        <f>IF($B2481="","",IF($D2481&gt;$F$2,"À venir",IF($E2481&lt;$D$2,"Passé","Dans la période")))</f>
        <v/>
      </c>
      <c r="K2481">
        <f>IF(OR($B2481="",NOT(ISNUMBER($D2481))),"",IF(AND($E2481&lt;$D$2,$G2481&lt;&gt;"X",$F2481&lt;&gt;"Réalisé",$F2481&lt;&gt;"Clôturé"),"RETARD",""))</f>
        <v/>
      </c>
      <c r="L2481">
        <f>IF(OR($B2481="",NOT(ISNUMBER($D2481))),"",IF(AND($D2481&gt;=$D$2,$D2481&lt;=$H$2,$G2481&lt;&gt;"X",$F2481&lt;&gt;"Réalisé",$F2481&lt;&gt;"Clôturé"),"≤ 7 j",""))</f>
        <v/>
      </c>
      <c r="M2481" s="29">
        <f>IF($B2481="","",IFERROR(INDEX($T$4:$T$3183,MATCH(SMALL($V$4:$V$3183,2478),$V$4:$V$3183,0)),""))</f>
        <v/>
      </c>
      <c r="O2481">
        <f>IF(INDEX(Suivi!$B:$B,2528)="","",INDEX(Suivi!$B:$B,2528))</f>
        <v/>
      </c>
      <c r="P2481">
        <f>IF($O2481="","",IF(INDEX(Suivi!$D:$D,2528)="",INDEX(Suivi!$C:$C,2528),INDEX(Suivi!$D:$D,2528)))</f>
        <v/>
      </c>
      <c r="Q2481">
        <f>IF($O2481="","",INDEX(Suivi!$E:$E,2528))</f>
        <v/>
      </c>
      <c r="R2481">
        <f>IF($O2481="","",INDEX(Suivi!$F:$F,2528))</f>
        <v/>
      </c>
      <c r="S2481">
        <f>IF($O2481="","",INDEX(Suivi!$G:$G,2528))</f>
        <v/>
      </c>
      <c r="T2481">
        <f>IF($O2481="","",IF(INDEX(Dossiers!$F$4:$F$63,47)="","",INDEX(Dossiers!$F$4:$F$63,47)))</f>
        <v/>
      </c>
      <c r="U2481">
        <f>IF($O2481="","",IF(INDEX(Dossiers!$G$4:$G$63,47)="","",INDEX(Dossiers!$G$4:$G$63,47)))</f>
        <v/>
      </c>
      <c r="V2481">
        <f>IF(OR($O2481="",NOT(ISNUMBER($Q2481))),"",$Q2481*1000000+2481)</f>
        <v/>
      </c>
      <c r="W2481" s="29">
        <f>IF($B2481="","",IFERROR(INDEX($U$4:$U$3183,MATCH(SMALL($V$4:$V$3183,2478),$V$4:$V$3183,0)),""))</f>
        <v/>
      </c>
    </row>
    <row r="2482">
      <c r="A2482">
        <f>IFERROR(INDEX($N$4:$N$3183,MATCH(SMALL($V$4:$V$3183,2479),$V$4:$V$3183,0)),"")</f>
        <v/>
      </c>
      <c r="B2482">
        <f>IFERROR(INDEX($O$4:$O$3183,MATCH(SMALL($V$4:$V$3183,2479),$V$4:$V$3183,0)),"")</f>
        <v/>
      </c>
      <c r="C2482">
        <f>IFERROR(INDEX($P$4:$P$3183,MATCH(SMALL($V$4:$V$3183,2479),$V$4:$V$3183,0)),"")</f>
        <v/>
      </c>
      <c r="D2482" s="29">
        <f>IFERROR(INDEX($Q$4:$Q$3183,MATCH(SMALL($V$4:$V$3183,2479),$V$4:$V$3183,0)),"")</f>
        <v/>
      </c>
      <c r="E2482" s="29">
        <f>IFERROR(INDEX($R$4:$R$3183,MATCH(SMALL($V$4:$V$3183,2479),$V$4:$V$3183,0)),"")</f>
        <v/>
      </c>
      <c r="F2482">
        <f>IFERROR(INDEX($S$4:$S$3183,MATCH(SMALL($V$4:$V$3183,2479),$V$4:$V$3183,0)),"")</f>
        <v/>
      </c>
      <c r="I2482" s="29">
        <f>IF($B2482="","",IFERROR(INDEX($U$4:$U$3183,MATCH(SMALL($V$4:$V$3183,2479),$V$4:$V$3183,0)),""))</f>
        <v/>
      </c>
      <c r="J2482">
        <f>IF($B2482="","",IF($D2482&gt;$F$2,"À venir",IF($E2482&lt;$D$2,"Passé","Dans la période")))</f>
        <v/>
      </c>
      <c r="K2482">
        <f>IF(OR($B2482="",NOT(ISNUMBER($D2482))),"",IF(AND($E2482&lt;$D$2,$G2482&lt;&gt;"X",$F2482&lt;&gt;"Réalisé",$F2482&lt;&gt;"Clôturé"),"RETARD",""))</f>
        <v/>
      </c>
      <c r="L2482">
        <f>IF(OR($B2482="",NOT(ISNUMBER($D2482))),"",IF(AND($D2482&gt;=$D$2,$D2482&lt;=$H$2,$G2482&lt;&gt;"X",$F2482&lt;&gt;"Réalisé",$F2482&lt;&gt;"Clôturé"),"≤ 7 j",""))</f>
        <v/>
      </c>
      <c r="M2482" s="29">
        <f>IF($B2482="","",IFERROR(INDEX($T$4:$T$3183,MATCH(SMALL($V$4:$V$3183,2479),$V$4:$V$3183,0)),""))</f>
        <v/>
      </c>
      <c r="O2482">
        <f>IF(INDEX(Suivi!$B:$B,2529)="","",INDEX(Suivi!$B:$B,2529))</f>
        <v/>
      </c>
      <c r="P2482">
        <f>IF($O2482="","",IF(INDEX(Suivi!$D:$D,2529)="",INDEX(Suivi!$C:$C,2529),INDEX(Suivi!$D:$D,2529)))</f>
        <v/>
      </c>
      <c r="Q2482">
        <f>IF($O2482="","",INDEX(Suivi!$E:$E,2529))</f>
        <v/>
      </c>
      <c r="R2482">
        <f>IF($O2482="","",INDEX(Suivi!$F:$F,2529))</f>
        <v/>
      </c>
      <c r="S2482">
        <f>IF($O2482="","",INDEX(Suivi!$G:$G,2529))</f>
        <v/>
      </c>
      <c r="T2482">
        <f>IF($O2482="","",IF(INDEX(Dossiers!$F$4:$F$63,47)="","",INDEX(Dossiers!$F$4:$F$63,47)))</f>
        <v/>
      </c>
      <c r="U2482">
        <f>IF($O2482="","",IF(INDEX(Dossiers!$G$4:$G$63,47)="","",INDEX(Dossiers!$G$4:$G$63,47)))</f>
        <v/>
      </c>
      <c r="V2482">
        <f>IF(OR($O2482="",NOT(ISNUMBER($Q2482))),"",$Q2482*1000000+2482)</f>
        <v/>
      </c>
      <c r="W2482" s="29">
        <f>IF($B2482="","",IFERROR(INDEX($U$4:$U$3183,MATCH(SMALL($V$4:$V$3183,2479),$V$4:$V$3183,0)),""))</f>
        <v/>
      </c>
    </row>
    <row r="2483">
      <c r="A2483">
        <f>IFERROR(INDEX($N$4:$N$3183,MATCH(SMALL($V$4:$V$3183,2480),$V$4:$V$3183,0)),"")</f>
        <v/>
      </c>
      <c r="B2483">
        <f>IFERROR(INDEX($O$4:$O$3183,MATCH(SMALL($V$4:$V$3183,2480),$V$4:$V$3183,0)),"")</f>
        <v/>
      </c>
      <c r="C2483">
        <f>IFERROR(INDEX($P$4:$P$3183,MATCH(SMALL($V$4:$V$3183,2480),$V$4:$V$3183,0)),"")</f>
        <v/>
      </c>
      <c r="D2483" s="29">
        <f>IFERROR(INDEX($Q$4:$Q$3183,MATCH(SMALL($V$4:$V$3183,2480),$V$4:$V$3183,0)),"")</f>
        <v/>
      </c>
      <c r="E2483" s="29">
        <f>IFERROR(INDEX($R$4:$R$3183,MATCH(SMALL($V$4:$V$3183,2480),$V$4:$V$3183,0)),"")</f>
        <v/>
      </c>
      <c r="F2483">
        <f>IFERROR(INDEX($S$4:$S$3183,MATCH(SMALL($V$4:$V$3183,2480),$V$4:$V$3183,0)),"")</f>
        <v/>
      </c>
      <c r="I2483" s="29">
        <f>IF($B2483="","",IFERROR(INDEX($U$4:$U$3183,MATCH(SMALL($V$4:$V$3183,2480),$V$4:$V$3183,0)),""))</f>
        <v/>
      </c>
      <c r="J2483">
        <f>IF($B2483="","",IF($D2483&gt;$F$2,"À venir",IF($E2483&lt;$D$2,"Passé","Dans la période")))</f>
        <v/>
      </c>
      <c r="K2483">
        <f>IF(OR($B2483="",NOT(ISNUMBER($D2483))),"",IF(AND($E2483&lt;$D$2,$G2483&lt;&gt;"X",$F2483&lt;&gt;"Réalisé",$F2483&lt;&gt;"Clôturé"),"RETARD",""))</f>
        <v/>
      </c>
      <c r="L2483">
        <f>IF(OR($B2483="",NOT(ISNUMBER($D2483))),"",IF(AND($D2483&gt;=$D$2,$D2483&lt;=$H$2,$G2483&lt;&gt;"X",$F2483&lt;&gt;"Réalisé",$F2483&lt;&gt;"Clôturé"),"≤ 7 j",""))</f>
        <v/>
      </c>
      <c r="M2483" s="29">
        <f>IF($B2483="","",IFERROR(INDEX($T$4:$T$3183,MATCH(SMALL($V$4:$V$3183,2480),$V$4:$V$3183,0)),""))</f>
        <v/>
      </c>
      <c r="O2483">
        <f>IF(INDEX(Suivi!$B:$B,2530)="","",INDEX(Suivi!$B:$B,2530))</f>
        <v/>
      </c>
      <c r="P2483">
        <f>IF($O2483="","",IF(INDEX(Suivi!$D:$D,2530)="",INDEX(Suivi!$C:$C,2530),INDEX(Suivi!$D:$D,2530)))</f>
        <v/>
      </c>
      <c r="Q2483">
        <f>IF($O2483="","",INDEX(Suivi!$E:$E,2530))</f>
        <v/>
      </c>
      <c r="R2483">
        <f>IF($O2483="","",INDEX(Suivi!$F:$F,2530))</f>
        <v/>
      </c>
      <c r="S2483">
        <f>IF($O2483="","",INDEX(Suivi!$G:$G,2530))</f>
        <v/>
      </c>
      <c r="T2483">
        <f>IF($O2483="","",IF(INDEX(Dossiers!$F$4:$F$63,47)="","",INDEX(Dossiers!$F$4:$F$63,47)))</f>
        <v/>
      </c>
      <c r="U2483">
        <f>IF($O2483="","",IF(INDEX(Dossiers!$G$4:$G$63,47)="","",INDEX(Dossiers!$G$4:$G$63,47)))</f>
        <v/>
      </c>
      <c r="V2483">
        <f>IF(OR($O2483="",NOT(ISNUMBER($Q2483))),"",$Q2483*1000000+2483)</f>
        <v/>
      </c>
      <c r="W2483" s="29">
        <f>IF($B2483="","",IFERROR(INDEX($U$4:$U$3183,MATCH(SMALL($V$4:$V$3183,2480),$V$4:$V$3183,0)),""))</f>
        <v/>
      </c>
    </row>
    <row r="2484">
      <c r="A2484">
        <f>IFERROR(INDEX($N$4:$N$3183,MATCH(SMALL($V$4:$V$3183,2481),$V$4:$V$3183,0)),"")</f>
        <v/>
      </c>
      <c r="B2484">
        <f>IFERROR(INDEX($O$4:$O$3183,MATCH(SMALL($V$4:$V$3183,2481),$V$4:$V$3183,0)),"")</f>
        <v/>
      </c>
      <c r="C2484">
        <f>IFERROR(INDEX($P$4:$P$3183,MATCH(SMALL($V$4:$V$3183,2481),$V$4:$V$3183,0)),"")</f>
        <v/>
      </c>
      <c r="D2484" s="29">
        <f>IFERROR(INDEX($Q$4:$Q$3183,MATCH(SMALL($V$4:$V$3183,2481),$V$4:$V$3183,0)),"")</f>
        <v/>
      </c>
      <c r="E2484" s="29">
        <f>IFERROR(INDEX($R$4:$R$3183,MATCH(SMALL($V$4:$V$3183,2481),$V$4:$V$3183,0)),"")</f>
        <v/>
      </c>
      <c r="F2484">
        <f>IFERROR(INDEX($S$4:$S$3183,MATCH(SMALL($V$4:$V$3183,2481),$V$4:$V$3183,0)),"")</f>
        <v/>
      </c>
      <c r="I2484" s="29">
        <f>IF($B2484="","",IFERROR(INDEX($U$4:$U$3183,MATCH(SMALL($V$4:$V$3183,2481),$V$4:$V$3183,0)),""))</f>
        <v/>
      </c>
      <c r="J2484">
        <f>IF($B2484="","",IF($D2484&gt;$F$2,"À venir",IF($E2484&lt;$D$2,"Passé","Dans la période")))</f>
        <v/>
      </c>
      <c r="K2484">
        <f>IF(OR($B2484="",NOT(ISNUMBER($D2484))),"",IF(AND($E2484&lt;$D$2,$G2484&lt;&gt;"X",$F2484&lt;&gt;"Réalisé",$F2484&lt;&gt;"Clôturé"),"RETARD",""))</f>
        <v/>
      </c>
      <c r="L2484">
        <f>IF(OR($B2484="",NOT(ISNUMBER($D2484))),"",IF(AND($D2484&gt;=$D$2,$D2484&lt;=$H$2,$G2484&lt;&gt;"X",$F2484&lt;&gt;"Réalisé",$F2484&lt;&gt;"Clôturé"),"≤ 7 j",""))</f>
        <v/>
      </c>
      <c r="M2484" s="29">
        <f>IF($B2484="","",IFERROR(INDEX($T$4:$T$3183,MATCH(SMALL($V$4:$V$3183,2481),$V$4:$V$3183,0)),""))</f>
        <v/>
      </c>
      <c r="O2484">
        <f>IF(INDEX(Suivi!$B:$B,2531)="","",INDEX(Suivi!$B:$B,2531))</f>
        <v/>
      </c>
      <c r="P2484">
        <f>IF($O2484="","",IF(INDEX(Suivi!$D:$D,2531)="",INDEX(Suivi!$C:$C,2531),INDEX(Suivi!$D:$D,2531)))</f>
        <v/>
      </c>
      <c r="Q2484">
        <f>IF($O2484="","",INDEX(Suivi!$E:$E,2531))</f>
        <v/>
      </c>
      <c r="R2484">
        <f>IF($O2484="","",INDEX(Suivi!$F:$F,2531))</f>
        <v/>
      </c>
      <c r="S2484">
        <f>IF($O2484="","",INDEX(Suivi!$G:$G,2531))</f>
        <v/>
      </c>
      <c r="T2484">
        <f>IF($O2484="","",IF(INDEX(Dossiers!$F$4:$F$63,47)="","",INDEX(Dossiers!$F$4:$F$63,47)))</f>
        <v/>
      </c>
      <c r="U2484">
        <f>IF($O2484="","",IF(INDEX(Dossiers!$G$4:$G$63,47)="","",INDEX(Dossiers!$G$4:$G$63,47)))</f>
        <v/>
      </c>
      <c r="V2484">
        <f>IF(OR($O2484="",NOT(ISNUMBER($Q2484))),"",$Q2484*1000000+2484)</f>
        <v/>
      </c>
      <c r="W2484" s="29">
        <f>IF($B2484="","",IFERROR(INDEX($U$4:$U$3183,MATCH(SMALL($V$4:$V$3183,2481),$V$4:$V$3183,0)),""))</f>
        <v/>
      </c>
    </row>
    <row r="2485">
      <c r="A2485">
        <f>IFERROR(INDEX($N$4:$N$3183,MATCH(SMALL($V$4:$V$3183,2482),$V$4:$V$3183,0)),"")</f>
        <v/>
      </c>
      <c r="B2485">
        <f>IFERROR(INDEX($O$4:$O$3183,MATCH(SMALL($V$4:$V$3183,2482),$V$4:$V$3183,0)),"")</f>
        <v/>
      </c>
      <c r="C2485">
        <f>IFERROR(INDEX($P$4:$P$3183,MATCH(SMALL($V$4:$V$3183,2482),$V$4:$V$3183,0)),"")</f>
        <v/>
      </c>
      <c r="D2485" s="29">
        <f>IFERROR(INDEX($Q$4:$Q$3183,MATCH(SMALL($V$4:$V$3183,2482),$V$4:$V$3183,0)),"")</f>
        <v/>
      </c>
      <c r="E2485" s="29">
        <f>IFERROR(INDEX($R$4:$R$3183,MATCH(SMALL($V$4:$V$3183,2482),$V$4:$V$3183,0)),"")</f>
        <v/>
      </c>
      <c r="F2485">
        <f>IFERROR(INDEX($S$4:$S$3183,MATCH(SMALL($V$4:$V$3183,2482),$V$4:$V$3183,0)),"")</f>
        <v/>
      </c>
      <c r="I2485" s="29">
        <f>IF($B2485="","",IFERROR(INDEX($U$4:$U$3183,MATCH(SMALL($V$4:$V$3183,2482),$V$4:$V$3183,0)),""))</f>
        <v/>
      </c>
      <c r="J2485">
        <f>IF($B2485="","",IF($D2485&gt;$F$2,"À venir",IF($E2485&lt;$D$2,"Passé","Dans la période")))</f>
        <v/>
      </c>
      <c r="K2485">
        <f>IF(OR($B2485="",NOT(ISNUMBER($D2485))),"",IF(AND($E2485&lt;$D$2,$G2485&lt;&gt;"X",$F2485&lt;&gt;"Réalisé",$F2485&lt;&gt;"Clôturé"),"RETARD",""))</f>
        <v/>
      </c>
      <c r="L2485">
        <f>IF(OR($B2485="",NOT(ISNUMBER($D2485))),"",IF(AND($D2485&gt;=$D$2,$D2485&lt;=$H$2,$G2485&lt;&gt;"X",$F2485&lt;&gt;"Réalisé",$F2485&lt;&gt;"Clôturé"),"≤ 7 j",""))</f>
        <v/>
      </c>
      <c r="M2485" s="29">
        <f>IF($B2485="","",IFERROR(INDEX($T$4:$T$3183,MATCH(SMALL($V$4:$V$3183,2482),$V$4:$V$3183,0)),""))</f>
        <v/>
      </c>
      <c r="O2485">
        <f>IF(INDEX(Suivi!$B:$B,2532)="","",INDEX(Suivi!$B:$B,2532))</f>
        <v/>
      </c>
      <c r="P2485">
        <f>IF($O2485="","",IF(INDEX(Suivi!$D:$D,2532)="",INDEX(Suivi!$C:$C,2532),INDEX(Suivi!$D:$D,2532)))</f>
        <v/>
      </c>
      <c r="Q2485">
        <f>IF($O2485="","",INDEX(Suivi!$E:$E,2532))</f>
        <v/>
      </c>
      <c r="R2485">
        <f>IF($O2485="","",INDEX(Suivi!$F:$F,2532))</f>
        <v/>
      </c>
      <c r="S2485">
        <f>IF($O2485="","",INDEX(Suivi!$G:$G,2532))</f>
        <v/>
      </c>
      <c r="T2485">
        <f>IF($O2485="","",IF(INDEX(Dossiers!$F$4:$F$63,47)="","",INDEX(Dossiers!$F$4:$F$63,47)))</f>
        <v/>
      </c>
      <c r="U2485">
        <f>IF($O2485="","",IF(INDEX(Dossiers!$G$4:$G$63,47)="","",INDEX(Dossiers!$G$4:$G$63,47)))</f>
        <v/>
      </c>
      <c r="V2485">
        <f>IF(OR($O2485="",NOT(ISNUMBER($Q2485))),"",$Q2485*1000000+2485)</f>
        <v/>
      </c>
      <c r="W2485" s="29">
        <f>IF($B2485="","",IFERROR(INDEX($U$4:$U$3183,MATCH(SMALL($V$4:$V$3183,2482),$V$4:$V$3183,0)),""))</f>
        <v/>
      </c>
    </row>
    <row r="2486">
      <c r="A2486">
        <f>IFERROR(INDEX($N$4:$N$3183,MATCH(SMALL($V$4:$V$3183,2483),$V$4:$V$3183,0)),"")</f>
        <v/>
      </c>
      <c r="B2486">
        <f>IFERROR(INDEX($O$4:$O$3183,MATCH(SMALL($V$4:$V$3183,2483),$V$4:$V$3183,0)),"")</f>
        <v/>
      </c>
      <c r="C2486">
        <f>IFERROR(INDEX($P$4:$P$3183,MATCH(SMALL($V$4:$V$3183,2483),$V$4:$V$3183,0)),"")</f>
        <v/>
      </c>
      <c r="D2486" s="29">
        <f>IFERROR(INDEX($Q$4:$Q$3183,MATCH(SMALL($V$4:$V$3183,2483),$V$4:$V$3183,0)),"")</f>
        <v/>
      </c>
      <c r="E2486" s="29">
        <f>IFERROR(INDEX($R$4:$R$3183,MATCH(SMALL($V$4:$V$3183,2483),$V$4:$V$3183,0)),"")</f>
        <v/>
      </c>
      <c r="F2486">
        <f>IFERROR(INDEX($S$4:$S$3183,MATCH(SMALL($V$4:$V$3183,2483),$V$4:$V$3183,0)),"")</f>
        <v/>
      </c>
      <c r="I2486" s="29">
        <f>IF($B2486="","",IFERROR(INDEX($U$4:$U$3183,MATCH(SMALL($V$4:$V$3183,2483),$V$4:$V$3183,0)),""))</f>
        <v/>
      </c>
      <c r="J2486">
        <f>IF($B2486="","",IF($D2486&gt;$F$2,"À venir",IF($E2486&lt;$D$2,"Passé","Dans la période")))</f>
        <v/>
      </c>
      <c r="K2486">
        <f>IF(OR($B2486="",NOT(ISNUMBER($D2486))),"",IF(AND($E2486&lt;$D$2,$G2486&lt;&gt;"X",$F2486&lt;&gt;"Réalisé",$F2486&lt;&gt;"Clôturé"),"RETARD",""))</f>
        <v/>
      </c>
      <c r="L2486">
        <f>IF(OR($B2486="",NOT(ISNUMBER($D2486))),"",IF(AND($D2486&gt;=$D$2,$D2486&lt;=$H$2,$G2486&lt;&gt;"X",$F2486&lt;&gt;"Réalisé",$F2486&lt;&gt;"Clôturé"),"≤ 7 j",""))</f>
        <v/>
      </c>
      <c r="M2486" s="29">
        <f>IF($B2486="","",IFERROR(INDEX($T$4:$T$3183,MATCH(SMALL($V$4:$V$3183,2483),$V$4:$V$3183,0)),""))</f>
        <v/>
      </c>
      <c r="O2486">
        <f>IF(INDEX(Suivi!$B:$B,2533)="","",INDEX(Suivi!$B:$B,2533))</f>
        <v/>
      </c>
      <c r="P2486">
        <f>IF($O2486="","",IF(INDEX(Suivi!$D:$D,2533)="",INDEX(Suivi!$C:$C,2533),INDEX(Suivi!$D:$D,2533)))</f>
        <v/>
      </c>
      <c r="Q2486">
        <f>IF($O2486="","",INDEX(Suivi!$E:$E,2533))</f>
        <v/>
      </c>
      <c r="R2486">
        <f>IF($O2486="","",INDEX(Suivi!$F:$F,2533))</f>
        <v/>
      </c>
      <c r="S2486">
        <f>IF($O2486="","",INDEX(Suivi!$G:$G,2533))</f>
        <v/>
      </c>
      <c r="T2486">
        <f>IF($O2486="","",IF(INDEX(Dossiers!$F$4:$F$63,47)="","",INDEX(Dossiers!$F$4:$F$63,47)))</f>
        <v/>
      </c>
      <c r="U2486">
        <f>IF($O2486="","",IF(INDEX(Dossiers!$G$4:$G$63,47)="","",INDEX(Dossiers!$G$4:$G$63,47)))</f>
        <v/>
      </c>
      <c r="V2486">
        <f>IF(OR($O2486="",NOT(ISNUMBER($Q2486))),"",$Q2486*1000000+2486)</f>
        <v/>
      </c>
      <c r="W2486" s="29">
        <f>IF($B2486="","",IFERROR(INDEX($U$4:$U$3183,MATCH(SMALL($V$4:$V$3183,2483),$V$4:$V$3183,0)),""))</f>
        <v/>
      </c>
    </row>
    <row r="2487">
      <c r="A2487">
        <f>IFERROR(INDEX($N$4:$N$3183,MATCH(SMALL($V$4:$V$3183,2484),$V$4:$V$3183,0)),"")</f>
        <v/>
      </c>
      <c r="B2487">
        <f>IFERROR(INDEX($O$4:$O$3183,MATCH(SMALL($V$4:$V$3183,2484),$V$4:$V$3183,0)),"")</f>
        <v/>
      </c>
      <c r="C2487">
        <f>IFERROR(INDEX($P$4:$P$3183,MATCH(SMALL($V$4:$V$3183,2484),$V$4:$V$3183,0)),"")</f>
        <v/>
      </c>
      <c r="D2487" s="29">
        <f>IFERROR(INDEX($Q$4:$Q$3183,MATCH(SMALL($V$4:$V$3183,2484),$V$4:$V$3183,0)),"")</f>
        <v/>
      </c>
      <c r="E2487" s="29">
        <f>IFERROR(INDEX($R$4:$R$3183,MATCH(SMALL($V$4:$V$3183,2484),$V$4:$V$3183,0)),"")</f>
        <v/>
      </c>
      <c r="F2487">
        <f>IFERROR(INDEX($S$4:$S$3183,MATCH(SMALL($V$4:$V$3183,2484),$V$4:$V$3183,0)),"")</f>
        <v/>
      </c>
      <c r="I2487" s="29">
        <f>IF($B2487="","",IFERROR(INDEX($U$4:$U$3183,MATCH(SMALL($V$4:$V$3183,2484),$V$4:$V$3183,0)),""))</f>
        <v/>
      </c>
      <c r="J2487">
        <f>IF($B2487="","",IF($D2487&gt;$F$2,"À venir",IF($E2487&lt;$D$2,"Passé","Dans la période")))</f>
        <v/>
      </c>
      <c r="K2487">
        <f>IF(OR($B2487="",NOT(ISNUMBER($D2487))),"",IF(AND($E2487&lt;$D$2,$G2487&lt;&gt;"X",$F2487&lt;&gt;"Réalisé",$F2487&lt;&gt;"Clôturé"),"RETARD",""))</f>
        <v/>
      </c>
      <c r="L2487">
        <f>IF(OR($B2487="",NOT(ISNUMBER($D2487))),"",IF(AND($D2487&gt;=$D$2,$D2487&lt;=$H$2,$G2487&lt;&gt;"X",$F2487&lt;&gt;"Réalisé",$F2487&lt;&gt;"Clôturé"),"≤ 7 j",""))</f>
        <v/>
      </c>
      <c r="M2487" s="29">
        <f>IF($B2487="","",IFERROR(INDEX($T$4:$T$3183,MATCH(SMALL($V$4:$V$3183,2484),$V$4:$V$3183,0)),""))</f>
        <v/>
      </c>
      <c r="O2487">
        <f>IF(INDEX(Suivi!$B:$B,2534)="","",INDEX(Suivi!$B:$B,2534))</f>
        <v/>
      </c>
      <c r="P2487">
        <f>IF($O2487="","",IF(INDEX(Suivi!$D:$D,2534)="",INDEX(Suivi!$C:$C,2534),INDEX(Suivi!$D:$D,2534)))</f>
        <v/>
      </c>
      <c r="Q2487">
        <f>IF($O2487="","",INDEX(Suivi!$E:$E,2534))</f>
        <v/>
      </c>
      <c r="R2487">
        <f>IF($O2487="","",INDEX(Suivi!$F:$F,2534))</f>
        <v/>
      </c>
      <c r="S2487">
        <f>IF($O2487="","",INDEX(Suivi!$G:$G,2534))</f>
        <v/>
      </c>
      <c r="T2487">
        <f>IF($O2487="","",IF(INDEX(Dossiers!$F$4:$F$63,47)="","",INDEX(Dossiers!$F$4:$F$63,47)))</f>
        <v/>
      </c>
      <c r="U2487">
        <f>IF($O2487="","",IF(INDEX(Dossiers!$G$4:$G$63,47)="","",INDEX(Dossiers!$G$4:$G$63,47)))</f>
        <v/>
      </c>
      <c r="V2487">
        <f>IF(OR($O2487="",NOT(ISNUMBER($Q2487))),"",$Q2487*1000000+2487)</f>
        <v/>
      </c>
      <c r="W2487" s="29">
        <f>IF($B2487="","",IFERROR(INDEX($U$4:$U$3183,MATCH(SMALL($V$4:$V$3183,2484),$V$4:$V$3183,0)),""))</f>
        <v/>
      </c>
    </row>
    <row r="2488">
      <c r="A2488">
        <f>IFERROR(INDEX($N$4:$N$3183,MATCH(SMALL($V$4:$V$3183,2485),$V$4:$V$3183,0)),"")</f>
        <v/>
      </c>
      <c r="B2488">
        <f>IFERROR(INDEX($O$4:$O$3183,MATCH(SMALL($V$4:$V$3183,2485),$V$4:$V$3183,0)),"")</f>
        <v/>
      </c>
      <c r="C2488">
        <f>IFERROR(INDEX($P$4:$P$3183,MATCH(SMALL($V$4:$V$3183,2485),$V$4:$V$3183,0)),"")</f>
        <v/>
      </c>
      <c r="D2488" s="29">
        <f>IFERROR(INDEX($Q$4:$Q$3183,MATCH(SMALL($V$4:$V$3183,2485),$V$4:$V$3183,0)),"")</f>
        <v/>
      </c>
      <c r="E2488" s="29">
        <f>IFERROR(INDEX($R$4:$R$3183,MATCH(SMALL($V$4:$V$3183,2485),$V$4:$V$3183,0)),"")</f>
        <v/>
      </c>
      <c r="F2488">
        <f>IFERROR(INDEX($S$4:$S$3183,MATCH(SMALL($V$4:$V$3183,2485),$V$4:$V$3183,0)),"")</f>
        <v/>
      </c>
      <c r="I2488" s="29">
        <f>IF($B2488="","",IFERROR(INDEX($U$4:$U$3183,MATCH(SMALL($V$4:$V$3183,2485),$V$4:$V$3183,0)),""))</f>
        <v/>
      </c>
      <c r="J2488">
        <f>IF($B2488="","",IF($D2488&gt;$F$2,"À venir",IF($E2488&lt;$D$2,"Passé","Dans la période")))</f>
        <v/>
      </c>
      <c r="K2488">
        <f>IF(OR($B2488="",NOT(ISNUMBER($D2488))),"",IF(AND($E2488&lt;$D$2,$G2488&lt;&gt;"X",$F2488&lt;&gt;"Réalisé",$F2488&lt;&gt;"Clôturé"),"RETARD",""))</f>
        <v/>
      </c>
      <c r="L2488">
        <f>IF(OR($B2488="",NOT(ISNUMBER($D2488))),"",IF(AND($D2488&gt;=$D$2,$D2488&lt;=$H$2,$G2488&lt;&gt;"X",$F2488&lt;&gt;"Réalisé",$F2488&lt;&gt;"Clôturé"),"≤ 7 j",""))</f>
        <v/>
      </c>
      <c r="M2488" s="29">
        <f>IF($B2488="","",IFERROR(INDEX($T$4:$T$3183,MATCH(SMALL($V$4:$V$3183,2485),$V$4:$V$3183,0)),""))</f>
        <v/>
      </c>
      <c r="O2488">
        <f>IF(INDEX(Suivi!$B:$B,2535)="","",INDEX(Suivi!$B:$B,2535))</f>
        <v/>
      </c>
      <c r="P2488">
        <f>IF($O2488="","",IF(INDEX(Suivi!$D:$D,2535)="",INDEX(Suivi!$C:$C,2535),INDEX(Suivi!$D:$D,2535)))</f>
        <v/>
      </c>
      <c r="Q2488">
        <f>IF($O2488="","",INDEX(Suivi!$E:$E,2535))</f>
        <v/>
      </c>
      <c r="R2488">
        <f>IF($O2488="","",INDEX(Suivi!$F:$F,2535))</f>
        <v/>
      </c>
      <c r="S2488">
        <f>IF($O2488="","",INDEX(Suivi!$G:$G,2535))</f>
        <v/>
      </c>
      <c r="T2488">
        <f>IF($O2488="","",IF(INDEX(Dossiers!$F$4:$F$63,47)="","",INDEX(Dossiers!$F$4:$F$63,47)))</f>
        <v/>
      </c>
      <c r="U2488">
        <f>IF($O2488="","",IF(INDEX(Dossiers!$G$4:$G$63,47)="","",INDEX(Dossiers!$G$4:$G$63,47)))</f>
        <v/>
      </c>
      <c r="V2488">
        <f>IF(OR($O2488="",NOT(ISNUMBER($Q2488))),"",$Q2488*1000000+2488)</f>
        <v/>
      </c>
      <c r="W2488" s="29">
        <f>IF($B2488="","",IFERROR(INDEX($U$4:$U$3183,MATCH(SMALL($V$4:$V$3183,2485),$V$4:$V$3183,0)),""))</f>
        <v/>
      </c>
    </row>
    <row r="2489">
      <c r="A2489">
        <f>IFERROR(INDEX($N$4:$N$3183,MATCH(SMALL($V$4:$V$3183,2486),$V$4:$V$3183,0)),"")</f>
        <v/>
      </c>
      <c r="B2489">
        <f>IFERROR(INDEX($O$4:$O$3183,MATCH(SMALL($V$4:$V$3183,2486),$V$4:$V$3183,0)),"")</f>
        <v/>
      </c>
      <c r="C2489">
        <f>IFERROR(INDEX($P$4:$P$3183,MATCH(SMALL($V$4:$V$3183,2486),$V$4:$V$3183,0)),"")</f>
        <v/>
      </c>
      <c r="D2489" s="29">
        <f>IFERROR(INDEX($Q$4:$Q$3183,MATCH(SMALL($V$4:$V$3183,2486),$V$4:$V$3183,0)),"")</f>
        <v/>
      </c>
      <c r="E2489" s="29">
        <f>IFERROR(INDEX($R$4:$R$3183,MATCH(SMALL($V$4:$V$3183,2486),$V$4:$V$3183,0)),"")</f>
        <v/>
      </c>
      <c r="F2489">
        <f>IFERROR(INDEX($S$4:$S$3183,MATCH(SMALL($V$4:$V$3183,2486),$V$4:$V$3183,0)),"")</f>
        <v/>
      </c>
      <c r="I2489" s="29">
        <f>IF($B2489="","",IFERROR(INDEX($U$4:$U$3183,MATCH(SMALL($V$4:$V$3183,2486),$V$4:$V$3183,0)),""))</f>
        <v/>
      </c>
      <c r="J2489">
        <f>IF($B2489="","",IF($D2489&gt;$F$2,"À venir",IF($E2489&lt;$D$2,"Passé","Dans la période")))</f>
        <v/>
      </c>
      <c r="K2489">
        <f>IF(OR($B2489="",NOT(ISNUMBER($D2489))),"",IF(AND($E2489&lt;$D$2,$G2489&lt;&gt;"X",$F2489&lt;&gt;"Réalisé",$F2489&lt;&gt;"Clôturé"),"RETARD",""))</f>
        <v/>
      </c>
      <c r="L2489">
        <f>IF(OR($B2489="",NOT(ISNUMBER($D2489))),"",IF(AND($D2489&gt;=$D$2,$D2489&lt;=$H$2,$G2489&lt;&gt;"X",$F2489&lt;&gt;"Réalisé",$F2489&lt;&gt;"Clôturé"),"≤ 7 j",""))</f>
        <v/>
      </c>
      <c r="M2489" s="29">
        <f>IF($B2489="","",IFERROR(INDEX($T$4:$T$3183,MATCH(SMALL($V$4:$V$3183,2486),$V$4:$V$3183,0)),""))</f>
        <v/>
      </c>
      <c r="O2489">
        <f>IF(INDEX(Suivi!$B:$B,2536)="","",INDEX(Suivi!$B:$B,2536))</f>
        <v/>
      </c>
      <c r="P2489">
        <f>IF($O2489="","",IF(INDEX(Suivi!$D:$D,2536)="",INDEX(Suivi!$C:$C,2536),INDEX(Suivi!$D:$D,2536)))</f>
        <v/>
      </c>
      <c r="Q2489">
        <f>IF($O2489="","",INDEX(Suivi!$E:$E,2536))</f>
        <v/>
      </c>
      <c r="R2489">
        <f>IF($O2489="","",INDEX(Suivi!$F:$F,2536))</f>
        <v/>
      </c>
      <c r="S2489">
        <f>IF($O2489="","",INDEX(Suivi!$G:$G,2536))</f>
        <v/>
      </c>
      <c r="T2489">
        <f>IF($O2489="","",IF(INDEX(Dossiers!$F$4:$F$63,47)="","",INDEX(Dossiers!$F$4:$F$63,47)))</f>
        <v/>
      </c>
      <c r="U2489">
        <f>IF($O2489="","",IF(INDEX(Dossiers!$G$4:$G$63,47)="","",INDEX(Dossiers!$G$4:$G$63,47)))</f>
        <v/>
      </c>
      <c r="V2489">
        <f>IF(OR($O2489="",NOT(ISNUMBER($Q2489))),"",$Q2489*1000000+2489)</f>
        <v/>
      </c>
      <c r="W2489" s="29">
        <f>IF($B2489="","",IFERROR(INDEX($U$4:$U$3183,MATCH(SMALL($V$4:$V$3183,2486),$V$4:$V$3183,0)),""))</f>
        <v/>
      </c>
    </row>
    <row r="2490">
      <c r="A2490">
        <f>IFERROR(INDEX($N$4:$N$3183,MATCH(SMALL($V$4:$V$3183,2487),$V$4:$V$3183,0)),"")</f>
        <v/>
      </c>
      <c r="B2490">
        <f>IFERROR(INDEX($O$4:$O$3183,MATCH(SMALL($V$4:$V$3183,2487),$V$4:$V$3183,0)),"")</f>
        <v/>
      </c>
      <c r="C2490">
        <f>IFERROR(INDEX($P$4:$P$3183,MATCH(SMALL($V$4:$V$3183,2487),$V$4:$V$3183,0)),"")</f>
        <v/>
      </c>
      <c r="D2490" s="29">
        <f>IFERROR(INDEX($Q$4:$Q$3183,MATCH(SMALL($V$4:$V$3183,2487),$V$4:$V$3183,0)),"")</f>
        <v/>
      </c>
      <c r="E2490" s="29">
        <f>IFERROR(INDEX($R$4:$R$3183,MATCH(SMALL($V$4:$V$3183,2487),$V$4:$V$3183,0)),"")</f>
        <v/>
      </c>
      <c r="F2490">
        <f>IFERROR(INDEX($S$4:$S$3183,MATCH(SMALL($V$4:$V$3183,2487),$V$4:$V$3183,0)),"")</f>
        <v/>
      </c>
      <c r="I2490" s="29">
        <f>IF($B2490="","",IFERROR(INDEX($U$4:$U$3183,MATCH(SMALL($V$4:$V$3183,2487),$V$4:$V$3183,0)),""))</f>
        <v/>
      </c>
      <c r="J2490">
        <f>IF($B2490="","",IF($D2490&gt;$F$2,"À venir",IF($E2490&lt;$D$2,"Passé","Dans la période")))</f>
        <v/>
      </c>
      <c r="K2490">
        <f>IF(OR($B2490="",NOT(ISNUMBER($D2490))),"",IF(AND($E2490&lt;$D$2,$G2490&lt;&gt;"X",$F2490&lt;&gt;"Réalisé",$F2490&lt;&gt;"Clôturé"),"RETARD",""))</f>
        <v/>
      </c>
      <c r="L2490">
        <f>IF(OR($B2490="",NOT(ISNUMBER($D2490))),"",IF(AND($D2490&gt;=$D$2,$D2490&lt;=$H$2,$G2490&lt;&gt;"X",$F2490&lt;&gt;"Réalisé",$F2490&lt;&gt;"Clôturé"),"≤ 7 j",""))</f>
        <v/>
      </c>
      <c r="M2490" s="29">
        <f>IF($B2490="","",IFERROR(INDEX($T$4:$T$3183,MATCH(SMALL($V$4:$V$3183,2487),$V$4:$V$3183,0)),""))</f>
        <v/>
      </c>
      <c r="O2490">
        <f>IF(INDEX(Suivi!$B:$B,2537)="","",INDEX(Suivi!$B:$B,2537))</f>
        <v/>
      </c>
      <c r="P2490">
        <f>IF($O2490="","",IF(INDEX(Suivi!$D:$D,2537)="",INDEX(Suivi!$C:$C,2537),INDEX(Suivi!$D:$D,2537)))</f>
        <v/>
      </c>
      <c r="Q2490">
        <f>IF($O2490="","",INDEX(Suivi!$E:$E,2537))</f>
        <v/>
      </c>
      <c r="R2490">
        <f>IF($O2490="","",INDEX(Suivi!$F:$F,2537))</f>
        <v/>
      </c>
      <c r="S2490">
        <f>IF($O2490="","",INDEX(Suivi!$G:$G,2537))</f>
        <v/>
      </c>
      <c r="T2490">
        <f>IF($O2490="","",IF(INDEX(Dossiers!$F$4:$F$63,47)="","",INDEX(Dossiers!$F$4:$F$63,47)))</f>
        <v/>
      </c>
      <c r="U2490">
        <f>IF($O2490="","",IF(INDEX(Dossiers!$G$4:$G$63,47)="","",INDEX(Dossiers!$G$4:$G$63,47)))</f>
        <v/>
      </c>
      <c r="V2490">
        <f>IF(OR($O2490="",NOT(ISNUMBER($Q2490))),"",$Q2490*1000000+2490)</f>
        <v/>
      </c>
      <c r="W2490" s="29">
        <f>IF($B2490="","",IFERROR(INDEX($U$4:$U$3183,MATCH(SMALL($V$4:$V$3183,2487),$V$4:$V$3183,0)),""))</f>
        <v/>
      </c>
    </row>
    <row r="2491">
      <c r="A2491">
        <f>IFERROR(INDEX($N$4:$N$3183,MATCH(SMALL($V$4:$V$3183,2488),$V$4:$V$3183,0)),"")</f>
        <v/>
      </c>
      <c r="B2491">
        <f>IFERROR(INDEX($O$4:$O$3183,MATCH(SMALL($V$4:$V$3183,2488),$V$4:$V$3183,0)),"")</f>
        <v/>
      </c>
      <c r="C2491">
        <f>IFERROR(INDEX($P$4:$P$3183,MATCH(SMALL($V$4:$V$3183,2488),$V$4:$V$3183,0)),"")</f>
        <v/>
      </c>
      <c r="D2491" s="29">
        <f>IFERROR(INDEX($Q$4:$Q$3183,MATCH(SMALL($V$4:$V$3183,2488),$V$4:$V$3183,0)),"")</f>
        <v/>
      </c>
      <c r="E2491" s="29">
        <f>IFERROR(INDEX($R$4:$R$3183,MATCH(SMALL($V$4:$V$3183,2488),$V$4:$V$3183,0)),"")</f>
        <v/>
      </c>
      <c r="F2491">
        <f>IFERROR(INDEX($S$4:$S$3183,MATCH(SMALL($V$4:$V$3183,2488),$V$4:$V$3183,0)),"")</f>
        <v/>
      </c>
      <c r="I2491" s="29">
        <f>IF($B2491="","",IFERROR(INDEX($U$4:$U$3183,MATCH(SMALL($V$4:$V$3183,2488),$V$4:$V$3183,0)),""))</f>
        <v/>
      </c>
      <c r="J2491">
        <f>IF($B2491="","",IF($D2491&gt;$F$2,"À venir",IF($E2491&lt;$D$2,"Passé","Dans la période")))</f>
        <v/>
      </c>
      <c r="K2491">
        <f>IF(OR($B2491="",NOT(ISNUMBER($D2491))),"",IF(AND($E2491&lt;$D$2,$G2491&lt;&gt;"X",$F2491&lt;&gt;"Réalisé",$F2491&lt;&gt;"Clôturé"),"RETARD",""))</f>
        <v/>
      </c>
      <c r="L2491">
        <f>IF(OR($B2491="",NOT(ISNUMBER($D2491))),"",IF(AND($D2491&gt;=$D$2,$D2491&lt;=$H$2,$G2491&lt;&gt;"X",$F2491&lt;&gt;"Réalisé",$F2491&lt;&gt;"Clôturé"),"≤ 7 j",""))</f>
        <v/>
      </c>
      <c r="M2491" s="29">
        <f>IF($B2491="","",IFERROR(INDEX($T$4:$T$3183,MATCH(SMALL($V$4:$V$3183,2488),$V$4:$V$3183,0)),""))</f>
        <v/>
      </c>
      <c r="O2491">
        <f>IF(INDEX(Suivi!$B:$B,2538)="","",INDEX(Suivi!$B:$B,2538))</f>
        <v/>
      </c>
      <c r="P2491">
        <f>IF($O2491="","",IF(INDEX(Suivi!$D:$D,2538)="",INDEX(Suivi!$C:$C,2538),INDEX(Suivi!$D:$D,2538)))</f>
        <v/>
      </c>
      <c r="Q2491">
        <f>IF($O2491="","",INDEX(Suivi!$E:$E,2538))</f>
        <v/>
      </c>
      <c r="R2491">
        <f>IF($O2491="","",INDEX(Suivi!$F:$F,2538))</f>
        <v/>
      </c>
      <c r="S2491">
        <f>IF($O2491="","",INDEX(Suivi!$G:$G,2538))</f>
        <v/>
      </c>
      <c r="T2491">
        <f>IF($O2491="","",IF(INDEX(Dossiers!$F$4:$F$63,47)="","",INDEX(Dossiers!$F$4:$F$63,47)))</f>
        <v/>
      </c>
      <c r="U2491">
        <f>IF($O2491="","",IF(INDEX(Dossiers!$G$4:$G$63,47)="","",INDEX(Dossiers!$G$4:$G$63,47)))</f>
        <v/>
      </c>
      <c r="V2491">
        <f>IF(OR($O2491="",NOT(ISNUMBER($Q2491))),"",$Q2491*1000000+2491)</f>
        <v/>
      </c>
      <c r="W2491" s="29">
        <f>IF($B2491="","",IFERROR(INDEX($U$4:$U$3183,MATCH(SMALL($V$4:$V$3183,2488),$V$4:$V$3183,0)),""))</f>
        <v/>
      </c>
    </row>
    <row r="2492">
      <c r="A2492">
        <f>IFERROR(INDEX($N$4:$N$3183,MATCH(SMALL($V$4:$V$3183,2489),$V$4:$V$3183,0)),"")</f>
        <v/>
      </c>
      <c r="B2492">
        <f>IFERROR(INDEX($O$4:$O$3183,MATCH(SMALL($V$4:$V$3183,2489),$V$4:$V$3183,0)),"")</f>
        <v/>
      </c>
      <c r="C2492">
        <f>IFERROR(INDEX($P$4:$P$3183,MATCH(SMALL($V$4:$V$3183,2489),$V$4:$V$3183,0)),"")</f>
        <v/>
      </c>
      <c r="D2492" s="29">
        <f>IFERROR(INDEX($Q$4:$Q$3183,MATCH(SMALL($V$4:$V$3183,2489),$V$4:$V$3183,0)),"")</f>
        <v/>
      </c>
      <c r="E2492" s="29">
        <f>IFERROR(INDEX($R$4:$R$3183,MATCH(SMALL($V$4:$V$3183,2489),$V$4:$V$3183,0)),"")</f>
        <v/>
      </c>
      <c r="F2492">
        <f>IFERROR(INDEX($S$4:$S$3183,MATCH(SMALL($V$4:$V$3183,2489),$V$4:$V$3183,0)),"")</f>
        <v/>
      </c>
      <c r="I2492" s="29">
        <f>IF($B2492="","",IFERROR(INDEX($U$4:$U$3183,MATCH(SMALL($V$4:$V$3183,2489),$V$4:$V$3183,0)),""))</f>
        <v/>
      </c>
      <c r="J2492">
        <f>IF($B2492="","",IF($D2492&gt;$F$2,"À venir",IF($E2492&lt;$D$2,"Passé","Dans la période")))</f>
        <v/>
      </c>
      <c r="K2492">
        <f>IF(OR($B2492="",NOT(ISNUMBER($D2492))),"",IF(AND($E2492&lt;$D$2,$G2492&lt;&gt;"X",$F2492&lt;&gt;"Réalisé",$F2492&lt;&gt;"Clôturé"),"RETARD",""))</f>
        <v/>
      </c>
      <c r="L2492">
        <f>IF(OR($B2492="",NOT(ISNUMBER($D2492))),"",IF(AND($D2492&gt;=$D$2,$D2492&lt;=$H$2,$G2492&lt;&gt;"X",$F2492&lt;&gt;"Réalisé",$F2492&lt;&gt;"Clôturé"),"≤ 7 j",""))</f>
        <v/>
      </c>
      <c r="M2492" s="29">
        <f>IF($B2492="","",IFERROR(INDEX($T$4:$T$3183,MATCH(SMALL($V$4:$V$3183,2489),$V$4:$V$3183,0)),""))</f>
        <v/>
      </c>
      <c r="O2492">
        <f>IF(INDEX(Suivi!$B:$B,2539)="","",INDEX(Suivi!$B:$B,2539))</f>
        <v/>
      </c>
      <c r="P2492">
        <f>IF($O2492="","",IF(INDEX(Suivi!$D:$D,2539)="",INDEX(Suivi!$C:$C,2539),INDEX(Suivi!$D:$D,2539)))</f>
        <v/>
      </c>
      <c r="Q2492">
        <f>IF($O2492="","",INDEX(Suivi!$E:$E,2539))</f>
        <v/>
      </c>
      <c r="R2492">
        <f>IF($O2492="","",INDEX(Suivi!$F:$F,2539))</f>
        <v/>
      </c>
      <c r="S2492">
        <f>IF($O2492="","",INDEX(Suivi!$G:$G,2539))</f>
        <v/>
      </c>
      <c r="T2492">
        <f>IF($O2492="","",IF(INDEX(Dossiers!$F$4:$F$63,47)="","",INDEX(Dossiers!$F$4:$F$63,47)))</f>
        <v/>
      </c>
      <c r="U2492">
        <f>IF($O2492="","",IF(INDEX(Dossiers!$G$4:$G$63,47)="","",INDEX(Dossiers!$G$4:$G$63,47)))</f>
        <v/>
      </c>
      <c r="V2492">
        <f>IF(OR($O2492="",NOT(ISNUMBER($Q2492))),"",$Q2492*1000000+2492)</f>
        <v/>
      </c>
      <c r="W2492" s="29">
        <f>IF($B2492="","",IFERROR(INDEX($U$4:$U$3183,MATCH(SMALL($V$4:$V$3183,2489),$V$4:$V$3183,0)),""))</f>
        <v/>
      </c>
    </row>
    <row r="2493">
      <c r="A2493">
        <f>IFERROR(INDEX($N$4:$N$3183,MATCH(SMALL($V$4:$V$3183,2490),$V$4:$V$3183,0)),"")</f>
        <v/>
      </c>
      <c r="B2493">
        <f>IFERROR(INDEX($O$4:$O$3183,MATCH(SMALL($V$4:$V$3183,2490),$V$4:$V$3183,0)),"")</f>
        <v/>
      </c>
      <c r="C2493">
        <f>IFERROR(INDEX($P$4:$P$3183,MATCH(SMALL($V$4:$V$3183,2490),$V$4:$V$3183,0)),"")</f>
        <v/>
      </c>
      <c r="D2493" s="29">
        <f>IFERROR(INDEX($Q$4:$Q$3183,MATCH(SMALL($V$4:$V$3183,2490),$V$4:$V$3183,0)),"")</f>
        <v/>
      </c>
      <c r="E2493" s="29">
        <f>IFERROR(INDEX($R$4:$R$3183,MATCH(SMALL($V$4:$V$3183,2490),$V$4:$V$3183,0)),"")</f>
        <v/>
      </c>
      <c r="F2493">
        <f>IFERROR(INDEX($S$4:$S$3183,MATCH(SMALL($V$4:$V$3183,2490),$V$4:$V$3183,0)),"")</f>
        <v/>
      </c>
      <c r="I2493" s="29">
        <f>IF($B2493="","",IFERROR(INDEX($U$4:$U$3183,MATCH(SMALL($V$4:$V$3183,2490),$V$4:$V$3183,0)),""))</f>
        <v/>
      </c>
      <c r="J2493">
        <f>IF($B2493="","",IF($D2493&gt;$F$2,"À venir",IF($E2493&lt;$D$2,"Passé","Dans la période")))</f>
        <v/>
      </c>
      <c r="K2493">
        <f>IF(OR($B2493="",NOT(ISNUMBER($D2493))),"",IF(AND($E2493&lt;$D$2,$G2493&lt;&gt;"X",$F2493&lt;&gt;"Réalisé",$F2493&lt;&gt;"Clôturé"),"RETARD",""))</f>
        <v/>
      </c>
      <c r="L2493">
        <f>IF(OR($B2493="",NOT(ISNUMBER($D2493))),"",IF(AND($D2493&gt;=$D$2,$D2493&lt;=$H$2,$G2493&lt;&gt;"X",$F2493&lt;&gt;"Réalisé",$F2493&lt;&gt;"Clôturé"),"≤ 7 j",""))</f>
        <v/>
      </c>
      <c r="M2493" s="29">
        <f>IF($B2493="","",IFERROR(INDEX($T$4:$T$3183,MATCH(SMALL($V$4:$V$3183,2490),$V$4:$V$3183,0)),""))</f>
        <v/>
      </c>
      <c r="O2493">
        <f>IF(INDEX(Suivi!$B:$B,2540)="","",INDEX(Suivi!$B:$B,2540))</f>
        <v/>
      </c>
      <c r="P2493">
        <f>IF($O2493="","",IF(INDEX(Suivi!$D:$D,2540)="",INDEX(Suivi!$C:$C,2540),INDEX(Suivi!$D:$D,2540)))</f>
        <v/>
      </c>
      <c r="Q2493">
        <f>IF($O2493="","",INDEX(Suivi!$E:$E,2540))</f>
        <v/>
      </c>
      <c r="R2493">
        <f>IF($O2493="","",INDEX(Suivi!$F:$F,2540))</f>
        <v/>
      </c>
      <c r="S2493">
        <f>IF($O2493="","",INDEX(Suivi!$G:$G,2540))</f>
        <v/>
      </c>
      <c r="T2493">
        <f>IF($O2493="","",IF(INDEX(Dossiers!$F$4:$F$63,47)="","",INDEX(Dossiers!$F$4:$F$63,47)))</f>
        <v/>
      </c>
      <c r="U2493">
        <f>IF($O2493="","",IF(INDEX(Dossiers!$G$4:$G$63,47)="","",INDEX(Dossiers!$G$4:$G$63,47)))</f>
        <v/>
      </c>
      <c r="V2493">
        <f>IF(OR($O2493="",NOT(ISNUMBER($Q2493))),"",$Q2493*1000000+2493)</f>
        <v/>
      </c>
      <c r="W2493" s="29">
        <f>IF($B2493="","",IFERROR(INDEX($U$4:$U$3183,MATCH(SMALL($V$4:$V$3183,2490),$V$4:$V$3183,0)),""))</f>
        <v/>
      </c>
    </row>
    <row r="2494">
      <c r="A2494">
        <f>IFERROR(INDEX($N$4:$N$3183,MATCH(SMALL($V$4:$V$3183,2491),$V$4:$V$3183,0)),"")</f>
        <v/>
      </c>
      <c r="B2494">
        <f>IFERROR(INDEX($O$4:$O$3183,MATCH(SMALL($V$4:$V$3183,2491),$V$4:$V$3183,0)),"")</f>
        <v/>
      </c>
      <c r="C2494">
        <f>IFERROR(INDEX($P$4:$P$3183,MATCH(SMALL($V$4:$V$3183,2491),$V$4:$V$3183,0)),"")</f>
        <v/>
      </c>
      <c r="D2494" s="29">
        <f>IFERROR(INDEX($Q$4:$Q$3183,MATCH(SMALL($V$4:$V$3183,2491),$V$4:$V$3183,0)),"")</f>
        <v/>
      </c>
      <c r="E2494" s="29">
        <f>IFERROR(INDEX($R$4:$R$3183,MATCH(SMALL($V$4:$V$3183,2491),$V$4:$V$3183,0)),"")</f>
        <v/>
      </c>
      <c r="F2494">
        <f>IFERROR(INDEX($S$4:$S$3183,MATCH(SMALL($V$4:$V$3183,2491),$V$4:$V$3183,0)),"")</f>
        <v/>
      </c>
      <c r="I2494" s="29">
        <f>IF($B2494="","",IFERROR(INDEX($U$4:$U$3183,MATCH(SMALL($V$4:$V$3183,2491),$V$4:$V$3183,0)),""))</f>
        <v/>
      </c>
      <c r="J2494">
        <f>IF($B2494="","",IF($D2494&gt;$F$2,"À venir",IF($E2494&lt;$D$2,"Passé","Dans la période")))</f>
        <v/>
      </c>
      <c r="K2494">
        <f>IF(OR($B2494="",NOT(ISNUMBER($D2494))),"",IF(AND($E2494&lt;$D$2,$G2494&lt;&gt;"X",$F2494&lt;&gt;"Réalisé",$F2494&lt;&gt;"Clôturé"),"RETARD",""))</f>
        <v/>
      </c>
      <c r="L2494">
        <f>IF(OR($B2494="",NOT(ISNUMBER($D2494))),"",IF(AND($D2494&gt;=$D$2,$D2494&lt;=$H$2,$G2494&lt;&gt;"X",$F2494&lt;&gt;"Réalisé",$F2494&lt;&gt;"Clôturé"),"≤ 7 j",""))</f>
        <v/>
      </c>
      <c r="M2494" s="29">
        <f>IF($B2494="","",IFERROR(INDEX($T$4:$T$3183,MATCH(SMALL($V$4:$V$3183,2491),$V$4:$V$3183,0)),""))</f>
        <v/>
      </c>
      <c r="O2494">
        <f>IF(INDEX(Suivi!$B:$B,2541)="","",INDEX(Suivi!$B:$B,2541))</f>
        <v/>
      </c>
      <c r="P2494">
        <f>IF($O2494="","",IF(INDEX(Suivi!$D:$D,2541)="",INDEX(Suivi!$C:$C,2541),INDEX(Suivi!$D:$D,2541)))</f>
        <v/>
      </c>
      <c r="Q2494">
        <f>IF($O2494="","",INDEX(Suivi!$E:$E,2541))</f>
        <v/>
      </c>
      <c r="R2494">
        <f>IF($O2494="","",INDEX(Suivi!$F:$F,2541))</f>
        <v/>
      </c>
      <c r="S2494">
        <f>IF($O2494="","",INDEX(Suivi!$G:$G,2541))</f>
        <v/>
      </c>
      <c r="T2494">
        <f>IF($O2494="","",IF(INDEX(Dossiers!$F$4:$F$63,47)="","",INDEX(Dossiers!$F$4:$F$63,47)))</f>
        <v/>
      </c>
      <c r="U2494">
        <f>IF($O2494="","",IF(INDEX(Dossiers!$G$4:$G$63,47)="","",INDEX(Dossiers!$G$4:$G$63,47)))</f>
        <v/>
      </c>
      <c r="V2494">
        <f>IF(OR($O2494="",NOT(ISNUMBER($Q2494))),"",$Q2494*1000000+2494)</f>
        <v/>
      </c>
      <c r="W2494" s="29">
        <f>IF($B2494="","",IFERROR(INDEX($U$4:$U$3183,MATCH(SMALL($V$4:$V$3183,2491),$V$4:$V$3183,0)),""))</f>
        <v/>
      </c>
    </row>
    <row r="2495">
      <c r="A2495">
        <f>IFERROR(INDEX($N$4:$N$3183,MATCH(SMALL($V$4:$V$3183,2492),$V$4:$V$3183,0)),"")</f>
        <v/>
      </c>
      <c r="B2495">
        <f>IFERROR(INDEX($O$4:$O$3183,MATCH(SMALL($V$4:$V$3183,2492),$V$4:$V$3183,0)),"")</f>
        <v/>
      </c>
      <c r="C2495">
        <f>IFERROR(INDEX($P$4:$P$3183,MATCH(SMALL($V$4:$V$3183,2492),$V$4:$V$3183,0)),"")</f>
        <v/>
      </c>
      <c r="D2495" s="29">
        <f>IFERROR(INDEX($Q$4:$Q$3183,MATCH(SMALL($V$4:$V$3183,2492),$V$4:$V$3183,0)),"")</f>
        <v/>
      </c>
      <c r="E2495" s="29">
        <f>IFERROR(INDEX($R$4:$R$3183,MATCH(SMALL($V$4:$V$3183,2492),$V$4:$V$3183,0)),"")</f>
        <v/>
      </c>
      <c r="F2495">
        <f>IFERROR(INDEX($S$4:$S$3183,MATCH(SMALL($V$4:$V$3183,2492),$V$4:$V$3183,0)),"")</f>
        <v/>
      </c>
      <c r="I2495" s="29">
        <f>IF($B2495="","",IFERROR(INDEX($U$4:$U$3183,MATCH(SMALL($V$4:$V$3183,2492),$V$4:$V$3183,0)),""))</f>
        <v/>
      </c>
      <c r="J2495">
        <f>IF($B2495="","",IF($D2495&gt;$F$2,"À venir",IF($E2495&lt;$D$2,"Passé","Dans la période")))</f>
        <v/>
      </c>
      <c r="K2495">
        <f>IF(OR($B2495="",NOT(ISNUMBER($D2495))),"",IF(AND($E2495&lt;$D$2,$G2495&lt;&gt;"X",$F2495&lt;&gt;"Réalisé",$F2495&lt;&gt;"Clôturé"),"RETARD",""))</f>
        <v/>
      </c>
      <c r="L2495">
        <f>IF(OR($B2495="",NOT(ISNUMBER($D2495))),"",IF(AND($D2495&gt;=$D$2,$D2495&lt;=$H$2,$G2495&lt;&gt;"X",$F2495&lt;&gt;"Réalisé",$F2495&lt;&gt;"Clôturé"),"≤ 7 j",""))</f>
        <v/>
      </c>
      <c r="M2495" s="29">
        <f>IF($B2495="","",IFERROR(INDEX($T$4:$T$3183,MATCH(SMALL($V$4:$V$3183,2492),$V$4:$V$3183,0)),""))</f>
        <v/>
      </c>
      <c r="O2495">
        <f>IF(INDEX(Suivi!$B:$B,2543)="","",INDEX(Suivi!$B:$B,2543))</f>
        <v/>
      </c>
      <c r="P2495">
        <f>IF($O2495="","",IF(INDEX(Suivi!$D:$D,2543)="",INDEX(Suivi!$C:$C,2543),INDEX(Suivi!$D:$D,2543)))</f>
        <v/>
      </c>
      <c r="Q2495">
        <f>IF($O2495="","",INDEX(Suivi!$E:$E,2543))</f>
        <v/>
      </c>
      <c r="R2495">
        <f>IF($O2495="","",INDEX(Suivi!$F:$F,2543))</f>
        <v/>
      </c>
      <c r="S2495">
        <f>IF($O2495="","",INDEX(Suivi!$G:$G,2543))</f>
        <v/>
      </c>
      <c r="T2495">
        <f>IF($O2495="","",IF(INDEX(Dossiers!$F$4:$F$63,48)="","",INDEX(Dossiers!$F$4:$F$63,48)))</f>
        <v/>
      </c>
      <c r="U2495">
        <f>IF($O2495="","",IF(INDEX(Dossiers!$G$4:$G$63,48)="","",INDEX(Dossiers!$G$4:$G$63,48)))</f>
        <v/>
      </c>
      <c r="V2495">
        <f>IF(OR($O2495="",NOT(ISNUMBER($Q2495))),"",$Q2495*1000000+2495)</f>
        <v/>
      </c>
      <c r="W2495" s="29">
        <f>IF($B2495="","",IFERROR(INDEX($U$4:$U$3183,MATCH(SMALL($V$4:$V$3183,2492),$V$4:$V$3183,0)),""))</f>
        <v/>
      </c>
    </row>
    <row r="2496">
      <c r="A2496">
        <f>IFERROR(INDEX($N$4:$N$3183,MATCH(SMALL($V$4:$V$3183,2493),$V$4:$V$3183,0)),"")</f>
        <v/>
      </c>
      <c r="B2496">
        <f>IFERROR(INDEX($O$4:$O$3183,MATCH(SMALL($V$4:$V$3183,2493),$V$4:$V$3183,0)),"")</f>
        <v/>
      </c>
      <c r="C2496">
        <f>IFERROR(INDEX($P$4:$P$3183,MATCH(SMALL($V$4:$V$3183,2493),$V$4:$V$3183,0)),"")</f>
        <v/>
      </c>
      <c r="D2496" s="29">
        <f>IFERROR(INDEX($Q$4:$Q$3183,MATCH(SMALL($V$4:$V$3183,2493),$V$4:$V$3183,0)),"")</f>
        <v/>
      </c>
      <c r="E2496" s="29">
        <f>IFERROR(INDEX($R$4:$R$3183,MATCH(SMALL($V$4:$V$3183,2493),$V$4:$V$3183,0)),"")</f>
        <v/>
      </c>
      <c r="F2496">
        <f>IFERROR(INDEX($S$4:$S$3183,MATCH(SMALL($V$4:$V$3183,2493),$V$4:$V$3183,0)),"")</f>
        <v/>
      </c>
      <c r="I2496" s="29">
        <f>IF($B2496="","",IFERROR(INDEX($U$4:$U$3183,MATCH(SMALL($V$4:$V$3183,2493),$V$4:$V$3183,0)),""))</f>
        <v/>
      </c>
      <c r="J2496">
        <f>IF($B2496="","",IF($D2496&gt;$F$2,"À venir",IF($E2496&lt;$D$2,"Passé","Dans la période")))</f>
        <v/>
      </c>
      <c r="K2496">
        <f>IF(OR($B2496="",NOT(ISNUMBER($D2496))),"",IF(AND($E2496&lt;$D$2,$G2496&lt;&gt;"X",$F2496&lt;&gt;"Réalisé",$F2496&lt;&gt;"Clôturé"),"RETARD",""))</f>
        <v/>
      </c>
      <c r="L2496">
        <f>IF(OR($B2496="",NOT(ISNUMBER($D2496))),"",IF(AND($D2496&gt;=$D$2,$D2496&lt;=$H$2,$G2496&lt;&gt;"X",$F2496&lt;&gt;"Réalisé",$F2496&lt;&gt;"Clôturé"),"≤ 7 j",""))</f>
        <v/>
      </c>
      <c r="M2496" s="29">
        <f>IF($B2496="","",IFERROR(INDEX($T$4:$T$3183,MATCH(SMALL($V$4:$V$3183,2493),$V$4:$V$3183,0)),""))</f>
        <v/>
      </c>
      <c r="O2496">
        <f>IF(INDEX(Suivi!$B:$B,2544)="","",INDEX(Suivi!$B:$B,2544))</f>
        <v/>
      </c>
      <c r="P2496">
        <f>IF($O2496="","",IF(INDEX(Suivi!$D:$D,2544)="",INDEX(Suivi!$C:$C,2544),INDEX(Suivi!$D:$D,2544)))</f>
        <v/>
      </c>
      <c r="Q2496">
        <f>IF($O2496="","",INDEX(Suivi!$E:$E,2544))</f>
        <v/>
      </c>
      <c r="R2496">
        <f>IF($O2496="","",INDEX(Suivi!$F:$F,2544))</f>
        <v/>
      </c>
      <c r="S2496">
        <f>IF($O2496="","",INDEX(Suivi!$G:$G,2544))</f>
        <v/>
      </c>
      <c r="T2496">
        <f>IF($O2496="","",IF(INDEX(Dossiers!$F$4:$F$63,48)="","",INDEX(Dossiers!$F$4:$F$63,48)))</f>
        <v/>
      </c>
      <c r="U2496">
        <f>IF($O2496="","",IF(INDEX(Dossiers!$G$4:$G$63,48)="","",INDEX(Dossiers!$G$4:$G$63,48)))</f>
        <v/>
      </c>
      <c r="V2496">
        <f>IF(OR($O2496="",NOT(ISNUMBER($Q2496))),"",$Q2496*1000000+2496)</f>
        <v/>
      </c>
      <c r="W2496" s="29">
        <f>IF($B2496="","",IFERROR(INDEX($U$4:$U$3183,MATCH(SMALL($V$4:$V$3183,2493),$V$4:$V$3183,0)),""))</f>
        <v/>
      </c>
    </row>
    <row r="2497">
      <c r="A2497">
        <f>IFERROR(INDEX($N$4:$N$3183,MATCH(SMALL($V$4:$V$3183,2494),$V$4:$V$3183,0)),"")</f>
        <v/>
      </c>
      <c r="B2497">
        <f>IFERROR(INDEX($O$4:$O$3183,MATCH(SMALL($V$4:$V$3183,2494),$V$4:$V$3183,0)),"")</f>
        <v/>
      </c>
      <c r="C2497">
        <f>IFERROR(INDEX($P$4:$P$3183,MATCH(SMALL($V$4:$V$3183,2494),$V$4:$V$3183,0)),"")</f>
        <v/>
      </c>
      <c r="D2497" s="29">
        <f>IFERROR(INDEX($Q$4:$Q$3183,MATCH(SMALL($V$4:$V$3183,2494),$V$4:$V$3183,0)),"")</f>
        <v/>
      </c>
      <c r="E2497" s="29">
        <f>IFERROR(INDEX($R$4:$R$3183,MATCH(SMALL($V$4:$V$3183,2494),$V$4:$V$3183,0)),"")</f>
        <v/>
      </c>
      <c r="F2497">
        <f>IFERROR(INDEX($S$4:$S$3183,MATCH(SMALL($V$4:$V$3183,2494),$V$4:$V$3183,0)),"")</f>
        <v/>
      </c>
      <c r="I2497" s="29">
        <f>IF($B2497="","",IFERROR(INDEX($U$4:$U$3183,MATCH(SMALL($V$4:$V$3183,2494),$V$4:$V$3183,0)),""))</f>
        <v/>
      </c>
      <c r="J2497">
        <f>IF($B2497="","",IF($D2497&gt;$F$2,"À venir",IF($E2497&lt;$D$2,"Passé","Dans la période")))</f>
        <v/>
      </c>
      <c r="K2497">
        <f>IF(OR($B2497="",NOT(ISNUMBER($D2497))),"",IF(AND($E2497&lt;$D$2,$G2497&lt;&gt;"X",$F2497&lt;&gt;"Réalisé",$F2497&lt;&gt;"Clôturé"),"RETARD",""))</f>
        <v/>
      </c>
      <c r="L2497">
        <f>IF(OR($B2497="",NOT(ISNUMBER($D2497))),"",IF(AND($D2497&gt;=$D$2,$D2497&lt;=$H$2,$G2497&lt;&gt;"X",$F2497&lt;&gt;"Réalisé",$F2497&lt;&gt;"Clôturé"),"≤ 7 j",""))</f>
        <v/>
      </c>
      <c r="M2497" s="29">
        <f>IF($B2497="","",IFERROR(INDEX($T$4:$T$3183,MATCH(SMALL($V$4:$V$3183,2494),$V$4:$V$3183,0)),""))</f>
        <v/>
      </c>
      <c r="O2497">
        <f>IF(INDEX(Suivi!$B:$B,2545)="","",INDEX(Suivi!$B:$B,2545))</f>
        <v/>
      </c>
      <c r="P2497">
        <f>IF($O2497="","",IF(INDEX(Suivi!$D:$D,2545)="",INDEX(Suivi!$C:$C,2545),INDEX(Suivi!$D:$D,2545)))</f>
        <v/>
      </c>
      <c r="Q2497">
        <f>IF($O2497="","",INDEX(Suivi!$E:$E,2545))</f>
        <v/>
      </c>
      <c r="R2497">
        <f>IF($O2497="","",INDEX(Suivi!$F:$F,2545))</f>
        <v/>
      </c>
      <c r="S2497">
        <f>IF($O2497="","",INDEX(Suivi!$G:$G,2545))</f>
        <v/>
      </c>
      <c r="T2497">
        <f>IF($O2497="","",IF(INDEX(Dossiers!$F$4:$F$63,48)="","",INDEX(Dossiers!$F$4:$F$63,48)))</f>
        <v/>
      </c>
      <c r="U2497">
        <f>IF($O2497="","",IF(INDEX(Dossiers!$G$4:$G$63,48)="","",INDEX(Dossiers!$G$4:$G$63,48)))</f>
        <v/>
      </c>
      <c r="V2497">
        <f>IF(OR($O2497="",NOT(ISNUMBER($Q2497))),"",$Q2497*1000000+2497)</f>
        <v/>
      </c>
      <c r="W2497" s="29">
        <f>IF($B2497="","",IFERROR(INDEX($U$4:$U$3183,MATCH(SMALL($V$4:$V$3183,2494),$V$4:$V$3183,0)),""))</f>
        <v/>
      </c>
    </row>
    <row r="2498">
      <c r="A2498">
        <f>IFERROR(INDEX($N$4:$N$3183,MATCH(SMALL($V$4:$V$3183,2495),$V$4:$V$3183,0)),"")</f>
        <v/>
      </c>
      <c r="B2498">
        <f>IFERROR(INDEX($O$4:$O$3183,MATCH(SMALL($V$4:$V$3183,2495),$V$4:$V$3183,0)),"")</f>
        <v/>
      </c>
      <c r="C2498">
        <f>IFERROR(INDEX($P$4:$P$3183,MATCH(SMALL($V$4:$V$3183,2495),$V$4:$V$3183,0)),"")</f>
        <v/>
      </c>
      <c r="D2498" s="29">
        <f>IFERROR(INDEX($Q$4:$Q$3183,MATCH(SMALL($V$4:$V$3183,2495),$V$4:$V$3183,0)),"")</f>
        <v/>
      </c>
      <c r="E2498" s="29">
        <f>IFERROR(INDEX($R$4:$R$3183,MATCH(SMALL($V$4:$V$3183,2495),$V$4:$V$3183,0)),"")</f>
        <v/>
      </c>
      <c r="F2498">
        <f>IFERROR(INDEX($S$4:$S$3183,MATCH(SMALL($V$4:$V$3183,2495),$V$4:$V$3183,0)),"")</f>
        <v/>
      </c>
      <c r="I2498" s="29">
        <f>IF($B2498="","",IFERROR(INDEX($U$4:$U$3183,MATCH(SMALL($V$4:$V$3183,2495),$V$4:$V$3183,0)),""))</f>
        <v/>
      </c>
      <c r="J2498">
        <f>IF($B2498="","",IF($D2498&gt;$F$2,"À venir",IF($E2498&lt;$D$2,"Passé","Dans la période")))</f>
        <v/>
      </c>
      <c r="K2498">
        <f>IF(OR($B2498="",NOT(ISNUMBER($D2498))),"",IF(AND($E2498&lt;$D$2,$G2498&lt;&gt;"X",$F2498&lt;&gt;"Réalisé",$F2498&lt;&gt;"Clôturé"),"RETARD",""))</f>
        <v/>
      </c>
      <c r="L2498">
        <f>IF(OR($B2498="",NOT(ISNUMBER($D2498))),"",IF(AND($D2498&gt;=$D$2,$D2498&lt;=$H$2,$G2498&lt;&gt;"X",$F2498&lt;&gt;"Réalisé",$F2498&lt;&gt;"Clôturé"),"≤ 7 j",""))</f>
        <v/>
      </c>
      <c r="M2498" s="29">
        <f>IF($B2498="","",IFERROR(INDEX($T$4:$T$3183,MATCH(SMALL($V$4:$V$3183,2495),$V$4:$V$3183,0)),""))</f>
        <v/>
      </c>
      <c r="O2498">
        <f>IF(INDEX(Suivi!$B:$B,2546)="","",INDEX(Suivi!$B:$B,2546))</f>
        <v/>
      </c>
      <c r="P2498">
        <f>IF($O2498="","",IF(INDEX(Suivi!$D:$D,2546)="",INDEX(Suivi!$C:$C,2546),INDEX(Suivi!$D:$D,2546)))</f>
        <v/>
      </c>
      <c r="Q2498">
        <f>IF($O2498="","",INDEX(Suivi!$E:$E,2546))</f>
        <v/>
      </c>
      <c r="R2498">
        <f>IF($O2498="","",INDEX(Suivi!$F:$F,2546))</f>
        <v/>
      </c>
      <c r="S2498">
        <f>IF($O2498="","",INDEX(Suivi!$G:$G,2546))</f>
        <v/>
      </c>
      <c r="T2498">
        <f>IF($O2498="","",IF(INDEX(Dossiers!$F$4:$F$63,48)="","",INDEX(Dossiers!$F$4:$F$63,48)))</f>
        <v/>
      </c>
      <c r="U2498">
        <f>IF($O2498="","",IF(INDEX(Dossiers!$G$4:$G$63,48)="","",INDEX(Dossiers!$G$4:$G$63,48)))</f>
        <v/>
      </c>
      <c r="V2498">
        <f>IF(OR($O2498="",NOT(ISNUMBER($Q2498))),"",$Q2498*1000000+2498)</f>
        <v/>
      </c>
      <c r="W2498" s="29">
        <f>IF($B2498="","",IFERROR(INDEX($U$4:$U$3183,MATCH(SMALL($V$4:$V$3183,2495),$V$4:$V$3183,0)),""))</f>
        <v/>
      </c>
    </row>
    <row r="2499">
      <c r="A2499">
        <f>IFERROR(INDEX($N$4:$N$3183,MATCH(SMALL($V$4:$V$3183,2496),$V$4:$V$3183,0)),"")</f>
        <v/>
      </c>
      <c r="B2499">
        <f>IFERROR(INDEX($O$4:$O$3183,MATCH(SMALL($V$4:$V$3183,2496),$V$4:$V$3183,0)),"")</f>
        <v/>
      </c>
      <c r="C2499">
        <f>IFERROR(INDEX($P$4:$P$3183,MATCH(SMALL($V$4:$V$3183,2496),$V$4:$V$3183,0)),"")</f>
        <v/>
      </c>
      <c r="D2499" s="29">
        <f>IFERROR(INDEX($Q$4:$Q$3183,MATCH(SMALL($V$4:$V$3183,2496),$V$4:$V$3183,0)),"")</f>
        <v/>
      </c>
      <c r="E2499" s="29">
        <f>IFERROR(INDEX($R$4:$R$3183,MATCH(SMALL($V$4:$V$3183,2496),$V$4:$V$3183,0)),"")</f>
        <v/>
      </c>
      <c r="F2499">
        <f>IFERROR(INDEX($S$4:$S$3183,MATCH(SMALL($V$4:$V$3183,2496),$V$4:$V$3183,0)),"")</f>
        <v/>
      </c>
      <c r="I2499" s="29">
        <f>IF($B2499="","",IFERROR(INDEX($U$4:$U$3183,MATCH(SMALL($V$4:$V$3183,2496),$V$4:$V$3183,0)),""))</f>
        <v/>
      </c>
      <c r="J2499">
        <f>IF($B2499="","",IF($D2499&gt;$F$2,"À venir",IF($E2499&lt;$D$2,"Passé","Dans la période")))</f>
        <v/>
      </c>
      <c r="K2499">
        <f>IF(OR($B2499="",NOT(ISNUMBER($D2499))),"",IF(AND($E2499&lt;$D$2,$G2499&lt;&gt;"X",$F2499&lt;&gt;"Réalisé",$F2499&lt;&gt;"Clôturé"),"RETARD",""))</f>
        <v/>
      </c>
      <c r="L2499">
        <f>IF(OR($B2499="",NOT(ISNUMBER($D2499))),"",IF(AND($D2499&gt;=$D$2,$D2499&lt;=$H$2,$G2499&lt;&gt;"X",$F2499&lt;&gt;"Réalisé",$F2499&lt;&gt;"Clôturé"),"≤ 7 j",""))</f>
        <v/>
      </c>
      <c r="M2499" s="29">
        <f>IF($B2499="","",IFERROR(INDEX($T$4:$T$3183,MATCH(SMALL($V$4:$V$3183,2496),$V$4:$V$3183,0)),""))</f>
        <v/>
      </c>
      <c r="O2499">
        <f>IF(INDEX(Suivi!$B:$B,2547)="","",INDEX(Suivi!$B:$B,2547))</f>
        <v/>
      </c>
      <c r="P2499">
        <f>IF($O2499="","",IF(INDEX(Suivi!$D:$D,2547)="",INDEX(Suivi!$C:$C,2547),INDEX(Suivi!$D:$D,2547)))</f>
        <v/>
      </c>
      <c r="Q2499">
        <f>IF($O2499="","",INDEX(Suivi!$E:$E,2547))</f>
        <v/>
      </c>
      <c r="R2499">
        <f>IF($O2499="","",INDEX(Suivi!$F:$F,2547))</f>
        <v/>
      </c>
      <c r="S2499">
        <f>IF($O2499="","",INDEX(Suivi!$G:$G,2547))</f>
        <v/>
      </c>
      <c r="T2499">
        <f>IF($O2499="","",IF(INDEX(Dossiers!$F$4:$F$63,48)="","",INDEX(Dossiers!$F$4:$F$63,48)))</f>
        <v/>
      </c>
      <c r="U2499">
        <f>IF($O2499="","",IF(INDEX(Dossiers!$G$4:$G$63,48)="","",INDEX(Dossiers!$G$4:$G$63,48)))</f>
        <v/>
      </c>
      <c r="V2499">
        <f>IF(OR($O2499="",NOT(ISNUMBER($Q2499))),"",$Q2499*1000000+2499)</f>
        <v/>
      </c>
      <c r="W2499" s="29">
        <f>IF($B2499="","",IFERROR(INDEX($U$4:$U$3183,MATCH(SMALL($V$4:$V$3183,2496),$V$4:$V$3183,0)),""))</f>
        <v/>
      </c>
    </row>
    <row r="2500">
      <c r="A2500">
        <f>IFERROR(INDEX($N$4:$N$3183,MATCH(SMALL($V$4:$V$3183,2497),$V$4:$V$3183,0)),"")</f>
        <v/>
      </c>
      <c r="B2500">
        <f>IFERROR(INDEX($O$4:$O$3183,MATCH(SMALL($V$4:$V$3183,2497),$V$4:$V$3183,0)),"")</f>
        <v/>
      </c>
      <c r="C2500">
        <f>IFERROR(INDEX($P$4:$P$3183,MATCH(SMALL($V$4:$V$3183,2497),$V$4:$V$3183,0)),"")</f>
        <v/>
      </c>
      <c r="D2500" s="29">
        <f>IFERROR(INDEX($Q$4:$Q$3183,MATCH(SMALL($V$4:$V$3183,2497),$V$4:$V$3183,0)),"")</f>
        <v/>
      </c>
      <c r="E2500" s="29">
        <f>IFERROR(INDEX($R$4:$R$3183,MATCH(SMALL($V$4:$V$3183,2497),$V$4:$V$3183,0)),"")</f>
        <v/>
      </c>
      <c r="F2500">
        <f>IFERROR(INDEX($S$4:$S$3183,MATCH(SMALL($V$4:$V$3183,2497),$V$4:$V$3183,0)),"")</f>
        <v/>
      </c>
      <c r="I2500" s="29">
        <f>IF($B2500="","",IFERROR(INDEX($U$4:$U$3183,MATCH(SMALL($V$4:$V$3183,2497),$V$4:$V$3183,0)),""))</f>
        <v/>
      </c>
      <c r="J2500">
        <f>IF($B2500="","",IF($D2500&gt;$F$2,"À venir",IF($E2500&lt;$D$2,"Passé","Dans la période")))</f>
        <v/>
      </c>
      <c r="K2500">
        <f>IF(OR($B2500="",NOT(ISNUMBER($D2500))),"",IF(AND($E2500&lt;$D$2,$G2500&lt;&gt;"X",$F2500&lt;&gt;"Réalisé",$F2500&lt;&gt;"Clôturé"),"RETARD",""))</f>
        <v/>
      </c>
      <c r="L2500">
        <f>IF(OR($B2500="",NOT(ISNUMBER($D2500))),"",IF(AND($D2500&gt;=$D$2,$D2500&lt;=$H$2,$G2500&lt;&gt;"X",$F2500&lt;&gt;"Réalisé",$F2500&lt;&gt;"Clôturé"),"≤ 7 j",""))</f>
        <v/>
      </c>
      <c r="M2500" s="29">
        <f>IF($B2500="","",IFERROR(INDEX($T$4:$T$3183,MATCH(SMALL($V$4:$V$3183,2497),$V$4:$V$3183,0)),""))</f>
        <v/>
      </c>
      <c r="O2500">
        <f>IF(INDEX(Suivi!$B:$B,2548)="","",INDEX(Suivi!$B:$B,2548))</f>
        <v/>
      </c>
      <c r="P2500">
        <f>IF($O2500="","",IF(INDEX(Suivi!$D:$D,2548)="",INDEX(Suivi!$C:$C,2548),INDEX(Suivi!$D:$D,2548)))</f>
        <v/>
      </c>
      <c r="Q2500">
        <f>IF($O2500="","",INDEX(Suivi!$E:$E,2548))</f>
        <v/>
      </c>
      <c r="R2500">
        <f>IF($O2500="","",INDEX(Suivi!$F:$F,2548))</f>
        <v/>
      </c>
      <c r="S2500">
        <f>IF($O2500="","",INDEX(Suivi!$G:$G,2548))</f>
        <v/>
      </c>
      <c r="T2500">
        <f>IF($O2500="","",IF(INDEX(Dossiers!$F$4:$F$63,48)="","",INDEX(Dossiers!$F$4:$F$63,48)))</f>
        <v/>
      </c>
      <c r="U2500">
        <f>IF($O2500="","",IF(INDEX(Dossiers!$G$4:$G$63,48)="","",INDEX(Dossiers!$G$4:$G$63,48)))</f>
        <v/>
      </c>
      <c r="V2500">
        <f>IF(OR($O2500="",NOT(ISNUMBER($Q2500))),"",$Q2500*1000000+2500)</f>
        <v/>
      </c>
      <c r="W2500" s="29">
        <f>IF($B2500="","",IFERROR(INDEX($U$4:$U$3183,MATCH(SMALL($V$4:$V$3183,2497),$V$4:$V$3183,0)),""))</f>
        <v/>
      </c>
    </row>
    <row r="2501">
      <c r="A2501">
        <f>IFERROR(INDEX($N$4:$N$3183,MATCH(SMALL($V$4:$V$3183,2498),$V$4:$V$3183,0)),"")</f>
        <v/>
      </c>
      <c r="B2501">
        <f>IFERROR(INDEX($O$4:$O$3183,MATCH(SMALL($V$4:$V$3183,2498),$V$4:$V$3183,0)),"")</f>
        <v/>
      </c>
      <c r="C2501">
        <f>IFERROR(INDEX($P$4:$P$3183,MATCH(SMALL($V$4:$V$3183,2498),$V$4:$V$3183,0)),"")</f>
        <v/>
      </c>
      <c r="D2501" s="29">
        <f>IFERROR(INDEX($Q$4:$Q$3183,MATCH(SMALL($V$4:$V$3183,2498),$V$4:$V$3183,0)),"")</f>
        <v/>
      </c>
      <c r="E2501" s="29">
        <f>IFERROR(INDEX($R$4:$R$3183,MATCH(SMALL($V$4:$V$3183,2498),$V$4:$V$3183,0)),"")</f>
        <v/>
      </c>
      <c r="F2501">
        <f>IFERROR(INDEX($S$4:$S$3183,MATCH(SMALL($V$4:$V$3183,2498),$V$4:$V$3183,0)),"")</f>
        <v/>
      </c>
      <c r="I2501" s="29">
        <f>IF($B2501="","",IFERROR(INDEX($U$4:$U$3183,MATCH(SMALL($V$4:$V$3183,2498),$V$4:$V$3183,0)),""))</f>
        <v/>
      </c>
      <c r="J2501">
        <f>IF($B2501="","",IF($D2501&gt;$F$2,"À venir",IF($E2501&lt;$D$2,"Passé","Dans la période")))</f>
        <v/>
      </c>
      <c r="K2501">
        <f>IF(OR($B2501="",NOT(ISNUMBER($D2501))),"",IF(AND($E2501&lt;$D$2,$G2501&lt;&gt;"X",$F2501&lt;&gt;"Réalisé",$F2501&lt;&gt;"Clôturé"),"RETARD",""))</f>
        <v/>
      </c>
      <c r="L2501">
        <f>IF(OR($B2501="",NOT(ISNUMBER($D2501))),"",IF(AND($D2501&gt;=$D$2,$D2501&lt;=$H$2,$G2501&lt;&gt;"X",$F2501&lt;&gt;"Réalisé",$F2501&lt;&gt;"Clôturé"),"≤ 7 j",""))</f>
        <v/>
      </c>
      <c r="M2501" s="29">
        <f>IF($B2501="","",IFERROR(INDEX($T$4:$T$3183,MATCH(SMALL($V$4:$V$3183,2498),$V$4:$V$3183,0)),""))</f>
        <v/>
      </c>
      <c r="O2501">
        <f>IF(INDEX(Suivi!$B:$B,2549)="","",INDEX(Suivi!$B:$B,2549))</f>
        <v/>
      </c>
      <c r="P2501">
        <f>IF($O2501="","",IF(INDEX(Suivi!$D:$D,2549)="",INDEX(Suivi!$C:$C,2549),INDEX(Suivi!$D:$D,2549)))</f>
        <v/>
      </c>
      <c r="Q2501">
        <f>IF($O2501="","",INDEX(Suivi!$E:$E,2549))</f>
        <v/>
      </c>
      <c r="R2501">
        <f>IF($O2501="","",INDEX(Suivi!$F:$F,2549))</f>
        <v/>
      </c>
      <c r="S2501">
        <f>IF($O2501="","",INDEX(Suivi!$G:$G,2549))</f>
        <v/>
      </c>
      <c r="T2501">
        <f>IF($O2501="","",IF(INDEX(Dossiers!$F$4:$F$63,48)="","",INDEX(Dossiers!$F$4:$F$63,48)))</f>
        <v/>
      </c>
      <c r="U2501">
        <f>IF($O2501="","",IF(INDEX(Dossiers!$G$4:$G$63,48)="","",INDEX(Dossiers!$G$4:$G$63,48)))</f>
        <v/>
      </c>
      <c r="V2501">
        <f>IF(OR($O2501="",NOT(ISNUMBER($Q2501))),"",$Q2501*1000000+2501)</f>
        <v/>
      </c>
      <c r="W2501" s="29">
        <f>IF($B2501="","",IFERROR(INDEX($U$4:$U$3183,MATCH(SMALL($V$4:$V$3183,2498),$V$4:$V$3183,0)),""))</f>
        <v/>
      </c>
    </row>
    <row r="2502">
      <c r="A2502">
        <f>IFERROR(INDEX($N$4:$N$3183,MATCH(SMALL($V$4:$V$3183,2499),$V$4:$V$3183,0)),"")</f>
        <v/>
      </c>
      <c r="B2502">
        <f>IFERROR(INDEX($O$4:$O$3183,MATCH(SMALL($V$4:$V$3183,2499),$V$4:$V$3183,0)),"")</f>
        <v/>
      </c>
      <c r="C2502">
        <f>IFERROR(INDEX($P$4:$P$3183,MATCH(SMALL($V$4:$V$3183,2499),$V$4:$V$3183,0)),"")</f>
        <v/>
      </c>
      <c r="D2502" s="29">
        <f>IFERROR(INDEX($Q$4:$Q$3183,MATCH(SMALL($V$4:$V$3183,2499),$V$4:$V$3183,0)),"")</f>
        <v/>
      </c>
      <c r="E2502" s="29">
        <f>IFERROR(INDEX($R$4:$R$3183,MATCH(SMALL($V$4:$V$3183,2499),$V$4:$V$3183,0)),"")</f>
        <v/>
      </c>
      <c r="F2502">
        <f>IFERROR(INDEX($S$4:$S$3183,MATCH(SMALL($V$4:$V$3183,2499),$V$4:$V$3183,0)),"")</f>
        <v/>
      </c>
      <c r="I2502" s="29">
        <f>IF($B2502="","",IFERROR(INDEX($U$4:$U$3183,MATCH(SMALL($V$4:$V$3183,2499),$V$4:$V$3183,0)),""))</f>
        <v/>
      </c>
      <c r="J2502">
        <f>IF($B2502="","",IF($D2502&gt;$F$2,"À venir",IF($E2502&lt;$D$2,"Passé","Dans la période")))</f>
        <v/>
      </c>
      <c r="K2502">
        <f>IF(OR($B2502="",NOT(ISNUMBER($D2502))),"",IF(AND($E2502&lt;$D$2,$G2502&lt;&gt;"X",$F2502&lt;&gt;"Réalisé",$F2502&lt;&gt;"Clôturé"),"RETARD",""))</f>
        <v/>
      </c>
      <c r="L2502">
        <f>IF(OR($B2502="",NOT(ISNUMBER($D2502))),"",IF(AND($D2502&gt;=$D$2,$D2502&lt;=$H$2,$G2502&lt;&gt;"X",$F2502&lt;&gt;"Réalisé",$F2502&lt;&gt;"Clôturé"),"≤ 7 j",""))</f>
        <v/>
      </c>
      <c r="M2502" s="29">
        <f>IF($B2502="","",IFERROR(INDEX($T$4:$T$3183,MATCH(SMALL($V$4:$V$3183,2499),$V$4:$V$3183,0)),""))</f>
        <v/>
      </c>
      <c r="O2502">
        <f>IF(INDEX(Suivi!$B:$B,2550)="","",INDEX(Suivi!$B:$B,2550))</f>
        <v/>
      </c>
      <c r="P2502">
        <f>IF($O2502="","",IF(INDEX(Suivi!$D:$D,2550)="",INDEX(Suivi!$C:$C,2550),INDEX(Suivi!$D:$D,2550)))</f>
        <v/>
      </c>
      <c r="Q2502">
        <f>IF($O2502="","",INDEX(Suivi!$E:$E,2550))</f>
        <v/>
      </c>
      <c r="R2502">
        <f>IF($O2502="","",INDEX(Suivi!$F:$F,2550))</f>
        <v/>
      </c>
      <c r="S2502">
        <f>IF($O2502="","",INDEX(Suivi!$G:$G,2550))</f>
        <v/>
      </c>
      <c r="T2502">
        <f>IF($O2502="","",IF(INDEX(Dossiers!$F$4:$F$63,48)="","",INDEX(Dossiers!$F$4:$F$63,48)))</f>
        <v/>
      </c>
      <c r="U2502">
        <f>IF($O2502="","",IF(INDEX(Dossiers!$G$4:$G$63,48)="","",INDEX(Dossiers!$G$4:$G$63,48)))</f>
        <v/>
      </c>
      <c r="V2502">
        <f>IF(OR($O2502="",NOT(ISNUMBER($Q2502))),"",$Q2502*1000000+2502)</f>
        <v/>
      </c>
      <c r="W2502" s="29">
        <f>IF($B2502="","",IFERROR(INDEX($U$4:$U$3183,MATCH(SMALL($V$4:$V$3183,2499),$V$4:$V$3183,0)),""))</f>
        <v/>
      </c>
    </row>
    <row r="2503">
      <c r="A2503">
        <f>IFERROR(INDEX($N$4:$N$3183,MATCH(SMALL($V$4:$V$3183,2500),$V$4:$V$3183,0)),"")</f>
        <v/>
      </c>
      <c r="B2503">
        <f>IFERROR(INDEX($O$4:$O$3183,MATCH(SMALL($V$4:$V$3183,2500),$V$4:$V$3183,0)),"")</f>
        <v/>
      </c>
      <c r="C2503">
        <f>IFERROR(INDEX($P$4:$P$3183,MATCH(SMALL($V$4:$V$3183,2500),$V$4:$V$3183,0)),"")</f>
        <v/>
      </c>
      <c r="D2503" s="29">
        <f>IFERROR(INDEX($Q$4:$Q$3183,MATCH(SMALL($V$4:$V$3183,2500),$V$4:$V$3183,0)),"")</f>
        <v/>
      </c>
      <c r="E2503" s="29">
        <f>IFERROR(INDEX($R$4:$R$3183,MATCH(SMALL($V$4:$V$3183,2500),$V$4:$V$3183,0)),"")</f>
        <v/>
      </c>
      <c r="F2503">
        <f>IFERROR(INDEX($S$4:$S$3183,MATCH(SMALL($V$4:$V$3183,2500),$V$4:$V$3183,0)),"")</f>
        <v/>
      </c>
      <c r="I2503" s="29">
        <f>IF($B2503="","",IFERROR(INDEX($U$4:$U$3183,MATCH(SMALL($V$4:$V$3183,2500),$V$4:$V$3183,0)),""))</f>
        <v/>
      </c>
      <c r="J2503">
        <f>IF($B2503="","",IF($D2503&gt;$F$2,"À venir",IF($E2503&lt;$D$2,"Passé","Dans la période")))</f>
        <v/>
      </c>
      <c r="K2503">
        <f>IF(OR($B2503="",NOT(ISNUMBER($D2503))),"",IF(AND($E2503&lt;$D$2,$G2503&lt;&gt;"X",$F2503&lt;&gt;"Réalisé",$F2503&lt;&gt;"Clôturé"),"RETARD",""))</f>
        <v/>
      </c>
      <c r="L2503">
        <f>IF(OR($B2503="",NOT(ISNUMBER($D2503))),"",IF(AND($D2503&gt;=$D$2,$D2503&lt;=$H$2,$G2503&lt;&gt;"X",$F2503&lt;&gt;"Réalisé",$F2503&lt;&gt;"Clôturé"),"≤ 7 j",""))</f>
        <v/>
      </c>
      <c r="M2503" s="29">
        <f>IF($B2503="","",IFERROR(INDEX($T$4:$T$3183,MATCH(SMALL($V$4:$V$3183,2500),$V$4:$V$3183,0)),""))</f>
        <v/>
      </c>
      <c r="O2503">
        <f>IF(INDEX(Suivi!$B:$B,2551)="","",INDEX(Suivi!$B:$B,2551))</f>
        <v/>
      </c>
      <c r="P2503">
        <f>IF($O2503="","",IF(INDEX(Suivi!$D:$D,2551)="",INDEX(Suivi!$C:$C,2551),INDEX(Suivi!$D:$D,2551)))</f>
        <v/>
      </c>
      <c r="Q2503">
        <f>IF($O2503="","",INDEX(Suivi!$E:$E,2551))</f>
        <v/>
      </c>
      <c r="R2503">
        <f>IF($O2503="","",INDEX(Suivi!$F:$F,2551))</f>
        <v/>
      </c>
      <c r="S2503">
        <f>IF($O2503="","",INDEX(Suivi!$G:$G,2551))</f>
        <v/>
      </c>
      <c r="T2503">
        <f>IF($O2503="","",IF(INDEX(Dossiers!$F$4:$F$63,48)="","",INDEX(Dossiers!$F$4:$F$63,48)))</f>
        <v/>
      </c>
      <c r="U2503">
        <f>IF($O2503="","",IF(INDEX(Dossiers!$G$4:$G$63,48)="","",INDEX(Dossiers!$G$4:$G$63,48)))</f>
        <v/>
      </c>
      <c r="V2503">
        <f>IF(OR($O2503="",NOT(ISNUMBER($Q2503))),"",$Q2503*1000000+2503)</f>
        <v/>
      </c>
      <c r="W2503" s="29">
        <f>IF($B2503="","",IFERROR(INDEX($U$4:$U$3183,MATCH(SMALL($V$4:$V$3183,2500),$V$4:$V$3183,0)),""))</f>
        <v/>
      </c>
    </row>
    <row r="2504">
      <c r="A2504">
        <f>IFERROR(INDEX($N$4:$N$3183,MATCH(SMALL($V$4:$V$3183,2501),$V$4:$V$3183,0)),"")</f>
        <v/>
      </c>
      <c r="B2504">
        <f>IFERROR(INDEX($O$4:$O$3183,MATCH(SMALL($V$4:$V$3183,2501),$V$4:$V$3183,0)),"")</f>
        <v/>
      </c>
      <c r="C2504">
        <f>IFERROR(INDEX($P$4:$P$3183,MATCH(SMALL($V$4:$V$3183,2501),$V$4:$V$3183,0)),"")</f>
        <v/>
      </c>
      <c r="D2504" s="29">
        <f>IFERROR(INDEX($Q$4:$Q$3183,MATCH(SMALL($V$4:$V$3183,2501),$V$4:$V$3183,0)),"")</f>
        <v/>
      </c>
      <c r="E2504" s="29">
        <f>IFERROR(INDEX($R$4:$R$3183,MATCH(SMALL($V$4:$V$3183,2501),$V$4:$V$3183,0)),"")</f>
        <v/>
      </c>
      <c r="F2504">
        <f>IFERROR(INDEX($S$4:$S$3183,MATCH(SMALL($V$4:$V$3183,2501),$V$4:$V$3183,0)),"")</f>
        <v/>
      </c>
      <c r="I2504" s="29">
        <f>IF($B2504="","",IFERROR(INDEX($U$4:$U$3183,MATCH(SMALL($V$4:$V$3183,2501),$V$4:$V$3183,0)),""))</f>
        <v/>
      </c>
      <c r="J2504">
        <f>IF($B2504="","",IF($D2504&gt;$F$2,"À venir",IF($E2504&lt;$D$2,"Passé","Dans la période")))</f>
        <v/>
      </c>
      <c r="K2504">
        <f>IF(OR($B2504="",NOT(ISNUMBER($D2504))),"",IF(AND($E2504&lt;$D$2,$G2504&lt;&gt;"X",$F2504&lt;&gt;"Réalisé",$F2504&lt;&gt;"Clôturé"),"RETARD",""))</f>
        <v/>
      </c>
      <c r="L2504">
        <f>IF(OR($B2504="",NOT(ISNUMBER($D2504))),"",IF(AND($D2504&gt;=$D$2,$D2504&lt;=$H$2,$G2504&lt;&gt;"X",$F2504&lt;&gt;"Réalisé",$F2504&lt;&gt;"Clôturé"),"≤ 7 j",""))</f>
        <v/>
      </c>
      <c r="M2504" s="29">
        <f>IF($B2504="","",IFERROR(INDEX($T$4:$T$3183,MATCH(SMALL($V$4:$V$3183,2501),$V$4:$V$3183,0)),""))</f>
        <v/>
      </c>
      <c r="O2504">
        <f>IF(INDEX(Suivi!$B:$B,2552)="","",INDEX(Suivi!$B:$B,2552))</f>
        <v/>
      </c>
      <c r="P2504">
        <f>IF($O2504="","",IF(INDEX(Suivi!$D:$D,2552)="",INDEX(Suivi!$C:$C,2552),INDEX(Suivi!$D:$D,2552)))</f>
        <v/>
      </c>
      <c r="Q2504">
        <f>IF($O2504="","",INDEX(Suivi!$E:$E,2552))</f>
        <v/>
      </c>
      <c r="R2504">
        <f>IF($O2504="","",INDEX(Suivi!$F:$F,2552))</f>
        <v/>
      </c>
      <c r="S2504">
        <f>IF($O2504="","",INDEX(Suivi!$G:$G,2552))</f>
        <v/>
      </c>
      <c r="T2504">
        <f>IF($O2504="","",IF(INDEX(Dossiers!$F$4:$F$63,48)="","",INDEX(Dossiers!$F$4:$F$63,48)))</f>
        <v/>
      </c>
      <c r="U2504">
        <f>IF($O2504="","",IF(INDEX(Dossiers!$G$4:$G$63,48)="","",INDEX(Dossiers!$G$4:$G$63,48)))</f>
        <v/>
      </c>
      <c r="V2504">
        <f>IF(OR($O2504="",NOT(ISNUMBER($Q2504))),"",$Q2504*1000000+2504)</f>
        <v/>
      </c>
      <c r="W2504" s="29">
        <f>IF($B2504="","",IFERROR(INDEX($U$4:$U$3183,MATCH(SMALL($V$4:$V$3183,2501),$V$4:$V$3183,0)),""))</f>
        <v/>
      </c>
    </row>
    <row r="2505">
      <c r="A2505">
        <f>IFERROR(INDEX($N$4:$N$3183,MATCH(SMALL($V$4:$V$3183,2502),$V$4:$V$3183,0)),"")</f>
        <v/>
      </c>
      <c r="B2505">
        <f>IFERROR(INDEX($O$4:$O$3183,MATCH(SMALL($V$4:$V$3183,2502),$V$4:$V$3183,0)),"")</f>
        <v/>
      </c>
      <c r="C2505">
        <f>IFERROR(INDEX($P$4:$P$3183,MATCH(SMALL($V$4:$V$3183,2502),$V$4:$V$3183,0)),"")</f>
        <v/>
      </c>
      <c r="D2505" s="29">
        <f>IFERROR(INDEX($Q$4:$Q$3183,MATCH(SMALL($V$4:$V$3183,2502),$V$4:$V$3183,0)),"")</f>
        <v/>
      </c>
      <c r="E2505" s="29">
        <f>IFERROR(INDEX($R$4:$R$3183,MATCH(SMALL($V$4:$V$3183,2502),$V$4:$V$3183,0)),"")</f>
        <v/>
      </c>
      <c r="F2505">
        <f>IFERROR(INDEX($S$4:$S$3183,MATCH(SMALL($V$4:$V$3183,2502),$V$4:$V$3183,0)),"")</f>
        <v/>
      </c>
      <c r="I2505" s="29">
        <f>IF($B2505="","",IFERROR(INDEX($U$4:$U$3183,MATCH(SMALL($V$4:$V$3183,2502),$V$4:$V$3183,0)),""))</f>
        <v/>
      </c>
      <c r="J2505">
        <f>IF($B2505="","",IF($D2505&gt;$F$2,"À venir",IF($E2505&lt;$D$2,"Passé","Dans la période")))</f>
        <v/>
      </c>
      <c r="K2505">
        <f>IF(OR($B2505="",NOT(ISNUMBER($D2505))),"",IF(AND($E2505&lt;$D$2,$G2505&lt;&gt;"X",$F2505&lt;&gt;"Réalisé",$F2505&lt;&gt;"Clôturé"),"RETARD",""))</f>
        <v/>
      </c>
      <c r="L2505">
        <f>IF(OR($B2505="",NOT(ISNUMBER($D2505))),"",IF(AND($D2505&gt;=$D$2,$D2505&lt;=$H$2,$G2505&lt;&gt;"X",$F2505&lt;&gt;"Réalisé",$F2505&lt;&gt;"Clôturé"),"≤ 7 j",""))</f>
        <v/>
      </c>
      <c r="M2505" s="29">
        <f>IF($B2505="","",IFERROR(INDEX($T$4:$T$3183,MATCH(SMALL($V$4:$V$3183,2502),$V$4:$V$3183,0)),""))</f>
        <v/>
      </c>
      <c r="O2505">
        <f>IF(INDEX(Suivi!$B:$B,2553)="","",INDEX(Suivi!$B:$B,2553))</f>
        <v/>
      </c>
      <c r="P2505">
        <f>IF($O2505="","",IF(INDEX(Suivi!$D:$D,2553)="",INDEX(Suivi!$C:$C,2553),INDEX(Suivi!$D:$D,2553)))</f>
        <v/>
      </c>
      <c r="Q2505">
        <f>IF($O2505="","",INDEX(Suivi!$E:$E,2553))</f>
        <v/>
      </c>
      <c r="R2505">
        <f>IF($O2505="","",INDEX(Suivi!$F:$F,2553))</f>
        <v/>
      </c>
      <c r="S2505">
        <f>IF($O2505="","",INDEX(Suivi!$G:$G,2553))</f>
        <v/>
      </c>
      <c r="T2505">
        <f>IF($O2505="","",IF(INDEX(Dossiers!$F$4:$F$63,48)="","",INDEX(Dossiers!$F$4:$F$63,48)))</f>
        <v/>
      </c>
      <c r="U2505">
        <f>IF($O2505="","",IF(INDEX(Dossiers!$G$4:$G$63,48)="","",INDEX(Dossiers!$G$4:$G$63,48)))</f>
        <v/>
      </c>
      <c r="V2505">
        <f>IF(OR($O2505="",NOT(ISNUMBER($Q2505))),"",$Q2505*1000000+2505)</f>
        <v/>
      </c>
      <c r="W2505" s="29">
        <f>IF($B2505="","",IFERROR(INDEX($U$4:$U$3183,MATCH(SMALL($V$4:$V$3183,2502),$V$4:$V$3183,0)),""))</f>
        <v/>
      </c>
    </row>
    <row r="2506">
      <c r="A2506">
        <f>IFERROR(INDEX($N$4:$N$3183,MATCH(SMALL($V$4:$V$3183,2503),$V$4:$V$3183,0)),"")</f>
        <v/>
      </c>
      <c r="B2506">
        <f>IFERROR(INDEX($O$4:$O$3183,MATCH(SMALL($V$4:$V$3183,2503),$V$4:$V$3183,0)),"")</f>
        <v/>
      </c>
      <c r="C2506">
        <f>IFERROR(INDEX($P$4:$P$3183,MATCH(SMALL($V$4:$V$3183,2503),$V$4:$V$3183,0)),"")</f>
        <v/>
      </c>
      <c r="D2506" s="29">
        <f>IFERROR(INDEX($Q$4:$Q$3183,MATCH(SMALL($V$4:$V$3183,2503),$V$4:$V$3183,0)),"")</f>
        <v/>
      </c>
      <c r="E2506" s="29">
        <f>IFERROR(INDEX($R$4:$R$3183,MATCH(SMALL($V$4:$V$3183,2503),$V$4:$V$3183,0)),"")</f>
        <v/>
      </c>
      <c r="F2506">
        <f>IFERROR(INDEX($S$4:$S$3183,MATCH(SMALL($V$4:$V$3183,2503),$V$4:$V$3183,0)),"")</f>
        <v/>
      </c>
      <c r="I2506" s="29">
        <f>IF($B2506="","",IFERROR(INDEX($U$4:$U$3183,MATCH(SMALL($V$4:$V$3183,2503),$V$4:$V$3183,0)),""))</f>
        <v/>
      </c>
      <c r="J2506">
        <f>IF($B2506="","",IF($D2506&gt;$F$2,"À venir",IF($E2506&lt;$D$2,"Passé","Dans la période")))</f>
        <v/>
      </c>
      <c r="K2506">
        <f>IF(OR($B2506="",NOT(ISNUMBER($D2506))),"",IF(AND($E2506&lt;$D$2,$G2506&lt;&gt;"X",$F2506&lt;&gt;"Réalisé",$F2506&lt;&gt;"Clôturé"),"RETARD",""))</f>
        <v/>
      </c>
      <c r="L2506">
        <f>IF(OR($B2506="",NOT(ISNUMBER($D2506))),"",IF(AND($D2506&gt;=$D$2,$D2506&lt;=$H$2,$G2506&lt;&gt;"X",$F2506&lt;&gt;"Réalisé",$F2506&lt;&gt;"Clôturé"),"≤ 7 j",""))</f>
        <v/>
      </c>
      <c r="M2506" s="29">
        <f>IF($B2506="","",IFERROR(INDEX($T$4:$T$3183,MATCH(SMALL($V$4:$V$3183,2503),$V$4:$V$3183,0)),""))</f>
        <v/>
      </c>
      <c r="O2506">
        <f>IF(INDEX(Suivi!$B:$B,2554)="","",INDEX(Suivi!$B:$B,2554))</f>
        <v/>
      </c>
      <c r="P2506">
        <f>IF($O2506="","",IF(INDEX(Suivi!$D:$D,2554)="",INDEX(Suivi!$C:$C,2554),INDEX(Suivi!$D:$D,2554)))</f>
        <v/>
      </c>
      <c r="Q2506">
        <f>IF($O2506="","",INDEX(Suivi!$E:$E,2554))</f>
        <v/>
      </c>
      <c r="R2506">
        <f>IF($O2506="","",INDEX(Suivi!$F:$F,2554))</f>
        <v/>
      </c>
      <c r="S2506">
        <f>IF($O2506="","",INDEX(Suivi!$G:$G,2554))</f>
        <v/>
      </c>
      <c r="T2506">
        <f>IF($O2506="","",IF(INDEX(Dossiers!$F$4:$F$63,48)="","",INDEX(Dossiers!$F$4:$F$63,48)))</f>
        <v/>
      </c>
      <c r="U2506">
        <f>IF($O2506="","",IF(INDEX(Dossiers!$G$4:$G$63,48)="","",INDEX(Dossiers!$G$4:$G$63,48)))</f>
        <v/>
      </c>
      <c r="V2506">
        <f>IF(OR($O2506="",NOT(ISNUMBER($Q2506))),"",$Q2506*1000000+2506)</f>
        <v/>
      </c>
      <c r="W2506" s="29">
        <f>IF($B2506="","",IFERROR(INDEX($U$4:$U$3183,MATCH(SMALL($V$4:$V$3183,2503),$V$4:$V$3183,0)),""))</f>
        <v/>
      </c>
    </row>
    <row r="2507">
      <c r="A2507">
        <f>IFERROR(INDEX($N$4:$N$3183,MATCH(SMALL($V$4:$V$3183,2504),$V$4:$V$3183,0)),"")</f>
        <v/>
      </c>
      <c r="B2507">
        <f>IFERROR(INDEX($O$4:$O$3183,MATCH(SMALL($V$4:$V$3183,2504),$V$4:$V$3183,0)),"")</f>
        <v/>
      </c>
      <c r="C2507">
        <f>IFERROR(INDEX($P$4:$P$3183,MATCH(SMALL($V$4:$V$3183,2504),$V$4:$V$3183,0)),"")</f>
        <v/>
      </c>
      <c r="D2507" s="29">
        <f>IFERROR(INDEX($Q$4:$Q$3183,MATCH(SMALL($V$4:$V$3183,2504),$V$4:$V$3183,0)),"")</f>
        <v/>
      </c>
      <c r="E2507" s="29">
        <f>IFERROR(INDEX($R$4:$R$3183,MATCH(SMALL($V$4:$V$3183,2504),$V$4:$V$3183,0)),"")</f>
        <v/>
      </c>
      <c r="F2507">
        <f>IFERROR(INDEX($S$4:$S$3183,MATCH(SMALL($V$4:$V$3183,2504),$V$4:$V$3183,0)),"")</f>
        <v/>
      </c>
      <c r="I2507" s="29">
        <f>IF($B2507="","",IFERROR(INDEX($U$4:$U$3183,MATCH(SMALL($V$4:$V$3183,2504),$V$4:$V$3183,0)),""))</f>
        <v/>
      </c>
      <c r="J2507">
        <f>IF($B2507="","",IF($D2507&gt;$F$2,"À venir",IF($E2507&lt;$D$2,"Passé","Dans la période")))</f>
        <v/>
      </c>
      <c r="K2507">
        <f>IF(OR($B2507="",NOT(ISNUMBER($D2507))),"",IF(AND($E2507&lt;$D$2,$G2507&lt;&gt;"X",$F2507&lt;&gt;"Réalisé",$F2507&lt;&gt;"Clôturé"),"RETARD",""))</f>
        <v/>
      </c>
      <c r="L2507">
        <f>IF(OR($B2507="",NOT(ISNUMBER($D2507))),"",IF(AND($D2507&gt;=$D$2,$D2507&lt;=$H$2,$G2507&lt;&gt;"X",$F2507&lt;&gt;"Réalisé",$F2507&lt;&gt;"Clôturé"),"≤ 7 j",""))</f>
        <v/>
      </c>
      <c r="M2507" s="29">
        <f>IF($B2507="","",IFERROR(INDEX($T$4:$T$3183,MATCH(SMALL($V$4:$V$3183,2504),$V$4:$V$3183,0)),""))</f>
        <v/>
      </c>
      <c r="O2507">
        <f>IF(INDEX(Suivi!$B:$B,2555)="","",INDEX(Suivi!$B:$B,2555))</f>
        <v/>
      </c>
      <c r="P2507">
        <f>IF($O2507="","",IF(INDEX(Suivi!$D:$D,2555)="",INDEX(Suivi!$C:$C,2555),INDEX(Suivi!$D:$D,2555)))</f>
        <v/>
      </c>
      <c r="Q2507">
        <f>IF($O2507="","",INDEX(Suivi!$E:$E,2555))</f>
        <v/>
      </c>
      <c r="R2507">
        <f>IF($O2507="","",INDEX(Suivi!$F:$F,2555))</f>
        <v/>
      </c>
      <c r="S2507">
        <f>IF($O2507="","",INDEX(Suivi!$G:$G,2555))</f>
        <v/>
      </c>
      <c r="T2507">
        <f>IF($O2507="","",IF(INDEX(Dossiers!$F$4:$F$63,48)="","",INDEX(Dossiers!$F$4:$F$63,48)))</f>
        <v/>
      </c>
      <c r="U2507">
        <f>IF($O2507="","",IF(INDEX(Dossiers!$G$4:$G$63,48)="","",INDEX(Dossiers!$G$4:$G$63,48)))</f>
        <v/>
      </c>
      <c r="V2507">
        <f>IF(OR($O2507="",NOT(ISNUMBER($Q2507))),"",$Q2507*1000000+2507)</f>
        <v/>
      </c>
      <c r="W2507" s="29">
        <f>IF($B2507="","",IFERROR(INDEX($U$4:$U$3183,MATCH(SMALL($V$4:$V$3183,2504),$V$4:$V$3183,0)),""))</f>
        <v/>
      </c>
    </row>
    <row r="2508">
      <c r="A2508">
        <f>IFERROR(INDEX($N$4:$N$3183,MATCH(SMALL($V$4:$V$3183,2505),$V$4:$V$3183,0)),"")</f>
        <v/>
      </c>
      <c r="B2508">
        <f>IFERROR(INDEX($O$4:$O$3183,MATCH(SMALL($V$4:$V$3183,2505),$V$4:$V$3183,0)),"")</f>
        <v/>
      </c>
      <c r="C2508">
        <f>IFERROR(INDEX($P$4:$P$3183,MATCH(SMALL($V$4:$V$3183,2505),$V$4:$V$3183,0)),"")</f>
        <v/>
      </c>
      <c r="D2508" s="29">
        <f>IFERROR(INDEX($Q$4:$Q$3183,MATCH(SMALL($V$4:$V$3183,2505),$V$4:$V$3183,0)),"")</f>
        <v/>
      </c>
      <c r="E2508" s="29">
        <f>IFERROR(INDEX($R$4:$R$3183,MATCH(SMALL($V$4:$V$3183,2505),$V$4:$V$3183,0)),"")</f>
        <v/>
      </c>
      <c r="F2508">
        <f>IFERROR(INDEX($S$4:$S$3183,MATCH(SMALL($V$4:$V$3183,2505),$V$4:$V$3183,0)),"")</f>
        <v/>
      </c>
      <c r="I2508" s="29">
        <f>IF($B2508="","",IFERROR(INDEX($U$4:$U$3183,MATCH(SMALL($V$4:$V$3183,2505),$V$4:$V$3183,0)),""))</f>
        <v/>
      </c>
      <c r="J2508">
        <f>IF($B2508="","",IF($D2508&gt;$F$2,"À venir",IF($E2508&lt;$D$2,"Passé","Dans la période")))</f>
        <v/>
      </c>
      <c r="K2508">
        <f>IF(OR($B2508="",NOT(ISNUMBER($D2508))),"",IF(AND($E2508&lt;$D$2,$G2508&lt;&gt;"X",$F2508&lt;&gt;"Réalisé",$F2508&lt;&gt;"Clôturé"),"RETARD",""))</f>
        <v/>
      </c>
      <c r="L2508">
        <f>IF(OR($B2508="",NOT(ISNUMBER($D2508))),"",IF(AND($D2508&gt;=$D$2,$D2508&lt;=$H$2,$G2508&lt;&gt;"X",$F2508&lt;&gt;"Réalisé",$F2508&lt;&gt;"Clôturé"),"≤ 7 j",""))</f>
        <v/>
      </c>
      <c r="M2508" s="29">
        <f>IF($B2508="","",IFERROR(INDEX($T$4:$T$3183,MATCH(SMALL($V$4:$V$3183,2505),$V$4:$V$3183,0)),""))</f>
        <v/>
      </c>
      <c r="O2508">
        <f>IF(INDEX(Suivi!$B:$B,2556)="","",INDEX(Suivi!$B:$B,2556))</f>
        <v/>
      </c>
      <c r="P2508">
        <f>IF($O2508="","",IF(INDEX(Suivi!$D:$D,2556)="",INDEX(Suivi!$C:$C,2556),INDEX(Suivi!$D:$D,2556)))</f>
        <v/>
      </c>
      <c r="Q2508">
        <f>IF($O2508="","",INDEX(Suivi!$E:$E,2556))</f>
        <v/>
      </c>
      <c r="R2508">
        <f>IF($O2508="","",INDEX(Suivi!$F:$F,2556))</f>
        <v/>
      </c>
      <c r="S2508">
        <f>IF($O2508="","",INDEX(Suivi!$G:$G,2556))</f>
        <v/>
      </c>
      <c r="T2508">
        <f>IF($O2508="","",IF(INDEX(Dossiers!$F$4:$F$63,48)="","",INDEX(Dossiers!$F$4:$F$63,48)))</f>
        <v/>
      </c>
      <c r="U2508">
        <f>IF($O2508="","",IF(INDEX(Dossiers!$G$4:$G$63,48)="","",INDEX(Dossiers!$G$4:$G$63,48)))</f>
        <v/>
      </c>
      <c r="V2508">
        <f>IF(OR($O2508="",NOT(ISNUMBER($Q2508))),"",$Q2508*1000000+2508)</f>
        <v/>
      </c>
      <c r="W2508" s="29">
        <f>IF($B2508="","",IFERROR(INDEX($U$4:$U$3183,MATCH(SMALL($V$4:$V$3183,2505),$V$4:$V$3183,0)),""))</f>
        <v/>
      </c>
    </row>
    <row r="2509">
      <c r="A2509">
        <f>IFERROR(INDEX($N$4:$N$3183,MATCH(SMALL($V$4:$V$3183,2506),$V$4:$V$3183,0)),"")</f>
        <v/>
      </c>
      <c r="B2509">
        <f>IFERROR(INDEX($O$4:$O$3183,MATCH(SMALL($V$4:$V$3183,2506),$V$4:$V$3183,0)),"")</f>
        <v/>
      </c>
      <c r="C2509">
        <f>IFERROR(INDEX($P$4:$P$3183,MATCH(SMALL($V$4:$V$3183,2506),$V$4:$V$3183,0)),"")</f>
        <v/>
      </c>
      <c r="D2509" s="29">
        <f>IFERROR(INDEX($Q$4:$Q$3183,MATCH(SMALL($V$4:$V$3183,2506),$V$4:$V$3183,0)),"")</f>
        <v/>
      </c>
      <c r="E2509" s="29">
        <f>IFERROR(INDEX($R$4:$R$3183,MATCH(SMALL($V$4:$V$3183,2506),$V$4:$V$3183,0)),"")</f>
        <v/>
      </c>
      <c r="F2509">
        <f>IFERROR(INDEX($S$4:$S$3183,MATCH(SMALL($V$4:$V$3183,2506),$V$4:$V$3183,0)),"")</f>
        <v/>
      </c>
      <c r="I2509" s="29">
        <f>IF($B2509="","",IFERROR(INDEX($U$4:$U$3183,MATCH(SMALL($V$4:$V$3183,2506),$V$4:$V$3183,0)),""))</f>
        <v/>
      </c>
      <c r="J2509">
        <f>IF($B2509="","",IF($D2509&gt;$F$2,"À venir",IF($E2509&lt;$D$2,"Passé","Dans la période")))</f>
        <v/>
      </c>
      <c r="K2509">
        <f>IF(OR($B2509="",NOT(ISNUMBER($D2509))),"",IF(AND($E2509&lt;$D$2,$G2509&lt;&gt;"X",$F2509&lt;&gt;"Réalisé",$F2509&lt;&gt;"Clôturé"),"RETARD",""))</f>
        <v/>
      </c>
      <c r="L2509">
        <f>IF(OR($B2509="",NOT(ISNUMBER($D2509))),"",IF(AND($D2509&gt;=$D$2,$D2509&lt;=$H$2,$G2509&lt;&gt;"X",$F2509&lt;&gt;"Réalisé",$F2509&lt;&gt;"Clôturé"),"≤ 7 j",""))</f>
        <v/>
      </c>
      <c r="M2509" s="29">
        <f>IF($B2509="","",IFERROR(INDEX($T$4:$T$3183,MATCH(SMALL($V$4:$V$3183,2506),$V$4:$V$3183,0)),""))</f>
        <v/>
      </c>
      <c r="O2509">
        <f>IF(INDEX(Suivi!$B:$B,2557)="","",INDEX(Suivi!$B:$B,2557))</f>
        <v/>
      </c>
      <c r="P2509">
        <f>IF($O2509="","",IF(INDEX(Suivi!$D:$D,2557)="",INDEX(Suivi!$C:$C,2557),INDEX(Suivi!$D:$D,2557)))</f>
        <v/>
      </c>
      <c r="Q2509">
        <f>IF($O2509="","",INDEX(Suivi!$E:$E,2557))</f>
        <v/>
      </c>
      <c r="R2509">
        <f>IF($O2509="","",INDEX(Suivi!$F:$F,2557))</f>
        <v/>
      </c>
      <c r="S2509">
        <f>IF($O2509="","",INDEX(Suivi!$G:$G,2557))</f>
        <v/>
      </c>
      <c r="T2509">
        <f>IF($O2509="","",IF(INDEX(Dossiers!$F$4:$F$63,48)="","",INDEX(Dossiers!$F$4:$F$63,48)))</f>
        <v/>
      </c>
      <c r="U2509">
        <f>IF($O2509="","",IF(INDEX(Dossiers!$G$4:$G$63,48)="","",INDEX(Dossiers!$G$4:$G$63,48)))</f>
        <v/>
      </c>
      <c r="V2509">
        <f>IF(OR($O2509="",NOT(ISNUMBER($Q2509))),"",$Q2509*1000000+2509)</f>
        <v/>
      </c>
      <c r="W2509" s="29">
        <f>IF($B2509="","",IFERROR(INDEX($U$4:$U$3183,MATCH(SMALL($V$4:$V$3183,2506),$V$4:$V$3183,0)),""))</f>
        <v/>
      </c>
    </row>
    <row r="2510">
      <c r="A2510">
        <f>IFERROR(INDEX($N$4:$N$3183,MATCH(SMALL($V$4:$V$3183,2507),$V$4:$V$3183,0)),"")</f>
        <v/>
      </c>
      <c r="B2510">
        <f>IFERROR(INDEX($O$4:$O$3183,MATCH(SMALL($V$4:$V$3183,2507),$V$4:$V$3183,0)),"")</f>
        <v/>
      </c>
      <c r="C2510">
        <f>IFERROR(INDEX($P$4:$P$3183,MATCH(SMALL($V$4:$V$3183,2507),$V$4:$V$3183,0)),"")</f>
        <v/>
      </c>
      <c r="D2510" s="29">
        <f>IFERROR(INDEX($Q$4:$Q$3183,MATCH(SMALL($V$4:$V$3183,2507),$V$4:$V$3183,0)),"")</f>
        <v/>
      </c>
      <c r="E2510" s="29">
        <f>IFERROR(INDEX($R$4:$R$3183,MATCH(SMALL($V$4:$V$3183,2507),$V$4:$V$3183,0)),"")</f>
        <v/>
      </c>
      <c r="F2510">
        <f>IFERROR(INDEX($S$4:$S$3183,MATCH(SMALL($V$4:$V$3183,2507),$V$4:$V$3183,0)),"")</f>
        <v/>
      </c>
      <c r="I2510" s="29">
        <f>IF($B2510="","",IFERROR(INDEX($U$4:$U$3183,MATCH(SMALL($V$4:$V$3183,2507),$V$4:$V$3183,0)),""))</f>
        <v/>
      </c>
      <c r="J2510">
        <f>IF($B2510="","",IF($D2510&gt;$F$2,"À venir",IF($E2510&lt;$D$2,"Passé","Dans la période")))</f>
        <v/>
      </c>
      <c r="K2510">
        <f>IF(OR($B2510="",NOT(ISNUMBER($D2510))),"",IF(AND($E2510&lt;$D$2,$G2510&lt;&gt;"X",$F2510&lt;&gt;"Réalisé",$F2510&lt;&gt;"Clôturé"),"RETARD",""))</f>
        <v/>
      </c>
      <c r="L2510">
        <f>IF(OR($B2510="",NOT(ISNUMBER($D2510))),"",IF(AND($D2510&gt;=$D$2,$D2510&lt;=$H$2,$G2510&lt;&gt;"X",$F2510&lt;&gt;"Réalisé",$F2510&lt;&gt;"Clôturé"),"≤ 7 j",""))</f>
        <v/>
      </c>
      <c r="M2510" s="29">
        <f>IF($B2510="","",IFERROR(INDEX($T$4:$T$3183,MATCH(SMALL($V$4:$V$3183,2507),$V$4:$V$3183,0)),""))</f>
        <v/>
      </c>
      <c r="O2510">
        <f>IF(INDEX(Suivi!$B:$B,2558)="","",INDEX(Suivi!$B:$B,2558))</f>
        <v/>
      </c>
      <c r="P2510">
        <f>IF($O2510="","",IF(INDEX(Suivi!$D:$D,2558)="",INDEX(Suivi!$C:$C,2558),INDEX(Suivi!$D:$D,2558)))</f>
        <v/>
      </c>
      <c r="Q2510">
        <f>IF($O2510="","",INDEX(Suivi!$E:$E,2558))</f>
        <v/>
      </c>
      <c r="R2510">
        <f>IF($O2510="","",INDEX(Suivi!$F:$F,2558))</f>
        <v/>
      </c>
      <c r="S2510">
        <f>IF($O2510="","",INDEX(Suivi!$G:$G,2558))</f>
        <v/>
      </c>
      <c r="T2510">
        <f>IF($O2510="","",IF(INDEX(Dossiers!$F$4:$F$63,48)="","",INDEX(Dossiers!$F$4:$F$63,48)))</f>
        <v/>
      </c>
      <c r="U2510">
        <f>IF($O2510="","",IF(INDEX(Dossiers!$G$4:$G$63,48)="","",INDEX(Dossiers!$G$4:$G$63,48)))</f>
        <v/>
      </c>
      <c r="V2510">
        <f>IF(OR($O2510="",NOT(ISNUMBER($Q2510))),"",$Q2510*1000000+2510)</f>
        <v/>
      </c>
      <c r="W2510" s="29">
        <f>IF($B2510="","",IFERROR(INDEX($U$4:$U$3183,MATCH(SMALL($V$4:$V$3183,2507),$V$4:$V$3183,0)),""))</f>
        <v/>
      </c>
    </row>
    <row r="2511">
      <c r="A2511">
        <f>IFERROR(INDEX($N$4:$N$3183,MATCH(SMALL($V$4:$V$3183,2508),$V$4:$V$3183,0)),"")</f>
        <v/>
      </c>
      <c r="B2511">
        <f>IFERROR(INDEX($O$4:$O$3183,MATCH(SMALL($V$4:$V$3183,2508),$V$4:$V$3183,0)),"")</f>
        <v/>
      </c>
      <c r="C2511">
        <f>IFERROR(INDEX($P$4:$P$3183,MATCH(SMALL($V$4:$V$3183,2508),$V$4:$V$3183,0)),"")</f>
        <v/>
      </c>
      <c r="D2511" s="29">
        <f>IFERROR(INDEX($Q$4:$Q$3183,MATCH(SMALL($V$4:$V$3183,2508),$V$4:$V$3183,0)),"")</f>
        <v/>
      </c>
      <c r="E2511" s="29">
        <f>IFERROR(INDEX($R$4:$R$3183,MATCH(SMALL($V$4:$V$3183,2508),$V$4:$V$3183,0)),"")</f>
        <v/>
      </c>
      <c r="F2511">
        <f>IFERROR(INDEX($S$4:$S$3183,MATCH(SMALL($V$4:$V$3183,2508),$V$4:$V$3183,0)),"")</f>
        <v/>
      </c>
      <c r="I2511" s="29">
        <f>IF($B2511="","",IFERROR(INDEX($U$4:$U$3183,MATCH(SMALL($V$4:$V$3183,2508),$V$4:$V$3183,0)),""))</f>
        <v/>
      </c>
      <c r="J2511">
        <f>IF($B2511="","",IF($D2511&gt;$F$2,"À venir",IF($E2511&lt;$D$2,"Passé","Dans la période")))</f>
        <v/>
      </c>
      <c r="K2511">
        <f>IF(OR($B2511="",NOT(ISNUMBER($D2511))),"",IF(AND($E2511&lt;$D$2,$G2511&lt;&gt;"X",$F2511&lt;&gt;"Réalisé",$F2511&lt;&gt;"Clôturé"),"RETARD",""))</f>
        <v/>
      </c>
      <c r="L2511">
        <f>IF(OR($B2511="",NOT(ISNUMBER($D2511))),"",IF(AND($D2511&gt;=$D$2,$D2511&lt;=$H$2,$G2511&lt;&gt;"X",$F2511&lt;&gt;"Réalisé",$F2511&lt;&gt;"Clôturé"),"≤ 7 j",""))</f>
        <v/>
      </c>
      <c r="M2511" s="29">
        <f>IF($B2511="","",IFERROR(INDEX($T$4:$T$3183,MATCH(SMALL($V$4:$V$3183,2508),$V$4:$V$3183,0)),""))</f>
        <v/>
      </c>
      <c r="O2511">
        <f>IF(INDEX(Suivi!$B:$B,2559)="","",INDEX(Suivi!$B:$B,2559))</f>
        <v/>
      </c>
      <c r="P2511">
        <f>IF($O2511="","",IF(INDEX(Suivi!$D:$D,2559)="",INDEX(Suivi!$C:$C,2559),INDEX(Suivi!$D:$D,2559)))</f>
        <v/>
      </c>
      <c r="Q2511">
        <f>IF($O2511="","",INDEX(Suivi!$E:$E,2559))</f>
        <v/>
      </c>
      <c r="R2511">
        <f>IF($O2511="","",INDEX(Suivi!$F:$F,2559))</f>
        <v/>
      </c>
      <c r="S2511">
        <f>IF($O2511="","",INDEX(Suivi!$G:$G,2559))</f>
        <v/>
      </c>
      <c r="T2511">
        <f>IF($O2511="","",IF(INDEX(Dossiers!$F$4:$F$63,48)="","",INDEX(Dossiers!$F$4:$F$63,48)))</f>
        <v/>
      </c>
      <c r="U2511">
        <f>IF($O2511="","",IF(INDEX(Dossiers!$G$4:$G$63,48)="","",INDEX(Dossiers!$G$4:$G$63,48)))</f>
        <v/>
      </c>
      <c r="V2511">
        <f>IF(OR($O2511="",NOT(ISNUMBER($Q2511))),"",$Q2511*1000000+2511)</f>
        <v/>
      </c>
      <c r="W2511" s="29">
        <f>IF($B2511="","",IFERROR(INDEX($U$4:$U$3183,MATCH(SMALL($V$4:$V$3183,2508),$V$4:$V$3183,0)),""))</f>
        <v/>
      </c>
    </row>
    <row r="2512">
      <c r="A2512">
        <f>IFERROR(INDEX($N$4:$N$3183,MATCH(SMALL($V$4:$V$3183,2509),$V$4:$V$3183,0)),"")</f>
        <v/>
      </c>
      <c r="B2512">
        <f>IFERROR(INDEX($O$4:$O$3183,MATCH(SMALL($V$4:$V$3183,2509),$V$4:$V$3183,0)),"")</f>
        <v/>
      </c>
      <c r="C2512">
        <f>IFERROR(INDEX($P$4:$P$3183,MATCH(SMALL($V$4:$V$3183,2509),$V$4:$V$3183,0)),"")</f>
        <v/>
      </c>
      <c r="D2512" s="29">
        <f>IFERROR(INDEX($Q$4:$Q$3183,MATCH(SMALL($V$4:$V$3183,2509),$V$4:$V$3183,0)),"")</f>
        <v/>
      </c>
      <c r="E2512" s="29">
        <f>IFERROR(INDEX($R$4:$R$3183,MATCH(SMALL($V$4:$V$3183,2509),$V$4:$V$3183,0)),"")</f>
        <v/>
      </c>
      <c r="F2512">
        <f>IFERROR(INDEX($S$4:$S$3183,MATCH(SMALL($V$4:$V$3183,2509),$V$4:$V$3183,0)),"")</f>
        <v/>
      </c>
      <c r="I2512" s="29">
        <f>IF($B2512="","",IFERROR(INDEX($U$4:$U$3183,MATCH(SMALL($V$4:$V$3183,2509),$V$4:$V$3183,0)),""))</f>
        <v/>
      </c>
      <c r="J2512">
        <f>IF($B2512="","",IF($D2512&gt;$F$2,"À venir",IF($E2512&lt;$D$2,"Passé","Dans la période")))</f>
        <v/>
      </c>
      <c r="K2512">
        <f>IF(OR($B2512="",NOT(ISNUMBER($D2512))),"",IF(AND($E2512&lt;$D$2,$G2512&lt;&gt;"X",$F2512&lt;&gt;"Réalisé",$F2512&lt;&gt;"Clôturé"),"RETARD",""))</f>
        <v/>
      </c>
      <c r="L2512">
        <f>IF(OR($B2512="",NOT(ISNUMBER($D2512))),"",IF(AND($D2512&gt;=$D$2,$D2512&lt;=$H$2,$G2512&lt;&gt;"X",$F2512&lt;&gt;"Réalisé",$F2512&lt;&gt;"Clôturé"),"≤ 7 j",""))</f>
        <v/>
      </c>
      <c r="M2512" s="29">
        <f>IF($B2512="","",IFERROR(INDEX($T$4:$T$3183,MATCH(SMALL($V$4:$V$3183,2509),$V$4:$V$3183,0)),""))</f>
        <v/>
      </c>
      <c r="O2512">
        <f>IF(INDEX(Suivi!$B:$B,2560)="","",INDEX(Suivi!$B:$B,2560))</f>
        <v/>
      </c>
      <c r="P2512">
        <f>IF($O2512="","",IF(INDEX(Suivi!$D:$D,2560)="",INDEX(Suivi!$C:$C,2560),INDEX(Suivi!$D:$D,2560)))</f>
        <v/>
      </c>
      <c r="Q2512">
        <f>IF($O2512="","",INDEX(Suivi!$E:$E,2560))</f>
        <v/>
      </c>
      <c r="R2512">
        <f>IF($O2512="","",INDEX(Suivi!$F:$F,2560))</f>
        <v/>
      </c>
      <c r="S2512">
        <f>IF($O2512="","",INDEX(Suivi!$G:$G,2560))</f>
        <v/>
      </c>
      <c r="T2512">
        <f>IF($O2512="","",IF(INDEX(Dossiers!$F$4:$F$63,48)="","",INDEX(Dossiers!$F$4:$F$63,48)))</f>
        <v/>
      </c>
      <c r="U2512">
        <f>IF($O2512="","",IF(INDEX(Dossiers!$G$4:$G$63,48)="","",INDEX(Dossiers!$G$4:$G$63,48)))</f>
        <v/>
      </c>
      <c r="V2512">
        <f>IF(OR($O2512="",NOT(ISNUMBER($Q2512))),"",$Q2512*1000000+2512)</f>
        <v/>
      </c>
      <c r="W2512" s="29">
        <f>IF($B2512="","",IFERROR(INDEX($U$4:$U$3183,MATCH(SMALL($V$4:$V$3183,2509),$V$4:$V$3183,0)),""))</f>
        <v/>
      </c>
    </row>
    <row r="2513">
      <c r="A2513">
        <f>IFERROR(INDEX($N$4:$N$3183,MATCH(SMALL($V$4:$V$3183,2510),$V$4:$V$3183,0)),"")</f>
        <v/>
      </c>
      <c r="B2513">
        <f>IFERROR(INDEX($O$4:$O$3183,MATCH(SMALL($V$4:$V$3183,2510),$V$4:$V$3183,0)),"")</f>
        <v/>
      </c>
      <c r="C2513">
        <f>IFERROR(INDEX($P$4:$P$3183,MATCH(SMALL($V$4:$V$3183,2510),$V$4:$V$3183,0)),"")</f>
        <v/>
      </c>
      <c r="D2513" s="29">
        <f>IFERROR(INDEX($Q$4:$Q$3183,MATCH(SMALL($V$4:$V$3183,2510),$V$4:$V$3183,0)),"")</f>
        <v/>
      </c>
      <c r="E2513" s="29">
        <f>IFERROR(INDEX($R$4:$R$3183,MATCH(SMALL($V$4:$V$3183,2510),$V$4:$V$3183,0)),"")</f>
        <v/>
      </c>
      <c r="F2513">
        <f>IFERROR(INDEX($S$4:$S$3183,MATCH(SMALL($V$4:$V$3183,2510),$V$4:$V$3183,0)),"")</f>
        <v/>
      </c>
      <c r="I2513" s="29">
        <f>IF($B2513="","",IFERROR(INDEX($U$4:$U$3183,MATCH(SMALL($V$4:$V$3183,2510),$V$4:$V$3183,0)),""))</f>
        <v/>
      </c>
      <c r="J2513">
        <f>IF($B2513="","",IF($D2513&gt;$F$2,"À venir",IF($E2513&lt;$D$2,"Passé","Dans la période")))</f>
        <v/>
      </c>
      <c r="K2513">
        <f>IF(OR($B2513="",NOT(ISNUMBER($D2513))),"",IF(AND($E2513&lt;$D$2,$G2513&lt;&gt;"X",$F2513&lt;&gt;"Réalisé",$F2513&lt;&gt;"Clôturé"),"RETARD",""))</f>
        <v/>
      </c>
      <c r="L2513">
        <f>IF(OR($B2513="",NOT(ISNUMBER($D2513))),"",IF(AND($D2513&gt;=$D$2,$D2513&lt;=$H$2,$G2513&lt;&gt;"X",$F2513&lt;&gt;"Réalisé",$F2513&lt;&gt;"Clôturé"),"≤ 7 j",""))</f>
        <v/>
      </c>
      <c r="M2513" s="29">
        <f>IF($B2513="","",IFERROR(INDEX($T$4:$T$3183,MATCH(SMALL($V$4:$V$3183,2510),$V$4:$V$3183,0)),""))</f>
        <v/>
      </c>
      <c r="O2513">
        <f>IF(INDEX(Suivi!$B:$B,2561)="","",INDEX(Suivi!$B:$B,2561))</f>
        <v/>
      </c>
      <c r="P2513">
        <f>IF($O2513="","",IF(INDEX(Suivi!$D:$D,2561)="",INDEX(Suivi!$C:$C,2561),INDEX(Suivi!$D:$D,2561)))</f>
        <v/>
      </c>
      <c r="Q2513">
        <f>IF($O2513="","",INDEX(Suivi!$E:$E,2561))</f>
        <v/>
      </c>
      <c r="R2513">
        <f>IF($O2513="","",INDEX(Suivi!$F:$F,2561))</f>
        <v/>
      </c>
      <c r="S2513">
        <f>IF($O2513="","",INDEX(Suivi!$G:$G,2561))</f>
        <v/>
      </c>
      <c r="T2513">
        <f>IF($O2513="","",IF(INDEX(Dossiers!$F$4:$F$63,48)="","",INDEX(Dossiers!$F$4:$F$63,48)))</f>
        <v/>
      </c>
      <c r="U2513">
        <f>IF($O2513="","",IF(INDEX(Dossiers!$G$4:$G$63,48)="","",INDEX(Dossiers!$G$4:$G$63,48)))</f>
        <v/>
      </c>
      <c r="V2513">
        <f>IF(OR($O2513="",NOT(ISNUMBER($Q2513))),"",$Q2513*1000000+2513)</f>
        <v/>
      </c>
      <c r="W2513" s="29">
        <f>IF($B2513="","",IFERROR(INDEX($U$4:$U$3183,MATCH(SMALL($V$4:$V$3183,2510),$V$4:$V$3183,0)),""))</f>
        <v/>
      </c>
    </row>
    <row r="2514">
      <c r="A2514">
        <f>IFERROR(INDEX($N$4:$N$3183,MATCH(SMALL($V$4:$V$3183,2511),$V$4:$V$3183,0)),"")</f>
        <v/>
      </c>
      <c r="B2514">
        <f>IFERROR(INDEX($O$4:$O$3183,MATCH(SMALL($V$4:$V$3183,2511),$V$4:$V$3183,0)),"")</f>
        <v/>
      </c>
      <c r="C2514">
        <f>IFERROR(INDEX($P$4:$P$3183,MATCH(SMALL($V$4:$V$3183,2511),$V$4:$V$3183,0)),"")</f>
        <v/>
      </c>
      <c r="D2514" s="29">
        <f>IFERROR(INDEX($Q$4:$Q$3183,MATCH(SMALL($V$4:$V$3183,2511),$V$4:$V$3183,0)),"")</f>
        <v/>
      </c>
      <c r="E2514" s="29">
        <f>IFERROR(INDEX($R$4:$R$3183,MATCH(SMALL($V$4:$V$3183,2511),$V$4:$V$3183,0)),"")</f>
        <v/>
      </c>
      <c r="F2514">
        <f>IFERROR(INDEX($S$4:$S$3183,MATCH(SMALL($V$4:$V$3183,2511),$V$4:$V$3183,0)),"")</f>
        <v/>
      </c>
      <c r="I2514" s="29">
        <f>IF($B2514="","",IFERROR(INDEX($U$4:$U$3183,MATCH(SMALL($V$4:$V$3183,2511),$V$4:$V$3183,0)),""))</f>
        <v/>
      </c>
      <c r="J2514">
        <f>IF($B2514="","",IF($D2514&gt;$F$2,"À venir",IF($E2514&lt;$D$2,"Passé","Dans la période")))</f>
        <v/>
      </c>
      <c r="K2514">
        <f>IF(OR($B2514="",NOT(ISNUMBER($D2514))),"",IF(AND($E2514&lt;$D$2,$G2514&lt;&gt;"X",$F2514&lt;&gt;"Réalisé",$F2514&lt;&gt;"Clôturé"),"RETARD",""))</f>
        <v/>
      </c>
      <c r="L2514">
        <f>IF(OR($B2514="",NOT(ISNUMBER($D2514))),"",IF(AND($D2514&gt;=$D$2,$D2514&lt;=$H$2,$G2514&lt;&gt;"X",$F2514&lt;&gt;"Réalisé",$F2514&lt;&gt;"Clôturé"),"≤ 7 j",""))</f>
        <v/>
      </c>
      <c r="M2514" s="29">
        <f>IF($B2514="","",IFERROR(INDEX($T$4:$T$3183,MATCH(SMALL($V$4:$V$3183,2511),$V$4:$V$3183,0)),""))</f>
        <v/>
      </c>
      <c r="O2514">
        <f>IF(INDEX(Suivi!$B:$B,2562)="","",INDEX(Suivi!$B:$B,2562))</f>
        <v/>
      </c>
      <c r="P2514">
        <f>IF($O2514="","",IF(INDEX(Suivi!$D:$D,2562)="",INDEX(Suivi!$C:$C,2562),INDEX(Suivi!$D:$D,2562)))</f>
        <v/>
      </c>
      <c r="Q2514">
        <f>IF($O2514="","",INDEX(Suivi!$E:$E,2562))</f>
        <v/>
      </c>
      <c r="R2514">
        <f>IF($O2514="","",INDEX(Suivi!$F:$F,2562))</f>
        <v/>
      </c>
      <c r="S2514">
        <f>IF($O2514="","",INDEX(Suivi!$G:$G,2562))</f>
        <v/>
      </c>
      <c r="T2514">
        <f>IF($O2514="","",IF(INDEX(Dossiers!$F$4:$F$63,48)="","",INDEX(Dossiers!$F$4:$F$63,48)))</f>
        <v/>
      </c>
      <c r="U2514">
        <f>IF($O2514="","",IF(INDEX(Dossiers!$G$4:$G$63,48)="","",INDEX(Dossiers!$G$4:$G$63,48)))</f>
        <v/>
      </c>
      <c r="V2514">
        <f>IF(OR($O2514="",NOT(ISNUMBER($Q2514))),"",$Q2514*1000000+2514)</f>
        <v/>
      </c>
      <c r="W2514" s="29">
        <f>IF($B2514="","",IFERROR(INDEX($U$4:$U$3183,MATCH(SMALL($V$4:$V$3183,2511),$V$4:$V$3183,0)),""))</f>
        <v/>
      </c>
    </row>
    <row r="2515">
      <c r="A2515">
        <f>IFERROR(INDEX($N$4:$N$3183,MATCH(SMALL($V$4:$V$3183,2512),$V$4:$V$3183,0)),"")</f>
        <v/>
      </c>
      <c r="B2515">
        <f>IFERROR(INDEX($O$4:$O$3183,MATCH(SMALL($V$4:$V$3183,2512),$V$4:$V$3183,0)),"")</f>
        <v/>
      </c>
      <c r="C2515">
        <f>IFERROR(INDEX($P$4:$P$3183,MATCH(SMALL($V$4:$V$3183,2512),$V$4:$V$3183,0)),"")</f>
        <v/>
      </c>
      <c r="D2515" s="29">
        <f>IFERROR(INDEX($Q$4:$Q$3183,MATCH(SMALL($V$4:$V$3183,2512),$V$4:$V$3183,0)),"")</f>
        <v/>
      </c>
      <c r="E2515" s="29">
        <f>IFERROR(INDEX($R$4:$R$3183,MATCH(SMALL($V$4:$V$3183,2512),$V$4:$V$3183,0)),"")</f>
        <v/>
      </c>
      <c r="F2515">
        <f>IFERROR(INDEX($S$4:$S$3183,MATCH(SMALL($V$4:$V$3183,2512),$V$4:$V$3183,0)),"")</f>
        <v/>
      </c>
      <c r="I2515" s="29">
        <f>IF($B2515="","",IFERROR(INDEX($U$4:$U$3183,MATCH(SMALL($V$4:$V$3183,2512),$V$4:$V$3183,0)),""))</f>
        <v/>
      </c>
      <c r="J2515">
        <f>IF($B2515="","",IF($D2515&gt;$F$2,"À venir",IF($E2515&lt;$D$2,"Passé","Dans la période")))</f>
        <v/>
      </c>
      <c r="K2515">
        <f>IF(OR($B2515="",NOT(ISNUMBER($D2515))),"",IF(AND($E2515&lt;$D$2,$G2515&lt;&gt;"X",$F2515&lt;&gt;"Réalisé",$F2515&lt;&gt;"Clôturé"),"RETARD",""))</f>
        <v/>
      </c>
      <c r="L2515">
        <f>IF(OR($B2515="",NOT(ISNUMBER($D2515))),"",IF(AND($D2515&gt;=$D$2,$D2515&lt;=$H$2,$G2515&lt;&gt;"X",$F2515&lt;&gt;"Réalisé",$F2515&lt;&gt;"Clôturé"),"≤ 7 j",""))</f>
        <v/>
      </c>
      <c r="M2515" s="29">
        <f>IF($B2515="","",IFERROR(INDEX($T$4:$T$3183,MATCH(SMALL($V$4:$V$3183,2512),$V$4:$V$3183,0)),""))</f>
        <v/>
      </c>
      <c r="O2515">
        <f>IF(INDEX(Suivi!$B:$B,2563)="","",INDEX(Suivi!$B:$B,2563))</f>
        <v/>
      </c>
      <c r="P2515">
        <f>IF($O2515="","",IF(INDEX(Suivi!$D:$D,2563)="",INDEX(Suivi!$C:$C,2563),INDEX(Suivi!$D:$D,2563)))</f>
        <v/>
      </c>
      <c r="Q2515">
        <f>IF($O2515="","",INDEX(Suivi!$E:$E,2563))</f>
        <v/>
      </c>
      <c r="R2515">
        <f>IF($O2515="","",INDEX(Suivi!$F:$F,2563))</f>
        <v/>
      </c>
      <c r="S2515">
        <f>IF($O2515="","",INDEX(Suivi!$G:$G,2563))</f>
        <v/>
      </c>
      <c r="T2515">
        <f>IF($O2515="","",IF(INDEX(Dossiers!$F$4:$F$63,48)="","",INDEX(Dossiers!$F$4:$F$63,48)))</f>
        <v/>
      </c>
      <c r="U2515">
        <f>IF($O2515="","",IF(INDEX(Dossiers!$G$4:$G$63,48)="","",INDEX(Dossiers!$G$4:$G$63,48)))</f>
        <v/>
      </c>
      <c r="V2515">
        <f>IF(OR($O2515="",NOT(ISNUMBER($Q2515))),"",$Q2515*1000000+2515)</f>
        <v/>
      </c>
      <c r="W2515" s="29">
        <f>IF($B2515="","",IFERROR(INDEX($U$4:$U$3183,MATCH(SMALL($V$4:$V$3183,2512),$V$4:$V$3183,0)),""))</f>
        <v/>
      </c>
    </row>
    <row r="2516">
      <c r="A2516">
        <f>IFERROR(INDEX($N$4:$N$3183,MATCH(SMALL($V$4:$V$3183,2513),$V$4:$V$3183,0)),"")</f>
        <v/>
      </c>
      <c r="B2516">
        <f>IFERROR(INDEX($O$4:$O$3183,MATCH(SMALL($V$4:$V$3183,2513),$V$4:$V$3183,0)),"")</f>
        <v/>
      </c>
      <c r="C2516">
        <f>IFERROR(INDEX($P$4:$P$3183,MATCH(SMALL($V$4:$V$3183,2513),$V$4:$V$3183,0)),"")</f>
        <v/>
      </c>
      <c r="D2516" s="29">
        <f>IFERROR(INDEX($Q$4:$Q$3183,MATCH(SMALL($V$4:$V$3183,2513),$V$4:$V$3183,0)),"")</f>
        <v/>
      </c>
      <c r="E2516" s="29">
        <f>IFERROR(INDEX($R$4:$R$3183,MATCH(SMALL($V$4:$V$3183,2513),$V$4:$V$3183,0)),"")</f>
        <v/>
      </c>
      <c r="F2516">
        <f>IFERROR(INDEX($S$4:$S$3183,MATCH(SMALL($V$4:$V$3183,2513),$V$4:$V$3183,0)),"")</f>
        <v/>
      </c>
      <c r="I2516" s="29">
        <f>IF($B2516="","",IFERROR(INDEX($U$4:$U$3183,MATCH(SMALL($V$4:$V$3183,2513),$V$4:$V$3183,0)),""))</f>
        <v/>
      </c>
      <c r="J2516">
        <f>IF($B2516="","",IF($D2516&gt;$F$2,"À venir",IF($E2516&lt;$D$2,"Passé","Dans la période")))</f>
        <v/>
      </c>
      <c r="K2516">
        <f>IF(OR($B2516="",NOT(ISNUMBER($D2516))),"",IF(AND($E2516&lt;$D$2,$G2516&lt;&gt;"X",$F2516&lt;&gt;"Réalisé",$F2516&lt;&gt;"Clôturé"),"RETARD",""))</f>
        <v/>
      </c>
      <c r="L2516">
        <f>IF(OR($B2516="",NOT(ISNUMBER($D2516))),"",IF(AND($D2516&gt;=$D$2,$D2516&lt;=$H$2,$G2516&lt;&gt;"X",$F2516&lt;&gt;"Réalisé",$F2516&lt;&gt;"Clôturé"),"≤ 7 j",""))</f>
        <v/>
      </c>
      <c r="M2516" s="29">
        <f>IF($B2516="","",IFERROR(INDEX($T$4:$T$3183,MATCH(SMALL($V$4:$V$3183,2513),$V$4:$V$3183,0)),""))</f>
        <v/>
      </c>
      <c r="O2516">
        <f>IF(INDEX(Suivi!$B:$B,2564)="","",INDEX(Suivi!$B:$B,2564))</f>
        <v/>
      </c>
      <c r="P2516">
        <f>IF($O2516="","",IF(INDEX(Suivi!$D:$D,2564)="",INDEX(Suivi!$C:$C,2564),INDEX(Suivi!$D:$D,2564)))</f>
        <v/>
      </c>
      <c r="Q2516">
        <f>IF($O2516="","",INDEX(Suivi!$E:$E,2564))</f>
        <v/>
      </c>
      <c r="R2516">
        <f>IF($O2516="","",INDEX(Suivi!$F:$F,2564))</f>
        <v/>
      </c>
      <c r="S2516">
        <f>IF($O2516="","",INDEX(Suivi!$G:$G,2564))</f>
        <v/>
      </c>
      <c r="T2516">
        <f>IF($O2516="","",IF(INDEX(Dossiers!$F$4:$F$63,48)="","",INDEX(Dossiers!$F$4:$F$63,48)))</f>
        <v/>
      </c>
      <c r="U2516">
        <f>IF($O2516="","",IF(INDEX(Dossiers!$G$4:$G$63,48)="","",INDEX(Dossiers!$G$4:$G$63,48)))</f>
        <v/>
      </c>
      <c r="V2516">
        <f>IF(OR($O2516="",NOT(ISNUMBER($Q2516))),"",$Q2516*1000000+2516)</f>
        <v/>
      </c>
      <c r="W2516" s="29">
        <f>IF($B2516="","",IFERROR(INDEX($U$4:$U$3183,MATCH(SMALL($V$4:$V$3183,2513),$V$4:$V$3183,0)),""))</f>
        <v/>
      </c>
    </row>
    <row r="2517">
      <c r="A2517">
        <f>IFERROR(INDEX($N$4:$N$3183,MATCH(SMALL($V$4:$V$3183,2514),$V$4:$V$3183,0)),"")</f>
        <v/>
      </c>
      <c r="B2517">
        <f>IFERROR(INDEX($O$4:$O$3183,MATCH(SMALL($V$4:$V$3183,2514),$V$4:$V$3183,0)),"")</f>
        <v/>
      </c>
      <c r="C2517">
        <f>IFERROR(INDEX($P$4:$P$3183,MATCH(SMALL($V$4:$V$3183,2514),$V$4:$V$3183,0)),"")</f>
        <v/>
      </c>
      <c r="D2517" s="29">
        <f>IFERROR(INDEX($Q$4:$Q$3183,MATCH(SMALL($V$4:$V$3183,2514),$V$4:$V$3183,0)),"")</f>
        <v/>
      </c>
      <c r="E2517" s="29">
        <f>IFERROR(INDEX($R$4:$R$3183,MATCH(SMALL($V$4:$V$3183,2514),$V$4:$V$3183,0)),"")</f>
        <v/>
      </c>
      <c r="F2517">
        <f>IFERROR(INDEX($S$4:$S$3183,MATCH(SMALL($V$4:$V$3183,2514),$V$4:$V$3183,0)),"")</f>
        <v/>
      </c>
      <c r="I2517" s="29">
        <f>IF($B2517="","",IFERROR(INDEX($U$4:$U$3183,MATCH(SMALL($V$4:$V$3183,2514),$V$4:$V$3183,0)),""))</f>
        <v/>
      </c>
      <c r="J2517">
        <f>IF($B2517="","",IF($D2517&gt;$F$2,"À venir",IF($E2517&lt;$D$2,"Passé","Dans la période")))</f>
        <v/>
      </c>
      <c r="K2517">
        <f>IF(OR($B2517="",NOT(ISNUMBER($D2517))),"",IF(AND($E2517&lt;$D$2,$G2517&lt;&gt;"X",$F2517&lt;&gt;"Réalisé",$F2517&lt;&gt;"Clôturé"),"RETARD",""))</f>
        <v/>
      </c>
      <c r="L2517">
        <f>IF(OR($B2517="",NOT(ISNUMBER($D2517))),"",IF(AND($D2517&gt;=$D$2,$D2517&lt;=$H$2,$G2517&lt;&gt;"X",$F2517&lt;&gt;"Réalisé",$F2517&lt;&gt;"Clôturé"),"≤ 7 j",""))</f>
        <v/>
      </c>
      <c r="M2517" s="29">
        <f>IF($B2517="","",IFERROR(INDEX($T$4:$T$3183,MATCH(SMALL($V$4:$V$3183,2514),$V$4:$V$3183,0)),""))</f>
        <v/>
      </c>
      <c r="O2517">
        <f>IF(INDEX(Suivi!$B:$B,2565)="","",INDEX(Suivi!$B:$B,2565))</f>
        <v/>
      </c>
      <c r="P2517">
        <f>IF($O2517="","",IF(INDEX(Suivi!$D:$D,2565)="",INDEX(Suivi!$C:$C,2565),INDEX(Suivi!$D:$D,2565)))</f>
        <v/>
      </c>
      <c r="Q2517">
        <f>IF($O2517="","",INDEX(Suivi!$E:$E,2565))</f>
        <v/>
      </c>
      <c r="R2517">
        <f>IF($O2517="","",INDEX(Suivi!$F:$F,2565))</f>
        <v/>
      </c>
      <c r="S2517">
        <f>IF($O2517="","",INDEX(Suivi!$G:$G,2565))</f>
        <v/>
      </c>
      <c r="T2517">
        <f>IF($O2517="","",IF(INDEX(Dossiers!$F$4:$F$63,48)="","",INDEX(Dossiers!$F$4:$F$63,48)))</f>
        <v/>
      </c>
      <c r="U2517">
        <f>IF($O2517="","",IF(INDEX(Dossiers!$G$4:$G$63,48)="","",INDEX(Dossiers!$G$4:$G$63,48)))</f>
        <v/>
      </c>
      <c r="V2517">
        <f>IF(OR($O2517="",NOT(ISNUMBER($Q2517))),"",$Q2517*1000000+2517)</f>
        <v/>
      </c>
      <c r="W2517" s="29">
        <f>IF($B2517="","",IFERROR(INDEX($U$4:$U$3183,MATCH(SMALL($V$4:$V$3183,2514),$V$4:$V$3183,0)),""))</f>
        <v/>
      </c>
    </row>
    <row r="2518">
      <c r="A2518">
        <f>IFERROR(INDEX($N$4:$N$3183,MATCH(SMALL($V$4:$V$3183,2515),$V$4:$V$3183,0)),"")</f>
        <v/>
      </c>
      <c r="B2518">
        <f>IFERROR(INDEX($O$4:$O$3183,MATCH(SMALL($V$4:$V$3183,2515),$V$4:$V$3183,0)),"")</f>
        <v/>
      </c>
      <c r="C2518">
        <f>IFERROR(INDEX($P$4:$P$3183,MATCH(SMALL($V$4:$V$3183,2515),$V$4:$V$3183,0)),"")</f>
        <v/>
      </c>
      <c r="D2518" s="29">
        <f>IFERROR(INDEX($Q$4:$Q$3183,MATCH(SMALL($V$4:$V$3183,2515),$V$4:$V$3183,0)),"")</f>
        <v/>
      </c>
      <c r="E2518" s="29">
        <f>IFERROR(INDEX($R$4:$R$3183,MATCH(SMALL($V$4:$V$3183,2515),$V$4:$V$3183,0)),"")</f>
        <v/>
      </c>
      <c r="F2518">
        <f>IFERROR(INDEX($S$4:$S$3183,MATCH(SMALL($V$4:$V$3183,2515),$V$4:$V$3183,0)),"")</f>
        <v/>
      </c>
      <c r="I2518" s="29">
        <f>IF($B2518="","",IFERROR(INDEX($U$4:$U$3183,MATCH(SMALL($V$4:$V$3183,2515),$V$4:$V$3183,0)),""))</f>
        <v/>
      </c>
      <c r="J2518">
        <f>IF($B2518="","",IF($D2518&gt;$F$2,"À venir",IF($E2518&lt;$D$2,"Passé","Dans la période")))</f>
        <v/>
      </c>
      <c r="K2518">
        <f>IF(OR($B2518="",NOT(ISNUMBER($D2518))),"",IF(AND($E2518&lt;$D$2,$G2518&lt;&gt;"X",$F2518&lt;&gt;"Réalisé",$F2518&lt;&gt;"Clôturé"),"RETARD",""))</f>
        <v/>
      </c>
      <c r="L2518">
        <f>IF(OR($B2518="",NOT(ISNUMBER($D2518))),"",IF(AND($D2518&gt;=$D$2,$D2518&lt;=$H$2,$G2518&lt;&gt;"X",$F2518&lt;&gt;"Réalisé",$F2518&lt;&gt;"Clôturé"),"≤ 7 j",""))</f>
        <v/>
      </c>
      <c r="M2518" s="29">
        <f>IF($B2518="","",IFERROR(INDEX($T$4:$T$3183,MATCH(SMALL($V$4:$V$3183,2515),$V$4:$V$3183,0)),""))</f>
        <v/>
      </c>
      <c r="O2518">
        <f>IF(INDEX(Suivi!$B:$B,2566)="","",INDEX(Suivi!$B:$B,2566))</f>
        <v/>
      </c>
      <c r="P2518">
        <f>IF($O2518="","",IF(INDEX(Suivi!$D:$D,2566)="",INDEX(Suivi!$C:$C,2566),INDEX(Suivi!$D:$D,2566)))</f>
        <v/>
      </c>
      <c r="Q2518">
        <f>IF($O2518="","",INDEX(Suivi!$E:$E,2566))</f>
        <v/>
      </c>
      <c r="R2518">
        <f>IF($O2518="","",INDEX(Suivi!$F:$F,2566))</f>
        <v/>
      </c>
      <c r="S2518">
        <f>IF($O2518="","",INDEX(Suivi!$G:$G,2566))</f>
        <v/>
      </c>
      <c r="T2518">
        <f>IF($O2518="","",IF(INDEX(Dossiers!$F$4:$F$63,48)="","",INDEX(Dossiers!$F$4:$F$63,48)))</f>
        <v/>
      </c>
      <c r="U2518">
        <f>IF($O2518="","",IF(INDEX(Dossiers!$G$4:$G$63,48)="","",INDEX(Dossiers!$G$4:$G$63,48)))</f>
        <v/>
      </c>
      <c r="V2518">
        <f>IF(OR($O2518="",NOT(ISNUMBER($Q2518))),"",$Q2518*1000000+2518)</f>
        <v/>
      </c>
      <c r="W2518" s="29">
        <f>IF($B2518="","",IFERROR(INDEX($U$4:$U$3183,MATCH(SMALL($V$4:$V$3183,2515),$V$4:$V$3183,0)),""))</f>
        <v/>
      </c>
    </row>
    <row r="2519">
      <c r="A2519">
        <f>IFERROR(INDEX($N$4:$N$3183,MATCH(SMALL($V$4:$V$3183,2516),$V$4:$V$3183,0)),"")</f>
        <v/>
      </c>
      <c r="B2519">
        <f>IFERROR(INDEX($O$4:$O$3183,MATCH(SMALL($V$4:$V$3183,2516),$V$4:$V$3183,0)),"")</f>
        <v/>
      </c>
      <c r="C2519">
        <f>IFERROR(INDEX($P$4:$P$3183,MATCH(SMALL($V$4:$V$3183,2516),$V$4:$V$3183,0)),"")</f>
        <v/>
      </c>
      <c r="D2519" s="29">
        <f>IFERROR(INDEX($Q$4:$Q$3183,MATCH(SMALL($V$4:$V$3183,2516),$V$4:$V$3183,0)),"")</f>
        <v/>
      </c>
      <c r="E2519" s="29">
        <f>IFERROR(INDEX($R$4:$R$3183,MATCH(SMALL($V$4:$V$3183,2516),$V$4:$V$3183,0)),"")</f>
        <v/>
      </c>
      <c r="F2519">
        <f>IFERROR(INDEX($S$4:$S$3183,MATCH(SMALL($V$4:$V$3183,2516),$V$4:$V$3183,0)),"")</f>
        <v/>
      </c>
      <c r="I2519" s="29">
        <f>IF($B2519="","",IFERROR(INDEX($U$4:$U$3183,MATCH(SMALL($V$4:$V$3183,2516),$V$4:$V$3183,0)),""))</f>
        <v/>
      </c>
      <c r="J2519">
        <f>IF($B2519="","",IF($D2519&gt;$F$2,"À venir",IF($E2519&lt;$D$2,"Passé","Dans la période")))</f>
        <v/>
      </c>
      <c r="K2519">
        <f>IF(OR($B2519="",NOT(ISNUMBER($D2519))),"",IF(AND($E2519&lt;$D$2,$G2519&lt;&gt;"X",$F2519&lt;&gt;"Réalisé",$F2519&lt;&gt;"Clôturé"),"RETARD",""))</f>
        <v/>
      </c>
      <c r="L2519">
        <f>IF(OR($B2519="",NOT(ISNUMBER($D2519))),"",IF(AND($D2519&gt;=$D$2,$D2519&lt;=$H$2,$G2519&lt;&gt;"X",$F2519&lt;&gt;"Réalisé",$F2519&lt;&gt;"Clôturé"),"≤ 7 j",""))</f>
        <v/>
      </c>
      <c r="M2519" s="29">
        <f>IF($B2519="","",IFERROR(INDEX($T$4:$T$3183,MATCH(SMALL($V$4:$V$3183,2516),$V$4:$V$3183,0)),""))</f>
        <v/>
      </c>
      <c r="O2519">
        <f>IF(INDEX(Suivi!$B:$B,2567)="","",INDEX(Suivi!$B:$B,2567))</f>
        <v/>
      </c>
      <c r="P2519">
        <f>IF($O2519="","",IF(INDEX(Suivi!$D:$D,2567)="",INDEX(Suivi!$C:$C,2567),INDEX(Suivi!$D:$D,2567)))</f>
        <v/>
      </c>
      <c r="Q2519">
        <f>IF($O2519="","",INDEX(Suivi!$E:$E,2567))</f>
        <v/>
      </c>
      <c r="R2519">
        <f>IF($O2519="","",INDEX(Suivi!$F:$F,2567))</f>
        <v/>
      </c>
      <c r="S2519">
        <f>IF($O2519="","",INDEX(Suivi!$G:$G,2567))</f>
        <v/>
      </c>
      <c r="T2519">
        <f>IF($O2519="","",IF(INDEX(Dossiers!$F$4:$F$63,48)="","",INDEX(Dossiers!$F$4:$F$63,48)))</f>
        <v/>
      </c>
      <c r="U2519">
        <f>IF($O2519="","",IF(INDEX(Dossiers!$G$4:$G$63,48)="","",INDEX(Dossiers!$G$4:$G$63,48)))</f>
        <v/>
      </c>
      <c r="V2519">
        <f>IF(OR($O2519="",NOT(ISNUMBER($Q2519))),"",$Q2519*1000000+2519)</f>
        <v/>
      </c>
      <c r="W2519" s="29">
        <f>IF($B2519="","",IFERROR(INDEX($U$4:$U$3183,MATCH(SMALL($V$4:$V$3183,2516),$V$4:$V$3183,0)),""))</f>
        <v/>
      </c>
    </row>
    <row r="2520">
      <c r="A2520">
        <f>IFERROR(INDEX($N$4:$N$3183,MATCH(SMALL($V$4:$V$3183,2517),$V$4:$V$3183,0)),"")</f>
        <v/>
      </c>
      <c r="B2520">
        <f>IFERROR(INDEX($O$4:$O$3183,MATCH(SMALL($V$4:$V$3183,2517),$V$4:$V$3183,0)),"")</f>
        <v/>
      </c>
      <c r="C2520">
        <f>IFERROR(INDEX($P$4:$P$3183,MATCH(SMALL($V$4:$V$3183,2517),$V$4:$V$3183,0)),"")</f>
        <v/>
      </c>
      <c r="D2520" s="29">
        <f>IFERROR(INDEX($Q$4:$Q$3183,MATCH(SMALL($V$4:$V$3183,2517),$V$4:$V$3183,0)),"")</f>
        <v/>
      </c>
      <c r="E2520" s="29">
        <f>IFERROR(INDEX($R$4:$R$3183,MATCH(SMALL($V$4:$V$3183,2517),$V$4:$V$3183,0)),"")</f>
        <v/>
      </c>
      <c r="F2520">
        <f>IFERROR(INDEX($S$4:$S$3183,MATCH(SMALL($V$4:$V$3183,2517),$V$4:$V$3183,0)),"")</f>
        <v/>
      </c>
      <c r="I2520" s="29">
        <f>IF($B2520="","",IFERROR(INDEX($U$4:$U$3183,MATCH(SMALL($V$4:$V$3183,2517),$V$4:$V$3183,0)),""))</f>
        <v/>
      </c>
      <c r="J2520">
        <f>IF($B2520="","",IF($D2520&gt;$F$2,"À venir",IF($E2520&lt;$D$2,"Passé","Dans la période")))</f>
        <v/>
      </c>
      <c r="K2520">
        <f>IF(OR($B2520="",NOT(ISNUMBER($D2520))),"",IF(AND($E2520&lt;$D$2,$G2520&lt;&gt;"X",$F2520&lt;&gt;"Réalisé",$F2520&lt;&gt;"Clôturé"),"RETARD",""))</f>
        <v/>
      </c>
      <c r="L2520">
        <f>IF(OR($B2520="",NOT(ISNUMBER($D2520))),"",IF(AND($D2520&gt;=$D$2,$D2520&lt;=$H$2,$G2520&lt;&gt;"X",$F2520&lt;&gt;"Réalisé",$F2520&lt;&gt;"Clôturé"),"≤ 7 j",""))</f>
        <v/>
      </c>
      <c r="M2520" s="29">
        <f>IF($B2520="","",IFERROR(INDEX($T$4:$T$3183,MATCH(SMALL($V$4:$V$3183,2517),$V$4:$V$3183,0)),""))</f>
        <v/>
      </c>
      <c r="O2520">
        <f>IF(INDEX(Suivi!$B:$B,2568)="","",INDEX(Suivi!$B:$B,2568))</f>
        <v/>
      </c>
      <c r="P2520">
        <f>IF($O2520="","",IF(INDEX(Suivi!$D:$D,2568)="",INDEX(Suivi!$C:$C,2568),INDEX(Suivi!$D:$D,2568)))</f>
        <v/>
      </c>
      <c r="Q2520">
        <f>IF($O2520="","",INDEX(Suivi!$E:$E,2568))</f>
        <v/>
      </c>
      <c r="R2520">
        <f>IF($O2520="","",INDEX(Suivi!$F:$F,2568))</f>
        <v/>
      </c>
      <c r="S2520">
        <f>IF($O2520="","",INDEX(Suivi!$G:$G,2568))</f>
        <v/>
      </c>
      <c r="T2520">
        <f>IF($O2520="","",IF(INDEX(Dossiers!$F$4:$F$63,48)="","",INDEX(Dossiers!$F$4:$F$63,48)))</f>
        <v/>
      </c>
      <c r="U2520">
        <f>IF($O2520="","",IF(INDEX(Dossiers!$G$4:$G$63,48)="","",INDEX(Dossiers!$G$4:$G$63,48)))</f>
        <v/>
      </c>
      <c r="V2520">
        <f>IF(OR($O2520="",NOT(ISNUMBER($Q2520))),"",$Q2520*1000000+2520)</f>
        <v/>
      </c>
      <c r="W2520" s="29">
        <f>IF($B2520="","",IFERROR(INDEX($U$4:$U$3183,MATCH(SMALL($V$4:$V$3183,2517),$V$4:$V$3183,0)),""))</f>
        <v/>
      </c>
    </row>
    <row r="2521">
      <c r="A2521">
        <f>IFERROR(INDEX($N$4:$N$3183,MATCH(SMALL($V$4:$V$3183,2518),$V$4:$V$3183,0)),"")</f>
        <v/>
      </c>
      <c r="B2521">
        <f>IFERROR(INDEX($O$4:$O$3183,MATCH(SMALL($V$4:$V$3183,2518),$V$4:$V$3183,0)),"")</f>
        <v/>
      </c>
      <c r="C2521">
        <f>IFERROR(INDEX($P$4:$P$3183,MATCH(SMALL($V$4:$V$3183,2518),$V$4:$V$3183,0)),"")</f>
        <v/>
      </c>
      <c r="D2521" s="29">
        <f>IFERROR(INDEX($Q$4:$Q$3183,MATCH(SMALL($V$4:$V$3183,2518),$V$4:$V$3183,0)),"")</f>
        <v/>
      </c>
      <c r="E2521" s="29">
        <f>IFERROR(INDEX($R$4:$R$3183,MATCH(SMALL($V$4:$V$3183,2518),$V$4:$V$3183,0)),"")</f>
        <v/>
      </c>
      <c r="F2521">
        <f>IFERROR(INDEX($S$4:$S$3183,MATCH(SMALL($V$4:$V$3183,2518),$V$4:$V$3183,0)),"")</f>
        <v/>
      </c>
      <c r="I2521" s="29">
        <f>IF($B2521="","",IFERROR(INDEX($U$4:$U$3183,MATCH(SMALL($V$4:$V$3183,2518),$V$4:$V$3183,0)),""))</f>
        <v/>
      </c>
      <c r="J2521">
        <f>IF($B2521="","",IF($D2521&gt;$F$2,"À venir",IF($E2521&lt;$D$2,"Passé","Dans la période")))</f>
        <v/>
      </c>
      <c r="K2521">
        <f>IF(OR($B2521="",NOT(ISNUMBER($D2521))),"",IF(AND($E2521&lt;$D$2,$G2521&lt;&gt;"X",$F2521&lt;&gt;"Réalisé",$F2521&lt;&gt;"Clôturé"),"RETARD",""))</f>
        <v/>
      </c>
      <c r="L2521">
        <f>IF(OR($B2521="",NOT(ISNUMBER($D2521))),"",IF(AND($D2521&gt;=$D$2,$D2521&lt;=$H$2,$G2521&lt;&gt;"X",$F2521&lt;&gt;"Réalisé",$F2521&lt;&gt;"Clôturé"),"≤ 7 j",""))</f>
        <v/>
      </c>
      <c r="M2521" s="29">
        <f>IF($B2521="","",IFERROR(INDEX($T$4:$T$3183,MATCH(SMALL($V$4:$V$3183,2518),$V$4:$V$3183,0)),""))</f>
        <v/>
      </c>
      <c r="O2521">
        <f>IF(INDEX(Suivi!$B:$B,2569)="","",INDEX(Suivi!$B:$B,2569))</f>
        <v/>
      </c>
      <c r="P2521">
        <f>IF($O2521="","",IF(INDEX(Suivi!$D:$D,2569)="",INDEX(Suivi!$C:$C,2569),INDEX(Suivi!$D:$D,2569)))</f>
        <v/>
      </c>
      <c r="Q2521">
        <f>IF($O2521="","",INDEX(Suivi!$E:$E,2569))</f>
        <v/>
      </c>
      <c r="R2521">
        <f>IF($O2521="","",INDEX(Suivi!$F:$F,2569))</f>
        <v/>
      </c>
      <c r="S2521">
        <f>IF($O2521="","",INDEX(Suivi!$G:$G,2569))</f>
        <v/>
      </c>
      <c r="T2521">
        <f>IF($O2521="","",IF(INDEX(Dossiers!$F$4:$F$63,48)="","",INDEX(Dossiers!$F$4:$F$63,48)))</f>
        <v/>
      </c>
      <c r="U2521">
        <f>IF($O2521="","",IF(INDEX(Dossiers!$G$4:$G$63,48)="","",INDEX(Dossiers!$G$4:$G$63,48)))</f>
        <v/>
      </c>
      <c r="V2521">
        <f>IF(OR($O2521="",NOT(ISNUMBER($Q2521))),"",$Q2521*1000000+2521)</f>
        <v/>
      </c>
      <c r="W2521" s="29">
        <f>IF($B2521="","",IFERROR(INDEX($U$4:$U$3183,MATCH(SMALL($V$4:$V$3183,2518),$V$4:$V$3183,0)),""))</f>
        <v/>
      </c>
    </row>
    <row r="2522">
      <c r="A2522">
        <f>IFERROR(INDEX($N$4:$N$3183,MATCH(SMALL($V$4:$V$3183,2519),$V$4:$V$3183,0)),"")</f>
        <v/>
      </c>
      <c r="B2522">
        <f>IFERROR(INDEX($O$4:$O$3183,MATCH(SMALL($V$4:$V$3183,2519),$V$4:$V$3183,0)),"")</f>
        <v/>
      </c>
      <c r="C2522">
        <f>IFERROR(INDEX($P$4:$P$3183,MATCH(SMALL($V$4:$V$3183,2519),$V$4:$V$3183,0)),"")</f>
        <v/>
      </c>
      <c r="D2522" s="29">
        <f>IFERROR(INDEX($Q$4:$Q$3183,MATCH(SMALL($V$4:$V$3183,2519),$V$4:$V$3183,0)),"")</f>
        <v/>
      </c>
      <c r="E2522" s="29">
        <f>IFERROR(INDEX($R$4:$R$3183,MATCH(SMALL($V$4:$V$3183,2519),$V$4:$V$3183,0)),"")</f>
        <v/>
      </c>
      <c r="F2522">
        <f>IFERROR(INDEX($S$4:$S$3183,MATCH(SMALL($V$4:$V$3183,2519),$V$4:$V$3183,0)),"")</f>
        <v/>
      </c>
      <c r="I2522" s="29">
        <f>IF($B2522="","",IFERROR(INDEX($U$4:$U$3183,MATCH(SMALL($V$4:$V$3183,2519),$V$4:$V$3183,0)),""))</f>
        <v/>
      </c>
      <c r="J2522">
        <f>IF($B2522="","",IF($D2522&gt;$F$2,"À venir",IF($E2522&lt;$D$2,"Passé","Dans la période")))</f>
        <v/>
      </c>
      <c r="K2522">
        <f>IF(OR($B2522="",NOT(ISNUMBER($D2522))),"",IF(AND($E2522&lt;$D$2,$G2522&lt;&gt;"X",$F2522&lt;&gt;"Réalisé",$F2522&lt;&gt;"Clôturé"),"RETARD",""))</f>
        <v/>
      </c>
      <c r="L2522">
        <f>IF(OR($B2522="",NOT(ISNUMBER($D2522))),"",IF(AND($D2522&gt;=$D$2,$D2522&lt;=$H$2,$G2522&lt;&gt;"X",$F2522&lt;&gt;"Réalisé",$F2522&lt;&gt;"Clôturé"),"≤ 7 j",""))</f>
        <v/>
      </c>
      <c r="M2522" s="29">
        <f>IF($B2522="","",IFERROR(INDEX($T$4:$T$3183,MATCH(SMALL($V$4:$V$3183,2519),$V$4:$V$3183,0)),""))</f>
        <v/>
      </c>
      <c r="O2522">
        <f>IF(INDEX(Suivi!$B:$B,2570)="","",INDEX(Suivi!$B:$B,2570))</f>
        <v/>
      </c>
      <c r="P2522">
        <f>IF($O2522="","",IF(INDEX(Suivi!$D:$D,2570)="",INDEX(Suivi!$C:$C,2570),INDEX(Suivi!$D:$D,2570)))</f>
        <v/>
      </c>
      <c r="Q2522">
        <f>IF($O2522="","",INDEX(Suivi!$E:$E,2570))</f>
        <v/>
      </c>
      <c r="R2522">
        <f>IF($O2522="","",INDEX(Suivi!$F:$F,2570))</f>
        <v/>
      </c>
      <c r="S2522">
        <f>IF($O2522="","",INDEX(Suivi!$G:$G,2570))</f>
        <v/>
      </c>
      <c r="T2522">
        <f>IF($O2522="","",IF(INDEX(Dossiers!$F$4:$F$63,48)="","",INDEX(Dossiers!$F$4:$F$63,48)))</f>
        <v/>
      </c>
      <c r="U2522">
        <f>IF($O2522="","",IF(INDEX(Dossiers!$G$4:$G$63,48)="","",INDEX(Dossiers!$G$4:$G$63,48)))</f>
        <v/>
      </c>
      <c r="V2522">
        <f>IF(OR($O2522="",NOT(ISNUMBER($Q2522))),"",$Q2522*1000000+2522)</f>
        <v/>
      </c>
      <c r="W2522" s="29">
        <f>IF($B2522="","",IFERROR(INDEX($U$4:$U$3183,MATCH(SMALL($V$4:$V$3183,2519),$V$4:$V$3183,0)),""))</f>
        <v/>
      </c>
    </row>
    <row r="2523">
      <c r="A2523">
        <f>IFERROR(INDEX($N$4:$N$3183,MATCH(SMALL($V$4:$V$3183,2520),$V$4:$V$3183,0)),"")</f>
        <v/>
      </c>
      <c r="B2523">
        <f>IFERROR(INDEX($O$4:$O$3183,MATCH(SMALL($V$4:$V$3183,2520),$V$4:$V$3183,0)),"")</f>
        <v/>
      </c>
      <c r="C2523">
        <f>IFERROR(INDEX($P$4:$P$3183,MATCH(SMALL($V$4:$V$3183,2520),$V$4:$V$3183,0)),"")</f>
        <v/>
      </c>
      <c r="D2523" s="29">
        <f>IFERROR(INDEX($Q$4:$Q$3183,MATCH(SMALL($V$4:$V$3183,2520),$V$4:$V$3183,0)),"")</f>
        <v/>
      </c>
      <c r="E2523" s="29">
        <f>IFERROR(INDEX($R$4:$R$3183,MATCH(SMALL($V$4:$V$3183,2520),$V$4:$V$3183,0)),"")</f>
        <v/>
      </c>
      <c r="F2523">
        <f>IFERROR(INDEX($S$4:$S$3183,MATCH(SMALL($V$4:$V$3183,2520),$V$4:$V$3183,0)),"")</f>
        <v/>
      </c>
      <c r="I2523" s="29">
        <f>IF($B2523="","",IFERROR(INDEX($U$4:$U$3183,MATCH(SMALL($V$4:$V$3183,2520),$V$4:$V$3183,0)),""))</f>
        <v/>
      </c>
      <c r="J2523">
        <f>IF($B2523="","",IF($D2523&gt;$F$2,"À venir",IF($E2523&lt;$D$2,"Passé","Dans la période")))</f>
        <v/>
      </c>
      <c r="K2523">
        <f>IF(OR($B2523="",NOT(ISNUMBER($D2523))),"",IF(AND($E2523&lt;$D$2,$G2523&lt;&gt;"X",$F2523&lt;&gt;"Réalisé",$F2523&lt;&gt;"Clôturé"),"RETARD",""))</f>
        <v/>
      </c>
      <c r="L2523">
        <f>IF(OR($B2523="",NOT(ISNUMBER($D2523))),"",IF(AND($D2523&gt;=$D$2,$D2523&lt;=$H$2,$G2523&lt;&gt;"X",$F2523&lt;&gt;"Réalisé",$F2523&lt;&gt;"Clôturé"),"≤ 7 j",""))</f>
        <v/>
      </c>
      <c r="M2523" s="29">
        <f>IF($B2523="","",IFERROR(INDEX($T$4:$T$3183,MATCH(SMALL($V$4:$V$3183,2520),$V$4:$V$3183,0)),""))</f>
        <v/>
      </c>
      <c r="O2523">
        <f>IF(INDEX(Suivi!$B:$B,2571)="","",INDEX(Suivi!$B:$B,2571))</f>
        <v/>
      </c>
      <c r="P2523">
        <f>IF($O2523="","",IF(INDEX(Suivi!$D:$D,2571)="",INDEX(Suivi!$C:$C,2571),INDEX(Suivi!$D:$D,2571)))</f>
        <v/>
      </c>
      <c r="Q2523">
        <f>IF($O2523="","",INDEX(Suivi!$E:$E,2571))</f>
        <v/>
      </c>
      <c r="R2523">
        <f>IF($O2523="","",INDEX(Suivi!$F:$F,2571))</f>
        <v/>
      </c>
      <c r="S2523">
        <f>IF($O2523="","",INDEX(Suivi!$G:$G,2571))</f>
        <v/>
      </c>
      <c r="T2523">
        <f>IF($O2523="","",IF(INDEX(Dossiers!$F$4:$F$63,48)="","",INDEX(Dossiers!$F$4:$F$63,48)))</f>
        <v/>
      </c>
      <c r="U2523">
        <f>IF($O2523="","",IF(INDEX(Dossiers!$G$4:$G$63,48)="","",INDEX(Dossiers!$G$4:$G$63,48)))</f>
        <v/>
      </c>
      <c r="V2523">
        <f>IF(OR($O2523="",NOT(ISNUMBER($Q2523))),"",$Q2523*1000000+2523)</f>
        <v/>
      </c>
      <c r="W2523" s="29">
        <f>IF($B2523="","",IFERROR(INDEX($U$4:$U$3183,MATCH(SMALL($V$4:$V$3183,2520),$V$4:$V$3183,0)),""))</f>
        <v/>
      </c>
    </row>
    <row r="2524">
      <c r="A2524">
        <f>IFERROR(INDEX($N$4:$N$3183,MATCH(SMALL($V$4:$V$3183,2521),$V$4:$V$3183,0)),"")</f>
        <v/>
      </c>
      <c r="B2524">
        <f>IFERROR(INDEX($O$4:$O$3183,MATCH(SMALL($V$4:$V$3183,2521),$V$4:$V$3183,0)),"")</f>
        <v/>
      </c>
      <c r="C2524">
        <f>IFERROR(INDEX($P$4:$P$3183,MATCH(SMALL($V$4:$V$3183,2521),$V$4:$V$3183,0)),"")</f>
        <v/>
      </c>
      <c r="D2524" s="29">
        <f>IFERROR(INDEX($Q$4:$Q$3183,MATCH(SMALL($V$4:$V$3183,2521),$V$4:$V$3183,0)),"")</f>
        <v/>
      </c>
      <c r="E2524" s="29">
        <f>IFERROR(INDEX($R$4:$R$3183,MATCH(SMALL($V$4:$V$3183,2521),$V$4:$V$3183,0)),"")</f>
        <v/>
      </c>
      <c r="F2524">
        <f>IFERROR(INDEX($S$4:$S$3183,MATCH(SMALL($V$4:$V$3183,2521),$V$4:$V$3183,0)),"")</f>
        <v/>
      </c>
      <c r="I2524" s="29">
        <f>IF($B2524="","",IFERROR(INDEX($U$4:$U$3183,MATCH(SMALL($V$4:$V$3183,2521),$V$4:$V$3183,0)),""))</f>
        <v/>
      </c>
      <c r="J2524">
        <f>IF($B2524="","",IF($D2524&gt;$F$2,"À venir",IF($E2524&lt;$D$2,"Passé","Dans la période")))</f>
        <v/>
      </c>
      <c r="K2524">
        <f>IF(OR($B2524="",NOT(ISNUMBER($D2524))),"",IF(AND($E2524&lt;$D$2,$G2524&lt;&gt;"X",$F2524&lt;&gt;"Réalisé",$F2524&lt;&gt;"Clôturé"),"RETARD",""))</f>
        <v/>
      </c>
      <c r="L2524">
        <f>IF(OR($B2524="",NOT(ISNUMBER($D2524))),"",IF(AND($D2524&gt;=$D$2,$D2524&lt;=$H$2,$G2524&lt;&gt;"X",$F2524&lt;&gt;"Réalisé",$F2524&lt;&gt;"Clôturé"),"≤ 7 j",""))</f>
        <v/>
      </c>
      <c r="M2524" s="29">
        <f>IF($B2524="","",IFERROR(INDEX($T$4:$T$3183,MATCH(SMALL($V$4:$V$3183,2521),$V$4:$V$3183,0)),""))</f>
        <v/>
      </c>
      <c r="O2524">
        <f>IF(INDEX(Suivi!$B:$B,2572)="","",INDEX(Suivi!$B:$B,2572))</f>
        <v/>
      </c>
      <c r="P2524">
        <f>IF($O2524="","",IF(INDEX(Suivi!$D:$D,2572)="",INDEX(Suivi!$C:$C,2572),INDEX(Suivi!$D:$D,2572)))</f>
        <v/>
      </c>
      <c r="Q2524">
        <f>IF($O2524="","",INDEX(Suivi!$E:$E,2572))</f>
        <v/>
      </c>
      <c r="R2524">
        <f>IF($O2524="","",INDEX(Suivi!$F:$F,2572))</f>
        <v/>
      </c>
      <c r="S2524">
        <f>IF($O2524="","",INDEX(Suivi!$G:$G,2572))</f>
        <v/>
      </c>
      <c r="T2524">
        <f>IF($O2524="","",IF(INDEX(Dossiers!$F$4:$F$63,48)="","",INDEX(Dossiers!$F$4:$F$63,48)))</f>
        <v/>
      </c>
      <c r="U2524">
        <f>IF($O2524="","",IF(INDEX(Dossiers!$G$4:$G$63,48)="","",INDEX(Dossiers!$G$4:$G$63,48)))</f>
        <v/>
      </c>
      <c r="V2524">
        <f>IF(OR($O2524="",NOT(ISNUMBER($Q2524))),"",$Q2524*1000000+2524)</f>
        <v/>
      </c>
      <c r="W2524" s="29">
        <f>IF($B2524="","",IFERROR(INDEX($U$4:$U$3183,MATCH(SMALL($V$4:$V$3183,2521),$V$4:$V$3183,0)),""))</f>
        <v/>
      </c>
    </row>
    <row r="2525">
      <c r="A2525">
        <f>IFERROR(INDEX($N$4:$N$3183,MATCH(SMALL($V$4:$V$3183,2522),$V$4:$V$3183,0)),"")</f>
        <v/>
      </c>
      <c r="B2525">
        <f>IFERROR(INDEX($O$4:$O$3183,MATCH(SMALL($V$4:$V$3183,2522),$V$4:$V$3183,0)),"")</f>
        <v/>
      </c>
      <c r="C2525">
        <f>IFERROR(INDEX($P$4:$P$3183,MATCH(SMALL($V$4:$V$3183,2522),$V$4:$V$3183,0)),"")</f>
        <v/>
      </c>
      <c r="D2525" s="29">
        <f>IFERROR(INDEX($Q$4:$Q$3183,MATCH(SMALL($V$4:$V$3183,2522),$V$4:$V$3183,0)),"")</f>
        <v/>
      </c>
      <c r="E2525" s="29">
        <f>IFERROR(INDEX($R$4:$R$3183,MATCH(SMALL($V$4:$V$3183,2522),$V$4:$V$3183,0)),"")</f>
        <v/>
      </c>
      <c r="F2525">
        <f>IFERROR(INDEX($S$4:$S$3183,MATCH(SMALL($V$4:$V$3183,2522),$V$4:$V$3183,0)),"")</f>
        <v/>
      </c>
      <c r="I2525" s="29">
        <f>IF($B2525="","",IFERROR(INDEX($U$4:$U$3183,MATCH(SMALL($V$4:$V$3183,2522),$V$4:$V$3183,0)),""))</f>
        <v/>
      </c>
      <c r="J2525">
        <f>IF($B2525="","",IF($D2525&gt;$F$2,"À venir",IF($E2525&lt;$D$2,"Passé","Dans la période")))</f>
        <v/>
      </c>
      <c r="K2525">
        <f>IF(OR($B2525="",NOT(ISNUMBER($D2525))),"",IF(AND($E2525&lt;$D$2,$G2525&lt;&gt;"X",$F2525&lt;&gt;"Réalisé",$F2525&lt;&gt;"Clôturé"),"RETARD",""))</f>
        <v/>
      </c>
      <c r="L2525">
        <f>IF(OR($B2525="",NOT(ISNUMBER($D2525))),"",IF(AND($D2525&gt;=$D$2,$D2525&lt;=$H$2,$G2525&lt;&gt;"X",$F2525&lt;&gt;"Réalisé",$F2525&lt;&gt;"Clôturé"),"≤ 7 j",""))</f>
        <v/>
      </c>
      <c r="M2525" s="29">
        <f>IF($B2525="","",IFERROR(INDEX($T$4:$T$3183,MATCH(SMALL($V$4:$V$3183,2522),$V$4:$V$3183,0)),""))</f>
        <v/>
      </c>
      <c r="O2525">
        <f>IF(INDEX(Suivi!$B:$B,2573)="","",INDEX(Suivi!$B:$B,2573))</f>
        <v/>
      </c>
      <c r="P2525">
        <f>IF($O2525="","",IF(INDEX(Suivi!$D:$D,2573)="",INDEX(Suivi!$C:$C,2573),INDEX(Suivi!$D:$D,2573)))</f>
        <v/>
      </c>
      <c r="Q2525">
        <f>IF($O2525="","",INDEX(Suivi!$E:$E,2573))</f>
        <v/>
      </c>
      <c r="R2525">
        <f>IF($O2525="","",INDEX(Suivi!$F:$F,2573))</f>
        <v/>
      </c>
      <c r="S2525">
        <f>IF($O2525="","",INDEX(Suivi!$G:$G,2573))</f>
        <v/>
      </c>
      <c r="T2525">
        <f>IF($O2525="","",IF(INDEX(Dossiers!$F$4:$F$63,48)="","",INDEX(Dossiers!$F$4:$F$63,48)))</f>
        <v/>
      </c>
      <c r="U2525">
        <f>IF($O2525="","",IF(INDEX(Dossiers!$G$4:$G$63,48)="","",INDEX(Dossiers!$G$4:$G$63,48)))</f>
        <v/>
      </c>
      <c r="V2525">
        <f>IF(OR($O2525="",NOT(ISNUMBER($Q2525))),"",$Q2525*1000000+2525)</f>
        <v/>
      </c>
      <c r="W2525" s="29">
        <f>IF($B2525="","",IFERROR(INDEX($U$4:$U$3183,MATCH(SMALL($V$4:$V$3183,2522),$V$4:$V$3183,0)),""))</f>
        <v/>
      </c>
    </row>
    <row r="2526">
      <c r="A2526">
        <f>IFERROR(INDEX($N$4:$N$3183,MATCH(SMALL($V$4:$V$3183,2523),$V$4:$V$3183,0)),"")</f>
        <v/>
      </c>
      <c r="B2526">
        <f>IFERROR(INDEX($O$4:$O$3183,MATCH(SMALL($V$4:$V$3183,2523),$V$4:$V$3183,0)),"")</f>
        <v/>
      </c>
      <c r="C2526">
        <f>IFERROR(INDEX($P$4:$P$3183,MATCH(SMALL($V$4:$V$3183,2523),$V$4:$V$3183,0)),"")</f>
        <v/>
      </c>
      <c r="D2526" s="29">
        <f>IFERROR(INDEX($Q$4:$Q$3183,MATCH(SMALL($V$4:$V$3183,2523),$V$4:$V$3183,0)),"")</f>
        <v/>
      </c>
      <c r="E2526" s="29">
        <f>IFERROR(INDEX($R$4:$R$3183,MATCH(SMALL($V$4:$V$3183,2523),$V$4:$V$3183,0)),"")</f>
        <v/>
      </c>
      <c r="F2526">
        <f>IFERROR(INDEX($S$4:$S$3183,MATCH(SMALL($V$4:$V$3183,2523),$V$4:$V$3183,0)),"")</f>
        <v/>
      </c>
      <c r="I2526" s="29">
        <f>IF($B2526="","",IFERROR(INDEX($U$4:$U$3183,MATCH(SMALL($V$4:$V$3183,2523),$V$4:$V$3183,0)),""))</f>
        <v/>
      </c>
      <c r="J2526">
        <f>IF($B2526="","",IF($D2526&gt;$F$2,"À venir",IF($E2526&lt;$D$2,"Passé","Dans la période")))</f>
        <v/>
      </c>
      <c r="K2526">
        <f>IF(OR($B2526="",NOT(ISNUMBER($D2526))),"",IF(AND($E2526&lt;$D$2,$G2526&lt;&gt;"X",$F2526&lt;&gt;"Réalisé",$F2526&lt;&gt;"Clôturé"),"RETARD",""))</f>
        <v/>
      </c>
      <c r="L2526">
        <f>IF(OR($B2526="",NOT(ISNUMBER($D2526))),"",IF(AND($D2526&gt;=$D$2,$D2526&lt;=$H$2,$G2526&lt;&gt;"X",$F2526&lt;&gt;"Réalisé",$F2526&lt;&gt;"Clôturé"),"≤ 7 j",""))</f>
        <v/>
      </c>
      <c r="M2526" s="29">
        <f>IF($B2526="","",IFERROR(INDEX($T$4:$T$3183,MATCH(SMALL($V$4:$V$3183,2523),$V$4:$V$3183,0)),""))</f>
        <v/>
      </c>
      <c r="O2526">
        <f>IF(INDEX(Suivi!$B:$B,2574)="","",INDEX(Suivi!$B:$B,2574))</f>
        <v/>
      </c>
      <c r="P2526">
        <f>IF($O2526="","",IF(INDEX(Suivi!$D:$D,2574)="",INDEX(Suivi!$C:$C,2574),INDEX(Suivi!$D:$D,2574)))</f>
        <v/>
      </c>
      <c r="Q2526">
        <f>IF($O2526="","",INDEX(Suivi!$E:$E,2574))</f>
        <v/>
      </c>
      <c r="R2526">
        <f>IF($O2526="","",INDEX(Suivi!$F:$F,2574))</f>
        <v/>
      </c>
      <c r="S2526">
        <f>IF($O2526="","",INDEX(Suivi!$G:$G,2574))</f>
        <v/>
      </c>
      <c r="T2526">
        <f>IF($O2526="","",IF(INDEX(Dossiers!$F$4:$F$63,48)="","",INDEX(Dossiers!$F$4:$F$63,48)))</f>
        <v/>
      </c>
      <c r="U2526">
        <f>IF($O2526="","",IF(INDEX(Dossiers!$G$4:$G$63,48)="","",INDEX(Dossiers!$G$4:$G$63,48)))</f>
        <v/>
      </c>
      <c r="V2526">
        <f>IF(OR($O2526="",NOT(ISNUMBER($Q2526))),"",$Q2526*1000000+2526)</f>
        <v/>
      </c>
      <c r="W2526" s="29">
        <f>IF($B2526="","",IFERROR(INDEX($U$4:$U$3183,MATCH(SMALL($V$4:$V$3183,2523),$V$4:$V$3183,0)),""))</f>
        <v/>
      </c>
    </row>
    <row r="2527">
      <c r="A2527">
        <f>IFERROR(INDEX($N$4:$N$3183,MATCH(SMALL($V$4:$V$3183,2524),$V$4:$V$3183,0)),"")</f>
        <v/>
      </c>
      <c r="B2527">
        <f>IFERROR(INDEX($O$4:$O$3183,MATCH(SMALL($V$4:$V$3183,2524),$V$4:$V$3183,0)),"")</f>
        <v/>
      </c>
      <c r="C2527">
        <f>IFERROR(INDEX($P$4:$P$3183,MATCH(SMALL($V$4:$V$3183,2524),$V$4:$V$3183,0)),"")</f>
        <v/>
      </c>
      <c r="D2527" s="29">
        <f>IFERROR(INDEX($Q$4:$Q$3183,MATCH(SMALL($V$4:$V$3183,2524),$V$4:$V$3183,0)),"")</f>
        <v/>
      </c>
      <c r="E2527" s="29">
        <f>IFERROR(INDEX($R$4:$R$3183,MATCH(SMALL($V$4:$V$3183,2524),$V$4:$V$3183,0)),"")</f>
        <v/>
      </c>
      <c r="F2527">
        <f>IFERROR(INDEX($S$4:$S$3183,MATCH(SMALL($V$4:$V$3183,2524),$V$4:$V$3183,0)),"")</f>
        <v/>
      </c>
      <c r="I2527" s="29">
        <f>IF($B2527="","",IFERROR(INDEX($U$4:$U$3183,MATCH(SMALL($V$4:$V$3183,2524),$V$4:$V$3183,0)),""))</f>
        <v/>
      </c>
      <c r="J2527">
        <f>IF($B2527="","",IF($D2527&gt;$F$2,"À venir",IF($E2527&lt;$D$2,"Passé","Dans la période")))</f>
        <v/>
      </c>
      <c r="K2527">
        <f>IF(OR($B2527="",NOT(ISNUMBER($D2527))),"",IF(AND($E2527&lt;$D$2,$G2527&lt;&gt;"X",$F2527&lt;&gt;"Réalisé",$F2527&lt;&gt;"Clôturé"),"RETARD",""))</f>
        <v/>
      </c>
      <c r="L2527">
        <f>IF(OR($B2527="",NOT(ISNUMBER($D2527))),"",IF(AND($D2527&gt;=$D$2,$D2527&lt;=$H$2,$G2527&lt;&gt;"X",$F2527&lt;&gt;"Réalisé",$F2527&lt;&gt;"Clôturé"),"≤ 7 j",""))</f>
        <v/>
      </c>
      <c r="M2527" s="29">
        <f>IF($B2527="","",IFERROR(INDEX($T$4:$T$3183,MATCH(SMALL($V$4:$V$3183,2524),$V$4:$V$3183,0)),""))</f>
        <v/>
      </c>
      <c r="O2527">
        <f>IF(INDEX(Suivi!$B:$B,2575)="","",INDEX(Suivi!$B:$B,2575))</f>
        <v/>
      </c>
      <c r="P2527">
        <f>IF($O2527="","",IF(INDEX(Suivi!$D:$D,2575)="",INDEX(Suivi!$C:$C,2575),INDEX(Suivi!$D:$D,2575)))</f>
        <v/>
      </c>
      <c r="Q2527">
        <f>IF($O2527="","",INDEX(Suivi!$E:$E,2575))</f>
        <v/>
      </c>
      <c r="R2527">
        <f>IF($O2527="","",INDEX(Suivi!$F:$F,2575))</f>
        <v/>
      </c>
      <c r="S2527">
        <f>IF($O2527="","",INDEX(Suivi!$G:$G,2575))</f>
        <v/>
      </c>
      <c r="T2527">
        <f>IF($O2527="","",IF(INDEX(Dossiers!$F$4:$F$63,48)="","",INDEX(Dossiers!$F$4:$F$63,48)))</f>
        <v/>
      </c>
      <c r="U2527">
        <f>IF($O2527="","",IF(INDEX(Dossiers!$G$4:$G$63,48)="","",INDEX(Dossiers!$G$4:$G$63,48)))</f>
        <v/>
      </c>
      <c r="V2527">
        <f>IF(OR($O2527="",NOT(ISNUMBER($Q2527))),"",$Q2527*1000000+2527)</f>
        <v/>
      </c>
      <c r="W2527" s="29">
        <f>IF($B2527="","",IFERROR(INDEX($U$4:$U$3183,MATCH(SMALL($V$4:$V$3183,2524),$V$4:$V$3183,0)),""))</f>
        <v/>
      </c>
    </row>
    <row r="2528">
      <c r="A2528">
        <f>IFERROR(INDEX($N$4:$N$3183,MATCH(SMALL($V$4:$V$3183,2525),$V$4:$V$3183,0)),"")</f>
        <v/>
      </c>
      <c r="B2528">
        <f>IFERROR(INDEX($O$4:$O$3183,MATCH(SMALL($V$4:$V$3183,2525),$V$4:$V$3183,0)),"")</f>
        <v/>
      </c>
      <c r="C2528">
        <f>IFERROR(INDEX($P$4:$P$3183,MATCH(SMALL($V$4:$V$3183,2525),$V$4:$V$3183,0)),"")</f>
        <v/>
      </c>
      <c r="D2528" s="29">
        <f>IFERROR(INDEX($Q$4:$Q$3183,MATCH(SMALL($V$4:$V$3183,2525),$V$4:$V$3183,0)),"")</f>
        <v/>
      </c>
      <c r="E2528" s="29">
        <f>IFERROR(INDEX($R$4:$R$3183,MATCH(SMALL($V$4:$V$3183,2525),$V$4:$V$3183,0)),"")</f>
        <v/>
      </c>
      <c r="F2528">
        <f>IFERROR(INDEX($S$4:$S$3183,MATCH(SMALL($V$4:$V$3183,2525),$V$4:$V$3183,0)),"")</f>
        <v/>
      </c>
      <c r="I2528" s="29">
        <f>IF($B2528="","",IFERROR(INDEX($U$4:$U$3183,MATCH(SMALL($V$4:$V$3183,2525),$V$4:$V$3183,0)),""))</f>
        <v/>
      </c>
      <c r="J2528">
        <f>IF($B2528="","",IF($D2528&gt;$F$2,"À venir",IF($E2528&lt;$D$2,"Passé","Dans la période")))</f>
        <v/>
      </c>
      <c r="K2528">
        <f>IF(OR($B2528="",NOT(ISNUMBER($D2528))),"",IF(AND($E2528&lt;$D$2,$G2528&lt;&gt;"X",$F2528&lt;&gt;"Réalisé",$F2528&lt;&gt;"Clôturé"),"RETARD",""))</f>
        <v/>
      </c>
      <c r="L2528">
        <f>IF(OR($B2528="",NOT(ISNUMBER($D2528))),"",IF(AND($D2528&gt;=$D$2,$D2528&lt;=$H$2,$G2528&lt;&gt;"X",$F2528&lt;&gt;"Réalisé",$F2528&lt;&gt;"Clôturé"),"≤ 7 j",""))</f>
        <v/>
      </c>
      <c r="M2528" s="29">
        <f>IF($B2528="","",IFERROR(INDEX($T$4:$T$3183,MATCH(SMALL($V$4:$V$3183,2525),$V$4:$V$3183,0)),""))</f>
        <v/>
      </c>
      <c r="O2528">
        <f>IF(INDEX(Suivi!$B:$B,2576)="","",INDEX(Suivi!$B:$B,2576))</f>
        <v/>
      </c>
      <c r="P2528">
        <f>IF($O2528="","",IF(INDEX(Suivi!$D:$D,2576)="",INDEX(Suivi!$C:$C,2576),INDEX(Suivi!$D:$D,2576)))</f>
        <v/>
      </c>
      <c r="Q2528">
        <f>IF($O2528="","",INDEX(Suivi!$E:$E,2576))</f>
        <v/>
      </c>
      <c r="R2528">
        <f>IF($O2528="","",INDEX(Suivi!$F:$F,2576))</f>
        <v/>
      </c>
      <c r="S2528">
        <f>IF($O2528="","",INDEX(Suivi!$G:$G,2576))</f>
        <v/>
      </c>
      <c r="T2528">
        <f>IF($O2528="","",IF(INDEX(Dossiers!$F$4:$F$63,48)="","",INDEX(Dossiers!$F$4:$F$63,48)))</f>
        <v/>
      </c>
      <c r="U2528">
        <f>IF($O2528="","",IF(INDEX(Dossiers!$G$4:$G$63,48)="","",INDEX(Dossiers!$G$4:$G$63,48)))</f>
        <v/>
      </c>
      <c r="V2528">
        <f>IF(OR($O2528="",NOT(ISNUMBER($Q2528))),"",$Q2528*1000000+2528)</f>
        <v/>
      </c>
      <c r="W2528" s="29">
        <f>IF($B2528="","",IFERROR(INDEX($U$4:$U$3183,MATCH(SMALL($V$4:$V$3183,2525),$V$4:$V$3183,0)),""))</f>
        <v/>
      </c>
    </row>
    <row r="2529">
      <c r="A2529">
        <f>IFERROR(INDEX($N$4:$N$3183,MATCH(SMALL($V$4:$V$3183,2526),$V$4:$V$3183,0)),"")</f>
        <v/>
      </c>
      <c r="B2529">
        <f>IFERROR(INDEX($O$4:$O$3183,MATCH(SMALL($V$4:$V$3183,2526),$V$4:$V$3183,0)),"")</f>
        <v/>
      </c>
      <c r="C2529">
        <f>IFERROR(INDEX($P$4:$P$3183,MATCH(SMALL($V$4:$V$3183,2526),$V$4:$V$3183,0)),"")</f>
        <v/>
      </c>
      <c r="D2529" s="29">
        <f>IFERROR(INDEX($Q$4:$Q$3183,MATCH(SMALL($V$4:$V$3183,2526),$V$4:$V$3183,0)),"")</f>
        <v/>
      </c>
      <c r="E2529" s="29">
        <f>IFERROR(INDEX($R$4:$R$3183,MATCH(SMALL($V$4:$V$3183,2526),$V$4:$V$3183,0)),"")</f>
        <v/>
      </c>
      <c r="F2529">
        <f>IFERROR(INDEX($S$4:$S$3183,MATCH(SMALL($V$4:$V$3183,2526),$V$4:$V$3183,0)),"")</f>
        <v/>
      </c>
      <c r="I2529" s="29">
        <f>IF($B2529="","",IFERROR(INDEX($U$4:$U$3183,MATCH(SMALL($V$4:$V$3183,2526),$V$4:$V$3183,0)),""))</f>
        <v/>
      </c>
      <c r="J2529">
        <f>IF($B2529="","",IF($D2529&gt;$F$2,"À venir",IF($E2529&lt;$D$2,"Passé","Dans la période")))</f>
        <v/>
      </c>
      <c r="K2529">
        <f>IF(OR($B2529="",NOT(ISNUMBER($D2529))),"",IF(AND($E2529&lt;$D$2,$G2529&lt;&gt;"X",$F2529&lt;&gt;"Réalisé",$F2529&lt;&gt;"Clôturé"),"RETARD",""))</f>
        <v/>
      </c>
      <c r="L2529">
        <f>IF(OR($B2529="",NOT(ISNUMBER($D2529))),"",IF(AND($D2529&gt;=$D$2,$D2529&lt;=$H$2,$G2529&lt;&gt;"X",$F2529&lt;&gt;"Réalisé",$F2529&lt;&gt;"Clôturé"),"≤ 7 j",""))</f>
        <v/>
      </c>
      <c r="M2529" s="29">
        <f>IF($B2529="","",IFERROR(INDEX($T$4:$T$3183,MATCH(SMALL($V$4:$V$3183,2526),$V$4:$V$3183,0)),""))</f>
        <v/>
      </c>
      <c r="O2529">
        <f>IF(INDEX(Suivi!$B:$B,2577)="","",INDEX(Suivi!$B:$B,2577))</f>
        <v/>
      </c>
      <c r="P2529">
        <f>IF($O2529="","",IF(INDEX(Suivi!$D:$D,2577)="",INDEX(Suivi!$C:$C,2577),INDEX(Suivi!$D:$D,2577)))</f>
        <v/>
      </c>
      <c r="Q2529">
        <f>IF($O2529="","",INDEX(Suivi!$E:$E,2577))</f>
        <v/>
      </c>
      <c r="R2529">
        <f>IF($O2529="","",INDEX(Suivi!$F:$F,2577))</f>
        <v/>
      </c>
      <c r="S2529">
        <f>IF($O2529="","",INDEX(Suivi!$G:$G,2577))</f>
        <v/>
      </c>
      <c r="T2529">
        <f>IF($O2529="","",IF(INDEX(Dossiers!$F$4:$F$63,48)="","",INDEX(Dossiers!$F$4:$F$63,48)))</f>
        <v/>
      </c>
      <c r="U2529">
        <f>IF($O2529="","",IF(INDEX(Dossiers!$G$4:$G$63,48)="","",INDEX(Dossiers!$G$4:$G$63,48)))</f>
        <v/>
      </c>
      <c r="V2529">
        <f>IF(OR($O2529="",NOT(ISNUMBER($Q2529))),"",$Q2529*1000000+2529)</f>
        <v/>
      </c>
      <c r="W2529" s="29">
        <f>IF($B2529="","",IFERROR(INDEX($U$4:$U$3183,MATCH(SMALL($V$4:$V$3183,2526),$V$4:$V$3183,0)),""))</f>
        <v/>
      </c>
    </row>
    <row r="2530">
      <c r="A2530">
        <f>IFERROR(INDEX($N$4:$N$3183,MATCH(SMALL($V$4:$V$3183,2527),$V$4:$V$3183,0)),"")</f>
        <v/>
      </c>
      <c r="B2530">
        <f>IFERROR(INDEX($O$4:$O$3183,MATCH(SMALL($V$4:$V$3183,2527),$V$4:$V$3183,0)),"")</f>
        <v/>
      </c>
      <c r="C2530">
        <f>IFERROR(INDEX($P$4:$P$3183,MATCH(SMALL($V$4:$V$3183,2527),$V$4:$V$3183,0)),"")</f>
        <v/>
      </c>
      <c r="D2530" s="29">
        <f>IFERROR(INDEX($Q$4:$Q$3183,MATCH(SMALL($V$4:$V$3183,2527),$V$4:$V$3183,0)),"")</f>
        <v/>
      </c>
      <c r="E2530" s="29">
        <f>IFERROR(INDEX($R$4:$R$3183,MATCH(SMALL($V$4:$V$3183,2527),$V$4:$V$3183,0)),"")</f>
        <v/>
      </c>
      <c r="F2530">
        <f>IFERROR(INDEX($S$4:$S$3183,MATCH(SMALL($V$4:$V$3183,2527),$V$4:$V$3183,0)),"")</f>
        <v/>
      </c>
      <c r="I2530" s="29">
        <f>IF($B2530="","",IFERROR(INDEX($U$4:$U$3183,MATCH(SMALL($V$4:$V$3183,2527),$V$4:$V$3183,0)),""))</f>
        <v/>
      </c>
      <c r="J2530">
        <f>IF($B2530="","",IF($D2530&gt;$F$2,"À venir",IF($E2530&lt;$D$2,"Passé","Dans la période")))</f>
        <v/>
      </c>
      <c r="K2530">
        <f>IF(OR($B2530="",NOT(ISNUMBER($D2530))),"",IF(AND($E2530&lt;$D$2,$G2530&lt;&gt;"X",$F2530&lt;&gt;"Réalisé",$F2530&lt;&gt;"Clôturé"),"RETARD",""))</f>
        <v/>
      </c>
      <c r="L2530">
        <f>IF(OR($B2530="",NOT(ISNUMBER($D2530))),"",IF(AND($D2530&gt;=$D$2,$D2530&lt;=$H$2,$G2530&lt;&gt;"X",$F2530&lt;&gt;"Réalisé",$F2530&lt;&gt;"Clôturé"),"≤ 7 j",""))</f>
        <v/>
      </c>
      <c r="M2530" s="29">
        <f>IF($B2530="","",IFERROR(INDEX($T$4:$T$3183,MATCH(SMALL($V$4:$V$3183,2527),$V$4:$V$3183,0)),""))</f>
        <v/>
      </c>
      <c r="O2530">
        <f>IF(INDEX(Suivi!$B:$B,2578)="","",INDEX(Suivi!$B:$B,2578))</f>
        <v/>
      </c>
      <c r="P2530">
        <f>IF($O2530="","",IF(INDEX(Suivi!$D:$D,2578)="",INDEX(Suivi!$C:$C,2578),INDEX(Suivi!$D:$D,2578)))</f>
        <v/>
      </c>
      <c r="Q2530">
        <f>IF($O2530="","",INDEX(Suivi!$E:$E,2578))</f>
        <v/>
      </c>
      <c r="R2530">
        <f>IF($O2530="","",INDEX(Suivi!$F:$F,2578))</f>
        <v/>
      </c>
      <c r="S2530">
        <f>IF($O2530="","",INDEX(Suivi!$G:$G,2578))</f>
        <v/>
      </c>
      <c r="T2530">
        <f>IF($O2530="","",IF(INDEX(Dossiers!$F$4:$F$63,48)="","",INDEX(Dossiers!$F$4:$F$63,48)))</f>
        <v/>
      </c>
      <c r="U2530">
        <f>IF($O2530="","",IF(INDEX(Dossiers!$G$4:$G$63,48)="","",INDEX(Dossiers!$G$4:$G$63,48)))</f>
        <v/>
      </c>
      <c r="V2530">
        <f>IF(OR($O2530="",NOT(ISNUMBER($Q2530))),"",$Q2530*1000000+2530)</f>
        <v/>
      </c>
      <c r="W2530" s="29">
        <f>IF($B2530="","",IFERROR(INDEX($U$4:$U$3183,MATCH(SMALL($V$4:$V$3183,2527),$V$4:$V$3183,0)),""))</f>
        <v/>
      </c>
    </row>
    <row r="2531">
      <c r="A2531">
        <f>IFERROR(INDEX($N$4:$N$3183,MATCH(SMALL($V$4:$V$3183,2528),$V$4:$V$3183,0)),"")</f>
        <v/>
      </c>
      <c r="B2531">
        <f>IFERROR(INDEX($O$4:$O$3183,MATCH(SMALL($V$4:$V$3183,2528),$V$4:$V$3183,0)),"")</f>
        <v/>
      </c>
      <c r="C2531">
        <f>IFERROR(INDEX($P$4:$P$3183,MATCH(SMALL($V$4:$V$3183,2528),$V$4:$V$3183,0)),"")</f>
        <v/>
      </c>
      <c r="D2531" s="29">
        <f>IFERROR(INDEX($Q$4:$Q$3183,MATCH(SMALL($V$4:$V$3183,2528),$V$4:$V$3183,0)),"")</f>
        <v/>
      </c>
      <c r="E2531" s="29">
        <f>IFERROR(INDEX($R$4:$R$3183,MATCH(SMALL($V$4:$V$3183,2528),$V$4:$V$3183,0)),"")</f>
        <v/>
      </c>
      <c r="F2531">
        <f>IFERROR(INDEX($S$4:$S$3183,MATCH(SMALL($V$4:$V$3183,2528),$V$4:$V$3183,0)),"")</f>
        <v/>
      </c>
      <c r="I2531" s="29">
        <f>IF($B2531="","",IFERROR(INDEX($U$4:$U$3183,MATCH(SMALL($V$4:$V$3183,2528),$V$4:$V$3183,0)),""))</f>
        <v/>
      </c>
      <c r="J2531">
        <f>IF($B2531="","",IF($D2531&gt;$F$2,"À venir",IF($E2531&lt;$D$2,"Passé","Dans la période")))</f>
        <v/>
      </c>
      <c r="K2531">
        <f>IF(OR($B2531="",NOT(ISNUMBER($D2531))),"",IF(AND($E2531&lt;$D$2,$G2531&lt;&gt;"X",$F2531&lt;&gt;"Réalisé",$F2531&lt;&gt;"Clôturé"),"RETARD",""))</f>
        <v/>
      </c>
      <c r="L2531">
        <f>IF(OR($B2531="",NOT(ISNUMBER($D2531))),"",IF(AND($D2531&gt;=$D$2,$D2531&lt;=$H$2,$G2531&lt;&gt;"X",$F2531&lt;&gt;"Réalisé",$F2531&lt;&gt;"Clôturé"),"≤ 7 j",""))</f>
        <v/>
      </c>
      <c r="M2531" s="29">
        <f>IF($B2531="","",IFERROR(INDEX($T$4:$T$3183,MATCH(SMALL($V$4:$V$3183,2528),$V$4:$V$3183,0)),""))</f>
        <v/>
      </c>
      <c r="O2531">
        <f>IF(INDEX(Suivi!$B:$B,2579)="","",INDEX(Suivi!$B:$B,2579))</f>
        <v/>
      </c>
      <c r="P2531">
        <f>IF($O2531="","",IF(INDEX(Suivi!$D:$D,2579)="",INDEX(Suivi!$C:$C,2579),INDEX(Suivi!$D:$D,2579)))</f>
        <v/>
      </c>
      <c r="Q2531">
        <f>IF($O2531="","",INDEX(Suivi!$E:$E,2579))</f>
        <v/>
      </c>
      <c r="R2531">
        <f>IF($O2531="","",INDEX(Suivi!$F:$F,2579))</f>
        <v/>
      </c>
      <c r="S2531">
        <f>IF($O2531="","",INDEX(Suivi!$G:$G,2579))</f>
        <v/>
      </c>
      <c r="T2531">
        <f>IF($O2531="","",IF(INDEX(Dossiers!$F$4:$F$63,48)="","",INDEX(Dossiers!$F$4:$F$63,48)))</f>
        <v/>
      </c>
      <c r="U2531">
        <f>IF($O2531="","",IF(INDEX(Dossiers!$G$4:$G$63,48)="","",INDEX(Dossiers!$G$4:$G$63,48)))</f>
        <v/>
      </c>
      <c r="V2531">
        <f>IF(OR($O2531="",NOT(ISNUMBER($Q2531))),"",$Q2531*1000000+2531)</f>
        <v/>
      </c>
      <c r="W2531" s="29">
        <f>IF($B2531="","",IFERROR(INDEX($U$4:$U$3183,MATCH(SMALL($V$4:$V$3183,2528),$V$4:$V$3183,0)),""))</f>
        <v/>
      </c>
    </row>
    <row r="2532">
      <c r="A2532">
        <f>IFERROR(INDEX($N$4:$N$3183,MATCH(SMALL($V$4:$V$3183,2529),$V$4:$V$3183,0)),"")</f>
        <v/>
      </c>
      <c r="B2532">
        <f>IFERROR(INDEX($O$4:$O$3183,MATCH(SMALL($V$4:$V$3183,2529),$V$4:$V$3183,0)),"")</f>
        <v/>
      </c>
      <c r="C2532">
        <f>IFERROR(INDEX($P$4:$P$3183,MATCH(SMALL($V$4:$V$3183,2529),$V$4:$V$3183,0)),"")</f>
        <v/>
      </c>
      <c r="D2532" s="29">
        <f>IFERROR(INDEX($Q$4:$Q$3183,MATCH(SMALL($V$4:$V$3183,2529),$V$4:$V$3183,0)),"")</f>
        <v/>
      </c>
      <c r="E2532" s="29">
        <f>IFERROR(INDEX($R$4:$R$3183,MATCH(SMALL($V$4:$V$3183,2529),$V$4:$V$3183,0)),"")</f>
        <v/>
      </c>
      <c r="F2532">
        <f>IFERROR(INDEX($S$4:$S$3183,MATCH(SMALL($V$4:$V$3183,2529),$V$4:$V$3183,0)),"")</f>
        <v/>
      </c>
      <c r="I2532" s="29">
        <f>IF($B2532="","",IFERROR(INDEX($U$4:$U$3183,MATCH(SMALL($V$4:$V$3183,2529),$V$4:$V$3183,0)),""))</f>
        <v/>
      </c>
      <c r="J2532">
        <f>IF($B2532="","",IF($D2532&gt;$F$2,"À venir",IF($E2532&lt;$D$2,"Passé","Dans la période")))</f>
        <v/>
      </c>
      <c r="K2532">
        <f>IF(OR($B2532="",NOT(ISNUMBER($D2532))),"",IF(AND($E2532&lt;$D$2,$G2532&lt;&gt;"X",$F2532&lt;&gt;"Réalisé",$F2532&lt;&gt;"Clôturé"),"RETARD",""))</f>
        <v/>
      </c>
      <c r="L2532">
        <f>IF(OR($B2532="",NOT(ISNUMBER($D2532))),"",IF(AND($D2532&gt;=$D$2,$D2532&lt;=$H$2,$G2532&lt;&gt;"X",$F2532&lt;&gt;"Réalisé",$F2532&lt;&gt;"Clôturé"),"≤ 7 j",""))</f>
        <v/>
      </c>
      <c r="M2532" s="29">
        <f>IF($B2532="","",IFERROR(INDEX($T$4:$T$3183,MATCH(SMALL($V$4:$V$3183,2529),$V$4:$V$3183,0)),""))</f>
        <v/>
      </c>
      <c r="O2532">
        <f>IF(INDEX(Suivi!$B:$B,2580)="","",INDEX(Suivi!$B:$B,2580))</f>
        <v/>
      </c>
      <c r="P2532">
        <f>IF($O2532="","",IF(INDEX(Suivi!$D:$D,2580)="",INDEX(Suivi!$C:$C,2580),INDEX(Suivi!$D:$D,2580)))</f>
        <v/>
      </c>
      <c r="Q2532">
        <f>IF($O2532="","",INDEX(Suivi!$E:$E,2580))</f>
        <v/>
      </c>
      <c r="R2532">
        <f>IF($O2532="","",INDEX(Suivi!$F:$F,2580))</f>
        <v/>
      </c>
      <c r="S2532">
        <f>IF($O2532="","",INDEX(Suivi!$G:$G,2580))</f>
        <v/>
      </c>
      <c r="T2532">
        <f>IF($O2532="","",IF(INDEX(Dossiers!$F$4:$F$63,48)="","",INDEX(Dossiers!$F$4:$F$63,48)))</f>
        <v/>
      </c>
      <c r="U2532">
        <f>IF($O2532="","",IF(INDEX(Dossiers!$G$4:$G$63,48)="","",INDEX(Dossiers!$G$4:$G$63,48)))</f>
        <v/>
      </c>
      <c r="V2532">
        <f>IF(OR($O2532="",NOT(ISNUMBER($Q2532))),"",$Q2532*1000000+2532)</f>
        <v/>
      </c>
      <c r="W2532" s="29">
        <f>IF($B2532="","",IFERROR(INDEX($U$4:$U$3183,MATCH(SMALL($V$4:$V$3183,2529),$V$4:$V$3183,0)),""))</f>
        <v/>
      </c>
    </row>
    <row r="2533">
      <c r="A2533">
        <f>IFERROR(INDEX($N$4:$N$3183,MATCH(SMALL($V$4:$V$3183,2530),$V$4:$V$3183,0)),"")</f>
        <v/>
      </c>
      <c r="B2533">
        <f>IFERROR(INDEX($O$4:$O$3183,MATCH(SMALL($V$4:$V$3183,2530),$V$4:$V$3183,0)),"")</f>
        <v/>
      </c>
      <c r="C2533">
        <f>IFERROR(INDEX($P$4:$P$3183,MATCH(SMALL($V$4:$V$3183,2530),$V$4:$V$3183,0)),"")</f>
        <v/>
      </c>
      <c r="D2533" s="29">
        <f>IFERROR(INDEX($Q$4:$Q$3183,MATCH(SMALL($V$4:$V$3183,2530),$V$4:$V$3183,0)),"")</f>
        <v/>
      </c>
      <c r="E2533" s="29">
        <f>IFERROR(INDEX($R$4:$R$3183,MATCH(SMALL($V$4:$V$3183,2530),$V$4:$V$3183,0)),"")</f>
        <v/>
      </c>
      <c r="F2533">
        <f>IFERROR(INDEX($S$4:$S$3183,MATCH(SMALL($V$4:$V$3183,2530),$V$4:$V$3183,0)),"")</f>
        <v/>
      </c>
      <c r="I2533" s="29">
        <f>IF($B2533="","",IFERROR(INDEX($U$4:$U$3183,MATCH(SMALL($V$4:$V$3183,2530),$V$4:$V$3183,0)),""))</f>
        <v/>
      </c>
      <c r="J2533">
        <f>IF($B2533="","",IF($D2533&gt;$F$2,"À venir",IF($E2533&lt;$D$2,"Passé","Dans la période")))</f>
        <v/>
      </c>
      <c r="K2533">
        <f>IF(OR($B2533="",NOT(ISNUMBER($D2533))),"",IF(AND($E2533&lt;$D$2,$G2533&lt;&gt;"X",$F2533&lt;&gt;"Réalisé",$F2533&lt;&gt;"Clôturé"),"RETARD",""))</f>
        <v/>
      </c>
      <c r="L2533">
        <f>IF(OR($B2533="",NOT(ISNUMBER($D2533))),"",IF(AND($D2533&gt;=$D$2,$D2533&lt;=$H$2,$G2533&lt;&gt;"X",$F2533&lt;&gt;"Réalisé",$F2533&lt;&gt;"Clôturé"),"≤ 7 j",""))</f>
        <v/>
      </c>
      <c r="M2533" s="29">
        <f>IF($B2533="","",IFERROR(INDEX($T$4:$T$3183,MATCH(SMALL($V$4:$V$3183,2530),$V$4:$V$3183,0)),""))</f>
        <v/>
      </c>
      <c r="O2533">
        <f>IF(INDEX(Suivi!$B:$B,2581)="","",INDEX(Suivi!$B:$B,2581))</f>
        <v/>
      </c>
      <c r="P2533">
        <f>IF($O2533="","",IF(INDEX(Suivi!$D:$D,2581)="",INDEX(Suivi!$C:$C,2581),INDEX(Suivi!$D:$D,2581)))</f>
        <v/>
      </c>
      <c r="Q2533">
        <f>IF($O2533="","",INDEX(Suivi!$E:$E,2581))</f>
        <v/>
      </c>
      <c r="R2533">
        <f>IF($O2533="","",INDEX(Suivi!$F:$F,2581))</f>
        <v/>
      </c>
      <c r="S2533">
        <f>IF($O2533="","",INDEX(Suivi!$G:$G,2581))</f>
        <v/>
      </c>
      <c r="T2533">
        <f>IF($O2533="","",IF(INDEX(Dossiers!$F$4:$F$63,48)="","",INDEX(Dossiers!$F$4:$F$63,48)))</f>
        <v/>
      </c>
      <c r="U2533">
        <f>IF($O2533="","",IF(INDEX(Dossiers!$G$4:$G$63,48)="","",INDEX(Dossiers!$G$4:$G$63,48)))</f>
        <v/>
      </c>
      <c r="V2533">
        <f>IF(OR($O2533="",NOT(ISNUMBER($Q2533))),"",$Q2533*1000000+2533)</f>
        <v/>
      </c>
      <c r="W2533" s="29">
        <f>IF($B2533="","",IFERROR(INDEX($U$4:$U$3183,MATCH(SMALL($V$4:$V$3183,2530),$V$4:$V$3183,0)),""))</f>
        <v/>
      </c>
    </row>
    <row r="2534">
      <c r="A2534">
        <f>IFERROR(INDEX($N$4:$N$3183,MATCH(SMALL($V$4:$V$3183,2531),$V$4:$V$3183,0)),"")</f>
        <v/>
      </c>
      <c r="B2534">
        <f>IFERROR(INDEX($O$4:$O$3183,MATCH(SMALL($V$4:$V$3183,2531),$V$4:$V$3183,0)),"")</f>
        <v/>
      </c>
      <c r="C2534">
        <f>IFERROR(INDEX($P$4:$P$3183,MATCH(SMALL($V$4:$V$3183,2531),$V$4:$V$3183,0)),"")</f>
        <v/>
      </c>
      <c r="D2534" s="29">
        <f>IFERROR(INDEX($Q$4:$Q$3183,MATCH(SMALL($V$4:$V$3183,2531),$V$4:$V$3183,0)),"")</f>
        <v/>
      </c>
      <c r="E2534" s="29">
        <f>IFERROR(INDEX($R$4:$R$3183,MATCH(SMALL($V$4:$V$3183,2531),$V$4:$V$3183,0)),"")</f>
        <v/>
      </c>
      <c r="F2534">
        <f>IFERROR(INDEX($S$4:$S$3183,MATCH(SMALL($V$4:$V$3183,2531),$V$4:$V$3183,0)),"")</f>
        <v/>
      </c>
      <c r="I2534" s="29">
        <f>IF($B2534="","",IFERROR(INDEX($U$4:$U$3183,MATCH(SMALL($V$4:$V$3183,2531),$V$4:$V$3183,0)),""))</f>
        <v/>
      </c>
      <c r="J2534">
        <f>IF($B2534="","",IF($D2534&gt;$F$2,"À venir",IF($E2534&lt;$D$2,"Passé","Dans la période")))</f>
        <v/>
      </c>
      <c r="K2534">
        <f>IF(OR($B2534="",NOT(ISNUMBER($D2534))),"",IF(AND($E2534&lt;$D$2,$G2534&lt;&gt;"X",$F2534&lt;&gt;"Réalisé",$F2534&lt;&gt;"Clôturé"),"RETARD",""))</f>
        <v/>
      </c>
      <c r="L2534">
        <f>IF(OR($B2534="",NOT(ISNUMBER($D2534))),"",IF(AND($D2534&gt;=$D$2,$D2534&lt;=$H$2,$G2534&lt;&gt;"X",$F2534&lt;&gt;"Réalisé",$F2534&lt;&gt;"Clôturé"),"≤ 7 j",""))</f>
        <v/>
      </c>
      <c r="M2534" s="29">
        <f>IF($B2534="","",IFERROR(INDEX($T$4:$T$3183,MATCH(SMALL($V$4:$V$3183,2531),$V$4:$V$3183,0)),""))</f>
        <v/>
      </c>
      <c r="O2534">
        <f>IF(INDEX(Suivi!$B:$B,2582)="","",INDEX(Suivi!$B:$B,2582))</f>
        <v/>
      </c>
      <c r="P2534">
        <f>IF($O2534="","",IF(INDEX(Suivi!$D:$D,2582)="",INDEX(Suivi!$C:$C,2582),INDEX(Suivi!$D:$D,2582)))</f>
        <v/>
      </c>
      <c r="Q2534">
        <f>IF($O2534="","",INDEX(Suivi!$E:$E,2582))</f>
        <v/>
      </c>
      <c r="R2534">
        <f>IF($O2534="","",INDEX(Suivi!$F:$F,2582))</f>
        <v/>
      </c>
      <c r="S2534">
        <f>IF($O2534="","",INDEX(Suivi!$G:$G,2582))</f>
        <v/>
      </c>
      <c r="T2534">
        <f>IF($O2534="","",IF(INDEX(Dossiers!$F$4:$F$63,48)="","",INDEX(Dossiers!$F$4:$F$63,48)))</f>
        <v/>
      </c>
      <c r="U2534">
        <f>IF($O2534="","",IF(INDEX(Dossiers!$G$4:$G$63,48)="","",INDEX(Dossiers!$G$4:$G$63,48)))</f>
        <v/>
      </c>
      <c r="V2534">
        <f>IF(OR($O2534="",NOT(ISNUMBER($Q2534))),"",$Q2534*1000000+2534)</f>
        <v/>
      </c>
      <c r="W2534" s="29">
        <f>IF($B2534="","",IFERROR(INDEX($U$4:$U$3183,MATCH(SMALL($V$4:$V$3183,2531),$V$4:$V$3183,0)),""))</f>
        <v/>
      </c>
    </row>
    <row r="2535">
      <c r="A2535">
        <f>IFERROR(INDEX($N$4:$N$3183,MATCH(SMALL($V$4:$V$3183,2532),$V$4:$V$3183,0)),"")</f>
        <v/>
      </c>
      <c r="B2535">
        <f>IFERROR(INDEX($O$4:$O$3183,MATCH(SMALL($V$4:$V$3183,2532),$V$4:$V$3183,0)),"")</f>
        <v/>
      </c>
      <c r="C2535">
        <f>IFERROR(INDEX($P$4:$P$3183,MATCH(SMALL($V$4:$V$3183,2532),$V$4:$V$3183,0)),"")</f>
        <v/>
      </c>
      <c r="D2535" s="29">
        <f>IFERROR(INDEX($Q$4:$Q$3183,MATCH(SMALL($V$4:$V$3183,2532),$V$4:$V$3183,0)),"")</f>
        <v/>
      </c>
      <c r="E2535" s="29">
        <f>IFERROR(INDEX($R$4:$R$3183,MATCH(SMALL($V$4:$V$3183,2532),$V$4:$V$3183,0)),"")</f>
        <v/>
      </c>
      <c r="F2535">
        <f>IFERROR(INDEX($S$4:$S$3183,MATCH(SMALL($V$4:$V$3183,2532),$V$4:$V$3183,0)),"")</f>
        <v/>
      </c>
      <c r="I2535" s="29">
        <f>IF($B2535="","",IFERROR(INDEX($U$4:$U$3183,MATCH(SMALL($V$4:$V$3183,2532),$V$4:$V$3183,0)),""))</f>
        <v/>
      </c>
      <c r="J2535">
        <f>IF($B2535="","",IF($D2535&gt;$F$2,"À venir",IF($E2535&lt;$D$2,"Passé","Dans la période")))</f>
        <v/>
      </c>
      <c r="K2535">
        <f>IF(OR($B2535="",NOT(ISNUMBER($D2535))),"",IF(AND($E2535&lt;$D$2,$G2535&lt;&gt;"X",$F2535&lt;&gt;"Réalisé",$F2535&lt;&gt;"Clôturé"),"RETARD",""))</f>
        <v/>
      </c>
      <c r="L2535">
        <f>IF(OR($B2535="",NOT(ISNUMBER($D2535))),"",IF(AND($D2535&gt;=$D$2,$D2535&lt;=$H$2,$G2535&lt;&gt;"X",$F2535&lt;&gt;"Réalisé",$F2535&lt;&gt;"Clôturé"),"≤ 7 j",""))</f>
        <v/>
      </c>
      <c r="M2535" s="29">
        <f>IF($B2535="","",IFERROR(INDEX($T$4:$T$3183,MATCH(SMALL($V$4:$V$3183,2532),$V$4:$V$3183,0)),""))</f>
        <v/>
      </c>
      <c r="O2535">
        <f>IF(INDEX(Suivi!$B:$B,2583)="","",INDEX(Suivi!$B:$B,2583))</f>
        <v/>
      </c>
      <c r="P2535">
        <f>IF($O2535="","",IF(INDEX(Suivi!$D:$D,2583)="",INDEX(Suivi!$C:$C,2583),INDEX(Suivi!$D:$D,2583)))</f>
        <v/>
      </c>
      <c r="Q2535">
        <f>IF($O2535="","",INDEX(Suivi!$E:$E,2583))</f>
        <v/>
      </c>
      <c r="R2535">
        <f>IF($O2535="","",INDEX(Suivi!$F:$F,2583))</f>
        <v/>
      </c>
      <c r="S2535">
        <f>IF($O2535="","",INDEX(Suivi!$G:$G,2583))</f>
        <v/>
      </c>
      <c r="T2535">
        <f>IF($O2535="","",IF(INDEX(Dossiers!$F$4:$F$63,48)="","",INDEX(Dossiers!$F$4:$F$63,48)))</f>
        <v/>
      </c>
      <c r="U2535">
        <f>IF($O2535="","",IF(INDEX(Dossiers!$G$4:$G$63,48)="","",INDEX(Dossiers!$G$4:$G$63,48)))</f>
        <v/>
      </c>
      <c r="V2535">
        <f>IF(OR($O2535="",NOT(ISNUMBER($Q2535))),"",$Q2535*1000000+2535)</f>
        <v/>
      </c>
      <c r="W2535" s="29">
        <f>IF($B2535="","",IFERROR(INDEX($U$4:$U$3183,MATCH(SMALL($V$4:$V$3183,2532),$V$4:$V$3183,0)),""))</f>
        <v/>
      </c>
    </row>
    <row r="2536">
      <c r="A2536">
        <f>IFERROR(INDEX($N$4:$N$3183,MATCH(SMALL($V$4:$V$3183,2533),$V$4:$V$3183,0)),"")</f>
        <v/>
      </c>
      <c r="B2536">
        <f>IFERROR(INDEX($O$4:$O$3183,MATCH(SMALL($V$4:$V$3183,2533),$V$4:$V$3183,0)),"")</f>
        <v/>
      </c>
      <c r="C2536">
        <f>IFERROR(INDEX($P$4:$P$3183,MATCH(SMALL($V$4:$V$3183,2533),$V$4:$V$3183,0)),"")</f>
        <v/>
      </c>
      <c r="D2536" s="29">
        <f>IFERROR(INDEX($Q$4:$Q$3183,MATCH(SMALL($V$4:$V$3183,2533),$V$4:$V$3183,0)),"")</f>
        <v/>
      </c>
      <c r="E2536" s="29">
        <f>IFERROR(INDEX($R$4:$R$3183,MATCH(SMALL($V$4:$V$3183,2533),$V$4:$V$3183,0)),"")</f>
        <v/>
      </c>
      <c r="F2536">
        <f>IFERROR(INDEX($S$4:$S$3183,MATCH(SMALL($V$4:$V$3183,2533),$V$4:$V$3183,0)),"")</f>
        <v/>
      </c>
      <c r="I2536" s="29">
        <f>IF($B2536="","",IFERROR(INDEX($U$4:$U$3183,MATCH(SMALL($V$4:$V$3183,2533),$V$4:$V$3183,0)),""))</f>
        <v/>
      </c>
      <c r="J2536">
        <f>IF($B2536="","",IF($D2536&gt;$F$2,"À venir",IF($E2536&lt;$D$2,"Passé","Dans la période")))</f>
        <v/>
      </c>
      <c r="K2536">
        <f>IF(OR($B2536="",NOT(ISNUMBER($D2536))),"",IF(AND($E2536&lt;$D$2,$G2536&lt;&gt;"X",$F2536&lt;&gt;"Réalisé",$F2536&lt;&gt;"Clôturé"),"RETARD",""))</f>
        <v/>
      </c>
      <c r="L2536">
        <f>IF(OR($B2536="",NOT(ISNUMBER($D2536))),"",IF(AND($D2536&gt;=$D$2,$D2536&lt;=$H$2,$G2536&lt;&gt;"X",$F2536&lt;&gt;"Réalisé",$F2536&lt;&gt;"Clôturé"),"≤ 7 j",""))</f>
        <v/>
      </c>
      <c r="M2536" s="29">
        <f>IF($B2536="","",IFERROR(INDEX($T$4:$T$3183,MATCH(SMALL($V$4:$V$3183,2533),$V$4:$V$3183,0)),""))</f>
        <v/>
      </c>
      <c r="O2536">
        <f>IF(INDEX(Suivi!$B:$B,2584)="","",INDEX(Suivi!$B:$B,2584))</f>
        <v/>
      </c>
      <c r="P2536">
        <f>IF($O2536="","",IF(INDEX(Suivi!$D:$D,2584)="",INDEX(Suivi!$C:$C,2584),INDEX(Suivi!$D:$D,2584)))</f>
        <v/>
      </c>
      <c r="Q2536">
        <f>IF($O2536="","",INDEX(Suivi!$E:$E,2584))</f>
        <v/>
      </c>
      <c r="R2536">
        <f>IF($O2536="","",INDEX(Suivi!$F:$F,2584))</f>
        <v/>
      </c>
      <c r="S2536">
        <f>IF($O2536="","",INDEX(Suivi!$G:$G,2584))</f>
        <v/>
      </c>
      <c r="T2536">
        <f>IF($O2536="","",IF(INDEX(Dossiers!$F$4:$F$63,48)="","",INDEX(Dossiers!$F$4:$F$63,48)))</f>
        <v/>
      </c>
      <c r="U2536">
        <f>IF($O2536="","",IF(INDEX(Dossiers!$G$4:$G$63,48)="","",INDEX(Dossiers!$G$4:$G$63,48)))</f>
        <v/>
      </c>
      <c r="V2536">
        <f>IF(OR($O2536="",NOT(ISNUMBER($Q2536))),"",$Q2536*1000000+2536)</f>
        <v/>
      </c>
      <c r="W2536" s="29">
        <f>IF($B2536="","",IFERROR(INDEX($U$4:$U$3183,MATCH(SMALL($V$4:$V$3183,2533),$V$4:$V$3183,0)),""))</f>
        <v/>
      </c>
    </row>
    <row r="2537">
      <c r="A2537">
        <f>IFERROR(INDEX($N$4:$N$3183,MATCH(SMALL($V$4:$V$3183,2534),$V$4:$V$3183,0)),"")</f>
        <v/>
      </c>
      <c r="B2537">
        <f>IFERROR(INDEX($O$4:$O$3183,MATCH(SMALL($V$4:$V$3183,2534),$V$4:$V$3183,0)),"")</f>
        <v/>
      </c>
      <c r="C2537">
        <f>IFERROR(INDEX($P$4:$P$3183,MATCH(SMALL($V$4:$V$3183,2534),$V$4:$V$3183,0)),"")</f>
        <v/>
      </c>
      <c r="D2537" s="29">
        <f>IFERROR(INDEX($Q$4:$Q$3183,MATCH(SMALL($V$4:$V$3183,2534),$V$4:$V$3183,0)),"")</f>
        <v/>
      </c>
      <c r="E2537" s="29">
        <f>IFERROR(INDEX($R$4:$R$3183,MATCH(SMALL($V$4:$V$3183,2534),$V$4:$V$3183,0)),"")</f>
        <v/>
      </c>
      <c r="F2537">
        <f>IFERROR(INDEX($S$4:$S$3183,MATCH(SMALL($V$4:$V$3183,2534),$V$4:$V$3183,0)),"")</f>
        <v/>
      </c>
      <c r="I2537" s="29">
        <f>IF($B2537="","",IFERROR(INDEX($U$4:$U$3183,MATCH(SMALL($V$4:$V$3183,2534),$V$4:$V$3183,0)),""))</f>
        <v/>
      </c>
      <c r="J2537">
        <f>IF($B2537="","",IF($D2537&gt;$F$2,"À venir",IF($E2537&lt;$D$2,"Passé","Dans la période")))</f>
        <v/>
      </c>
      <c r="K2537">
        <f>IF(OR($B2537="",NOT(ISNUMBER($D2537))),"",IF(AND($E2537&lt;$D$2,$G2537&lt;&gt;"X",$F2537&lt;&gt;"Réalisé",$F2537&lt;&gt;"Clôturé"),"RETARD",""))</f>
        <v/>
      </c>
      <c r="L2537">
        <f>IF(OR($B2537="",NOT(ISNUMBER($D2537))),"",IF(AND($D2537&gt;=$D$2,$D2537&lt;=$H$2,$G2537&lt;&gt;"X",$F2537&lt;&gt;"Réalisé",$F2537&lt;&gt;"Clôturé"),"≤ 7 j",""))</f>
        <v/>
      </c>
      <c r="M2537" s="29">
        <f>IF($B2537="","",IFERROR(INDEX($T$4:$T$3183,MATCH(SMALL($V$4:$V$3183,2534),$V$4:$V$3183,0)),""))</f>
        <v/>
      </c>
      <c r="O2537">
        <f>IF(INDEX(Suivi!$B:$B,2585)="","",INDEX(Suivi!$B:$B,2585))</f>
        <v/>
      </c>
      <c r="P2537">
        <f>IF($O2537="","",IF(INDEX(Suivi!$D:$D,2585)="",INDEX(Suivi!$C:$C,2585),INDEX(Suivi!$D:$D,2585)))</f>
        <v/>
      </c>
      <c r="Q2537">
        <f>IF($O2537="","",INDEX(Suivi!$E:$E,2585))</f>
        <v/>
      </c>
      <c r="R2537">
        <f>IF($O2537="","",INDEX(Suivi!$F:$F,2585))</f>
        <v/>
      </c>
      <c r="S2537">
        <f>IF($O2537="","",INDEX(Suivi!$G:$G,2585))</f>
        <v/>
      </c>
      <c r="T2537">
        <f>IF($O2537="","",IF(INDEX(Dossiers!$F$4:$F$63,48)="","",INDEX(Dossiers!$F$4:$F$63,48)))</f>
        <v/>
      </c>
      <c r="U2537">
        <f>IF($O2537="","",IF(INDEX(Dossiers!$G$4:$G$63,48)="","",INDEX(Dossiers!$G$4:$G$63,48)))</f>
        <v/>
      </c>
      <c r="V2537">
        <f>IF(OR($O2537="",NOT(ISNUMBER($Q2537))),"",$Q2537*1000000+2537)</f>
        <v/>
      </c>
      <c r="W2537" s="29">
        <f>IF($B2537="","",IFERROR(INDEX($U$4:$U$3183,MATCH(SMALL($V$4:$V$3183,2534),$V$4:$V$3183,0)),""))</f>
        <v/>
      </c>
    </row>
    <row r="2538">
      <c r="A2538">
        <f>IFERROR(INDEX($N$4:$N$3183,MATCH(SMALL($V$4:$V$3183,2535),$V$4:$V$3183,0)),"")</f>
        <v/>
      </c>
      <c r="B2538">
        <f>IFERROR(INDEX($O$4:$O$3183,MATCH(SMALL($V$4:$V$3183,2535),$V$4:$V$3183,0)),"")</f>
        <v/>
      </c>
      <c r="C2538">
        <f>IFERROR(INDEX($P$4:$P$3183,MATCH(SMALL($V$4:$V$3183,2535),$V$4:$V$3183,0)),"")</f>
        <v/>
      </c>
      <c r="D2538" s="29">
        <f>IFERROR(INDEX($Q$4:$Q$3183,MATCH(SMALL($V$4:$V$3183,2535),$V$4:$V$3183,0)),"")</f>
        <v/>
      </c>
      <c r="E2538" s="29">
        <f>IFERROR(INDEX($R$4:$R$3183,MATCH(SMALL($V$4:$V$3183,2535),$V$4:$V$3183,0)),"")</f>
        <v/>
      </c>
      <c r="F2538">
        <f>IFERROR(INDEX($S$4:$S$3183,MATCH(SMALL($V$4:$V$3183,2535),$V$4:$V$3183,0)),"")</f>
        <v/>
      </c>
      <c r="I2538" s="29">
        <f>IF($B2538="","",IFERROR(INDEX($U$4:$U$3183,MATCH(SMALL($V$4:$V$3183,2535),$V$4:$V$3183,0)),""))</f>
        <v/>
      </c>
      <c r="J2538">
        <f>IF($B2538="","",IF($D2538&gt;$F$2,"À venir",IF($E2538&lt;$D$2,"Passé","Dans la période")))</f>
        <v/>
      </c>
      <c r="K2538">
        <f>IF(OR($B2538="",NOT(ISNUMBER($D2538))),"",IF(AND($E2538&lt;$D$2,$G2538&lt;&gt;"X",$F2538&lt;&gt;"Réalisé",$F2538&lt;&gt;"Clôturé"),"RETARD",""))</f>
        <v/>
      </c>
      <c r="L2538">
        <f>IF(OR($B2538="",NOT(ISNUMBER($D2538))),"",IF(AND($D2538&gt;=$D$2,$D2538&lt;=$H$2,$G2538&lt;&gt;"X",$F2538&lt;&gt;"Réalisé",$F2538&lt;&gt;"Clôturé"),"≤ 7 j",""))</f>
        <v/>
      </c>
      <c r="M2538" s="29">
        <f>IF($B2538="","",IFERROR(INDEX($T$4:$T$3183,MATCH(SMALL($V$4:$V$3183,2535),$V$4:$V$3183,0)),""))</f>
        <v/>
      </c>
      <c r="O2538">
        <f>IF(INDEX(Suivi!$B:$B,2586)="","",INDEX(Suivi!$B:$B,2586))</f>
        <v/>
      </c>
      <c r="P2538">
        <f>IF($O2538="","",IF(INDEX(Suivi!$D:$D,2586)="",INDEX(Suivi!$C:$C,2586),INDEX(Suivi!$D:$D,2586)))</f>
        <v/>
      </c>
      <c r="Q2538">
        <f>IF($O2538="","",INDEX(Suivi!$E:$E,2586))</f>
        <v/>
      </c>
      <c r="R2538">
        <f>IF($O2538="","",INDEX(Suivi!$F:$F,2586))</f>
        <v/>
      </c>
      <c r="S2538">
        <f>IF($O2538="","",INDEX(Suivi!$G:$G,2586))</f>
        <v/>
      </c>
      <c r="T2538">
        <f>IF($O2538="","",IF(INDEX(Dossiers!$F$4:$F$63,48)="","",INDEX(Dossiers!$F$4:$F$63,48)))</f>
        <v/>
      </c>
      <c r="U2538">
        <f>IF($O2538="","",IF(INDEX(Dossiers!$G$4:$G$63,48)="","",INDEX(Dossiers!$G$4:$G$63,48)))</f>
        <v/>
      </c>
      <c r="V2538">
        <f>IF(OR($O2538="",NOT(ISNUMBER($Q2538))),"",$Q2538*1000000+2538)</f>
        <v/>
      </c>
      <c r="W2538" s="29">
        <f>IF($B2538="","",IFERROR(INDEX($U$4:$U$3183,MATCH(SMALL($V$4:$V$3183,2535),$V$4:$V$3183,0)),""))</f>
        <v/>
      </c>
    </row>
    <row r="2539">
      <c r="A2539">
        <f>IFERROR(INDEX($N$4:$N$3183,MATCH(SMALL($V$4:$V$3183,2536),$V$4:$V$3183,0)),"")</f>
        <v/>
      </c>
      <c r="B2539">
        <f>IFERROR(INDEX($O$4:$O$3183,MATCH(SMALL($V$4:$V$3183,2536),$V$4:$V$3183,0)),"")</f>
        <v/>
      </c>
      <c r="C2539">
        <f>IFERROR(INDEX($P$4:$P$3183,MATCH(SMALL($V$4:$V$3183,2536),$V$4:$V$3183,0)),"")</f>
        <v/>
      </c>
      <c r="D2539" s="29">
        <f>IFERROR(INDEX($Q$4:$Q$3183,MATCH(SMALL($V$4:$V$3183,2536),$V$4:$V$3183,0)),"")</f>
        <v/>
      </c>
      <c r="E2539" s="29">
        <f>IFERROR(INDEX($R$4:$R$3183,MATCH(SMALL($V$4:$V$3183,2536),$V$4:$V$3183,0)),"")</f>
        <v/>
      </c>
      <c r="F2539">
        <f>IFERROR(INDEX($S$4:$S$3183,MATCH(SMALL($V$4:$V$3183,2536),$V$4:$V$3183,0)),"")</f>
        <v/>
      </c>
      <c r="I2539" s="29">
        <f>IF($B2539="","",IFERROR(INDEX($U$4:$U$3183,MATCH(SMALL($V$4:$V$3183,2536),$V$4:$V$3183,0)),""))</f>
        <v/>
      </c>
      <c r="J2539">
        <f>IF($B2539="","",IF($D2539&gt;$F$2,"À venir",IF($E2539&lt;$D$2,"Passé","Dans la période")))</f>
        <v/>
      </c>
      <c r="K2539">
        <f>IF(OR($B2539="",NOT(ISNUMBER($D2539))),"",IF(AND($E2539&lt;$D$2,$G2539&lt;&gt;"X",$F2539&lt;&gt;"Réalisé",$F2539&lt;&gt;"Clôturé"),"RETARD",""))</f>
        <v/>
      </c>
      <c r="L2539">
        <f>IF(OR($B2539="",NOT(ISNUMBER($D2539))),"",IF(AND($D2539&gt;=$D$2,$D2539&lt;=$H$2,$G2539&lt;&gt;"X",$F2539&lt;&gt;"Réalisé",$F2539&lt;&gt;"Clôturé"),"≤ 7 j",""))</f>
        <v/>
      </c>
      <c r="M2539" s="29">
        <f>IF($B2539="","",IFERROR(INDEX($T$4:$T$3183,MATCH(SMALL($V$4:$V$3183,2536),$V$4:$V$3183,0)),""))</f>
        <v/>
      </c>
      <c r="O2539">
        <f>IF(INDEX(Suivi!$B:$B,2587)="","",INDEX(Suivi!$B:$B,2587))</f>
        <v/>
      </c>
      <c r="P2539">
        <f>IF($O2539="","",IF(INDEX(Suivi!$D:$D,2587)="",INDEX(Suivi!$C:$C,2587),INDEX(Suivi!$D:$D,2587)))</f>
        <v/>
      </c>
      <c r="Q2539">
        <f>IF($O2539="","",INDEX(Suivi!$E:$E,2587))</f>
        <v/>
      </c>
      <c r="R2539">
        <f>IF($O2539="","",INDEX(Suivi!$F:$F,2587))</f>
        <v/>
      </c>
      <c r="S2539">
        <f>IF($O2539="","",INDEX(Suivi!$G:$G,2587))</f>
        <v/>
      </c>
      <c r="T2539">
        <f>IF($O2539="","",IF(INDEX(Dossiers!$F$4:$F$63,48)="","",INDEX(Dossiers!$F$4:$F$63,48)))</f>
        <v/>
      </c>
      <c r="U2539">
        <f>IF($O2539="","",IF(INDEX(Dossiers!$G$4:$G$63,48)="","",INDEX(Dossiers!$G$4:$G$63,48)))</f>
        <v/>
      </c>
      <c r="V2539">
        <f>IF(OR($O2539="",NOT(ISNUMBER($Q2539))),"",$Q2539*1000000+2539)</f>
        <v/>
      </c>
      <c r="W2539" s="29">
        <f>IF($B2539="","",IFERROR(INDEX($U$4:$U$3183,MATCH(SMALL($V$4:$V$3183,2536),$V$4:$V$3183,0)),""))</f>
        <v/>
      </c>
    </row>
    <row r="2540">
      <c r="A2540">
        <f>IFERROR(INDEX($N$4:$N$3183,MATCH(SMALL($V$4:$V$3183,2537),$V$4:$V$3183,0)),"")</f>
        <v/>
      </c>
      <c r="B2540">
        <f>IFERROR(INDEX($O$4:$O$3183,MATCH(SMALL($V$4:$V$3183,2537),$V$4:$V$3183,0)),"")</f>
        <v/>
      </c>
      <c r="C2540">
        <f>IFERROR(INDEX($P$4:$P$3183,MATCH(SMALL($V$4:$V$3183,2537),$V$4:$V$3183,0)),"")</f>
        <v/>
      </c>
      <c r="D2540" s="29">
        <f>IFERROR(INDEX($Q$4:$Q$3183,MATCH(SMALL($V$4:$V$3183,2537),$V$4:$V$3183,0)),"")</f>
        <v/>
      </c>
      <c r="E2540" s="29">
        <f>IFERROR(INDEX($R$4:$R$3183,MATCH(SMALL($V$4:$V$3183,2537),$V$4:$V$3183,0)),"")</f>
        <v/>
      </c>
      <c r="F2540">
        <f>IFERROR(INDEX($S$4:$S$3183,MATCH(SMALL($V$4:$V$3183,2537),$V$4:$V$3183,0)),"")</f>
        <v/>
      </c>
      <c r="I2540" s="29">
        <f>IF($B2540="","",IFERROR(INDEX($U$4:$U$3183,MATCH(SMALL($V$4:$V$3183,2537),$V$4:$V$3183,0)),""))</f>
        <v/>
      </c>
      <c r="J2540">
        <f>IF($B2540="","",IF($D2540&gt;$F$2,"À venir",IF($E2540&lt;$D$2,"Passé","Dans la période")))</f>
        <v/>
      </c>
      <c r="K2540">
        <f>IF(OR($B2540="",NOT(ISNUMBER($D2540))),"",IF(AND($E2540&lt;$D$2,$G2540&lt;&gt;"X",$F2540&lt;&gt;"Réalisé",$F2540&lt;&gt;"Clôturé"),"RETARD",""))</f>
        <v/>
      </c>
      <c r="L2540">
        <f>IF(OR($B2540="",NOT(ISNUMBER($D2540))),"",IF(AND($D2540&gt;=$D$2,$D2540&lt;=$H$2,$G2540&lt;&gt;"X",$F2540&lt;&gt;"Réalisé",$F2540&lt;&gt;"Clôturé"),"≤ 7 j",""))</f>
        <v/>
      </c>
      <c r="M2540" s="29">
        <f>IF($B2540="","",IFERROR(INDEX($T$4:$T$3183,MATCH(SMALL($V$4:$V$3183,2537),$V$4:$V$3183,0)),""))</f>
        <v/>
      </c>
      <c r="O2540">
        <f>IF(INDEX(Suivi!$B:$B,2588)="","",INDEX(Suivi!$B:$B,2588))</f>
        <v/>
      </c>
      <c r="P2540">
        <f>IF($O2540="","",IF(INDEX(Suivi!$D:$D,2588)="",INDEX(Suivi!$C:$C,2588),INDEX(Suivi!$D:$D,2588)))</f>
        <v/>
      </c>
      <c r="Q2540">
        <f>IF($O2540="","",INDEX(Suivi!$E:$E,2588))</f>
        <v/>
      </c>
      <c r="R2540">
        <f>IF($O2540="","",INDEX(Suivi!$F:$F,2588))</f>
        <v/>
      </c>
      <c r="S2540">
        <f>IF($O2540="","",INDEX(Suivi!$G:$G,2588))</f>
        <v/>
      </c>
      <c r="T2540">
        <f>IF($O2540="","",IF(INDEX(Dossiers!$F$4:$F$63,48)="","",INDEX(Dossiers!$F$4:$F$63,48)))</f>
        <v/>
      </c>
      <c r="U2540">
        <f>IF($O2540="","",IF(INDEX(Dossiers!$G$4:$G$63,48)="","",INDEX(Dossiers!$G$4:$G$63,48)))</f>
        <v/>
      </c>
      <c r="V2540">
        <f>IF(OR($O2540="",NOT(ISNUMBER($Q2540))),"",$Q2540*1000000+2540)</f>
        <v/>
      </c>
      <c r="W2540" s="29">
        <f>IF($B2540="","",IFERROR(INDEX($U$4:$U$3183,MATCH(SMALL($V$4:$V$3183,2537),$V$4:$V$3183,0)),""))</f>
        <v/>
      </c>
    </row>
    <row r="2541">
      <c r="A2541">
        <f>IFERROR(INDEX($N$4:$N$3183,MATCH(SMALL($V$4:$V$3183,2538),$V$4:$V$3183,0)),"")</f>
        <v/>
      </c>
      <c r="B2541">
        <f>IFERROR(INDEX($O$4:$O$3183,MATCH(SMALL($V$4:$V$3183,2538),$V$4:$V$3183,0)),"")</f>
        <v/>
      </c>
      <c r="C2541">
        <f>IFERROR(INDEX($P$4:$P$3183,MATCH(SMALL($V$4:$V$3183,2538),$V$4:$V$3183,0)),"")</f>
        <v/>
      </c>
      <c r="D2541" s="29">
        <f>IFERROR(INDEX($Q$4:$Q$3183,MATCH(SMALL($V$4:$V$3183,2538),$V$4:$V$3183,0)),"")</f>
        <v/>
      </c>
      <c r="E2541" s="29">
        <f>IFERROR(INDEX($R$4:$R$3183,MATCH(SMALL($V$4:$V$3183,2538),$V$4:$V$3183,0)),"")</f>
        <v/>
      </c>
      <c r="F2541">
        <f>IFERROR(INDEX($S$4:$S$3183,MATCH(SMALL($V$4:$V$3183,2538),$V$4:$V$3183,0)),"")</f>
        <v/>
      </c>
      <c r="I2541" s="29">
        <f>IF($B2541="","",IFERROR(INDEX($U$4:$U$3183,MATCH(SMALL($V$4:$V$3183,2538),$V$4:$V$3183,0)),""))</f>
        <v/>
      </c>
      <c r="J2541">
        <f>IF($B2541="","",IF($D2541&gt;$F$2,"À venir",IF($E2541&lt;$D$2,"Passé","Dans la période")))</f>
        <v/>
      </c>
      <c r="K2541">
        <f>IF(OR($B2541="",NOT(ISNUMBER($D2541))),"",IF(AND($E2541&lt;$D$2,$G2541&lt;&gt;"X",$F2541&lt;&gt;"Réalisé",$F2541&lt;&gt;"Clôturé"),"RETARD",""))</f>
        <v/>
      </c>
      <c r="L2541">
        <f>IF(OR($B2541="",NOT(ISNUMBER($D2541))),"",IF(AND($D2541&gt;=$D$2,$D2541&lt;=$H$2,$G2541&lt;&gt;"X",$F2541&lt;&gt;"Réalisé",$F2541&lt;&gt;"Clôturé"),"≤ 7 j",""))</f>
        <v/>
      </c>
      <c r="M2541" s="29">
        <f>IF($B2541="","",IFERROR(INDEX($T$4:$T$3183,MATCH(SMALL($V$4:$V$3183,2538),$V$4:$V$3183,0)),""))</f>
        <v/>
      </c>
      <c r="O2541">
        <f>IF(INDEX(Suivi!$B:$B,2589)="","",INDEX(Suivi!$B:$B,2589))</f>
        <v/>
      </c>
      <c r="P2541">
        <f>IF($O2541="","",IF(INDEX(Suivi!$D:$D,2589)="",INDEX(Suivi!$C:$C,2589),INDEX(Suivi!$D:$D,2589)))</f>
        <v/>
      </c>
      <c r="Q2541">
        <f>IF($O2541="","",INDEX(Suivi!$E:$E,2589))</f>
        <v/>
      </c>
      <c r="R2541">
        <f>IF($O2541="","",INDEX(Suivi!$F:$F,2589))</f>
        <v/>
      </c>
      <c r="S2541">
        <f>IF($O2541="","",INDEX(Suivi!$G:$G,2589))</f>
        <v/>
      </c>
      <c r="T2541">
        <f>IF($O2541="","",IF(INDEX(Dossiers!$F$4:$F$63,48)="","",INDEX(Dossiers!$F$4:$F$63,48)))</f>
        <v/>
      </c>
      <c r="U2541">
        <f>IF($O2541="","",IF(INDEX(Dossiers!$G$4:$G$63,48)="","",INDEX(Dossiers!$G$4:$G$63,48)))</f>
        <v/>
      </c>
      <c r="V2541">
        <f>IF(OR($O2541="",NOT(ISNUMBER($Q2541))),"",$Q2541*1000000+2541)</f>
        <v/>
      </c>
      <c r="W2541" s="29">
        <f>IF($B2541="","",IFERROR(INDEX($U$4:$U$3183,MATCH(SMALL($V$4:$V$3183,2538),$V$4:$V$3183,0)),""))</f>
        <v/>
      </c>
    </row>
    <row r="2542">
      <c r="A2542">
        <f>IFERROR(INDEX($N$4:$N$3183,MATCH(SMALL($V$4:$V$3183,2539),$V$4:$V$3183,0)),"")</f>
        <v/>
      </c>
      <c r="B2542">
        <f>IFERROR(INDEX($O$4:$O$3183,MATCH(SMALL($V$4:$V$3183,2539),$V$4:$V$3183,0)),"")</f>
        <v/>
      </c>
      <c r="C2542">
        <f>IFERROR(INDEX($P$4:$P$3183,MATCH(SMALL($V$4:$V$3183,2539),$V$4:$V$3183,0)),"")</f>
        <v/>
      </c>
      <c r="D2542" s="29">
        <f>IFERROR(INDEX($Q$4:$Q$3183,MATCH(SMALL($V$4:$V$3183,2539),$V$4:$V$3183,0)),"")</f>
        <v/>
      </c>
      <c r="E2542" s="29">
        <f>IFERROR(INDEX($R$4:$R$3183,MATCH(SMALL($V$4:$V$3183,2539),$V$4:$V$3183,0)),"")</f>
        <v/>
      </c>
      <c r="F2542">
        <f>IFERROR(INDEX($S$4:$S$3183,MATCH(SMALL($V$4:$V$3183,2539),$V$4:$V$3183,0)),"")</f>
        <v/>
      </c>
      <c r="I2542" s="29">
        <f>IF($B2542="","",IFERROR(INDEX($U$4:$U$3183,MATCH(SMALL($V$4:$V$3183,2539),$V$4:$V$3183,0)),""))</f>
        <v/>
      </c>
      <c r="J2542">
        <f>IF($B2542="","",IF($D2542&gt;$F$2,"À venir",IF($E2542&lt;$D$2,"Passé","Dans la période")))</f>
        <v/>
      </c>
      <c r="K2542">
        <f>IF(OR($B2542="",NOT(ISNUMBER($D2542))),"",IF(AND($E2542&lt;$D$2,$G2542&lt;&gt;"X",$F2542&lt;&gt;"Réalisé",$F2542&lt;&gt;"Clôturé"),"RETARD",""))</f>
        <v/>
      </c>
      <c r="L2542">
        <f>IF(OR($B2542="",NOT(ISNUMBER($D2542))),"",IF(AND($D2542&gt;=$D$2,$D2542&lt;=$H$2,$G2542&lt;&gt;"X",$F2542&lt;&gt;"Réalisé",$F2542&lt;&gt;"Clôturé"),"≤ 7 j",""))</f>
        <v/>
      </c>
      <c r="M2542" s="29">
        <f>IF($B2542="","",IFERROR(INDEX($T$4:$T$3183,MATCH(SMALL($V$4:$V$3183,2539),$V$4:$V$3183,0)),""))</f>
        <v/>
      </c>
      <c r="O2542">
        <f>IF(INDEX(Suivi!$B:$B,2590)="","",INDEX(Suivi!$B:$B,2590))</f>
        <v/>
      </c>
      <c r="P2542">
        <f>IF($O2542="","",IF(INDEX(Suivi!$D:$D,2590)="",INDEX(Suivi!$C:$C,2590),INDEX(Suivi!$D:$D,2590)))</f>
        <v/>
      </c>
      <c r="Q2542">
        <f>IF($O2542="","",INDEX(Suivi!$E:$E,2590))</f>
        <v/>
      </c>
      <c r="R2542">
        <f>IF($O2542="","",INDEX(Suivi!$F:$F,2590))</f>
        <v/>
      </c>
      <c r="S2542">
        <f>IF($O2542="","",INDEX(Suivi!$G:$G,2590))</f>
        <v/>
      </c>
      <c r="T2542">
        <f>IF($O2542="","",IF(INDEX(Dossiers!$F$4:$F$63,48)="","",INDEX(Dossiers!$F$4:$F$63,48)))</f>
        <v/>
      </c>
      <c r="U2542">
        <f>IF($O2542="","",IF(INDEX(Dossiers!$G$4:$G$63,48)="","",INDEX(Dossiers!$G$4:$G$63,48)))</f>
        <v/>
      </c>
      <c r="V2542">
        <f>IF(OR($O2542="",NOT(ISNUMBER($Q2542))),"",$Q2542*1000000+2542)</f>
        <v/>
      </c>
      <c r="W2542" s="29">
        <f>IF($B2542="","",IFERROR(INDEX($U$4:$U$3183,MATCH(SMALL($V$4:$V$3183,2539),$V$4:$V$3183,0)),""))</f>
        <v/>
      </c>
    </row>
    <row r="2543">
      <c r="A2543">
        <f>IFERROR(INDEX($N$4:$N$3183,MATCH(SMALL($V$4:$V$3183,2540),$V$4:$V$3183,0)),"")</f>
        <v/>
      </c>
      <c r="B2543">
        <f>IFERROR(INDEX($O$4:$O$3183,MATCH(SMALL($V$4:$V$3183,2540),$V$4:$V$3183,0)),"")</f>
        <v/>
      </c>
      <c r="C2543">
        <f>IFERROR(INDEX($P$4:$P$3183,MATCH(SMALL($V$4:$V$3183,2540),$V$4:$V$3183,0)),"")</f>
        <v/>
      </c>
      <c r="D2543" s="29">
        <f>IFERROR(INDEX($Q$4:$Q$3183,MATCH(SMALL($V$4:$V$3183,2540),$V$4:$V$3183,0)),"")</f>
        <v/>
      </c>
      <c r="E2543" s="29">
        <f>IFERROR(INDEX($R$4:$R$3183,MATCH(SMALL($V$4:$V$3183,2540),$V$4:$V$3183,0)),"")</f>
        <v/>
      </c>
      <c r="F2543">
        <f>IFERROR(INDEX($S$4:$S$3183,MATCH(SMALL($V$4:$V$3183,2540),$V$4:$V$3183,0)),"")</f>
        <v/>
      </c>
      <c r="I2543" s="29">
        <f>IF($B2543="","",IFERROR(INDEX($U$4:$U$3183,MATCH(SMALL($V$4:$V$3183,2540),$V$4:$V$3183,0)),""))</f>
        <v/>
      </c>
      <c r="J2543">
        <f>IF($B2543="","",IF($D2543&gt;$F$2,"À venir",IF($E2543&lt;$D$2,"Passé","Dans la période")))</f>
        <v/>
      </c>
      <c r="K2543">
        <f>IF(OR($B2543="",NOT(ISNUMBER($D2543))),"",IF(AND($E2543&lt;$D$2,$G2543&lt;&gt;"X",$F2543&lt;&gt;"Réalisé",$F2543&lt;&gt;"Clôturé"),"RETARD",""))</f>
        <v/>
      </c>
      <c r="L2543">
        <f>IF(OR($B2543="",NOT(ISNUMBER($D2543))),"",IF(AND($D2543&gt;=$D$2,$D2543&lt;=$H$2,$G2543&lt;&gt;"X",$F2543&lt;&gt;"Réalisé",$F2543&lt;&gt;"Clôturé"),"≤ 7 j",""))</f>
        <v/>
      </c>
      <c r="M2543" s="29">
        <f>IF($B2543="","",IFERROR(INDEX($T$4:$T$3183,MATCH(SMALL($V$4:$V$3183,2540),$V$4:$V$3183,0)),""))</f>
        <v/>
      </c>
      <c r="O2543">
        <f>IF(INDEX(Suivi!$B:$B,2591)="","",INDEX(Suivi!$B:$B,2591))</f>
        <v/>
      </c>
      <c r="P2543">
        <f>IF($O2543="","",IF(INDEX(Suivi!$D:$D,2591)="",INDEX(Suivi!$C:$C,2591),INDEX(Suivi!$D:$D,2591)))</f>
        <v/>
      </c>
      <c r="Q2543">
        <f>IF($O2543="","",INDEX(Suivi!$E:$E,2591))</f>
        <v/>
      </c>
      <c r="R2543">
        <f>IF($O2543="","",INDEX(Suivi!$F:$F,2591))</f>
        <v/>
      </c>
      <c r="S2543">
        <f>IF($O2543="","",INDEX(Suivi!$G:$G,2591))</f>
        <v/>
      </c>
      <c r="T2543">
        <f>IF($O2543="","",IF(INDEX(Dossiers!$F$4:$F$63,48)="","",INDEX(Dossiers!$F$4:$F$63,48)))</f>
        <v/>
      </c>
      <c r="U2543">
        <f>IF($O2543="","",IF(INDEX(Dossiers!$G$4:$G$63,48)="","",INDEX(Dossiers!$G$4:$G$63,48)))</f>
        <v/>
      </c>
      <c r="V2543">
        <f>IF(OR($O2543="",NOT(ISNUMBER($Q2543))),"",$Q2543*1000000+2543)</f>
        <v/>
      </c>
      <c r="W2543" s="29">
        <f>IF($B2543="","",IFERROR(INDEX($U$4:$U$3183,MATCH(SMALL($V$4:$V$3183,2540),$V$4:$V$3183,0)),""))</f>
        <v/>
      </c>
    </row>
    <row r="2544">
      <c r="A2544">
        <f>IFERROR(INDEX($N$4:$N$3183,MATCH(SMALL($V$4:$V$3183,2541),$V$4:$V$3183,0)),"")</f>
        <v/>
      </c>
      <c r="B2544">
        <f>IFERROR(INDEX($O$4:$O$3183,MATCH(SMALL($V$4:$V$3183,2541),$V$4:$V$3183,0)),"")</f>
        <v/>
      </c>
      <c r="C2544">
        <f>IFERROR(INDEX($P$4:$P$3183,MATCH(SMALL($V$4:$V$3183,2541),$V$4:$V$3183,0)),"")</f>
        <v/>
      </c>
      <c r="D2544" s="29">
        <f>IFERROR(INDEX($Q$4:$Q$3183,MATCH(SMALL($V$4:$V$3183,2541),$V$4:$V$3183,0)),"")</f>
        <v/>
      </c>
      <c r="E2544" s="29">
        <f>IFERROR(INDEX($R$4:$R$3183,MATCH(SMALL($V$4:$V$3183,2541),$V$4:$V$3183,0)),"")</f>
        <v/>
      </c>
      <c r="F2544">
        <f>IFERROR(INDEX($S$4:$S$3183,MATCH(SMALL($V$4:$V$3183,2541),$V$4:$V$3183,0)),"")</f>
        <v/>
      </c>
      <c r="I2544" s="29">
        <f>IF($B2544="","",IFERROR(INDEX($U$4:$U$3183,MATCH(SMALL($V$4:$V$3183,2541),$V$4:$V$3183,0)),""))</f>
        <v/>
      </c>
      <c r="J2544">
        <f>IF($B2544="","",IF($D2544&gt;$F$2,"À venir",IF($E2544&lt;$D$2,"Passé","Dans la période")))</f>
        <v/>
      </c>
      <c r="K2544">
        <f>IF(OR($B2544="",NOT(ISNUMBER($D2544))),"",IF(AND($E2544&lt;$D$2,$G2544&lt;&gt;"X",$F2544&lt;&gt;"Réalisé",$F2544&lt;&gt;"Clôturé"),"RETARD",""))</f>
        <v/>
      </c>
      <c r="L2544">
        <f>IF(OR($B2544="",NOT(ISNUMBER($D2544))),"",IF(AND($D2544&gt;=$D$2,$D2544&lt;=$H$2,$G2544&lt;&gt;"X",$F2544&lt;&gt;"Réalisé",$F2544&lt;&gt;"Clôturé"),"≤ 7 j",""))</f>
        <v/>
      </c>
      <c r="M2544" s="29">
        <f>IF($B2544="","",IFERROR(INDEX($T$4:$T$3183,MATCH(SMALL($V$4:$V$3183,2541),$V$4:$V$3183,0)),""))</f>
        <v/>
      </c>
      <c r="O2544">
        <f>IF(INDEX(Suivi!$B:$B,2592)="","",INDEX(Suivi!$B:$B,2592))</f>
        <v/>
      </c>
      <c r="P2544">
        <f>IF($O2544="","",IF(INDEX(Suivi!$D:$D,2592)="",INDEX(Suivi!$C:$C,2592),INDEX(Suivi!$D:$D,2592)))</f>
        <v/>
      </c>
      <c r="Q2544">
        <f>IF($O2544="","",INDEX(Suivi!$E:$E,2592))</f>
        <v/>
      </c>
      <c r="R2544">
        <f>IF($O2544="","",INDEX(Suivi!$F:$F,2592))</f>
        <v/>
      </c>
      <c r="S2544">
        <f>IF($O2544="","",INDEX(Suivi!$G:$G,2592))</f>
        <v/>
      </c>
      <c r="T2544">
        <f>IF($O2544="","",IF(INDEX(Dossiers!$F$4:$F$63,48)="","",INDEX(Dossiers!$F$4:$F$63,48)))</f>
        <v/>
      </c>
      <c r="U2544">
        <f>IF($O2544="","",IF(INDEX(Dossiers!$G$4:$G$63,48)="","",INDEX(Dossiers!$G$4:$G$63,48)))</f>
        <v/>
      </c>
      <c r="V2544">
        <f>IF(OR($O2544="",NOT(ISNUMBER($Q2544))),"",$Q2544*1000000+2544)</f>
        <v/>
      </c>
      <c r="W2544" s="29">
        <f>IF($B2544="","",IFERROR(INDEX($U$4:$U$3183,MATCH(SMALL($V$4:$V$3183,2541),$V$4:$V$3183,0)),""))</f>
        <v/>
      </c>
    </row>
    <row r="2545">
      <c r="A2545">
        <f>IFERROR(INDEX($N$4:$N$3183,MATCH(SMALL($V$4:$V$3183,2542),$V$4:$V$3183,0)),"")</f>
        <v/>
      </c>
      <c r="B2545">
        <f>IFERROR(INDEX($O$4:$O$3183,MATCH(SMALL($V$4:$V$3183,2542),$V$4:$V$3183,0)),"")</f>
        <v/>
      </c>
      <c r="C2545">
        <f>IFERROR(INDEX($P$4:$P$3183,MATCH(SMALL($V$4:$V$3183,2542),$V$4:$V$3183,0)),"")</f>
        <v/>
      </c>
      <c r="D2545" s="29">
        <f>IFERROR(INDEX($Q$4:$Q$3183,MATCH(SMALL($V$4:$V$3183,2542),$V$4:$V$3183,0)),"")</f>
        <v/>
      </c>
      <c r="E2545" s="29">
        <f>IFERROR(INDEX($R$4:$R$3183,MATCH(SMALL($V$4:$V$3183,2542),$V$4:$V$3183,0)),"")</f>
        <v/>
      </c>
      <c r="F2545">
        <f>IFERROR(INDEX($S$4:$S$3183,MATCH(SMALL($V$4:$V$3183,2542),$V$4:$V$3183,0)),"")</f>
        <v/>
      </c>
      <c r="I2545" s="29">
        <f>IF($B2545="","",IFERROR(INDEX($U$4:$U$3183,MATCH(SMALL($V$4:$V$3183,2542),$V$4:$V$3183,0)),""))</f>
        <v/>
      </c>
      <c r="J2545">
        <f>IF($B2545="","",IF($D2545&gt;$F$2,"À venir",IF($E2545&lt;$D$2,"Passé","Dans la période")))</f>
        <v/>
      </c>
      <c r="K2545">
        <f>IF(OR($B2545="",NOT(ISNUMBER($D2545))),"",IF(AND($E2545&lt;$D$2,$G2545&lt;&gt;"X",$F2545&lt;&gt;"Réalisé",$F2545&lt;&gt;"Clôturé"),"RETARD",""))</f>
        <v/>
      </c>
      <c r="L2545">
        <f>IF(OR($B2545="",NOT(ISNUMBER($D2545))),"",IF(AND($D2545&gt;=$D$2,$D2545&lt;=$H$2,$G2545&lt;&gt;"X",$F2545&lt;&gt;"Réalisé",$F2545&lt;&gt;"Clôturé"),"≤ 7 j",""))</f>
        <v/>
      </c>
      <c r="M2545" s="29">
        <f>IF($B2545="","",IFERROR(INDEX($T$4:$T$3183,MATCH(SMALL($V$4:$V$3183,2542),$V$4:$V$3183,0)),""))</f>
        <v/>
      </c>
      <c r="O2545">
        <f>IF(INDEX(Suivi!$B:$B,2593)="","",INDEX(Suivi!$B:$B,2593))</f>
        <v/>
      </c>
      <c r="P2545">
        <f>IF($O2545="","",IF(INDEX(Suivi!$D:$D,2593)="",INDEX(Suivi!$C:$C,2593),INDEX(Suivi!$D:$D,2593)))</f>
        <v/>
      </c>
      <c r="Q2545">
        <f>IF($O2545="","",INDEX(Suivi!$E:$E,2593))</f>
        <v/>
      </c>
      <c r="R2545">
        <f>IF($O2545="","",INDEX(Suivi!$F:$F,2593))</f>
        <v/>
      </c>
      <c r="S2545">
        <f>IF($O2545="","",INDEX(Suivi!$G:$G,2593))</f>
        <v/>
      </c>
      <c r="T2545">
        <f>IF($O2545="","",IF(INDEX(Dossiers!$F$4:$F$63,48)="","",INDEX(Dossiers!$F$4:$F$63,48)))</f>
        <v/>
      </c>
      <c r="U2545">
        <f>IF($O2545="","",IF(INDEX(Dossiers!$G$4:$G$63,48)="","",INDEX(Dossiers!$G$4:$G$63,48)))</f>
        <v/>
      </c>
      <c r="V2545">
        <f>IF(OR($O2545="",NOT(ISNUMBER($Q2545))),"",$Q2545*1000000+2545)</f>
        <v/>
      </c>
      <c r="W2545" s="29">
        <f>IF($B2545="","",IFERROR(INDEX($U$4:$U$3183,MATCH(SMALL($V$4:$V$3183,2542),$V$4:$V$3183,0)),""))</f>
        <v/>
      </c>
    </row>
    <row r="2546">
      <c r="A2546">
        <f>IFERROR(INDEX($N$4:$N$3183,MATCH(SMALL($V$4:$V$3183,2543),$V$4:$V$3183,0)),"")</f>
        <v/>
      </c>
      <c r="B2546">
        <f>IFERROR(INDEX($O$4:$O$3183,MATCH(SMALL($V$4:$V$3183,2543),$V$4:$V$3183,0)),"")</f>
        <v/>
      </c>
      <c r="C2546">
        <f>IFERROR(INDEX($P$4:$P$3183,MATCH(SMALL($V$4:$V$3183,2543),$V$4:$V$3183,0)),"")</f>
        <v/>
      </c>
      <c r="D2546" s="29">
        <f>IFERROR(INDEX($Q$4:$Q$3183,MATCH(SMALL($V$4:$V$3183,2543),$V$4:$V$3183,0)),"")</f>
        <v/>
      </c>
      <c r="E2546" s="29">
        <f>IFERROR(INDEX($R$4:$R$3183,MATCH(SMALL($V$4:$V$3183,2543),$V$4:$V$3183,0)),"")</f>
        <v/>
      </c>
      <c r="F2546">
        <f>IFERROR(INDEX($S$4:$S$3183,MATCH(SMALL($V$4:$V$3183,2543),$V$4:$V$3183,0)),"")</f>
        <v/>
      </c>
      <c r="I2546" s="29">
        <f>IF($B2546="","",IFERROR(INDEX($U$4:$U$3183,MATCH(SMALL($V$4:$V$3183,2543),$V$4:$V$3183,0)),""))</f>
        <v/>
      </c>
      <c r="J2546">
        <f>IF($B2546="","",IF($D2546&gt;$F$2,"À venir",IF($E2546&lt;$D$2,"Passé","Dans la période")))</f>
        <v/>
      </c>
      <c r="K2546">
        <f>IF(OR($B2546="",NOT(ISNUMBER($D2546))),"",IF(AND($E2546&lt;$D$2,$G2546&lt;&gt;"X",$F2546&lt;&gt;"Réalisé",$F2546&lt;&gt;"Clôturé"),"RETARD",""))</f>
        <v/>
      </c>
      <c r="L2546">
        <f>IF(OR($B2546="",NOT(ISNUMBER($D2546))),"",IF(AND($D2546&gt;=$D$2,$D2546&lt;=$H$2,$G2546&lt;&gt;"X",$F2546&lt;&gt;"Réalisé",$F2546&lt;&gt;"Clôturé"),"≤ 7 j",""))</f>
        <v/>
      </c>
      <c r="M2546" s="29">
        <f>IF($B2546="","",IFERROR(INDEX($T$4:$T$3183,MATCH(SMALL($V$4:$V$3183,2543),$V$4:$V$3183,0)),""))</f>
        <v/>
      </c>
      <c r="O2546">
        <f>IF(INDEX(Suivi!$B:$B,2594)="","",INDEX(Suivi!$B:$B,2594))</f>
        <v/>
      </c>
      <c r="P2546">
        <f>IF($O2546="","",IF(INDEX(Suivi!$D:$D,2594)="",INDEX(Suivi!$C:$C,2594),INDEX(Suivi!$D:$D,2594)))</f>
        <v/>
      </c>
      <c r="Q2546">
        <f>IF($O2546="","",INDEX(Suivi!$E:$E,2594))</f>
        <v/>
      </c>
      <c r="R2546">
        <f>IF($O2546="","",INDEX(Suivi!$F:$F,2594))</f>
        <v/>
      </c>
      <c r="S2546">
        <f>IF($O2546="","",INDEX(Suivi!$G:$G,2594))</f>
        <v/>
      </c>
      <c r="T2546">
        <f>IF($O2546="","",IF(INDEX(Dossiers!$F$4:$F$63,48)="","",INDEX(Dossiers!$F$4:$F$63,48)))</f>
        <v/>
      </c>
      <c r="U2546">
        <f>IF($O2546="","",IF(INDEX(Dossiers!$G$4:$G$63,48)="","",INDEX(Dossiers!$G$4:$G$63,48)))</f>
        <v/>
      </c>
      <c r="V2546">
        <f>IF(OR($O2546="",NOT(ISNUMBER($Q2546))),"",$Q2546*1000000+2546)</f>
        <v/>
      </c>
      <c r="W2546" s="29">
        <f>IF($B2546="","",IFERROR(INDEX($U$4:$U$3183,MATCH(SMALL($V$4:$V$3183,2543),$V$4:$V$3183,0)),""))</f>
        <v/>
      </c>
    </row>
    <row r="2547">
      <c r="A2547">
        <f>IFERROR(INDEX($N$4:$N$3183,MATCH(SMALL($V$4:$V$3183,2544),$V$4:$V$3183,0)),"")</f>
        <v/>
      </c>
      <c r="B2547">
        <f>IFERROR(INDEX($O$4:$O$3183,MATCH(SMALL($V$4:$V$3183,2544),$V$4:$V$3183,0)),"")</f>
        <v/>
      </c>
      <c r="C2547">
        <f>IFERROR(INDEX($P$4:$P$3183,MATCH(SMALL($V$4:$V$3183,2544),$V$4:$V$3183,0)),"")</f>
        <v/>
      </c>
      <c r="D2547" s="29">
        <f>IFERROR(INDEX($Q$4:$Q$3183,MATCH(SMALL($V$4:$V$3183,2544),$V$4:$V$3183,0)),"")</f>
        <v/>
      </c>
      <c r="E2547" s="29">
        <f>IFERROR(INDEX($R$4:$R$3183,MATCH(SMALL($V$4:$V$3183,2544),$V$4:$V$3183,0)),"")</f>
        <v/>
      </c>
      <c r="F2547">
        <f>IFERROR(INDEX($S$4:$S$3183,MATCH(SMALL($V$4:$V$3183,2544),$V$4:$V$3183,0)),"")</f>
        <v/>
      </c>
      <c r="I2547" s="29">
        <f>IF($B2547="","",IFERROR(INDEX($U$4:$U$3183,MATCH(SMALL($V$4:$V$3183,2544),$V$4:$V$3183,0)),""))</f>
        <v/>
      </c>
      <c r="J2547">
        <f>IF($B2547="","",IF($D2547&gt;$F$2,"À venir",IF($E2547&lt;$D$2,"Passé","Dans la période")))</f>
        <v/>
      </c>
      <c r="K2547">
        <f>IF(OR($B2547="",NOT(ISNUMBER($D2547))),"",IF(AND($E2547&lt;$D$2,$G2547&lt;&gt;"X",$F2547&lt;&gt;"Réalisé",$F2547&lt;&gt;"Clôturé"),"RETARD",""))</f>
        <v/>
      </c>
      <c r="L2547">
        <f>IF(OR($B2547="",NOT(ISNUMBER($D2547))),"",IF(AND($D2547&gt;=$D$2,$D2547&lt;=$H$2,$G2547&lt;&gt;"X",$F2547&lt;&gt;"Réalisé",$F2547&lt;&gt;"Clôturé"),"≤ 7 j",""))</f>
        <v/>
      </c>
      <c r="M2547" s="29">
        <f>IF($B2547="","",IFERROR(INDEX($T$4:$T$3183,MATCH(SMALL($V$4:$V$3183,2544),$V$4:$V$3183,0)),""))</f>
        <v/>
      </c>
      <c r="O2547">
        <f>IF(INDEX(Suivi!$B:$B,2595)="","",INDEX(Suivi!$B:$B,2595))</f>
        <v/>
      </c>
      <c r="P2547">
        <f>IF($O2547="","",IF(INDEX(Suivi!$D:$D,2595)="",INDEX(Suivi!$C:$C,2595),INDEX(Suivi!$D:$D,2595)))</f>
        <v/>
      </c>
      <c r="Q2547">
        <f>IF($O2547="","",INDEX(Suivi!$E:$E,2595))</f>
        <v/>
      </c>
      <c r="R2547">
        <f>IF($O2547="","",INDEX(Suivi!$F:$F,2595))</f>
        <v/>
      </c>
      <c r="S2547">
        <f>IF($O2547="","",INDEX(Suivi!$G:$G,2595))</f>
        <v/>
      </c>
      <c r="T2547">
        <f>IF($O2547="","",IF(INDEX(Dossiers!$F$4:$F$63,48)="","",INDEX(Dossiers!$F$4:$F$63,48)))</f>
        <v/>
      </c>
      <c r="U2547">
        <f>IF($O2547="","",IF(INDEX(Dossiers!$G$4:$G$63,48)="","",INDEX(Dossiers!$G$4:$G$63,48)))</f>
        <v/>
      </c>
      <c r="V2547">
        <f>IF(OR($O2547="",NOT(ISNUMBER($Q2547))),"",$Q2547*1000000+2547)</f>
        <v/>
      </c>
      <c r="W2547" s="29">
        <f>IF($B2547="","",IFERROR(INDEX($U$4:$U$3183,MATCH(SMALL($V$4:$V$3183,2544),$V$4:$V$3183,0)),""))</f>
        <v/>
      </c>
    </row>
    <row r="2548">
      <c r="A2548">
        <f>IFERROR(INDEX($N$4:$N$3183,MATCH(SMALL($V$4:$V$3183,2545),$V$4:$V$3183,0)),"")</f>
        <v/>
      </c>
      <c r="B2548">
        <f>IFERROR(INDEX($O$4:$O$3183,MATCH(SMALL($V$4:$V$3183,2545),$V$4:$V$3183,0)),"")</f>
        <v/>
      </c>
      <c r="C2548">
        <f>IFERROR(INDEX($P$4:$P$3183,MATCH(SMALL($V$4:$V$3183,2545),$V$4:$V$3183,0)),"")</f>
        <v/>
      </c>
      <c r="D2548" s="29">
        <f>IFERROR(INDEX($Q$4:$Q$3183,MATCH(SMALL($V$4:$V$3183,2545),$V$4:$V$3183,0)),"")</f>
        <v/>
      </c>
      <c r="E2548" s="29">
        <f>IFERROR(INDEX($R$4:$R$3183,MATCH(SMALL($V$4:$V$3183,2545),$V$4:$V$3183,0)),"")</f>
        <v/>
      </c>
      <c r="F2548">
        <f>IFERROR(INDEX($S$4:$S$3183,MATCH(SMALL($V$4:$V$3183,2545),$V$4:$V$3183,0)),"")</f>
        <v/>
      </c>
      <c r="I2548" s="29">
        <f>IF($B2548="","",IFERROR(INDEX($U$4:$U$3183,MATCH(SMALL($V$4:$V$3183,2545),$V$4:$V$3183,0)),""))</f>
        <v/>
      </c>
      <c r="J2548">
        <f>IF($B2548="","",IF($D2548&gt;$F$2,"À venir",IF($E2548&lt;$D$2,"Passé","Dans la période")))</f>
        <v/>
      </c>
      <c r="K2548">
        <f>IF(OR($B2548="",NOT(ISNUMBER($D2548))),"",IF(AND($E2548&lt;$D$2,$G2548&lt;&gt;"X",$F2548&lt;&gt;"Réalisé",$F2548&lt;&gt;"Clôturé"),"RETARD",""))</f>
        <v/>
      </c>
      <c r="L2548">
        <f>IF(OR($B2548="",NOT(ISNUMBER($D2548))),"",IF(AND($D2548&gt;=$D$2,$D2548&lt;=$H$2,$G2548&lt;&gt;"X",$F2548&lt;&gt;"Réalisé",$F2548&lt;&gt;"Clôturé"),"≤ 7 j",""))</f>
        <v/>
      </c>
      <c r="M2548" s="29">
        <f>IF($B2548="","",IFERROR(INDEX($T$4:$T$3183,MATCH(SMALL($V$4:$V$3183,2545),$V$4:$V$3183,0)),""))</f>
        <v/>
      </c>
      <c r="O2548">
        <f>IF(INDEX(Suivi!$B:$B,2597)="","",INDEX(Suivi!$B:$B,2597))</f>
        <v/>
      </c>
      <c r="P2548">
        <f>IF($O2548="","",IF(INDEX(Suivi!$D:$D,2597)="",INDEX(Suivi!$C:$C,2597),INDEX(Suivi!$D:$D,2597)))</f>
        <v/>
      </c>
      <c r="Q2548">
        <f>IF($O2548="","",INDEX(Suivi!$E:$E,2597))</f>
        <v/>
      </c>
      <c r="R2548">
        <f>IF($O2548="","",INDEX(Suivi!$F:$F,2597))</f>
        <v/>
      </c>
      <c r="S2548">
        <f>IF($O2548="","",INDEX(Suivi!$G:$G,2597))</f>
        <v/>
      </c>
      <c r="T2548">
        <f>IF($O2548="","",IF(INDEX(Dossiers!$F$4:$F$63,49)="","",INDEX(Dossiers!$F$4:$F$63,49)))</f>
        <v/>
      </c>
      <c r="U2548">
        <f>IF($O2548="","",IF(INDEX(Dossiers!$G$4:$G$63,49)="","",INDEX(Dossiers!$G$4:$G$63,49)))</f>
        <v/>
      </c>
      <c r="V2548">
        <f>IF(OR($O2548="",NOT(ISNUMBER($Q2548))),"",$Q2548*1000000+2548)</f>
        <v/>
      </c>
      <c r="W2548" s="29">
        <f>IF($B2548="","",IFERROR(INDEX($U$4:$U$3183,MATCH(SMALL($V$4:$V$3183,2545),$V$4:$V$3183,0)),""))</f>
        <v/>
      </c>
    </row>
    <row r="2549">
      <c r="A2549">
        <f>IFERROR(INDEX($N$4:$N$3183,MATCH(SMALL($V$4:$V$3183,2546),$V$4:$V$3183,0)),"")</f>
        <v/>
      </c>
      <c r="B2549">
        <f>IFERROR(INDEX($O$4:$O$3183,MATCH(SMALL($V$4:$V$3183,2546),$V$4:$V$3183,0)),"")</f>
        <v/>
      </c>
      <c r="C2549">
        <f>IFERROR(INDEX($P$4:$P$3183,MATCH(SMALL($V$4:$V$3183,2546),$V$4:$V$3183,0)),"")</f>
        <v/>
      </c>
      <c r="D2549" s="29">
        <f>IFERROR(INDEX($Q$4:$Q$3183,MATCH(SMALL($V$4:$V$3183,2546),$V$4:$V$3183,0)),"")</f>
        <v/>
      </c>
      <c r="E2549" s="29">
        <f>IFERROR(INDEX($R$4:$R$3183,MATCH(SMALL($V$4:$V$3183,2546),$V$4:$V$3183,0)),"")</f>
        <v/>
      </c>
      <c r="F2549">
        <f>IFERROR(INDEX($S$4:$S$3183,MATCH(SMALL($V$4:$V$3183,2546),$V$4:$V$3183,0)),"")</f>
        <v/>
      </c>
      <c r="I2549" s="29">
        <f>IF($B2549="","",IFERROR(INDEX($U$4:$U$3183,MATCH(SMALL($V$4:$V$3183,2546),$V$4:$V$3183,0)),""))</f>
        <v/>
      </c>
      <c r="J2549">
        <f>IF($B2549="","",IF($D2549&gt;$F$2,"À venir",IF($E2549&lt;$D$2,"Passé","Dans la période")))</f>
        <v/>
      </c>
      <c r="K2549">
        <f>IF(OR($B2549="",NOT(ISNUMBER($D2549))),"",IF(AND($E2549&lt;$D$2,$G2549&lt;&gt;"X",$F2549&lt;&gt;"Réalisé",$F2549&lt;&gt;"Clôturé"),"RETARD",""))</f>
        <v/>
      </c>
      <c r="L2549">
        <f>IF(OR($B2549="",NOT(ISNUMBER($D2549))),"",IF(AND($D2549&gt;=$D$2,$D2549&lt;=$H$2,$G2549&lt;&gt;"X",$F2549&lt;&gt;"Réalisé",$F2549&lt;&gt;"Clôturé"),"≤ 7 j",""))</f>
        <v/>
      </c>
      <c r="M2549" s="29">
        <f>IF($B2549="","",IFERROR(INDEX($T$4:$T$3183,MATCH(SMALL($V$4:$V$3183,2546),$V$4:$V$3183,0)),""))</f>
        <v/>
      </c>
      <c r="O2549">
        <f>IF(INDEX(Suivi!$B:$B,2598)="","",INDEX(Suivi!$B:$B,2598))</f>
        <v/>
      </c>
      <c r="P2549">
        <f>IF($O2549="","",IF(INDEX(Suivi!$D:$D,2598)="",INDEX(Suivi!$C:$C,2598),INDEX(Suivi!$D:$D,2598)))</f>
        <v/>
      </c>
      <c r="Q2549">
        <f>IF($O2549="","",INDEX(Suivi!$E:$E,2598))</f>
        <v/>
      </c>
      <c r="R2549">
        <f>IF($O2549="","",INDEX(Suivi!$F:$F,2598))</f>
        <v/>
      </c>
      <c r="S2549">
        <f>IF($O2549="","",INDEX(Suivi!$G:$G,2598))</f>
        <v/>
      </c>
      <c r="T2549">
        <f>IF($O2549="","",IF(INDEX(Dossiers!$F$4:$F$63,49)="","",INDEX(Dossiers!$F$4:$F$63,49)))</f>
        <v/>
      </c>
      <c r="U2549">
        <f>IF($O2549="","",IF(INDEX(Dossiers!$G$4:$G$63,49)="","",INDEX(Dossiers!$G$4:$G$63,49)))</f>
        <v/>
      </c>
      <c r="V2549">
        <f>IF(OR($O2549="",NOT(ISNUMBER($Q2549))),"",$Q2549*1000000+2549)</f>
        <v/>
      </c>
      <c r="W2549" s="29">
        <f>IF($B2549="","",IFERROR(INDEX($U$4:$U$3183,MATCH(SMALL($V$4:$V$3183,2546),$V$4:$V$3183,0)),""))</f>
        <v/>
      </c>
    </row>
    <row r="2550">
      <c r="A2550">
        <f>IFERROR(INDEX($N$4:$N$3183,MATCH(SMALL($V$4:$V$3183,2547),$V$4:$V$3183,0)),"")</f>
        <v/>
      </c>
      <c r="B2550">
        <f>IFERROR(INDEX($O$4:$O$3183,MATCH(SMALL($V$4:$V$3183,2547),$V$4:$V$3183,0)),"")</f>
        <v/>
      </c>
      <c r="C2550">
        <f>IFERROR(INDEX($P$4:$P$3183,MATCH(SMALL($V$4:$V$3183,2547),$V$4:$V$3183,0)),"")</f>
        <v/>
      </c>
      <c r="D2550" s="29">
        <f>IFERROR(INDEX($Q$4:$Q$3183,MATCH(SMALL($V$4:$V$3183,2547),$V$4:$V$3183,0)),"")</f>
        <v/>
      </c>
      <c r="E2550" s="29">
        <f>IFERROR(INDEX($R$4:$R$3183,MATCH(SMALL($V$4:$V$3183,2547),$V$4:$V$3183,0)),"")</f>
        <v/>
      </c>
      <c r="F2550">
        <f>IFERROR(INDEX($S$4:$S$3183,MATCH(SMALL($V$4:$V$3183,2547),$V$4:$V$3183,0)),"")</f>
        <v/>
      </c>
      <c r="I2550" s="29">
        <f>IF($B2550="","",IFERROR(INDEX($U$4:$U$3183,MATCH(SMALL($V$4:$V$3183,2547),$V$4:$V$3183,0)),""))</f>
        <v/>
      </c>
      <c r="J2550">
        <f>IF($B2550="","",IF($D2550&gt;$F$2,"À venir",IF($E2550&lt;$D$2,"Passé","Dans la période")))</f>
        <v/>
      </c>
      <c r="K2550">
        <f>IF(OR($B2550="",NOT(ISNUMBER($D2550))),"",IF(AND($E2550&lt;$D$2,$G2550&lt;&gt;"X",$F2550&lt;&gt;"Réalisé",$F2550&lt;&gt;"Clôturé"),"RETARD",""))</f>
        <v/>
      </c>
      <c r="L2550">
        <f>IF(OR($B2550="",NOT(ISNUMBER($D2550))),"",IF(AND($D2550&gt;=$D$2,$D2550&lt;=$H$2,$G2550&lt;&gt;"X",$F2550&lt;&gt;"Réalisé",$F2550&lt;&gt;"Clôturé"),"≤ 7 j",""))</f>
        <v/>
      </c>
      <c r="M2550" s="29">
        <f>IF($B2550="","",IFERROR(INDEX($T$4:$T$3183,MATCH(SMALL($V$4:$V$3183,2547),$V$4:$V$3183,0)),""))</f>
        <v/>
      </c>
      <c r="O2550">
        <f>IF(INDEX(Suivi!$B:$B,2599)="","",INDEX(Suivi!$B:$B,2599))</f>
        <v/>
      </c>
      <c r="P2550">
        <f>IF($O2550="","",IF(INDEX(Suivi!$D:$D,2599)="",INDEX(Suivi!$C:$C,2599),INDEX(Suivi!$D:$D,2599)))</f>
        <v/>
      </c>
      <c r="Q2550">
        <f>IF($O2550="","",INDEX(Suivi!$E:$E,2599))</f>
        <v/>
      </c>
      <c r="R2550">
        <f>IF($O2550="","",INDEX(Suivi!$F:$F,2599))</f>
        <v/>
      </c>
      <c r="S2550">
        <f>IF($O2550="","",INDEX(Suivi!$G:$G,2599))</f>
        <v/>
      </c>
      <c r="T2550">
        <f>IF($O2550="","",IF(INDEX(Dossiers!$F$4:$F$63,49)="","",INDEX(Dossiers!$F$4:$F$63,49)))</f>
        <v/>
      </c>
      <c r="U2550">
        <f>IF($O2550="","",IF(INDEX(Dossiers!$G$4:$G$63,49)="","",INDEX(Dossiers!$G$4:$G$63,49)))</f>
        <v/>
      </c>
      <c r="V2550">
        <f>IF(OR($O2550="",NOT(ISNUMBER($Q2550))),"",$Q2550*1000000+2550)</f>
        <v/>
      </c>
      <c r="W2550" s="29">
        <f>IF($B2550="","",IFERROR(INDEX($U$4:$U$3183,MATCH(SMALL($V$4:$V$3183,2547),$V$4:$V$3183,0)),""))</f>
        <v/>
      </c>
    </row>
    <row r="2551">
      <c r="A2551">
        <f>IFERROR(INDEX($N$4:$N$3183,MATCH(SMALL($V$4:$V$3183,2548),$V$4:$V$3183,0)),"")</f>
        <v/>
      </c>
      <c r="B2551">
        <f>IFERROR(INDEX($O$4:$O$3183,MATCH(SMALL($V$4:$V$3183,2548),$V$4:$V$3183,0)),"")</f>
        <v/>
      </c>
      <c r="C2551">
        <f>IFERROR(INDEX($P$4:$P$3183,MATCH(SMALL($V$4:$V$3183,2548),$V$4:$V$3183,0)),"")</f>
        <v/>
      </c>
      <c r="D2551" s="29">
        <f>IFERROR(INDEX($Q$4:$Q$3183,MATCH(SMALL($V$4:$V$3183,2548),$V$4:$V$3183,0)),"")</f>
        <v/>
      </c>
      <c r="E2551" s="29">
        <f>IFERROR(INDEX($R$4:$R$3183,MATCH(SMALL($V$4:$V$3183,2548),$V$4:$V$3183,0)),"")</f>
        <v/>
      </c>
      <c r="F2551">
        <f>IFERROR(INDEX($S$4:$S$3183,MATCH(SMALL($V$4:$V$3183,2548),$V$4:$V$3183,0)),"")</f>
        <v/>
      </c>
      <c r="I2551" s="29">
        <f>IF($B2551="","",IFERROR(INDEX($U$4:$U$3183,MATCH(SMALL($V$4:$V$3183,2548),$V$4:$V$3183,0)),""))</f>
        <v/>
      </c>
      <c r="J2551">
        <f>IF($B2551="","",IF($D2551&gt;$F$2,"À venir",IF($E2551&lt;$D$2,"Passé","Dans la période")))</f>
        <v/>
      </c>
      <c r="K2551">
        <f>IF(OR($B2551="",NOT(ISNUMBER($D2551))),"",IF(AND($E2551&lt;$D$2,$G2551&lt;&gt;"X",$F2551&lt;&gt;"Réalisé",$F2551&lt;&gt;"Clôturé"),"RETARD",""))</f>
        <v/>
      </c>
      <c r="L2551">
        <f>IF(OR($B2551="",NOT(ISNUMBER($D2551))),"",IF(AND($D2551&gt;=$D$2,$D2551&lt;=$H$2,$G2551&lt;&gt;"X",$F2551&lt;&gt;"Réalisé",$F2551&lt;&gt;"Clôturé"),"≤ 7 j",""))</f>
        <v/>
      </c>
      <c r="M2551" s="29">
        <f>IF($B2551="","",IFERROR(INDEX($T$4:$T$3183,MATCH(SMALL($V$4:$V$3183,2548),$V$4:$V$3183,0)),""))</f>
        <v/>
      </c>
      <c r="O2551">
        <f>IF(INDEX(Suivi!$B:$B,2600)="","",INDEX(Suivi!$B:$B,2600))</f>
        <v/>
      </c>
      <c r="P2551">
        <f>IF($O2551="","",IF(INDEX(Suivi!$D:$D,2600)="",INDEX(Suivi!$C:$C,2600),INDEX(Suivi!$D:$D,2600)))</f>
        <v/>
      </c>
      <c r="Q2551">
        <f>IF($O2551="","",INDEX(Suivi!$E:$E,2600))</f>
        <v/>
      </c>
      <c r="R2551">
        <f>IF($O2551="","",INDEX(Suivi!$F:$F,2600))</f>
        <v/>
      </c>
      <c r="S2551">
        <f>IF($O2551="","",INDEX(Suivi!$G:$G,2600))</f>
        <v/>
      </c>
      <c r="T2551">
        <f>IF($O2551="","",IF(INDEX(Dossiers!$F$4:$F$63,49)="","",INDEX(Dossiers!$F$4:$F$63,49)))</f>
        <v/>
      </c>
      <c r="U2551">
        <f>IF($O2551="","",IF(INDEX(Dossiers!$G$4:$G$63,49)="","",INDEX(Dossiers!$G$4:$G$63,49)))</f>
        <v/>
      </c>
      <c r="V2551">
        <f>IF(OR($O2551="",NOT(ISNUMBER($Q2551))),"",$Q2551*1000000+2551)</f>
        <v/>
      </c>
      <c r="W2551" s="29">
        <f>IF($B2551="","",IFERROR(INDEX($U$4:$U$3183,MATCH(SMALL($V$4:$V$3183,2548),$V$4:$V$3183,0)),""))</f>
        <v/>
      </c>
    </row>
    <row r="2552">
      <c r="A2552">
        <f>IFERROR(INDEX($N$4:$N$3183,MATCH(SMALL($V$4:$V$3183,2549),$V$4:$V$3183,0)),"")</f>
        <v/>
      </c>
      <c r="B2552">
        <f>IFERROR(INDEX($O$4:$O$3183,MATCH(SMALL($V$4:$V$3183,2549),$V$4:$V$3183,0)),"")</f>
        <v/>
      </c>
      <c r="C2552">
        <f>IFERROR(INDEX($P$4:$P$3183,MATCH(SMALL($V$4:$V$3183,2549),$V$4:$V$3183,0)),"")</f>
        <v/>
      </c>
      <c r="D2552" s="29">
        <f>IFERROR(INDEX($Q$4:$Q$3183,MATCH(SMALL($V$4:$V$3183,2549),$V$4:$V$3183,0)),"")</f>
        <v/>
      </c>
      <c r="E2552" s="29">
        <f>IFERROR(INDEX($R$4:$R$3183,MATCH(SMALL($V$4:$V$3183,2549),$V$4:$V$3183,0)),"")</f>
        <v/>
      </c>
      <c r="F2552">
        <f>IFERROR(INDEX($S$4:$S$3183,MATCH(SMALL($V$4:$V$3183,2549),$V$4:$V$3183,0)),"")</f>
        <v/>
      </c>
      <c r="I2552" s="29">
        <f>IF($B2552="","",IFERROR(INDEX($U$4:$U$3183,MATCH(SMALL($V$4:$V$3183,2549),$V$4:$V$3183,0)),""))</f>
        <v/>
      </c>
      <c r="J2552">
        <f>IF($B2552="","",IF($D2552&gt;$F$2,"À venir",IF($E2552&lt;$D$2,"Passé","Dans la période")))</f>
        <v/>
      </c>
      <c r="K2552">
        <f>IF(OR($B2552="",NOT(ISNUMBER($D2552))),"",IF(AND($E2552&lt;$D$2,$G2552&lt;&gt;"X",$F2552&lt;&gt;"Réalisé",$F2552&lt;&gt;"Clôturé"),"RETARD",""))</f>
        <v/>
      </c>
      <c r="L2552">
        <f>IF(OR($B2552="",NOT(ISNUMBER($D2552))),"",IF(AND($D2552&gt;=$D$2,$D2552&lt;=$H$2,$G2552&lt;&gt;"X",$F2552&lt;&gt;"Réalisé",$F2552&lt;&gt;"Clôturé"),"≤ 7 j",""))</f>
        <v/>
      </c>
      <c r="M2552" s="29">
        <f>IF($B2552="","",IFERROR(INDEX($T$4:$T$3183,MATCH(SMALL($V$4:$V$3183,2549),$V$4:$V$3183,0)),""))</f>
        <v/>
      </c>
      <c r="O2552">
        <f>IF(INDEX(Suivi!$B:$B,2601)="","",INDEX(Suivi!$B:$B,2601))</f>
        <v/>
      </c>
      <c r="P2552">
        <f>IF($O2552="","",IF(INDEX(Suivi!$D:$D,2601)="",INDEX(Suivi!$C:$C,2601),INDEX(Suivi!$D:$D,2601)))</f>
        <v/>
      </c>
      <c r="Q2552">
        <f>IF($O2552="","",INDEX(Suivi!$E:$E,2601))</f>
        <v/>
      </c>
      <c r="R2552">
        <f>IF($O2552="","",INDEX(Suivi!$F:$F,2601))</f>
        <v/>
      </c>
      <c r="S2552">
        <f>IF($O2552="","",INDEX(Suivi!$G:$G,2601))</f>
        <v/>
      </c>
      <c r="T2552">
        <f>IF($O2552="","",IF(INDEX(Dossiers!$F$4:$F$63,49)="","",INDEX(Dossiers!$F$4:$F$63,49)))</f>
        <v/>
      </c>
      <c r="U2552">
        <f>IF($O2552="","",IF(INDEX(Dossiers!$G$4:$G$63,49)="","",INDEX(Dossiers!$G$4:$G$63,49)))</f>
        <v/>
      </c>
      <c r="V2552">
        <f>IF(OR($O2552="",NOT(ISNUMBER($Q2552))),"",$Q2552*1000000+2552)</f>
        <v/>
      </c>
      <c r="W2552" s="29">
        <f>IF($B2552="","",IFERROR(INDEX($U$4:$U$3183,MATCH(SMALL($V$4:$V$3183,2549),$V$4:$V$3183,0)),""))</f>
        <v/>
      </c>
    </row>
    <row r="2553">
      <c r="A2553">
        <f>IFERROR(INDEX($N$4:$N$3183,MATCH(SMALL($V$4:$V$3183,2550),$V$4:$V$3183,0)),"")</f>
        <v/>
      </c>
      <c r="B2553">
        <f>IFERROR(INDEX($O$4:$O$3183,MATCH(SMALL($V$4:$V$3183,2550),$V$4:$V$3183,0)),"")</f>
        <v/>
      </c>
      <c r="C2553">
        <f>IFERROR(INDEX($P$4:$P$3183,MATCH(SMALL($V$4:$V$3183,2550),$V$4:$V$3183,0)),"")</f>
        <v/>
      </c>
      <c r="D2553" s="29">
        <f>IFERROR(INDEX($Q$4:$Q$3183,MATCH(SMALL($V$4:$V$3183,2550),$V$4:$V$3183,0)),"")</f>
        <v/>
      </c>
      <c r="E2553" s="29">
        <f>IFERROR(INDEX($R$4:$R$3183,MATCH(SMALL($V$4:$V$3183,2550),$V$4:$V$3183,0)),"")</f>
        <v/>
      </c>
      <c r="F2553">
        <f>IFERROR(INDEX($S$4:$S$3183,MATCH(SMALL($V$4:$V$3183,2550),$V$4:$V$3183,0)),"")</f>
        <v/>
      </c>
      <c r="I2553" s="29">
        <f>IF($B2553="","",IFERROR(INDEX($U$4:$U$3183,MATCH(SMALL($V$4:$V$3183,2550),$V$4:$V$3183,0)),""))</f>
        <v/>
      </c>
      <c r="J2553">
        <f>IF($B2553="","",IF($D2553&gt;$F$2,"À venir",IF($E2553&lt;$D$2,"Passé","Dans la période")))</f>
        <v/>
      </c>
      <c r="K2553">
        <f>IF(OR($B2553="",NOT(ISNUMBER($D2553))),"",IF(AND($E2553&lt;$D$2,$G2553&lt;&gt;"X",$F2553&lt;&gt;"Réalisé",$F2553&lt;&gt;"Clôturé"),"RETARD",""))</f>
        <v/>
      </c>
      <c r="L2553">
        <f>IF(OR($B2553="",NOT(ISNUMBER($D2553))),"",IF(AND($D2553&gt;=$D$2,$D2553&lt;=$H$2,$G2553&lt;&gt;"X",$F2553&lt;&gt;"Réalisé",$F2553&lt;&gt;"Clôturé"),"≤ 7 j",""))</f>
        <v/>
      </c>
      <c r="M2553" s="29">
        <f>IF($B2553="","",IFERROR(INDEX($T$4:$T$3183,MATCH(SMALL($V$4:$V$3183,2550),$V$4:$V$3183,0)),""))</f>
        <v/>
      </c>
      <c r="O2553">
        <f>IF(INDEX(Suivi!$B:$B,2602)="","",INDEX(Suivi!$B:$B,2602))</f>
        <v/>
      </c>
      <c r="P2553">
        <f>IF($O2553="","",IF(INDEX(Suivi!$D:$D,2602)="",INDEX(Suivi!$C:$C,2602),INDEX(Suivi!$D:$D,2602)))</f>
        <v/>
      </c>
      <c r="Q2553">
        <f>IF($O2553="","",INDEX(Suivi!$E:$E,2602))</f>
        <v/>
      </c>
      <c r="R2553">
        <f>IF($O2553="","",INDEX(Suivi!$F:$F,2602))</f>
        <v/>
      </c>
      <c r="S2553">
        <f>IF($O2553="","",INDEX(Suivi!$G:$G,2602))</f>
        <v/>
      </c>
      <c r="T2553">
        <f>IF($O2553="","",IF(INDEX(Dossiers!$F$4:$F$63,49)="","",INDEX(Dossiers!$F$4:$F$63,49)))</f>
        <v/>
      </c>
      <c r="U2553">
        <f>IF($O2553="","",IF(INDEX(Dossiers!$G$4:$G$63,49)="","",INDEX(Dossiers!$G$4:$G$63,49)))</f>
        <v/>
      </c>
      <c r="V2553">
        <f>IF(OR($O2553="",NOT(ISNUMBER($Q2553))),"",$Q2553*1000000+2553)</f>
        <v/>
      </c>
      <c r="W2553" s="29">
        <f>IF($B2553="","",IFERROR(INDEX($U$4:$U$3183,MATCH(SMALL($V$4:$V$3183,2550),$V$4:$V$3183,0)),""))</f>
        <v/>
      </c>
    </row>
    <row r="2554">
      <c r="A2554">
        <f>IFERROR(INDEX($N$4:$N$3183,MATCH(SMALL($V$4:$V$3183,2551),$V$4:$V$3183,0)),"")</f>
        <v/>
      </c>
      <c r="B2554">
        <f>IFERROR(INDEX($O$4:$O$3183,MATCH(SMALL($V$4:$V$3183,2551),$V$4:$V$3183,0)),"")</f>
        <v/>
      </c>
      <c r="C2554">
        <f>IFERROR(INDEX($P$4:$P$3183,MATCH(SMALL($V$4:$V$3183,2551),$V$4:$V$3183,0)),"")</f>
        <v/>
      </c>
      <c r="D2554" s="29">
        <f>IFERROR(INDEX($Q$4:$Q$3183,MATCH(SMALL($V$4:$V$3183,2551),$V$4:$V$3183,0)),"")</f>
        <v/>
      </c>
      <c r="E2554" s="29">
        <f>IFERROR(INDEX($R$4:$R$3183,MATCH(SMALL($V$4:$V$3183,2551),$V$4:$V$3183,0)),"")</f>
        <v/>
      </c>
      <c r="F2554">
        <f>IFERROR(INDEX($S$4:$S$3183,MATCH(SMALL($V$4:$V$3183,2551),$V$4:$V$3183,0)),"")</f>
        <v/>
      </c>
      <c r="I2554" s="29">
        <f>IF($B2554="","",IFERROR(INDEX($U$4:$U$3183,MATCH(SMALL($V$4:$V$3183,2551),$V$4:$V$3183,0)),""))</f>
        <v/>
      </c>
      <c r="J2554">
        <f>IF($B2554="","",IF($D2554&gt;$F$2,"À venir",IF($E2554&lt;$D$2,"Passé","Dans la période")))</f>
        <v/>
      </c>
      <c r="K2554">
        <f>IF(OR($B2554="",NOT(ISNUMBER($D2554))),"",IF(AND($E2554&lt;$D$2,$G2554&lt;&gt;"X",$F2554&lt;&gt;"Réalisé",$F2554&lt;&gt;"Clôturé"),"RETARD",""))</f>
        <v/>
      </c>
      <c r="L2554">
        <f>IF(OR($B2554="",NOT(ISNUMBER($D2554))),"",IF(AND($D2554&gt;=$D$2,$D2554&lt;=$H$2,$G2554&lt;&gt;"X",$F2554&lt;&gt;"Réalisé",$F2554&lt;&gt;"Clôturé"),"≤ 7 j",""))</f>
        <v/>
      </c>
      <c r="M2554" s="29">
        <f>IF($B2554="","",IFERROR(INDEX($T$4:$T$3183,MATCH(SMALL($V$4:$V$3183,2551),$V$4:$V$3183,0)),""))</f>
        <v/>
      </c>
      <c r="O2554">
        <f>IF(INDEX(Suivi!$B:$B,2603)="","",INDEX(Suivi!$B:$B,2603))</f>
        <v/>
      </c>
      <c r="P2554">
        <f>IF($O2554="","",IF(INDEX(Suivi!$D:$D,2603)="",INDEX(Suivi!$C:$C,2603),INDEX(Suivi!$D:$D,2603)))</f>
        <v/>
      </c>
      <c r="Q2554">
        <f>IF($O2554="","",INDEX(Suivi!$E:$E,2603))</f>
        <v/>
      </c>
      <c r="R2554">
        <f>IF($O2554="","",INDEX(Suivi!$F:$F,2603))</f>
        <v/>
      </c>
      <c r="S2554">
        <f>IF($O2554="","",INDEX(Suivi!$G:$G,2603))</f>
        <v/>
      </c>
      <c r="T2554">
        <f>IF($O2554="","",IF(INDEX(Dossiers!$F$4:$F$63,49)="","",INDEX(Dossiers!$F$4:$F$63,49)))</f>
        <v/>
      </c>
      <c r="U2554">
        <f>IF($O2554="","",IF(INDEX(Dossiers!$G$4:$G$63,49)="","",INDEX(Dossiers!$G$4:$G$63,49)))</f>
        <v/>
      </c>
      <c r="V2554">
        <f>IF(OR($O2554="",NOT(ISNUMBER($Q2554))),"",$Q2554*1000000+2554)</f>
        <v/>
      </c>
      <c r="W2554" s="29">
        <f>IF($B2554="","",IFERROR(INDEX($U$4:$U$3183,MATCH(SMALL($V$4:$V$3183,2551),$V$4:$V$3183,0)),""))</f>
        <v/>
      </c>
    </row>
    <row r="2555">
      <c r="A2555">
        <f>IFERROR(INDEX($N$4:$N$3183,MATCH(SMALL($V$4:$V$3183,2552),$V$4:$V$3183,0)),"")</f>
        <v/>
      </c>
      <c r="B2555">
        <f>IFERROR(INDEX($O$4:$O$3183,MATCH(SMALL($V$4:$V$3183,2552),$V$4:$V$3183,0)),"")</f>
        <v/>
      </c>
      <c r="C2555">
        <f>IFERROR(INDEX($P$4:$P$3183,MATCH(SMALL($V$4:$V$3183,2552),$V$4:$V$3183,0)),"")</f>
        <v/>
      </c>
      <c r="D2555" s="29">
        <f>IFERROR(INDEX($Q$4:$Q$3183,MATCH(SMALL($V$4:$V$3183,2552),$V$4:$V$3183,0)),"")</f>
        <v/>
      </c>
      <c r="E2555" s="29">
        <f>IFERROR(INDEX($R$4:$R$3183,MATCH(SMALL($V$4:$V$3183,2552),$V$4:$V$3183,0)),"")</f>
        <v/>
      </c>
      <c r="F2555">
        <f>IFERROR(INDEX($S$4:$S$3183,MATCH(SMALL($V$4:$V$3183,2552),$V$4:$V$3183,0)),"")</f>
        <v/>
      </c>
      <c r="I2555" s="29">
        <f>IF($B2555="","",IFERROR(INDEX($U$4:$U$3183,MATCH(SMALL($V$4:$V$3183,2552),$V$4:$V$3183,0)),""))</f>
        <v/>
      </c>
      <c r="J2555">
        <f>IF($B2555="","",IF($D2555&gt;$F$2,"À venir",IF($E2555&lt;$D$2,"Passé","Dans la période")))</f>
        <v/>
      </c>
      <c r="K2555">
        <f>IF(OR($B2555="",NOT(ISNUMBER($D2555))),"",IF(AND($E2555&lt;$D$2,$G2555&lt;&gt;"X",$F2555&lt;&gt;"Réalisé",$F2555&lt;&gt;"Clôturé"),"RETARD",""))</f>
        <v/>
      </c>
      <c r="L2555">
        <f>IF(OR($B2555="",NOT(ISNUMBER($D2555))),"",IF(AND($D2555&gt;=$D$2,$D2555&lt;=$H$2,$G2555&lt;&gt;"X",$F2555&lt;&gt;"Réalisé",$F2555&lt;&gt;"Clôturé"),"≤ 7 j",""))</f>
        <v/>
      </c>
      <c r="M2555" s="29">
        <f>IF($B2555="","",IFERROR(INDEX($T$4:$T$3183,MATCH(SMALL($V$4:$V$3183,2552),$V$4:$V$3183,0)),""))</f>
        <v/>
      </c>
      <c r="O2555">
        <f>IF(INDEX(Suivi!$B:$B,2604)="","",INDEX(Suivi!$B:$B,2604))</f>
        <v/>
      </c>
      <c r="P2555">
        <f>IF($O2555="","",IF(INDEX(Suivi!$D:$D,2604)="",INDEX(Suivi!$C:$C,2604),INDEX(Suivi!$D:$D,2604)))</f>
        <v/>
      </c>
      <c r="Q2555">
        <f>IF($O2555="","",INDEX(Suivi!$E:$E,2604))</f>
        <v/>
      </c>
      <c r="R2555">
        <f>IF($O2555="","",INDEX(Suivi!$F:$F,2604))</f>
        <v/>
      </c>
      <c r="S2555">
        <f>IF($O2555="","",INDEX(Suivi!$G:$G,2604))</f>
        <v/>
      </c>
      <c r="T2555">
        <f>IF($O2555="","",IF(INDEX(Dossiers!$F$4:$F$63,49)="","",INDEX(Dossiers!$F$4:$F$63,49)))</f>
        <v/>
      </c>
      <c r="U2555">
        <f>IF($O2555="","",IF(INDEX(Dossiers!$G$4:$G$63,49)="","",INDEX(Dossiers!$G$4:$G$63,49)))</f>
        <v/>
      </c>
      <c r="V2555">
        <f>IF(OR($O2555="",NOT(ISNUMBER($Q2555))),"",$Q2555*1000000+2555)</f>
        <v/>
      </c>
      <c r="W2555" s="29">
        <f>IF($B2555="","",IFERROR(INDEX($U$4:$U$3183,MATCH(SMALL($V$4:$V$3183,2552),$V$4:$V$3183,0)),""))</f>
        <v/>
      </c>
    </row>
    <row r="2556">
      <c r="A2556">
        <f>IFERROR(INDEX($N$4:$N$3183,MATCH(SMALL($V$4:$V$3183,2553),$V$4:$V$3183,0)),"")</f>
        <v/>
      </c>
      <c r="B2556">
        <f>IFERROR(INDEX($O$4:$O$3183,MATCH(SMALL($V$4:$V$3183,2553),$V$4:$V$3183,0)),"")</f>
        <v/>
      </c>
      <c r="C2556">
        <f>IFERROR(INDEX($P$4:$P$3183,MATCH(SMALL($V$4:$V$3183,2553),$V$4:$V$3183,0)),"")</f>
        <v/>
      </c>
      <c r="D2556" s="29">
        <f>IFERROR(INDEX($Q$4:$Q$3183,MATCH(SMALL($V$4:$V$3183,2553),$V$4:$V$3183,0)),"")</f>
        <v/>
      </c>
      <c r="E2556" s="29">
        <f>IFERROR(INDEX($R$4:$R$3183,MATCH(SMALL($V$4:$V$3183,2553),$V$4:$V$3183,0)),"")</f>
        <v/>
      </c>
      <c r="F2556">
        <f>IFERROR(INDEX($S$4:$S$3183,MATCH(SMALL($V$4:$V$3183,2553),$V$4:$V$3183,0)),"")</f>
        <v/>
      </c>
      <c r="I2556" s="29">
        <f>IF($B2556="","",IFERROR(INDEX($U$4:$U$3183,MATCH(SMALL($V$4:$V$3183,2553),$V$4:$V$3183,0)),""))</f>
        <v/>
      </c>
      <c r="J2556">
        <f>IF($B2556="","",IF($D2556&gt;$F$2,"À venir",IF($E2556&lt;$D$2,"Passé","Dans la période")))</f>
        <v/>
      </c>
      <c r="K2556">
        <f>IF(OR($B2556="",NOT(ISNUMBER($D2556))),"",IF(AND($E2556&lt;$D$2,$G2556&lt;&gt;"X",$F2556&lt;&gt;"Réalisé",$F2556&lt;&gt;"Clôturé"),"RETARD",""))</f>
        <v/>
      </c>
      <c r="L2556">
        <f>IF(OR($B2556="",NOT(ISNUMBER($D2556))),"",IF(AND($D2556&gt;=$D$2,$D2556&lt;=$H$2,$G2556&lt;&gt;"X",$F2556&lt;&gt;"Réalisé",$F2556&lt;&gt;"Clôturé"),"≤ 7 j",""))</f>
        <v/>
      </c>
      <c r="M2556" s="29">
        <f>IF($B2556="","",IFERROR(INDEX($T$4:$T$3183,MATCH(SMALL($V$4:$V$3183,2553),$V$4:$V$3183,0)),""))</f>
        <v/>
      </c>
      <c r="O2556">
        <f>IF(INDEX(Suivi!$B:$B,2605)="","",INDEX(Suivi!$B:$B,2605))</f>
        <v/>
      </c>
      <c r="P2556">
        <f>IF($O2556="","",IF(INDEX(Suivi!$D:$D,2605)="",INDEX(Suivi!$C:$C,2605),INDEX(Suivi!$D:$D,2605)))</f>
        <v/>
      </c>
      <c r="Q2556">
        <f>IF($O2556="","",INDEX(Suivi!$E:$E,2605))</f>
        <v/>
      </c>
      <c r="R2556">
        <f>IF($O2556="","",INDEX(Suivi!$F:$F,2605))</f>
        <v/>
      </c>
      <c r="S2556">
        <f>IF($O2556="","",INDEX(Suivi!$G:$G,2605))</f>
        <v/>
      </c>
      <c r="T2556">
        <f>IF($O2556="","",IF(INDEX(Dossiers!$F$4:$F$63,49)="","",INDEX(Dossiers!$F$4:$F$63,49)))</f>
        <v/>
      </c>
      <c r="U2556">
        <f>IF($O2556="","",IF(INDEX(Dossiers!$G$4:$G$63,49)="","",INDEX(Dossiers!$G$4:$G$63,49)))</f>
        <v/>
      </c>
      <c r="V2556">
        <f>IF(OR($O2556="",NOT(ISNUMBER($Q2556))),"",$Q2556*1000000+2556)</f>
        <v/>
      </c>
      <c r="W2556" s="29">
        <f>IF($B2556="","",IFERROR(INDEX($U$4:$U$3183,MATCH(SMALL($V$4:$V$3183,2553),$V$4:$V$3183,0)),""))</f>
        <v/>
      </c>
    </row>
    <row r="2557">
      <c r="A2557">
        <f>IFERROR(INDEX($N$4:$N$3183,MATCH(SMALL($V$4:$V$3183,2554),$V$4:$V$3183,0)),"")</f>
        <v/>
      </c>
      <c r="B2557">
        <f>IFERROR(INDEX($O$4:$O$3183,MATCH(SMALL($V$4:$V$3183,2554),$V$4:$V$3183,0)),"")</f>
        <v/>
      </c>
      <c r="C2557">
        <f>IFERROR(INDEX($P$4:$P$3183,MATCH(SMALL($V$4:$V$3183,2554),$V$4:$V$3183,0)),"")</f>
        <v/>
      </c>
      <c r="D2557" s="29">
        <f>IFERROR(INDEX($Q$4:$Q$3183,MATCH(SMALL($V$4:$V$3183,2554),$V$4:$V$3183,0)),"")</f>
        <v/>
      </c>
      <c r="E2557" s="29">
        <f>IFERROR(INDEX($R$4:$R$3183,MATCH(SMALL($V$4:$V$3183,2554),$V$4:$V$3183,0)),"")</f>
        <v/>
      </c>
      <c r="F2557">
        <f>IFERROR(INDEX($S$4:$S$3183,MATCH(SMALL($V$4:$V$3183,2554),$V$4:$V$3183,0)),"")</f>
        <v/>
      </c>
      <c r="I2557" s="29">
        <f>IF($B2557="","",IFERROR(INDEX($U$4:$U$3183,MATCH(SMALL($V$4:$V$3183,2554),$V$4:$V$3183,0)),""))</f>
        <v/>
      </c>
      <c r="J2557">
        <f>IF($B2557="","",IF($D2557&gt;$F$2,"À venir",IF($E2557&lt;$D$2,"Passé","Dans la période")))</f>
        <v/>
      </c>
      <c r="K2557">
        <f>IF(OR($B2557="",NOT(ISNUMBER($D2557))),"",IF(AND($E2557&lt;$D$2,$G2557&lt;&gt;"X",$F2557&lt;&gt;"Réalisé",$F2557&lt;&gt;"Clôturé"),"RETARD",""))</f>
        <v/>
      </c>
      <c r="L2557">
        <f>IF(OR($B2557="",NOT(ISNUMBER($D2557))),"",IF(AND($D2557&gt;=$D$2,$D2557&lt;=$H$2,$G2557&lt;&gt;"X",$F2557&lt;&gt;"Réalisé",$F2557&lt;&gt;"Clôturé"),"≤ 7 j",""))</f>
        <v/>
      </c>
      <c r="M2557" s="29">
        <f>IF($B2557="","",IFERROR(INDEX($T$4:$T$3183,MATCH(SMALL($V$4:$V$3183,2554),$V$4:$V$3183,0)),""))</f>
        <v/>
      </c>
      <c r="O2557">
        <f>IF(INDEX(Suivi!$B:$B,2606)="","",INDEX(Suivi!$B:$B,2606))</f>
        <v/>
      </c>
      <c r="P2557">
        <f>IF($O2557="","",IF(INDEX(Suivi!$D:$D,2606)="",INDEX(Suivi!$C:$C,2606),INDEX(Suivi!$D:$D,2606)))</f>
        <v/>
      </c>
      <c r="Q2557">
        <f>IF($O2557="","",INDEX(Suivi!$E:$E,2606))</f>
        <v/>
      </c>
      <c r="R2557">
        <f>IF($O2557="","",INDEX(Suivi!$F:$F,2606))</f>
        <v/>
      </c>
      <c r="S2557">
        <f>IF($O2557="","",INDEX(Suivi!$G:$G,2606))</f>
        <v/>
      </c>
      <c r="T2557">
        <f>IF($O2557="","",IF(INDEX(Dossiers!$F$4:$F$63,49)="","",INDEX(Dossiers!$F$4:$F$63,49)))</f>
        <v/>
      </c>
      <c r="U2557">
        <f>IF($O2557="","",IF(INDEX(Dossiers!$G$4:$G$63,49)="","",INDEX(Dossiers!$G$4:$G$63,49)))</f>
        <v/>
      </c>
      <c r="V2557">
        <f>IF(OR($O2557="",NOT(ISNUMBER($Q2557))),"",$Q2557*1000000+2557)</f>
        <v/>
      </c>
      <c r="W2557" s="29">
        <f>IF($B2557="","",IFERROR(INDEX($U$4:$U$3183,MATCH(SMALL($V$4:$V$3183,2554),$V$4:$V$3183,0)),""))</f>
        <v/>
      </c>
    </row>
    <row r="2558">
      <c r="A2558">
        <f>IFERROR(INDEX($N$4:$N$3183,MATCH(SMALL($V$4:$V$3183,2555),$V$4:$V$3183,0)),"")</f>
        <v/>
      </c>
      <c r="B2558">
        <f>IFERROR(INDEX($O$4:$O$3183,MATCH(SMALL($V$4:$V$3183,2555),$V$4:$V$3183,0)),"")</f>
        <v/>
      </c>
      <c r="C2558">
        <f>IFERROR(INDEX($P$4:$P$3183,MATCH(SMALL($V$4:$V$3183,2555),$V$4:$V$3183,0)),"")</f>
        <v/>
      </c>
      <c r="D2558" s="29">
        <f>IFERROR(INDEX($Q$4:$Q$3183,MATCH(SMALL($V$4:$V$3183,2555),$V$4:$V$3183,0)),"")</f>
        <v/>
      </c>
      <c r="E2558" s="29">
        <f>IFERROR(INDEX($R$4:$R$3183,MATCH(SMALL($V$4:$V$3183,2555),$V$4:$V$3183,0)),"")</f>
        <v/>
      </c>
      <c r="F2558">
        <f>IFERROR(INDEX($S$4:$S$3183,MATCH(SMALL($V$4:$V$3183,2555),$V$4:$V$3183,0)),"")</f>
        <v/>
      </c>
      <c r="I2558" s="29">
        <f>IF($B2558="","",IFERROR(INDEX($U$4:$U$3183,MATCH(SMALL($V$4:$V$3183,2555),$V$4:$V$3183,0)),""))</f>
        <v/>
      </c>
      <c r="J2558">
        <f>IF($B2558="","",IF($D2558&gt;$F$2,"À venir",IF($E2558&lt;$D$2,"Passé","Dans la période")))</f>
        <v/>
      </c>
      <c r="K2558">
        <f>IF(OR($B2558="",NOT(ISNUMBER($D2558))),"",IF(AND($E2558&lt;$D$2,$G2558&lt;&gt;"X",$F2558&lt;&gt;"Réalisé",$F2558&lt;&gt;"Clôturé"),"RETARD",""))</f>
        <v/>
      </c>
      <c r="L2558">
        <f>IF(OR($B2558="",NOT(ISNUMBER($D2558))),"",IF(AND($D2558&gt;=$D$2,$D2558&lt;=$H$2,$G2558&lt;&gt;"X",$F2558&lt;&gt;"Réalisé",$F2558&lt;&gt;"Clôturé"),"≤ 7 j",""))</f>
        <v/>
      </c>
      <c r="M2558" s="29">
        <f>IF($B2558="","",IFERROR(INDEX($T$4:$T$3183,MATCH(SMALL($V$4:$V$3183,2555),$V$4:$V$3183,0)),""))</f>
        <v/>
      </c>
      <c r="O2558">
        <f>IF(INDEX(Suivi!$B:$B,2607)="","",INDEX(Suivi!$B:$B,2607))</f>
        <v/>
      </c>
      <c r="P2558">
        <f>IF($O2558="","",IF(INDEX(Suivi!$D:$D,2607)="",INDEX(Suivi!$C:$C,2607),INDEX(Suivi!$D:$D,2607)))</f>
        <v/>
      </c>
      <c r="Q2558">
        <f>IF($O2558="","",INDEX(Suivi!$E:$E,2607))</f>
        <v/>
      </c>
      <c r="R2558">
        <f>IF($O2558="","",INDEX(Suivi!$F:$F,2607))</f>
        <v/>
      </c>
      <c r="S2558">
        <f>IF($O2558="","",INDEX(Suivi!$G:$G,2607))</f>
        <v/>
      </c>
      <c r="T2558">
        <f>IF($O2558="","",IF(INDEX(Dossiers!$F$4:$F$63,49)="","",INDEX(Dossiers!$F$4:$F$63,49)))</f>
        <v/>
      </c>
      <c r="U2558">
        <f>IF($O2558="","",IF(INDEX(Dossiers!$G$4:$G$63,49)="","",INDEX(Dossiers!$G$4:$G$63,49)))</f>
        <v/>
      </c>
      <c r="V2558">
        <f>IF(OR($O2558="",NOT(ISNUMBER($Q2558))),"",$Q2558*1000000+2558)</f>
        <v/>
      </c>
      <c r="W2558" s="29">
        <f>IF($B2558="","",IFERROR(INDEX($U$4:$U$3183,MATCH(SMALL($V$4:$V$3183,2555),$V$4:$V$3183,0)),""))</f>
        <v/>
      </c>
    </row>
    <row r="2559">
      <c r="A2559">
        <f>IFERROR(INDEX($N$4:$N$3183,MATCH(SMALL($V$4:$V$3183,2556),$V$4:$V$3183,0)),"")</f>
        <v/>
      </c>
      <c r="B2559">
        <f>IFERROR(INDEX($O$4:$O$3183,MATCH(SMALL($V$4:$V$3183,2556),$V$4:$V$3183,0)),"")</f>
        <v/>
      </c>
      <c r="C2559">
        <f>IFERROR(INDEX($P$4:$P$3183,MATCH(SMALL($V$4:$V$3183,2556),$V$4:$V$3183,0)),"")</f>
        <v/>
      </c>
      <c r="D2559" s="29">
        <f>IFERROR(INDEX($Q$4:$Q$3183,MATCH(SMALL($V$4:$V$3183,2556),$V$4:$V$3183,0)),"")</f>
        <v/>
      </c>
      <c r="E2559" s="29">
        <f>IFERROR(INDEX($R$4:$R$3183,MATCH(SMALL($V$4:$V$3183,2556),$V$4:$V$3183,0)),"")</f>
        <v/>
      </c>
      <c r="F2559">
        <f>IFERROR(INDEX($S$4:$S$3183,MATCH(SMALL($V$4:$V$3183,2556),$V$4:$V$3183,0)),"")</f>
        <v/>
      </c>
      <c r="I2559" s="29">
        <f>IF($B2559="","",IFERROR(INDEX($U$4:$U$3183,MATCH(SMALL($V$4:$V$3183,2556),$V$4:$V$3183,0)),""))</f>
        <v/>
      </c>
      <c r="J2559">
        <f>IF($B2559="","",IF($D2559&gt;$F$2,"À venir",IF($E2559&lt;$D$2,"Passé","Dans la période")))</f>
        <v/>
      </c>
      <c r="K2559">
        <f>IF(OR($B2559="",NOT(ISNUMBER($D2559))),"",IF(AND($E2559&lt;$D$2,$G2559&lt;&gt;"X",$F2559&lt;&gt;"Réalisé",$F2559&lt;&gt;"Clôturé"),"RETARD",""))</f>
        <v/>
      </c>
      <c r="L2559">
        <f>IF(OR($B2559="",NOT(ISNUMBER($D2559))),"",IF(AND($D2559&gt;=$D$2,$D2559&lt;=$H$2,$G2559&lt;&gt;"X",$F2559&lt;&gt;"Réalisé",$F2559&lt;&gt;"Clôturé"),"≤ 7 j",""))</f>
        <v/>
      </c>
      <c r="M2559" s="29">
        <f>IF($B2559="","",IFERROR(INDEX($T$4:$T$3183,MATCH(SMALL($V$4:$V$3183,2556),$V$4:$V$3183,0)),""))</f>
        <v/>
      </c>
      <c r="O2559">
        <f>IF(INDEX(Suivi!$B:$B,2608)="","",INDEX(Suivi!$B:$B,2608))</f>
        <v/>
      </c>
      <c r="P2559">
        <f>IF($O2559="","",IF(INDEX(Suivi!$D:$D,2608)="",INDEX(Suivi!$C:$C,2608),INDEX(Suivi!$D:$D,2608)))</f>
        <v/>
      </c>
      <c r="Q2559">
        <f>IF($O2559="","",INDEX(Suivi!$E:$E,2608))</f>
        <v/>
      </c>
      <c r="R2559">
        <f>IF($O2559="","",INDEX(Suivi!$F:$F,2608))</f>
        <v/>
      </c>
      <c r="S2559">
        <f>IF($O2559="","",INDEX(Suivi!$G:$G,2608))</f>
        <v/>
      </c>
      <c r="T2559">
        <f>IF($O2559="","",IF(INDEX(Dossiers!$F$4:$F$63,49)="","",INDEX(Dossiers!$F$4:$F$63,49)))</f>
        <v/>
      </c>
      <c r="U2559">
        <f>IF($O2559="","",IF(INDEX(Dossiers!$G$4:$G$63,49)="","",INDEX(Dossiers!$G$4:$G$63,49)))</f>
        <v/>
      </c>
      <c r="V2559">
        <f>IF(OR($O2559="",NOT(ISNUMBER($Q2559))),"",$Q2559*1000000+2559)</f>
        <v/>
      </c>
      <c r="W2559" s="29">
        <f>IF($B2559="","",IFERROR(INDEX($U$4:$U$3183,MATCH(SMALL($V$4:$V$3183,2556),$V$4:$V$3183,0)),""))</f>
        <v/>
      </c>
    </row>
    <row r="2560">
      <c r="A2560">
        <f>IFERROR(INDEX($N$4:$N$3183,MATCH(SMALL($V$4:$V$3183,2557),$V$4:$V$3183,0)),"")</f>
        <v/>
      </c>
      <c r="B2560">
        <f>IFERROR(INDEX($O$4:$O$3183,MATCH(SMALL($V$4:$V$3183,2557),$V$4:$V$3183,0)),"")</f>
        <v/>
      </c>
      <c r="C2560">
        <f>IFERROR(INDEX($P$4:$P$3183,MATCH(SMALL($V$4:$V$3183,2557),$V$4:$V$3183,0)),"")</f>
        <v/>
      </c>
      <c r="D2560" s="29">
        <f>IFERROR(INDEX($Q$4:$Q$3183,MATCH(SMALL($V$4:$V$3183,2557),$V$4:$V$3183,0)),"")</f>
        <v/>
      </c>
      <c r="E2560" s="29">
        <f>IFERROR(INDEX($R$4:$R$3183,MATCH(SMALL($V$4:$V$3183,2557),$V$4:$V$3183,0)),"")</f>
        <v/>
      </c>
      <c r="F2560">
        <f>IFERROR(INDEX($S$4:$S$3183,MATCH(SMALL($V$4:$V$3183,2557),$V$4:$V$3183,0)),"")</f>
        <v/>
      </c>
      <c r="I2560" s="29">
        <f>IF($B2560="","",IFERROR(INDEX($U$4:$U$3183,MATCH(SMALL($V$4:$V$3183,2557),$V$4:$V$3183,0)),""))</f>
        <v/>
      </c>
      <c r="J2560">
        <f>IF($B2560="","",IF($D2560&gt;$F$2,"À venir",IF($E2560&lt;$D$2,"Passé","Dans la période")))</f>
        <v/>
      </c>
      <c r="K2560">
        <f>IF(OR($B2560="",NOT(ISNUMBER($D2560))),"",IF(AND($E2560&lt;$D$2,$G2560&lt;&gt;"X",$F2560&lt;&gt;"Réalisé",$F2560&lt;&gt;"Clôturé"),"RETARD",""))</f>
        <v/>
      </c>
      <c r="L2560">
        <f>IF(OR($B2560="",NOT(ISNUMBER($D2560))),"",IF(AND($D2560&gt;=$D$2,$D2560&lt;=$H$2,$G2560&lt;&gt;"X",$F2560&lt;&gt;"Réalisé",$F2560&lt;&gt;"Clôturé"),"≤ 7 j",""))</f>
        <v/>
      </c>
      <c r="M2560" s="29">
        <f>IF($B2560="","",IFERROR(INDEX($T$4:$T$3183,MATCH(SMALL($V$4:$V$3183,2557),$V$4:$V$3183,0)),""))</f>
        <v/>
      </c>
      <c r="O2560">
        <f>IF(INDEX(Suivi!$B:$B,2609)="","",INDEX(Suivi!$B:$B,2609))</f>
        <v/>
      </c>
      <c r="P2560">
        <f>IF($O2560="","",IF(INDEX(Suivi!$D:$D,2609)="",INDEX(Suivi!$C:$C,2609),INDEX(Suivi!$D:$D,2609)))</f>
        <v/>
      </c>
      <c r="Q2560">
        <f>IF($O2560="","",INDEX(Suivi!$E:$E,2609))</f>
        <v/>
      </c>
      <c r="R2560">
        <f>IF($O2560="","",INDEX(Suivi!$F:$F,2609))</f>
        <v/>
      </c>
      <c r="S2560">
        <f>IF($O2560="","",INDEX(Suivi!$G:$G,2609))</f>
        <v/>
      </c>
      <c r="T2560">
        <f>IF($O2560="","",IF(INDEX(Dossiers!$F$4:$F$63,49)="","",INDEX(Dossiers!$F$4:$F$63,49)))</f>
        <v/>
      </c>
      <c r="U2560">
        <f>IF($O2560="","",IF(INDEX(Dossiers!$G$4:$G$63,49)="","",INDEX(Dossiers!$G$4:$G$63,49)))</f>
        <v/>
      </c>
      <c r="V2560">
        <f>IF(OR($O2560="",NOT(ISNUMBER($Q2560))),"",$Q2560*1000000+2560)</f>
        <v/>
      </c>
      <c r="W2560" s="29">
        <f>IF($B2560="","",IFERROR(INDEX($U$4:$U$3183,MATCH(SMALL($V$4:$V$3183,2557),$V$4:$V$3183,0)),""))</f>
        <v/>
      </c>
    </row>
    <row r="2561">
      <c r="A2561">
        <f>IFERROR(INDEX($N$4:$N$3183,MATCH(SMALL($V$4:$V$3183,2558),$V$4:$V$3183,0)),"")</f>
        <v/>
      </c>
      <c r="B2561">
        <f>IFERROR(INDEX($O$4:$O$3183,MATCH(SMALL($V$4:$V$3183,2558),$V$4:$V$3183,0)),"")</f>
        <v/>
      </c>
      <c r="C2561">
        <f>IFERROR(INDEX($P$4:$P$3183,MATCH(SMALL($V$4:$V$3183,2558),$V$4:$V$3183,0)),"")</f>
        <v/>
      </c>
      <c r="D2561" s="29">
        <f>IFERROR(INDEX($Q$4:$Q$3183,MATCH(SMALL($V$4:$V$3183,2558),$V$4:$V$3183,0)),"")</f>
        <v/>
      </c>
      <c r="E2561" s="29">
        <f>IFERROR(INDEX($R$4:$R$3183,MATCH(SMALL($V$4:$V$3183,2558),$V$4:$V$3183,0)),"")</f>
        <v/>
      </c>
      <c r="F2561">
        <f>IFERROR(INDEX($S$4:$S$3183,MATCH(SMALL($V$4:$V$3183,2558),$V$4:$V$3183,0)),"")</f>
        <v/>
      </c>
      <c r="I2561" s="29">
        <f>IF($B2561="","",IFERROR(INDEX($U$4:$U$3183,MATCH(SMALL($V$4:$V$3183,2558),$V$4:$V$3183,0)),""))</f>
        <v/>
      </c>
      <c r="J2561">
        <f>IF($B2561="","",IF($D2561&gt;$F$2,"À venir",IF($E2561&lt;$D$2,"Passé","Dans la période")))</f>
        <v/>
      </c>
      <c r="K2561">
        <f>IF(OR($B2561="",NOT(ISNUMBER($D2561))),"",IF(AND($E2561&lt;$D$2,$G2561&lt;&gt;"X",$F2561&lt;&gt;"Réalisé",$F2561&lt;&gt;"Clôturé"),"RETARD",""))</f>
        <v/>
      </c>
      <c r="L2561">
        <f>IF(OR($B2561="",NOT(ISNUMBER($D2561))),"",IF(AND($D2561&gt;=$D$2,$D2561&lt;=$H$2,$G2561&lt;&gt;"X",$F2561&lt;&gt;"Réalisé",$F2561&lt;&gt;"Clôturé"),"≤ 7 j",""))</f>
        <v/>
      </c>
      <c r="M2561" s="29">
        <f>IF($B2561="","",IFERROR(INDEX($T$4:$T$3183,MATCH(SMALL($V$4:$V$3183,2558),$V$4:$V$3183,0)),""))</f>
        <v/>
      </c>
      <c r="O2561">
        <f>IF(INDEX(Suivi!$B:$B,2610)="","",INDEX(Suivi!$B:$B,2610))</f>
        <v/>
      </c>
      <c r="P2561">
        <f>IF($O2561="","",IF(INDEX(Suivi!$D:$D,2610)="",INDEX(Suivi!$C:$C,2610),INDEX(Suivi!$D:$D,2610)))</f>
        <v/>
      </c>
      <c r="Q2561">
        <f>IF($O2561="","",INDEX(Suivi!$E:$E,2610))</f>
        <v/>
      </c>
      <c r="R2561">
        <f>IF($O2561="","",INDEX(Suivi!$F:$F,2610))</f>
        <v/>
      </c>
      <c r="S2561">
        <f>IF($O2561="","",INDEX(Suivi!$G:$G,2610))</f>
        <v/>
      </c>
      <c r="T2561">
        <f>IF($O2561="","",IF(INDEX(Dossiers!$F$4:$F$63,49)="","",INDEX(Dossiers!$F$4:$F$63,49)))</f>
        <v/>
      </c>
      <c r="U2561">
        <f>IF($O2561="","",IF(INDEX(Dossiers!$G$4:$G$63,49)="","",INDEX(Dossiers!$G$4:$G$63,49)))</f>
        <v/>
      </c>
      <c r="V2561">
        <f>IF(OR($O2561="",NOT(ISNUMBER($Q2561))),"",$Q2561*1000000+2561)</f>
        <v/>
      </c>
      <c r="W2561" s="29">
        <f>IF($B2561="","",IFERROR(INDEX($U$4:$U$3183,MATCH(SMALL($V$4:$V$3183,2558),$V$4:$V$3183,0)),""))</f>
        <v/>
      </c>
    </row>
    <row r="2562">
      <c r="A2562">
        <f>IFERROR(INDEX($N$4:$N$3183,MATCH(SMALL($V$4:$V$3183,2559),$V$4:$V$3183,0)),"")</f>
        <v/>
      </c>
      <c r="B2562">
        <f>IFERROR(INDEX($O$4:$O$3183,MATCH(SMALL($V$4:$V$3183,2559),$V$4:$V$3183,0)),"")</f>
        <v/>
      </c>
      <c r="C2562">
        <f>IFERROR(INDEX($P$4:$P$3183,MATCH(SMALL($V$4:$V$3183,2559),$V$4:$V$3183,0)),"")</f>
        <v/>
      </c>
      <c r="D2562" s="29">
        <f>IFERROR(INDEX($Q$4:$Q$3183,MATCH(SMALL($V$4:$V$3183,2559),$V$4:$V$3183,0)),"")</f>
        <v/>
      </c>
      <c r="E2562" s="29">
        <f>IFERROR(INDEX($R$4:$R$3183,MATCH(SMALL($V$4:$V$3183,2559),$V$4:$V$3183,0)),"")</f>
        <v/>
      </c>
      <c r="F2562">
        <f>IFERROR(INDEX($S$4:$S$3183,MATCH(SMALL($V$4:$V$3183,2559),$V$4:$V$3183,0)),"")</f>
        <v/>
      </c>
      <c r="I2562" s="29">
        <f>IF($B2562="","",IFERROR(INDEX($U$4:$U$3183,MATCH(SMALL($V$4:$V$3183,2559),$V$4:$V$3183,0)),""))</f>
        <v/>
      </c>
      <c r="J2562">
        <f>IF($B2562="","",IF($D2562&gt;$F$2,"À venir",IF($E2562&lt;$D$2,"Passé","Dans la période")))</f>
        <v/>
      </c>
      <c r="K2562">
        <f>IF(OR($B2562="",NOT(ISNUMBER($D2562))),"",IF(AND($E2562&lt;$D$2,$G2562&lt;&gt;"X",$F2562&lt;&gt;"Réalisé",$F2562&lt;&gt;"Clôturé"),"RETARD",""))</f>
        <v/>
      </c>
      <c r="L2562">
        <f>IF(OR($B2562="",NOT(ISNUMBER($D2562))),"",IF(AND($D2562&gt;=$D$2,$D2562&lt;=$H$2,$G2562&lt;&gt;"X",$F2562&lt;&gt;"Réalisé",$F2562&lt;&gt;"Clôturé"),"≤ 7 j",""))</f>
        <v/>
      </c>
      <c r="M2562" s="29">
        <f>IF($B2562="","",IFERROR(INDEX($T$4:$T$3183,MATCH(SMALL($V$4:$V$3183,2559),$V$4:$V$3183,0)),""))</f>
        <v/>
      </c>
      <c r="O2562">
        <f>IF(INDEX(Suivi!$B:$B,2611)="","",INDEX(Suivi!$B:$B,2611))</f>
        <v/>
      </c>
      <c r="P2562">
        <f>IF($O2562="","",IF(INDEX(Suivi!$D:$D,2611)="",INDEX(Suivi!$C:$C,2611),INDEX(Suivi!$D:$D,2611)))</f>
        <v/>
      </c>
      <c r="Q2562">
        <f>IF($O2562="","",INDEX(Suivi!$E:$E,2611))</f>
        <v/>
      </c>
      <c r="R2562">
        <f>IF($O2562="","",INDEX(Suivi!$F:$F,2611))</f>
        <v/>
      </c>
      <c r="S2562">
        <f>IF($O2562="","",INDEX(Suivi!$G:$G,2611))</f>
        <v/>
      </c>
      <c r="T2562">
        <f>IF($O2562="","",IF(INDEX(Dossiers!$F$4:$F$63,49)="","",INDEX(Dossiers!$F$4:$F$63,49)))</f>
        <v/>
      </c>
      <c r="U2562">
        <f>IF($O2562="","",IF(INDEX(Dossiers!$G$4:$G$63,49)="","",INDEX(Dossiers!$G$4:$G$63,49)))</f>
        <v/>
      </c>
      <c r="V2562">
        <f>IF(OR($O2562="",NOT(ISNUMBER($Q2562))),"",$Q2562*1000000+2562)</f>
        <v/>
      </c>
      <c r="W2562" s="29">
        <f>IF($B2562="","",IFERROR(INDEX($U$4:$U$3183,MATCH(SMALL($V$4:$V$3183,2559),$V$4:$V$3183,0)),""))</f>
        <v/>
      </c>
    </row>
    <row r="2563">
      <c r="A2563">
        <f>IFERROR(INDEX($N$4:$N$3183,MATCH(SMALL($V$4:$V$3183,2560),$V$4:$V$3183,0)),"")</f>
        <v/>
      </c>
      <c r="B2563">
        <f>IFERROR(INDEX($O$4:$O$3183,MATCH(SMALL($V$4:$V$3183,2560),$V$4:$V$3183,0)),"")</f>
        <v/>
      </c>
      <c r="C2563">
        <f>IFERROR(INDEX($P$4:$P$3183,MATCH(SMALL($V$4:$V$3183,2560),$V$4:$V$3183,0)),"")</f>
        <v/>
      </c>
      <c r="D2563" s="29">
        <f>IFERROR(INDEX($Q$4:$Q$3183,MATCH(SMALL($V$4:$V$3183,2560),$V$4:$V$3183,0)),"")</f>
        <v/>
      </c>
      <c r="E2563" s="29">
        <f>IFERROR(INDEX($R$4:$R$3183,MATCH(SMALL($V$4:$V$3183,2560),$V$4:$V$3183,0)),"")</f>
        <v/>
      </c>
      <c r="F2563">
        <f>IFERROR(INDEX($S$4:$S$3183,MATCH(SMALL($V$4:$V$3183,2560),$V$4:$V$3183,0)),"")</f>
        <v/>
      </c>
      <c r="I2563" s="29">
        <f>IF($B2563="","",IFERROR(INDEX($U$4:$U$3183,MATCH(SMALL($V$4:$V$3183,2560),$V$4:$V$3183,0)),""))</f>
        <v/>
      </c>
      <c r="J2563">
        <f>IF($B2563="","",IF($D2563&gt;$F$2,"À venir",IF($E2563&lt;$D$2,"Passé","Dans la période")))</f>
        <v/>
      </c>
      <c r="K2563">
        <f>IF(OR($B2563="",NOT(ISNUMBER($D2563))),"",IF(AND($E2563&lt;$D$2,$G2563&lt;&gt;"X",$F2563&lt;&gt;"Réalisé",$F2563&lt;&gt;"Clôturé"),"RETARD",""))</f>
        <v/>
      </c>
      <c r="L2563">
        <f>IF(OR($B2563="",NOT(ISNUMBER($D2563))),"",IF(AND($D2563&gt;=$D$2,$D2563&lt;=$H$2,$G2563&lt;&gt;"X",$F2563&lt;&gt;"Réalisé",$F2563&lt;&gt;"Clôturé"),"≤ 7 j",""))</f>
        <v/>
      </c>
      <c r="M2563" s="29">
        <f>IF($B2563="","",IFERROR(INDEX($T$4:$T$3183,MATCH(SMALL($V$4:$V$3183,2560),$V$4:$V$3183,0)),""))</f>
        <v/>
      </c>
      <c r="O2563">
        <f>IF(INDEX(Suivi!$B:$B,2612)="","",INDEX(Suivi!$B:$B,2612))</f>
        <v/>
      </c>
      <c r="P2563">
        <f>IF($O2563="","",IF(INDEX(Suivi!$D:$D,2612)="",INDEX(Suivi!$C:$C,2612),INDEX(Suivi!$D:$D,2612)))</f>
        <v/>
      </c>
      <c r="Q2563">
        <f>IF($O2563="","",INDEX(Suivi!$E:$E,2612))</f>
        <v/>
      </c>
      <c r="R2563">
        <f>IF($O2563="","",INDEX(Suivi!$F:$F,2612))</f>
        <v/>
      </c>
      <c r="S2563">
        <f>IF($O2563="","",INDEX(Suivi!$G:$G,2612))</f>
        <v/>
      </c>
      <c r="T2563">
        <f>IF($O2563="","",IF(INDEX(Dossiers!$F$4:$F$63,49)="","",INDEX(Dossiers!$F$4:$F$63,49)))</f>
        <v/>
      </c>
      <c r="U2563">
        <f>IF($O2563="","",IF(INDEX(Dossiers!$G$4:$G$63,49)="","",INDEX(Dossiers!$G$4:$G$63,49)))</f>
        <v/>
      </c>
      <c r="V2563">
        <f>IF(OR($O2563="",NOT(ISNUMBER($Q2563))),"",$Q2563*1000000+2563)</f>
        <v/>
      </c>
      <c r="W2563" s="29">
        <f>IF($B2563="","",IFERROR(INDEX($U$4:$U$3183,MATCH(SMALL($V$4:$V$3183,2560),$V$4:$V$3183,0)),""))</f>
        <v/>
      </c>
    </row>
    <row r="2564">
      <c r="A2564">
        <f>IFERROR(INDEX($N$4:$N$3183,MATCH(SMALL($V$4:$V$3183,2561),$V$4:$V$3183,0)),"")</f>
        <v/>
      </c>
      <c r="B2564">
        <f>IFERROR(INDEX($O$4:$O$3183,MATCH(SMALL($V$4:$V$3183,2561),$V$4:$V$3183,0)),"")</f>
        <v/>
      </c>
      <c r="C2564">
        <f>IFERROR(INDEX($P$4:$P$3183,MATCH(SMALL($V$4:$V$3183,2561),$V$4:$V$3183,0)),"")</f>
        <v/>
      </c>
      <c r="D2564" s="29">
        <f>IFERROR(INDEX($Q$4:$Q$3183,MATCH(SMALL($V$4:$V$3183,2561),$V$4:$V$3183,0)),"")</f>
        <v/>
      </c>
      <c r="E2564" s="29">
        <f>IFERROR(INDEX($R$4:$R$3183,MATCH(SMALL($V$4:$V$3183,2561),$V$4:$V$3183,0)),"")</f>
        <v/>
      </c>
      <c r="F2564">
        <f>IFERROR(INDEX($S$4:$S$3183,MATCH(SMALL($V$4:$V$3183,2561),$V$4:$V$3183,0)),"")</f>
        <v/>
      </c>
      <c r="I2564" s="29">
        <f>IF($B2564="","",IFERROR(INDEX($U$4:$U$3183,MATCH(SMALL($V$4:$V$3183,2561),$V$4:$V$3183,0)),""))</f>
        <v/>
      </c>
      <c r="J2564">
        <f>IF($B2564="","",IF($D2564&gt;$F$2,"À venir",IF($E2564&lt;$D$2,"Passé","Dans la période")))</f>
        <v/>
      </c>
      <c r="K2564">
        <f>IF(OR($B2564="",NOT(ISNUMBER($D2564))),"",IF(AND($E2564&lt;$D$2,$G2564&lt;&gt;"X",$F2564&lt;&gt;"Réalisé",$F2564&lt;&gt;"Clôturé"),"RETARD",""))</f>
        <v/>
      </c>
      <c r="L2564">
        <f>IF(OR($B2564="",NOT(ISNUMBER($D2564))),"",IF(AND($D2564&gt;=$D$2,$D2564&lt;=$H$2,$G2564&lt;&gt;"X",$F2564&lt;&gt;"Réalisé",$F2564&lt;&gt;"Clôturé"),"≤ 7 j",""))</f>
        <v/>
      </c>
      <c r="M2564" s="29">
        <f>IF($B2564="","",IFERROR(INDEX($T$4:$T$3183,MATCH(SMALL($V$4:$V$3183,2561),$V$4:$V$3183,0)),""))</f>
        <v/>
      </c>
      <c r="O2564">
        <f>IF(INDEX(Suivi!$B:$B,2613)="","",INDEX(Suivi!$B:$B,2613))</f>
        <v/>
      </c>
      <c r="P2564">
        <f>IF($O2564="","",IF(INDEX(Suivi!$D:$D,2613)="",INDEX(Suivi!$C:$C,2613),INDEX(Suivi!$D:$D,2613)))</f>
        <v/>
      </c>
      <c r="Q2564">
        <f>IF($O2564="","",INDEX(Suivi!$E:$E,2613))</f>
        <v/>
      </c>
      <c r="R2564">
        <f>IF($O2564="","",INDEX(Suivi!$F:$F,2613))</f>
        <v/>
      </c>
      <c r="S2564">
        <f>IF($O2564="","",INDEX(Suivi!$G:$G,2613))</f>
        <v/>
      </c>
      <c r="T2564">
        <f>IF($O2564="","",IF(INDEX(Dossiers!$F$4:$F$63,49)="","",INDEX(Dossiers!$F$4:$F$63,49)))</f>
        <v/>
      </c>
      <c r="U2564">
        <f>IF($O2564="","",IF(INDEX(Dossiers!$G$4:$G$63,49)="","",INDEX(Dossiers!$G$4:$G$63,49)))</f>
        <v/>
      </c>
      <c r="V2564">
        <f>IF(OR($O2564="",NOT(ISNUMBER($Q2564))),"",$Q2564*1000000+2564)</f>
        <v/>
      </c>
      <c r="W2564" s="29">
        <f>IF($B2564="","",IFERROR(INDEX($U$4:$U$3183,MATCH(SMALL($V$4:$V$3183,2561),$V$4:$V$3183,0)),""))</f>
        <v/>
      </c>
    </row>
    <row r="2565">
      <c r="A2565">
        <f>IFERROR(INDEX($N$4:$N$3183,MATCH(SMALL($V$4:$V$3183,2562),$V$4:$V$3183,0)),"")</f>
        <v/>
      </c>
      <c r="B2565">
        <f>IFERROR(INDEX($O$4:$O$3183,MATCH(SMALL($V$4:$V$3183,2562),$V$4:$V$3183,0)),"")</f>
        <v/>
      </c>
      <c r="C2565">
        <f>IFERROR(INDEX($P$4:$P$3183,MATCH(SMALL($V$4:$V$3183,2562),$V$4:$V$3183,0)),"")</f>
        <v/>
      </c>
      <c r="D2565" s="29">
        <f>IFERROR(INDEX($Q$4:$Q$3183,MATCH(SMALL($V$4:$V$3183,2562),$V$4:$V$3183,0)),"")</f>
        <v/>
      </c>
      <c r="E2565" s="29">
        <f>IFERROR(INDEX($R$4:$R$3183,MATCH(SMALL($V$4:$V$3183,2562),$V$4:$V$3183,0)),"")</f>
        <v/>
      </c>
      <c r="F2565">
        <f>IFERROR(INDEX($S$4:$S$3183,MATCH(SMALL($V$4:$V$3183,2562),$V$4:$V$3183,0)),"")</f>
        <v/>
      </c>
      <c r="I2565" s="29">
        <f>IF($B2565="","",IFERROR(INDEX($U$4:$U$3183,MATCH(SMALL($V$4:$V$3183,2562),$V$4:$V$3183,0)),""))</f>
        <v/>
      </c>
      <c r="J2565">
        <f>IF($B2565="","",IF($D2565&gt;$F$2,"À venir",IF($E2565&lt;$D$2,"Passé","Dans la période")))</f>
        <v/>
      </c>
      <c r="K2565">
        <f>IF(OR($B2565="",NOT(ISNUMBER($D2565))),"",IF(AND($E2565&lt;$D$2,$G2565&lt;&gt;"X",$F2565&lt;&gt;"Réalisé",$F2565&lt;&gt;"Clôturé"),"RETARD",""))</f>
        <v/>
      </c>
      <c r="L2565">
        <f>IF(OR($B2565="",NOT(ISNUMBER($D2565))),"",IF(AND($D2565&gt;=$D$2,$D2565&lt;=$H$2,$G2565&lt;&gt;"X",$F2565&lt;&gt;"Réalisé",$F2565&lt;&gt;"Clôturé"),"≤ 7 j",""))</f>
        <v/>
      </c>
      <c r="M2565" s="29">
        <f>IF($B2565="","",IFERROR(INDEX($T$4:$T$3183,MATCH(SMALL($V$4:$V$3183,2562),$V$4:$V$3183,0)),""))</f>
        <v/>
      </c>
      <c r="O2565">
        <f>IF(INDEX(Suivi!$B:$B,2614)="","",INDEX(Suivi!$B:$B,2614))</f>
        <v/>
      </c>
      <c r="P2565">
        <f>IF($O2565="","",IF(INDEX(Suivi!$D:$D,2614)="",INDEX(Suivi!$C:$C,2614),INDEX(Suivi!$D:$D,2614)))</f>
        <v/>
      </c>
      <c r="Q2565">
        <f>IF($O2565="","",INDEX(Suivi!$E:$E,2614))</f>
        <v/>
      </c>
      <c r="R2565">
        <f>IF($O2565="","",INDEX(Suivi!$F:$F,2614))</f>
        <v/>
      </c>
      <c r="S2565">
        <f>IF($O2565="","",INDEX(Suivi!$G:$G,2614))</f>
        <v/>
      </c>
      <c r="T2565">
        <f>IF($O2565="","",IF(INDEX(Dossiers!$F$4:$F$63,49)="","",INDEX(Dossiers!$F$4:$F$63,49)))</f>
        <v/>
      </c>
      <c r="U2565">
        <f>IF($O2565="","",IF(INDEX(Dossiers!$G$4:$G$63,49)="","",INDEX(Dossiers!$G$4:$G$63,49)))</f>
        <v/>
      </c>
      <c r="V2565">
        <f>IF(OR($O2565="",NOT(ISNUMBER($Q2565))),"",$Q2565*1000000+2565)</f>
        <v/>
      </c>
      <c r="W2565" s="29">
        <f>IF($B2565="","",IFERROR(INDEX($U$4:$U$3183,MATCH(SMALL($V$4:$V$3183,2562),$V$4:$V$3183,0)),""))</f>
        <v/>
      </c>
    </row>
    <row r="2566">
      <c r="A2566">
        <f>IFERROR(INDEX($N$4:$N$3183,MATCH(SMALL($V$4:$V$3183,2563),$V$4:$V$3183,0)),"")</f>
        <v/>
      </c>
      <c r="B2566">
        <f>IFERROR(INDEX($O$4:$O$3183,MATCH(SMALL($V$4:$V$3183,2563),$V$4:$V$3183,0)),"")</f>
        <v/>
      </c>
      <c r="C2566">
        <f>IFERROR(INDEX($P$4:$P$3183,MATCH(SMALL($V$4:$V$3183,2563),$V$4:$V$3183,0)),"")</f>
        <v/>
      </c>
      <c r="D2566" s="29">
        <f>IFERROR(INDEX($Q$4:$Q$3183,MATCH(SMALL($V$4:$V$3183,2563),$V$4:$V$3183,0)),"")</f>
        <v/>
      </c>
      <c r="E2566" s="29">
        <f>IFERROR(INDEX($R$4:$R$3183,MATCH(SMALL($V$4:$V$3183,2563),$V$4:$V$3183,0)),"")</f>
        <v/>
      </c>
      <c r="F2566">
        <f>IFERROR(INDEX($S$4:$S$3183,MATCH(SMALL($V$4:$V$3183,2563),$V$4:$V$3183,0)),"")</f>
        <v/>
      </c>
      <c r="I2566" s="29">
        <f>IF($B2566="","",IFERROR(INDEX($U$4:$U$3183,MATCH(SMALL($V$4:$V$3183,2563),$V$4:$V$3183,0)),""))</f>
        <v/>
      </c>
      <c r="J2566">
        <f>IF($B2566="","",IF($D2566&gt;$F$2,"À venir",IF($E2566&lt;$D$2,"Passé","Dans la période")))</f>
        <v/>
      </c>
      <c r="K2566">
        <f>IF(OR($B2566="",NOT(ISNUMBER($D2566))),"",IF(AND($E2566&lt;$D$2,$G2566&lt;&gt;"X",$F2566&lt;&gt;"Réalisé",$F2566&lt;&gt;"Clôturé"),"RETARD",""))</f>
        <v/>
      </c>
      <c r="L2566">
        <f>IF(OR($B2566="",NOT(ISNUMBER($D2566))),"",IF(AND($D2566&gt;=$D$2,$D2566&lt;=$H$2,$G2566&lt;&gt;"X",$F2566&lt;&gt;"Réalisé",$F2566&lt;&gt;"Clôturé"),"≤ 7 j",""))</f>
        <v/>
      </c>
      <c r="M2566" s="29">
        <f>IF($B2566="","",IFERROR(INDEX($T$4:$T$3183,MATCH(SMALL($V$4:$V$3183,2563),$V$4:$V$3183,0)),""))</f>
        <v/>
      </c>
      <c r="O2566">
        <f>IF(INDEX(Suivi!$B:$B,2615)="","",INDEX(Suivi!$B:$B,2615))</f>
        <v/>
      </c>
      <c r="P2566">
        <f>IF($O2566="","",IF(INDEX(Suivi!$D:$D,2615)="",INDEX(Suivi!$C:$C,2615),INDEX(Suivi!$D:$D,2615)))</f>
        <v/>
      </c>
      <c r="Q2566">
        <f>IF($O2566="","",INDEX(Suivi!$E:$E,2615))</f>
        <v/>
      </c>
      <c r="R2566">
        <f>IF($O2566="","",INDEX(Suivi!$F:$F,2615))</f>
        <v/>
      </c>
      <c r="S2566">
        <f>IF($O2566="","",INDEX(Suivi!$G:$G,2615))</f>
        <v/>
      </c>
      <c r="T2566">
        <f>IF($O2566="","",IF(INDEX(Dossiers!$F$4:$F$63,49)="","",INDEX(Dossiers!$F$4:$F$63,49)))</f>
        <v/>
      </c>
      <c r="U2566">
        <f>IF($O2566="","",IF(INDEX(Dossiers!$G$4:$G$63,49)="","",INDEX(Dossiers!$G$4:$G$63,49)))</f>
        <v/>
      </c>
      <c r="V2566">
        <f>IF(OR($O2566="",NOT(ISNUMBER($Q2566))),"",$Q2566*1000000+2566)</f>
        <v/>
      </c>
      <c r="W2566" s="29">
        <f>IF($B2566="","",IFERROR(INDEX($U$4:$U$3183,MATCH(SMALL($V$4:$V$3183,2563),$V$4:$V$3183,0)),""))</f>
        <v/>
      </c>
    </row>
    <row r="2567">
      <c r="A2567">
        <f>IFERROR(INDEX($N$4:$N$3183,MATCH(SMALL($V$4:$V$3183,2564),$V$4:$V$3183,0)),"")</f>
        <v/>
      </c>
      <c r="B2567">
        <f>IFERROR(INDEX($O$4:$O$3183,MATCH(SMALL($V$4:$V$3183,2564),$V$4:$V$3183,0)),"")</f>
        <v/>
      </c>
      <c r="C2567">
        <f>IFERROR(INDEX($P$4:$P$3183,MATCH(SMALL($V$4:$V$3183,2564),$V$4:$V$3183,0)),"")</f>
        <v/>
      </c>
      <c r="D2567" s="29">
        <f>IFERROR(INDEX($Q$4:$Q$3183,MATCH(SMALL($V$4:$V$3183,2564),$V$4:$V$3183,0)),"")</f>
        <v/>
      </c>
      <c r="E2567" s="29">
        <f>IFERROR(INDEX($R$4:$R$3183,MATCH(SMALL($V$4:$V$3183,2564),$V$4:$V$3183,0)),"")</f>
        <v/>
      </c>
      <c r="F2567">
        <f>IFERROR(INDEX($S$4:$S$3183,MATCH(SMALL($V$4:$V$3183,2564),$V$4:$V$3183,0)),"")</f>
        <v/>
      </c>
      <c r="I2567" s="29">
        <f>IF($B2567="","",IFERROR(INDEX($U$4:$U$3183,MATCH(SMALL($V$4:$V$3183,2564),$V$4:$V$3183,0)),""))</f>
        <v/>
      </c>
      <c r="J2567">
        <f>IF($B2567="","",IF($D2567&gt;$F$2,"À venir",IF($E2567&lt;$D$2,"Passé","Dans la période")))</f>
        <v/>
      </c>
      <c r="K2567">
        <f>IF(OR($B2567="",NOT(ISNUMBER($D2567))),"",IF(AND($E2567&lt;$D$2,$G2567&lt;&gt;"X",$F2567&lt;&gt;"Réalisé",$F2567&lt;&gt;"Clôturé"),"RETARD",""))</f>
        <v/>
      </c>
      <c r="L2567">
        <f>IF(OR($B2567="",NOT(ISNUMBER($D2567))),"",IF(AND($D2567&gt;=$D$2,$D2567&lt;=$H$2,$G2567&lt;&gt;"X",$F2567&lt;&gt;"Réalisé",$F2567&lt;&gt;"Clôturé"),"≤ 7 j",""))</f>
        <v/>
      </c>
      <c r="M2567" s="29">
        <f>IF($B2567="","",IFERROR(INDEX($T$4:$T$3183,MATCH(SMALL($V$4:$V$3183,2564),$V$4:$V$3183,0)),""))</f>
        <v/>
      </c>
      <c r="O2567">
        <f>IF(INDEX(Suivi!$B:$B,2616)="","",INDEX(Suivi!$B:$B,2616))</f>
        <v/>
      </c>
      <c r="P2567">
        <f>IF($O2567="","",IF(INDEX(Suivi!$D:$D,2616)="",INDEX(Suivi!$C:$C,2616),INDEX(Suivi!$D:$D,2616)))</f>
        <v/>
      </c>
      <c r="Q2567">
        <f>IF($O2567="","",INDEX(Suivi!$E:$E,2616))</f>
        <v/>
      </c>
      <c r="R2567">
        <f>IF($O2567="","",INDEX(Suivi!$F:$F,2616))</f>
        <v/>
      </c>
      <c r="S2567">
        <f>IF($O2567="","",INDEX(Suivi!$G:$G,2616))</f>
        <v/>
      </c>
      <c r="T2567">
        <f>IF($O2567="","",IF(INDEX(Dossiers!$F$4:$F$63,49)="","",INDEX(Dossiers!$F$4:$F$63,49)))</f>
        <v/>
      </c>
      <c r="U2567">
        <f>IF($O2567="","",IF(INDEX(Dossiers!$G$4:$G$63,49)="","",INDEX(Dossiers!$G$4:$G$63,49)))</f>
        <v/>
      </c>
      <c r="V2567">
        <f>IF(OR($O2567="",NOT(ISNUMBER($Q2567))),"",$Q2567*1000000+2567)</f>
        <v/>
      </c>
      <c r="W2567" s="29">
        <f>IF($B2567="","",IFERROR(INDEX($U$4:$U$3183,MATCH(SMALL($V$4:$V$3183,2564),$V$4:$V$3183,0)),""))</f>
        <v/>
      </c>
    </row>
    <row r="2568">
      <c r="A2568">
        <f>IFERROR(INDEX($N$4:$N$3183,MATCH(SMALL($V$4:$V$3183,2565),$V$4:$V$3183,0)),"")</f>
        <v/>
      </c>
      <c r="B2568">
        <f>IFERROR(INDEX($O$4:$O$3183,MATCH(SMALL($V$4:$V$3183,2565),$V$4:$V$3183,0)),"")</f>
        <v/>
      </c>
      <c r="C2568">
        <f>IFERROR(INDEX($P$4:$P$3183,MATCH(SMALL($V$4:$V$3183,2565),$V$4:$V$3183,0)),"")</f>
        <v/>
      </c>
      <c r="D2568" s="29">
        <f>IFERROR(INDEX($Q$4:$Q$3183,MATCH(SMALL($V$4:$V$3183,2565),$V$4:$V$3183,0)),"")</f>
        <v/>
      </c>
      <c r="E2568" s="29">
        <f>IFERROR(INDEX($R$4:$R$3183,MATCH(SMALL($V$4:$V$3183,2565),$V$4:$V$3183,0)),"")</f>
        <v/>
      </c>
      <c r="F2568">
        <f>IFERROR(INDEX($S$4:$S$3183,MATCH(SMALL($V$4:$V$3183,2565),$V$4:$V$3183,0)),"")</f>
        <v/>
      </c>
      <c r="I2568" s="29">
        <f>IF($B2568="","",IFERROR(INDEX($U$4:$U$3183,MATCH(SMALL($V$4:$V$3183,2565),$V$4:$V$3183,0)),""))</f>
        <v/>
      </c>
      <c r="J2568">
        <f>IF($B2568="","",IF($D2568&gt;$F$2,"À venir",IF($E2568&lt;$D$2,"Passé","Dans la période")))</f>
        <v/>
      </c>
      <c r="K2568">
        <f>IF(OR($B2568="",NOT(ISNUMBER($D2568))),"",IF(AND($E2568&lt;$D$2,$G2568&lt;&gt;"X",$F2568&lt;&gt;"Réalisé",$F2568&lt;&gt;"Clôturé"),"RETARD",""))</f>
        <v/>
      </c>
      <c r="L2568">
        <f>IF(OR($B2568="",NOT(ISNUMBER($D2568))),"",IF(AND($D2568&gt;=$D$2,$D2568&lt;=$H$2,$G2568&lt;&gt;"X",$F2568&lt;&gt;"Réalisé",$F2568&lt;&gt;"Clôturé"),"≤ 7 j",""))</f>
        <v/>
      </c>
      <c r="M2568" s="29">
        <f>IF($B2568="","",IFERROR(INDEX($T$4:$T$3183,MATCH(SMALL($V$4:$V$3183,2565),$V$4:$V$3183,0)),""))</f>
        <v/>
      </c>
      <c r="O2568">
        <f>IF(INDEX(Suivi!$B:$B,2617)="","",INDEX(Suivi!$B:$B,2617))</f>
        <v/>
      </c>
      <c r="P2568">
        <f>IF($O2568="","",IF(INDEX(Suivi!$D:$D,2617)="",INDEX(Suivi!$C:$C,2617),INDEX(Suivi!$D:$D,2617)))</f>
        <v/>
      </c>
      <c r="Q2568">
        <f>IF($O2568="","",INDEX(Suivi!$E:$E,2617))</f>
        <v/>
      </c>
      <c r="R2568">
        <f>IF($O2568="","",INDEX(Suivi!$F:$F,2617))</f>
        <v/>
      </c>
      <c r="S2568">
        <f>IF($O2568="","",INDEX(Suivi!$G:$G,2617))</f>
        <v/>
      </c>
      <c r="T2568">
        <f>IF($O2568="","",IF(INDEX(Dossiers!$F$4:$F$63,49)="","",INDEX(Dossiers!$F$4:$F$63,49)))</f>
        <v/>
      </c>
      <c r="U2568">
        <f>IF($O2568="","",IF(INDEX(Dossiers!$G$4:$G$63,49)="","",INDEX(Dossiers!$G$4:$G$63,49)))</f>
        <v/>
      </c>
      <c r="V2568">
        <f>IF(OR($O2568="",NOT(ISNUMBER($Q2568))),"",$Q2568*1000000+2568)</f>
        <v/>
      </c>
      <c r="W2568" s="29">
        <f>IF($B2568="","",IFERROR(INDEX($U$4:$U$3183,MATCH(SMALL($V$4:$V$3183,2565),$V$4:$V$3183,0)),""))</f>
        <v/>
      </c>
    </row>
    <row r="2569">
      <c r="A2569">
        <f>IFERROR(INDEX($N$4:$N$3183,MATCH(SMALL($V$4:$V$3183,2566),$V$4:$V$3183,0)),"")</f>
        <v/>
      </c>
      <c r="B2569">
        <f>IFERROR(INDEX($O$4:$O$3183,MATCH(SMALL($V$4:$V$3183,2566),$V$4:$V$3183,0)),"")</f>
        <v/>
      </c>
      <c r="C2569">
        <f>IFERROR(INDEX($P$4:$P$3183,MATCH(SMALL($V$4:$V$3183,2566),$V$4:$V$3183,0)),"")</f>
        <v/>
      </c>
      <c r="D2569" s="29">
        <f>IFERROR(INDEX($Q$4:$Q$3183,MATCH(SMALL($V$4:$V$3183,2566),$V$4:$V$3183,0)),"")</f>
        <v/>
      </c>
      <c r="E2569" s="29">
        <f>IFERROR(INDEX($R$4:$R$3183,MATCH(SMALL($V$4:$V$3183,2566),$V$4:$V$3183,0)),"")</f>
        <v/>
      </c>
      <c r="F2569">
        <f>IFERROR(INDEX($S$4:$S$3183,MATCH(SMALL($V$4:$V$3183,2566),$V$4:$V$3183,0)),"")</f>
        <v/>
      </c>
      <c r="I2569" s="29">
        <f>IF($B2569="","",IFERROR(INDEX($U$4:$U$3183,MATCH(SMALL($V$4:$V$3183,2566),$V$4:$V$3183,0)),""))</f>
        <v/>
      </c>
      <c r="J2569">
        <f>IF($B2569="","",IF($D2569&gt;$F$2,"À venir",IF($E2569&lt;$D$2,"Passé","Dans la période")))</f>
        <v/>
      </c>
      <c r="K2569">
        <f>IF(OR($B2569="",NOT(ISNUMBER($D2569))),"",IF(AND($E2569&lt;$D$2,$G2569&lt;&gt;"X",$F2569&lt;&gt;"Réalisé",$F2569&lt;&gt;"Clôturé"),"RETARD",""))</f>
        <v/>
      </c>
      <c r="L2569">
        <f>IF(OR($B2569="",NOT(ISNUMBER($D2569))),"",IF(AND($D2569&gt;=$D$2,$D2569&lt;=$H$2,$G2569&lt;&gt;"X",$F2569&lt;&gt;"Réalisé",$F2569&lt;&gt;"Clôturé"),"≤ 7 j",""))</f>
        <v/>
      </c>
      <c r="M2569" s="29">
        <f>IF($B2569="","",IFERROR(INDEX($T$4:$T$3183,MATCH(SMALL($V$4:$V$3183,2566),$V$4:$V$3183,0)),""))</f>
        <v/>
      </c>
      <c r="O2569">
        <f>IF(INDEX(Suivi!$B:$B,2618)="","",INDEX(Suivi!$B:$B,2618))</f>
        <v/>
      </c>
      <c r="P2569">
        <f>IF($O2569="","",IF(INDEX(Suivi!$D:$D,2618)="",INDEX(Suivi!$C:$C,2618),INDEX(Suivi!$D:$D,2618)))</f>
        <v/>
      </c>
      <c r="Q2569">
        <f>IF($O2569="","",INDEX(Suivi!$E:$E,2618))</f>
        <v/>
      </c>
      <c r="R2569">
        <f>IF($O2569="","",INDEX(Suivi!$F:$F,2618))</f>
        <v/>
      </c>
      <c r="S2569">
        <f>IF($O2569="","",INDEX(Suivi!$G:$G,2618))</f>
        <v/>
      </c>
      <c r="T2569">
        <f>IF($O2569="","",IF(INDEX(Dossiers!$F$4:$F$63,49)="","",INDEX(Dossiers!$F$4:$F$63,49)))</f>
        <v/>
      </c>
      <c r="U2569">
        <f>IF($O2569="","",IF(INDEX(Dossiers!$G$4:$G$63,49)="","",INDEX(Dossiers!$G$4:$G$63,49)))</f>
        <v/>
      </c>
      <c r="V2569">
        <f>IF(OR($O2569="",NOT(ISNUMBER($Q2569))),"",$Q2569*1000000+2569)</f>
        <v/>
      </c>
      <c r="W2569" s="29">
        <f>IF($B2569="","",IFERROR(INDEX($U$4:$U$3183,MATCH(SMALL($V$4:$V$3183,2566),$V$4:$V$3183,0)),""))</f>
        <v/>
      </c>
    </row>
    <row r="2570">
      <c r="A2570">
        <f>IFERROR(INDEX($N$4:$N$3183,MATCH(SMALL($V$4:$V$3183,2567),$V$4:$V$3183,0)),"")</f>
        <v/>
      </c>
      <c r="B2570">
        <f>IFERROR(INDEX($O$4:$O$3183,MATCH(SMALL($V$4:$V$3183,2567),$V$4:$V$3183,0)),"")</f>
        <v/>
      </c>
      <c r="C2570">
        <f>IFERROR(INDEX($P$4:$P$3183,MATCH(SMALL($V$4:$V$3183,2567),$V$4:$V$3183,0)),"")</f>
        <v/>
      </c>
      <c r="D2570" s="29">
        <f>IFERROR(INDEX($Q$4:$Q$3183,MATCH(SMALL($V$4:$V$3183,2567),$V$4:$V$3183,0)),"")</f>
        <v/>
      </c>
      <c r="E2570" s="29">
        <f>IFERROR(INDEX($R$4:$R$3183,MATCH(SMALL($V$4:$V$3183,2567),$V$4:$V$3183,0)),"")</f>
        <v/>
      </c>
      <c r="F2570">
        <f>IFERROR(INDEX($S$4:$S$3183,MATCH(SMALL($V$4:$V$3183,2567),$V$4:$V$3183,0)),"")</f>
        <v/>
      </c>
      <c r="I2570" s="29">
        <f>IF($B2570="","",IFERROR(INDEX($U$4:$U$3183,MATCH(SMALL($V$4:$V$3183,2567),$V$4:$V$3183,0)),""))</f>
        <v/>
      </c>
      <c r="J2570">
        <f>IF($B2570="","",IF($D2570&gt;$F$2,"À venir",IF($E2570&lt;$D$2,"Passé","Dans la période")))</f>
        <v/>
      </c>
      <c r="K2570">
        <f>IF(OR($B2570="",NOT(ISNUMBER($D2570))),"",IF(AND($E2570&lt;$D$2,$G2570&lt;&gt;"X",$F2570&lt;&gt;"Réalisé",$F2570&lt;&gt;"Clôturé"),"RETARD",""))</f>
        <v/>
      </c>
      <c r="L2570">
        <f>IF(OR($B2570="",NOT(ISNUMBER($D2570))),"",IF(AND($D2570&gt;=$D$2,$D2570&lt;=$H$2,$G2570&lt;&gt;"X",$F2570&lt;&gt;"Réalisé",$F2570&lt;&gt;"Clôturé"),"≤ 7 j",""))</f>
        <v/>
      </c>
      <c r="M2570" s="29">
        <f>IF($B2570="","",IFERROR(INDEX($T$4:$T$3183,MATCH(SMALL($V$4:$V$3183,2567),$V$4:$V$3183,0)),""))</f>
        <v/>
      </c>
      <c r="O2570">
        <f>IF(INDEX(Suivi!$B:$B,2619)="","",INDEX(Suivi!$B:$B,2619))</f>
        <v/>
      </c>
      <c r="P2570">
        <f>IF($O2570="","",IF(INDEX(Suivi!$D:$D,2619)="",INDEX(Suivi!$C:$C,2619),INDEX(Suivi!$D:$D,2619)))</f>
        <v/>
      </c>
      <c r="Q2570">
        <f>IF($O2570="","",INDEX(Suivi!$E:$E,2619))</f>
        <v/>
      </c>
      <c r="R2570">
        <f>IF($O2570="","",INDEX(Suivi!$F:$F,2619))</f>
        <v/>
      </c>
      <c r="S2570">
        <f>IF($O2570="","",INDEX(Suivi!$G:$G,2619))</f>
        <v/>
      </c>
      <c r="T2570">
        <f>IF($O2570="","",IF(INDEX(Dossiers!$F$4:$F$63,49)="","",INDEX(Dossiers!$F$4:$F$63,49)))</f>
        <v/>
      </c>
      <c r="U2570">
        <f>IF($O2570="","",IF(INDEX(Dossiers!$G$4:$G$63,49)="","",INDEX(Dossiers!$G$4:$G$63,49)))</f>
        <v/>
      </c>
      <c r="V2570">
        <f>IF(OR($O2570="",NOT(ISNUMBER($Q2570))),"",$Q2570*1000000+2570)</f>
        <v/>
      </c>
      <c r="W2570" s="29">
        <f>IF($B2570="","",IFERROR(INDEX($U$4:$U$3183,MATCH(SMALL($V$4:$V$3183,2567),$V$4:$V$3183,0)),""))</f>
        <v/>
      </c>
    </row>
    <row r="2571">
      <c r="A2571">
        <f>IFERROR(INDEX($N$4:$N$3183,MATCH(SMALL($V$4:$V$3183,2568),$V$4:$V$3183,0)),"")</f>
        <v/>
      </c>
      <c r="B2571">
        <f>IFERROR(INDEX($O$4:$O$3183,MATCH(SMALL($V$4:$V$3183,2568),$V$4:$V$3183,0)),"")</f>
        <v/>
      </c>
      <c r="C2571">
        <f>IFERROR(INDEX($P$4:$P$3183,MATCH(SMALL($V$4:$V$3183,2568),$V$4:$V$3183,0)),"")</f>
        <v/>
      </c>
      <c r="D2571" s="29">
        <f>IFERROR(INDEX($Q$4:$Q$3183,MATCH(SMALL($V$4:$V$3183,2568),$V$4:$V$3183,0)),"")</f>
        <v/>
      </c>
      <c r="E2571" s="29">
        <f>IFERROR(INDEX($R$4:$R$3183,MATCH(SMALL($V$4:$V$3183,2568),$V$4:$V$3183,0)),"")</f>
        <v/>
      </c>
      <c r="F2571">
        <f>IFERROR(INDEX($S$4:$S$3183,MATCH(SMALL($V$4:$V$3183,2568),$V$4:$V$3183,0)),"")</f>
        <v/>
      </c>
      <c r="I2571" s="29">
        <f>IF($B2571="","",IFERROR(INDEX($U$4:$U$3183,MATCH(SMALL($V$4:$V$3183,2568),$V$4:$V$3183,0)),""))</f>
        <v/>
      </c>
      <c r="J2571">
        <f>IF($B2571="","",IF($D2571&gt;$F$2,"À venir",IF($E2571&lt;$D$2,"Passé","Dans la période")))</f>
        <v/>
      </c>
      <c r="K2571">
        <f>IF(OR($B2571="",NOT(ISNUMBER($D2571))),"",IF(AND($E2571&lt;$D$2,$G2571&lt;&gt;"X",$F2571&lt;&gt;"Réalisé",$F2571&lt;&gt;"Clôturé"),"RETARD",""))</f>
        <v/>
      </c>
      <c r="L2571">
        <f>IF(OR($B2571="",NOT(ISNUMBER($D2571))),"",IF(AND($D2571&gt;=$D$2,$D2571&lt;=$H$2,$G2571&lt;&gt;"X",$F2571&lt;&gt;"Réalisé",$F2571&lt;&gt;"Clôturé"),"≤ 7 j",""))</f>
        <v/>
      </c>
      <c r="M2571" s="29">
        <f>IF($B2571="","",IFERROR(INDEX($T$4:$T$3183,MATCH(SMALL($V$4:$V$3183,2568),$V$4:$V$3183,0)),""))</f>
        <v/>
      </c>
      <c r="O2571">
        <f>IF(INDEX(Suivi!$B:$B,2620)="","",INDEX(Suivi!$B:$B,2620))</f>
        <v/>
      </c>
      <c r="P2571">
        <f>IF($O2571="","",IF(INDEX(Suivi!$D:$D,2620)="",INDEX(Suivi!$C:$C,2620),INDEX(Suivi!$D:$D,2620)))</f>
        <v/>
      </c>
      <c r="Q2571">
        <f>IF($O2571="","",INDEX(Suivi!$E:$E,2620))</f>
        <v/>
      </c>
      <c r="R2571">
        <f>IF($O2571="","",INDEX(Suivi!$F:$F,2620))</f>
        <v/>
      </c>
      <c r="S2571">
        <f>IF($O2571="","",INDEX(Suivi!$G:$G,2620))</f>
        <v/>
      </c>
      <c r="T2571">
        <f>IF($O2571="","",IF(INDEX(Dossiers!$F$4:$F$63,49)="","",INDEX(Dossiers!$F$4:$F$63,49)))</f>
        <v/>
      </c>
      <c r="U2571">
        <f>IF($O2571="","",IF(INDEX(Dossiers!$G$4:$G$63,49)="","",INDEX(Dossiers!$G$4:$G$63,49)))</f>
        <v/>
      </c>
      <c r="V2571">
        <f>IF(OR($O2571="",NOT(ISNUMBER($Q2571))),"",$Q2571*1000000+2571)</f>
        <v/>
      </c>
      <c r="W2571" s="29">
        <f>IF($B2571="","",IFERROR(INDEX($U$4:$U$3183,MATCH(SMALL($V$4:$V$3183,2568),$V$4:$V$3183,0)),""))</f>
        <v/>
      </c>
    </row>
    <row r="2572">
      <c r="A2572">
        <f>IFERROR(INDEX($N$4:$N$3183,MATCH(SMALL($V$4:$V$3183,2569),$V$4:$V$3183,0)),"")</f>
        <v/>
      </c>
      <c r="B2572">
        <f>IFERROR(INDEX($O$4:$O$3183,MATCH(SMALL($V$4:$V$3183,2569),$V$4:$V$3183,0)),"")</f>
        <v/>
      </c>
      <c r="C2572">
        <f>IFERROR(INDEX($P$4:$P$3183,MATCH(SMALL($V$4:$V$3183,2569),$V$4:$V$3183,0)),"")</f>
        <v/>
      </c>
      <c r="D2572" s="29">
        <f>IFERROR(INDEX($Q$4:$Q$3183,MATCH(SMALL($V$4:$V$3183,2569),$V$4:$V$3183,0)),"")</f>
        <v/>
      </c>
      <c r="E2572" s="29">
        <f>IFERROR(INDEX($R$4:$R$3183,MATCH(SMALL($V$4:$V$3183,2569),$V$4:$V$3183,0)),"")</f>
        <v/>
      </c>
      <c r="F2572">
        <f>IFERROR(INDEX($S$4:$S$3183,MATCH(SMALL($V$4:$V$3183,2569),$V$4:$V$3183,0)),"")</f>
        <v/>
      </c>
      <c r="I2572" s="29">
        <f>IF($B2572="","",IFERROR(INDEX($U$4:$U$3183,MATCH(SMALL($V$4:$V$3183,2569),$V$4:$V$3183,0)),""))</f>
        <v/>
      </c>
      <c r="J2572">
        <f>IF($B2572="","",IF($D2572&gt;$F$2,"À venir",IF($E2572&lt;$D$2,"Passé","Dans la période")))</f>
        <v/>
      </c>
      <c r="K2572">
        <f>IF(OR($B2572="",NOT(ISNUMBER($D2572))),"",IF(AND($E2572&lt;$D$2,$G2572&lt;&gt;"X",$F2572&lt;&gt;"Réalisé",$F2572&lt;&gt;"Clôturé"),"RETARD",""))</f>
        <v/>
      </c>
      <c r="L2572">
        <f>IF(OR($B2572="",NOT(ISNUMBER($D2572))),"",IF(AND($D2572&gt;=$D$2,$D2572&lt;=$H$2,$G2572&lt;&gt;"X",$F2572&lt;&gt;"Réalisé",$F2572&lt;&gt;"Clôturé"),"≤ 7 j",""))</f>
        <v/>
      </c>
      <c r="M2572" s="29">
        <f>IF($B2572="","",IFERROR(INDEX($T$4:$T$3183,MATCH(SMALL($V$4:$V$3183,2569),$V$4:$V$3183,0)),""))</f>
        <v/>
      </c>
      <c r="O2572">
        <f>IF(INDEX(Suivi!$B:$B,2621)="","",INDEX(Suivi!$B:$B,2621))</f>
        <v/>
      </c>
      <c r="P2572">
        <f>IF($O2572="","",IF(INDEX(Suivi!$D:$D,2621)="",INDEX(Suivi!$C:$C,2621),INDEX(Suivi!$D:$D,2621)))</f>
        <v/>
      </c>
      <c r="Q2572">
        <f>IF($O2572="","",INDEX(Suivi!$E:$E,2621))</f>
        <v/>
      </c>
      <c r="R2572">
        <f>IF($O2572="","",INDEX(Suivi!$F:$F,2621))</f>
        <v/>
      </c>
      <c r="S2572">
        <f>IF($O2572="","",INDEX(Suivi!$G:$G,2621))</f>
        <v/>
      </c>
      <c r="T2572">
        <f>IF($O2572="","",IF(INDEX(Dossiers!$F$4:$F$63,49)="","",INDEX(Dossiers!$F$4:$F$63,49)))</f>
        <v/>
      </c>
      <c r="U2572">
        <f>IF($O2572="","",IF(INDEX(Dossiers!$G$4:$G$63,49)="","",INDEX(Dossiers!$G$4:$G$63,49)))</f>
        <v/>
      </c>
      <c r="V2572">
        <f>IF(OR($O2572="",NOT(ISNUMBER($Q2572))),"",$Q2572*1000000+2572)</f>
        <v/>
      </c>
      <c r="W2572" s="29">
        <f>IF($B2572="","",IFERROR(INDEX($U$4:$U$3183,MATCH(SMALL($V$4:$V$3183,2569),$V$4:$V$3183,0)),""))</f>
        <v/>
      </c>
    </row>
    <row r="2573">
      <c r="A2573">
        <f>IFERROR(INDEX($N$4:$N$3183,MATCH(SMALL($V$4:$V$3183,2570),$V$4:$V$3183,0)),"")</f>
        <v/>
      </c>
      <c r="B2573">
        <f>IFERROR(INDEX($O$4:$O$3183,MATCH(SMALL($V$4:$V$3183,2570),$V$4:$V$3183,0)),"")</f>
        <v/>
      </c>
      <c r="C2573">
        <f>IFERROR(INDEX($P$4:$P$3183,MATCH(SMALL($V$4:$V$3183,2570),$V$4:$V$3183,0)),"")</f>
        <v/>
      </c>
      <c r="D2573" s="29">
        <f>IFERROR(INDEX($Q$4:$Q$3183,MATCH(SMALL($V$4:$V$3183,2570),$V$4:$V$3183,0)),"")</f>
        <v/>
      </c>
      <c r="E2573" s="29">
        <f>IFERROR(INDEX($R$4:$R$3183,MATCH(SMALL($V$4:$V$3183,2570),$V$4:$V$3183,0)),"")</f>
        <v/>
      </c>
      <c r="F2573">
        <f>IFERROR(INDEX($S$4:$S$3183,MATCH(SMALL($V$4:$V$3183,2570),$V$4:$V$3183,0)),"")</f>
        <v/>
      </c>
      <c r="I2573" s="29">
        <f>IF($B2573="","",IFERROR(INDEX($U$4:$U$3183,MATCH(SMALL($V$4:$V$3183,2570),$V$4:$V$3183,0)),""))</f>
        <v/>
      </c>
      <c r="J2573">
        <f>IF($B2573="","",IF($D2573&gt;$F$2,"À venir",IF($E2573&lt;$D$2,"Passé","Dans la période")))</f>
        <v/>
      </c>
      <c r="K2573">
        <f>IF(OR($B2573="",NOT(ISNUMBER($D2573))),"",IF(AND($E2573&lt;$D$2,$G2573&lt;&gt;"X",$F2573&lt;&gt;"Réalisé",$F2573&lt;&gt;"Clôturé"),"RETARD",""))</f>
        <v/>
      </c>
      <c r="L2573">
        <f>IF(OR($B2573="",NOT(ISNUMBER($D2573))),"",IF(AND($D2573&gt;=$D$2,$D2573&lt;=$H$2,$G2573&lt;&gt;"X",$F2573&lt;&gt;"Réalisé",$F2573&lt;&gt;"Clôturé"),"≤ 7 j",""))</f>
        <v/>
      </c>
      <c r="M2573" s="29">
        <f>IF($B2573="","",IFERROR(INDEX($T$4:$T$3183,MATCH(SMALL($V$4:$V$3183,2570),$V$4:$V$3183,0)),""))</f>
        <v/>
      </c>
      <c r="O2573">
        <f>IF(INDEX(Suivi!$B:$B,2622)="","",INDEX(Suivi!$B:$B,2622))</f>
        <v/>
      </c>
      <c r="P2573">
        <f>IF($O2573="","",IF(INDEX(Suivi!$D:$D,2622)="",INDEX(Suivi!$C:$C,2622),INDEX(Suivi!$D:$D,2622)))</f>
        <v/>
      </c>
      <c r="Q2573">
        <f>IF($O2573="","",INDEX(Suivi!$E:$E,2622))</f>
        <v/>
      </c>
      <c r="R2573">
        <f>IF($O2573="","",INDEX(Suivi!$F:$F,2622))</f>
        <v/>
      </c>
      <c r="S2573">
        <f>IF($O2573="","",INDEX(Suivi!$G:$G,2622))</f>
        <v/>
      </c>
      <c r="T2573">
        <f>IF($O2573="","",IF(INDEX(Dossiers!$F$4:$F$63,49)="","",INDEX(Dossiers!$F$4:$F$63,49)))</f>
        <v/>
      </c>
      <c r="U2573">
        <f>IF($O2573="","",IF(INDEX(Dossiers!$G$4:$G$63,49)="","",INDEX(Dossiers!$G$4:$G$63,49)))</f>
        <v/>
      </c>
      <c r="V2573">
        <f>IF(OR($O2573="",NOT(ISNUMBER($Q2573))),"",$Q2573*1000000+2573)</f>
        <v/>
      </c>
      <c r="W2573" s="29">
        <f>IF($B2573="","",IFERROR(INDEX($U$4:$U$3183,MATCH(SMALL($V$4:$V$3183,2570),$V$4:$V$3183,0)),""))</f>
        <v/>
      </c>
    </row>
    <row r="2574">
      <c r="A2574">
        <f>IFERROR(INDEX($N$4:$N$3183,MATCH(SMALL($V$4:$V$3183,2571),$V$4:$V$3183,0)),"")</f>
        <v/>
      </c>
      <c r="B2574">
        <f>IFERROR(INDEX($O$4:$O$3183,MATCH(SMALL($V$4:$V$3183,2571),$V$4:$V$3183,0)),"")</f>
        <v/>
      </c>
      <c r="C2574">
        <f>IFERROR(INDEX($P$4:$P$3183,MATCH(SMALL($V$4:$V$3183,2571),$V$4:$V$3183,0)),"")</f>
        <v/>
      </c>
      <c r="D2574" s="29">
        <f>IFERROR(INDEX($Q$4:$Q$3183,MATCH(SMALL($V$4:$V$3183,2571),$V$4:$V$3183,0)),"")</f>
        <v/>
      </c>
      <c r="E2574" s="29">
        <f>IFERROR(INDEX($R$4:$R$3183,MATCH(SMALL($V$4:$V$3183,2571),$V$4:$V$3183,0)),"")</f>
        <v/>
      </c>
      <c r="F2574">
        <f>IFERROR(INDEX($S$4:$S$3183,MATCH(SMALL($V$4:$V$3183,2571),$V$4:$V$3183,0)),"")</f>
        <v/>
      </c>
      <c r="I2574" s="29">
        <f>IF($B2574="","",IFERROR(INDEX($U$4:$U$3183,MATCH(SMALL($V$4:$V$3183,2571),$V$4:$V$3183,0)),""))</f>
        <v/>
      </c>
      <c r="J2574">
        <f>IF($B2574="","",IF($D2574&gt;$F$2,"À venir",IF($E2574&lt;$D$2,"Passé","Dans la période")))</f>
        <v/>
      </c>
      <c r="K2574">
        <f>IF(OR($B2574="",NOT(ISNUMBER($D2574))),"",IF(AND($E2574&lt;$D$2,$G2574&lt;&gt;"X",$F2574&lt;&gt;"Réalisé",$F2574&lt;&gt;"Clôturé"),"RETARD",""))</f>
        <v/>
      </c>
      <c r="L2574">
        <f>IF(OR($B2574="",NOT(ISNUMBER($D2574))),"",IF(AND($D2574&gt;=$D$2,$D2574&lt;=$H$2,$G2574&lt;&gt;"X",$F2574&lt;&gt;"Réalisé",$F2574&lt;&gt;"Clôturé"),"≤ 7 j",""))</f>
        <v/>
      </c>
      <c r="M2574" s="29">
        <f>IF($B2574="","",IFERROR(INDEX($T$4:$T$3183,MATCH(SMALL($V$4:$V$3183,2571),$V$4:$V$3183,0)),""))</f>
        <v/>
      </c>
      <c r="O2574">
        <f>IF(INDEX(Suivi!$B:$B,2623)="","",INDEX(Suivi!$B:$B,2623))</f>
        <v/>
      </c>
      <c r="P2574">
        <f>IF($O2574="","",IF(INDEX(Suivi!$D:$D,2623)="",INDEX(Suivi!$C:$C,2623),INDEX(Suivi!$D:$D,2623)))</f>
        <v/>
      </c>
      <c r="Q2574">
        <f>IF($O2574="","",INDEX(Suivi!$E:$E,2623))</f>
        <v/>
      </c>
      <c r="R2574">
        <f>IF($O2574="","",INDEX(Suivi!$F:$F,2623))</f>
        <v/>
      </c>
      <c r="S2574">
        <f>IF($O2574="","",INDEX(Suivi!$G:$G,2623))</f>
        <v/>
      </c>
      <c r="T2574">
        <f>IF($O2574="","",IF(INDEX(Dossiers!$F$4:$F$63,49)="","",INDEX(Dossiers!$F$4:$F$63,49)))</f>
        <v/>
      </c>
      <c r="U2574">
        <f>IF($O2574="","",IF(INDEX(Dossiers!$G$4:$G$63,49)="","",INDEX(Dossiers!$G$4:$G$63,49)))</f>
        <v/>
      </c>
      <c r="V2574">
        <f>IF(OR($O2574="",NOT(ISNUMBER($Q2574))),"",$Q2574*1000000+2574)</f>
        <v/>
      </c>
      <c r="W2574" s="29">
        <f>IF($B2574="","",IFERROR(INDEX($U$4:$U$3183,MATCH(SMALL($V$4:$V$3183,2571),$V$4:$V$3183,0)),""))</f>
        <v/>
      </c>
    </row>
    <row r="2575">
      <c r="A2575">
        <f>IFERROR(INDEX($N$4:$N$3183,MATCH(SMALL($V$4:$V$3183,2572),$V$4:$V$3183,0)),"")</f>
        <v/>
      </c>
      <c r="B2575">
        <f>IFERROR(INDEX($O$4:$O$3183,MATCH(SMALL($V$4:$V$3183,2572),$V$4:$V$3183,0)),"")</f>
        <v/>
      </c>
      <c r="C2575">
        <f>IFERROR(INDEX($P$4:$P$3183,MATCH(SMALL($V$4:$V$3183,2572),$V$4:$V$3183,0)),"")</f>
        <v/>
      </c>
      <c r="D2575" s="29">
        <f>IFERROR(INDEX($Q$4:$Q$3183,MATCH(SMALL($V$4:$V$3183,2572),$V$4:$V$3183,0)),"")</f>
        <v/>
      </c>
      <c r="E2575" s="29">
        <f>IFERROR(INDEX($R$4:$R$3183,MATCH(SMALL($V$4:$V$3183,2572),$V$4:$V$3183,0)),"")</f>
        <v/>
      </c>
      <c r="F2575">
        <f>IFERROR(INDEX($S$4:$S$3183,MATCH(SMALL($V$4:$V$3183,2572),$V$4:$V$3183,0)),"")</f>
        <v/>
      </c>
      <c r="I2575" s="29">
        <f>IF($B2575="","",IFERROR(INDEX($U$4:$U$3183,MATCH(SMALL($V$4:$V$3183,2572),$V$4:$V$3183,0)),""))</f>
        <v/>
      </c>
      <c r="J2575">
        <f>IF($B2575="","",IF($D2575&gt;$F$2,"À venir",IF($E2575&lt;$D$2,"Passé","Dans la période")))</f>
        <v/>
      </c>
      <c r="K2575">
        <f>IF(OR($B2575="",NOT(ISNUMBER($D2575))),"",IF(AND($E2575&lt;$D$2,$G2575&lt;&gt;"X",$F2575&lt;&gt;"Réalisé",$F2575&lt;&gt;"Clôturé"),"RETARD",""))</f>
        <v/>
      </c>
      <c r="L2575">
        <f>IF(OR($B2575="",NOT(ISNUMBER($D2575))),"",IF(AND($D2575&gt;=$D$2,$D2575&lt;=$H$2,$G2575&lt;&gt;"X",$F2575&lt;&gt;"Réalisé",$F2575&lt;&gt;"Clôturé"),"≤ 7 j",""))</f>
        <v/>
      </c>
      <c r="M2575" s="29">
        <f>IF($B2575="","",IFERROR(INDEX($T$4:$T$3183,MATCH(SMALL($V$4:$V$3183,2572),$V$4:$V$3183,0)),""))</f>
        <v/>
      </c>
      <c r="O2575">
        <f>IF(INDEX(Suivi!$B:$B,2624)="","",INDEX(Suivi!$B:$B,2624))</f>
        <v/>
      </c>
      <c r="P2575">
        <f>IF($O2575="","",IF(INDEX(Suivi!$D:$D,2624)="",INDEX(Suivi!$C:$C,2624),INDEX(Suivi!$D:$D,2624)))</f>
        <v/>
      </c>
      <c r="Q2575">
        <f>IF($O2575="","",INDEX(Suivi!$E:$E,2624))</f>
        <v/>
      </c>
      <c r="R2575">
        <f>IF($O2575="","",INDEX(Suivi!$F:$F,2624))</f>
        <v/>
      </c>
      <c r="S2575">
        <f>IF($O2575="","",INDEX(Suivi!$G:$G,2624))</f>
        <v/>
      </c>
      <c r="T2575">
        <f>IF($O2575="","",IF(INDEX(Dossiers!$F$4:$F$63,49)="","",INDEX(Dossiers!$F$4:$F$63,49)))</f>
        <v/>
      </c>
      <c r="U2575">
        <f>IF($O2575="","",IF(INDEX(Dossiers!$G$4:$G$63,49)="","",INDEX(Dossiers!$G$4:$G$63,49)))</f>
        <v/>
      </c>
      <c r="V2575">
        <f>IF(OR($O2575="",NOT(ISNUMBER($Q2575))),"",$Q2575*1000000+2575)</f>
        <v/>
      </c>
      <c r="W2575" s="29">
        <f>IF($B2575="","",IFERROR(INDEX($U$4:$U$3183,MATCH(SMALL($V$4:$V$3183,2572),$V$4:$V$3183,0)),""))</f>
        <v/>
      </c>
    </row>
    <row r="2576">
      <c r="A2576">
        <f>IFERROR(INDEX($N$4:$N$3183,MATCH(SMALL($V$4:$V$3183,2573),$V$4:$V$3183,0)),"")</f>
        <v/>
      </c>
      <c r="B2576">
        <f>IFERROR(INDEX($O$4:$O$3183,MATCH(SMALL($V$4:$V$3183,2573),$V$4:$V$3183,0)),"")</f>
        <v/>
      </c>
      <c r="C2576">
        <f>IFERROR(INDEX($P$4:$P$3183,MATCH(SMALL($V$4:$V$3183,2573),$V$4:$V$3183,0)),"")</f>
        <v/>
      </c>
      <c r="D2576" s="29">
        <f>IFERROR(INDEX($Q$4:$Q$3183,MATCH(SMALL($V$4:$V$3183,2573),$V$4:$V$3183,0)),"")</f>
        <v/>
      </c>
      <c r="E2576" s="29">
        <f>IFERROR(INDEX($R$4:$R$3183,MATCH(SMALL($V$4:$V$3183,2573),$V$4:$V$3183,0)),"")</f>
        <v/>
      </c>
      <c r="F2576">
        <f>IFERROR(INDEX($S$4:$S$3183,MATCH(SMALL($V$4:$V$3183,2573),$V$4:$V$3183,0)),"")</f>
        <v/>
      </c>
      <c r="I2576" s="29">
        <f>IF($B2576="","",IFERROR(INDEX($U$4:$U$3183,MATCH(SMALL($V$4:$V$3183,2573),$V$4:$V$3183,0)),""))</f>
        <v/>
      </c>
      <c r="J2576">
        <f>IF($B2576="","",IF($D2576&gt;$F$2,"À venir",IF($E2576&lt;$D$2,"Passé","Dans la période")))</f>
        <v/>
      </c>
      <c r="K2576">
        <f>IF(OR($B2576="",NOT(ISNUMBER($D2576))),"",IF(AND($E2576&lt;$D$2,$G2576&lt;&gt;"X",$F2576&lt;&gt;"Réalisé",$F2576&lt;&gt;"Clôturé"),"RETARD",""))</f>
        <v/>
      </c>
      <c r="L2576">
        <f>IF(OR($B2576="",NOT(ISNUMBER($D2576))),"",IF(AND($D2576&gt;=$D$2,$D2576&lt;=$H$2,$G2576&lt;&gt;"X",$F2576&lt;&gt;"Réalisé",$F2576&lt;&gt;"Clôturé"),"≤ 7 j",""))</f>
        <v/>
      </c>
      <c r="M2576" s="29">
        <f>IF($B2576="","",IFERROR(INDEX($T$4:$T$3183,MATCH(SMALL($V$4:$V$3183,2573),$V$4:$V$3183,0)),""))</f>
        <v/>
      </c>
      <c r="O2576">
        <f>IF(INDEX(Suivi!$B:$B,2625)="","",INDEX(Suivi!$B:$B,2625))</f>
        <v/>
      </c>
      <c r="P2576">
        <f>IF($O2576="","",IF(INDEX(Suivi!$D:$D,2625)="",INDEX(Suivi!$C:$C,2625),INDEX(Suivi!$D:$D,2625)))</f>
        <v/>
      </c>
      <c r="Q2576">
        <f>IF($O2576="","",INDEX(Suivi!$E:$E,2625))</f>
        <v/>
      </c>
      <c r="R2576">
        <f>IF($O2576="","",INDEX(Suivi!$F:$F,2625))</f>
        <v/>
      </c>
      <c r="S2576">
        <f>IF($O2576="","",INDEX(Suivi!$G:$G,2625))</f>
        <v/>
      </c>
      <c r="T2576">
        <f>IF($O2576="","",IF(INDEX(Dossiers!$F$4:$F$63,49)="","",INDEX(Dossiers!$F$4:$F$63,49)))</f>
        <v/>
      </c>
      <c r="U2576">
        <f>IF($O2576="","",IF(INDEX(Dossiers!$G$4:$G$63,49)="","",INDEX(Dossiers!$G$4:$G$63,49)))</f>
        <v/>
      </c>
      <c r="V2576">
        <f>IF(OR($O2576="",NOT(ISNUMBER($Q2576))),"",$Q2576*1000000+2576)</f>
        <v/>
      </c>
      <c r="W2576" s="29">
        <f>IF($B2576="","",IFERROR(INDEX($U$4:$U$3183,MATCH(SMALL($V$4:$V$3183,2573),$V$4:$V$3183,0)),""))</f>
        <v/>
      </c>
    </row>
    <row r="2577">
      <c r="A2577">
        <f>IFERROR(INDEX($N$4:$N$3183,MATCH(SMALL($V$4:$V$3183,2574),$V$4:$V$3183,0)),"")</f>
        <v/>
      </c>
      <c r="B2577">
        <f>IFERROR(INDEX($O$4:$O$3183,MATCH(SMALL($V$4:$V$3183,2574),$V$4:$V$3183,0)),"")</f>
        <v/>
      </c>
      <c r="C2577">
        <f>IFERROR(INDEX($P$4:$P$3183,MATCH(SMALL($V$4:$V$3183,2574),$V$4:$V$3183,0)),"")</f>
        <v/>
      </c>
      <c r="D2577" s="29">
        <f>IFERROR(INDEX($Q$4:$Q$3183,MATCH(SMALL($V$4:$V$3183,2574),$V$4:$V$3183,0)),"")</f>
        <v/>
      </c>
      <c r="E2577" s="29">
        <f>IFERROR(INDEX($R$4:$R$3183,MATCH(SMALL($V$4:$V$3183,2574),$V$4:$V$3183,0)),"")</f>
        <v/>
      </c>
      <c r="F2577">
        <f>IFERROR(INDEX($S$4:$S$3183,MATCH(SMALL($V$4:$V$3183,2574),$V$4:$V$3183,0)),"")</f>
        <v/>
      </c>
      <c r="I2577" s="29">
        <f>IF($B2577="","",IFERROR(INDEX($U$4:$U$3183,MATCH(SMALL($V$4:$V$3183,2574),$V$4:$V$3183,0)),""))</f>
        <v/>
      </c>
      <c r="J2577">
        <f>IF($B2577="","",IF($D2577&gt;$F$2,"À venir",IF($E2577&lt;$D$2,"Passé","Dans la période")))</f>
        <v/>
      </c>
      <c r="K2577">
        <f>IF(OR($B2577="",NOT(ISNUMBER($D2577))),"",IF(AND($E2577&lt;$D$2,$G2577&lt;&gt;"X",$F2577&lt;&gt;"Réalisé",$F2577&lt;&gt;"Clôturé"),"RETARD",""))</f>
        <v/>
      </c>
      <c r="L2577">
        <f>IF(OR($B2577="",NOT(ISNUMBER($D2577))),"",IF(AND($D2577&gt;=$D$2,$D2577&lt;=$H$2,$G2577&lt;&gt;"X",$F2577&lt;&gt;"Réalisé",$F2577&lt;&gt;"Clôturé"),"≤ 7 j",""))</f>
        <v/>
      </c>
      <c r="M2577" s="29">
        <f>IF($B2577="","",IFERROR(INDEX($T$4:$T$3183,MATCH(SMALL($V$4:$V$3183,2574),$V$4:$V$3183,0)),""))</f>
        <v/>
      </c>
      <c r="O2577">
        <f>IF(INDEX(Suivi!$B:$B,2626)="","",INDEX(Suivi!$B:$B,2626))</f>
        <v/>
      </c>
      <c r="P2577">
        <f>IF($O2577="","",IF(INDEX(Suivi!$D:$D,2626)="",INDEX(Suivi!$C:$C,2626),INDEX(Suivi!$D:$D,2626)))</f>
        <v/>
      </c>
      <c r="Q2577">
        <f>IF($O2577="","",INDEX(Suivi!$E:$E,2626))</f>
        <v/>
      </c>
      <c r="R2577">
        <f>IF($O2577="","",INDEX(Suivi!$F:$F,2626))</f>
        <v/>
      </c>
      <c r="S2577">
        <f>IF($O2577="","",INDEX(Suivi!$G:$G,2626))</f>
        <v/>
      </c>
      <c r="T2577">
        <f>IF($O2577="","",IF(INDEX(Dossiers!$F$4:$F$63,49)="","",INDEX(Dossiers!$F$4:$F$63,49)))</f>
        <v/>
      </c>
      <c r="U2577">
        <f>IF($O2577="","",IF(INDEX(Dossiers!$G$4:$G$63,49)="","",INDEX(Dossiers!$G$4:$G$63,49)))</f>
        <v/>
      </c>
      <c r="V2577">
        <f>IF(OR($O2577="",NOT(ISNUMBER($Q2577))),"",$Q2577*1000000+2577)</f>
        <v/>
      </c>
      <c r="W2577" s="29">
        <f>IF($B2577="","",IFERROR(INDEX($U$4:$U$3183,MATCH(SMALL($V$4:$V$3183,2574),$V$4:$V$3183,0)),""))</f>
        <v/>
      </c>
    </row>
    <row r="2578">
      <c r="A2578">
        <f>IFERROR(INDEX($N$4:$N$3183,MATCH(SMALL($V$4:$V$3183,2575),$V$4:$V$3183,0)),"")</f>
        <v/>
      </c>
      <c r="B2578">
        <f>IFERROR(INDEX($O$4:$O$3183,MATCH(SMALL($V$4:$V$3183,2575),$V$4:$V$3183,0)),"")</f>
        <v/>
      </c>
      <c r="C2578">
        <f>IFERROR(INDEX($P$4:$P$3183,MATCH(SMALL($V$4:$V$3183,2575),$V$4:$V$3183,0)),"")</f>
        <v/>
      </c>
      <c r="D2578" s="29">
        <f>IFERROR(INDEX($Q$4:$Q$3183,MATCH(SMALL($V$4:$V$3183,2575),$V$4:$V$3183,0)),"")</f>
        <v/>
      </c>
      <c r="E2578" s="29">
        <f>IFERROR(INDEX($R$4:$R$3183,MATCH(SMALL($V$4:$V$3183,2575),$V$4:$V$3183,0)),"")</f>
        <v/>
      </c>
      <c r="F2578">
        <f>IFERROR(INDEX($S$4:$S$3183,MATCH(SMALL($V$4:$V$3183,2575),$V$4:$V$3183,0)),"")</f>
        <v/>
      </c>
      <c r="I2578" s="29">
        <f>IF($B2578="","",IFERROR(INDEX($U$4:$U$3183,MATCH(SMALL($V$4:$V$3183,2575),$V$4:$V$3183,0)),""))</f>
        <v/>
      </c>
      <c r="J2578">
        <f>IF($B2578="","",IF($D2578&gt;$F$2,"À venir",IF($E2578&lt;$D$2,"Passé","Dans la période")))</f>
        <v/>
      </c>
      <c r="K2578">
        <f>IF(OR($B2578="",NOT(ISNUMBER($D2578))),"",IF(AND($E2578&lt;$D$2,$G2578&lt;&gt;"X",$F2578&lt;&gt;"Réalisé",$F2578&lt;&gt;"Clôturé"),"RETARD",""))</f>
        <v/>
      </c>
      <c r="L2578">
        <f>IF(OR($B2578="",NOT(ISNUMBER($D2578))),"",IF(AND($D2578&gt;=$D$2,$D2578&lt;=$H$2,$G2578&lt;&gt;"X",$F2578&lt;&gt;"Réalisé",$F2578&lt;&gt;"Clôturé"),"≤ 7 j",""))</f>
        <v/>
      </c>
      <c r="M2578" s="29">
        <f>IF($B2578="","",IFERROR(INDEX($T$4:$T$3183,MATCH(SMALL($V$4:$V$3183,2575),$V$4:$V$3183,0)),""))</f>
        <v/>
      </c>
      <c r="O2578">
        <f>IF(INDEX(Suivi!$B:$B,2627)="","",INDEX(Suivi!$B:$B,2627))</f>
        <v/>
      </c>
      <c r="P2578">
        <f>IF($O2578="","",IF(INDEX(Suivi!$D:$D,2627)="",INDEX(Suivi!$C:$C,2627),INDEX(Suivi!$D:$D,2627)))</f>
        <v/>
      </c>
      <c r="Q2578">
        <f>IF($O2578="","",INDEX(Suivi!$E:$E,2627))</f>
        <v/>
      </c>
      <c r="R2578">
        <f>IF($O2578="","",INDEX(Suivi!$F:$F,2627))</f>
        <v/>
      </c>
      <c r="S2578">
        <f>IF($O2578="","",INDEX(Suivi!$G:$G,2627))</f>
        <v/>
      </c>
      <c r="T2578">
        <f>IF($O2578="","",IF(INDEX(Dossiers!$F$4:$F$63,49)="","",INDEX(Dossiers!$F$4:$F$63,49)))</f>
        <v/>
      </c>
      <c r="U2578">
        <f>IF($O2578="","",IF(INDEX(Dossiers!$G$4:$G$63,49)="","",INDEX(Dossiers!$G$4:$G$63,49)))</f>
        <v/>
      </c>
      <c r="V2578">
        <f>IF(OR($O2578="",NOT(ISNUMBER($Q2578))),"",$Q2578*1000000+2578)</f>
        <v/>
      </c>
      <c r="W2578" s="29">
        <f>IF($B2578="","",IFERROR(INDEX($U$4:$U$3183,MATCH(SMALL($V$4:$V$3183,2575),$V$4:$V$3183,0)),""))</f>
        <v/>
      </c>
    </row>
    <row r="2579">
      <c r="A2579">
        <f>IFERROR(INDEX($N$4:$N$3183,MATCH(SMALL($V$4:$V$3183,2576),$V$4:$V$3183,0)),"")</f>
        <v/>
      </c>
      <c r="B2579">
        <f>IFERROR(INDEX($O$4:$O$3183,MATCH(SMALL($V$4:$V$3183,2576),$V$4:$V$3183,0)),"")</f>
        <v/>
      </c>
      <c r="C2579">
        <f>IFERROR(INDEX($P$4:$P$3183,MATCH(SMALL($V$4:$V$3183,2576),$V$4:$V$3183,0)),"")</f>
        <v/>
      </c>
      <c r="D2579" s="29">
        <f>IFERROR(INDEX($Q$4:$Q$3183,MATCH(SMALL($V$4:$V$3183,2576),$V$4:$V$3183,0)),"")</f>
        <v/>
      </c>
      <c r="E2579" s="29">
        <f>IFERROR(INDEX($R$4:$R$3183,MATCH(SMALL($V$4:$V$3183,2576),$V$4:$V$3183,0)),"")</f>
        <v/>
      </c>
      <c r="F2579">
        <f>IFERROR(INDEX($S$4:$S$3183,MATCH(SMALL($V$4:$V$3183,2576),$V$4:$V$3183,0)),"")</f>
        <v/>
      </c>
      <c r="I2579" s="29">
        <f>IF($B2579="","",IFERROR(INDEX($U$4:$U$3183,MATCH(SMALL($V$4:$V$3183,2576),$V$4:$V$3183,0)),""))</f>
        <v/>
      </c>
      <c r="J2579">
        <f>IF($B2579="","",IF($D2579&gt;$F$2,"À venir",IF($E2579&lt;$D$2,"Passé","Dans la période")))</f>
        <v/>
      </c>
      <c r="K2579">
        <f>IF(OR($B2579="",NOT(ISNUMBER($D2579))),"",IF(AND($E2579&lt;$D$2,$G2579&lt;&gt;"X",$F2579&lt;&gt;"Réalisé",$F2579&lt;&gt;"Clôturé"),"RETARD",""))</f>
        <v/>
      </c>
      <c r="L2579">
        <f>IF(OR($B2579="",NOT(ISNUMBER($D2579))),"",IF(AND($D2579&gt;=$D$2,$D2579&lt;=$H$2,$G2579&lt;&gt;"X",$F2579&lt;&gt;"Réalisé",$F2579&lt;&gt;"Clôturé"),"≤ 7 j",""))</f>
        <v/>
      </c>
      <c r="M2579" s="29">
        <f>IF($B2579="","",IFERROR(INDEX($T$4:$T$3183,MATCH(SMALL($V$4:$V$3183,2576),$V$4:$V$3183,0)),""))</f>
        <v/>
      </c>
      <c r="O2579">
        <f>IF(INDEX(Suivi!$B:$B,2628)="","",INDEX(Suivi!$B:$B,2628))</f>
        <v/>
      </c>
      <c r="P2579">
        <f>IF($O2579="","",IF(INDEX(Suivi!$D:$D,2628)="",INDEX(Suivi!$C:$C,2628),INDEX(Suivi!$D:$D,2628)))</f>
        <v/>
      </c>
      <c r="Q2579">
        <f>IF($O2579="","",INDEX(Suivi!$E:$E,2628))</f>
        <v/>
      </c>
      <c r="R2579">
        <f>IF($O2579="","",INDEX(Suivi!$F:$F,2628))</f>
        <v/>
      </c>
      <c r="S2579">
        <f>IF($O2579="","",INDEX(Suivi!$G:$G,2628))</f>
        <v/>
      </c>
      <c r="T2579">
        <f>IF($O2579="","",IF(INDEX(Dossiers!$F$4:$F$63,49)="","",INDEX(Dossiers!$F$4:$F$63,49)))</f>
        <v/>
      </c>
      <c r="U2579">
        <f>IF($O2579="","",IF(INDEX(Dossiers!$G$4:$G$63,49)="","",INDEX(Dossiers!$G$4:$G$63,49)))</f>
        <v/>
      </c>
      <c r="V2579">
        <f>IF(OR($O2579="",NOT(ISNUMBER($Q2579))),"",$Q2579*1000000+2579)</f>
        <v/>
      </c>
      <c r="W2579" s="29">
        <f>IF($B2579="","",IFERROR(INDEX($U$4:$U$3183,MATCH(SMALL($V$4:$V$3183,2576),$V$4:$V$3183,0)),""))</f>
        <v/>
      </c>
    </row>
    <row r="2580">
      <c r="A2580">
        <f>IFERROR(INDEX($N$4:$N$3183,MATCH(SMALL($V$4:$V$3183,2577),$V$4:$V$3183,0)),"")</f>
        <v/>
      </c>
      <c r="B2580">
        <f>IFERROR(INDEX($O$4:$O$3183,MATCH(SMALL($V$4:$V$3183,2577),$V$4:$V$3183,0)),"")</f>
        <v/>
      </c>
      <c r="C2580">
        <f>IFERROR(INDEX($P$4:$P$3183,MATCH(SMALL($V$4:$V$3183,2577),$V$4:$V$3183,0)),"")</f>
        <v/>
      </c>
      <c r="D2580" s="29">
        <f>IFERROR(INDEX($Q$4:$Q$3183,MATCH(SMALL($V$4:$V$3183,2577),$V$4:$V$3183,0)),"")</f>
        <v/>
      </c>
      <c r="E2580" s="29">
        <f>IFERROR(INDEX($R$4:$R$3183,MATCH(SMALL($V$4:$V$3183,2577),$V$4:$V$3183,0)),"")</f>
        <v/>
      </c>
      <c r="F2580">
        <f>IFERROR(INDEX($S$4:$S$3183,MATCH(SMALL($V$4:$V$3183,2577),$V$4:$V$3183,0)),"")</f>
        <v/>
      </c>
      <c r="I2580" s="29">
        <f>IF($B2580="","",IFERROR(INDEX($U$4:$U$3183,MATCH(SMALL($V$4:$V$3183,2577),$V$4:$V$3183,0)),""))</f>
        <v/>
      </c>
      <c r="J2580">
        <f>IF($B2580="","",IF($D2580&gt;$F$2,"À venir",IF($E2580&lt;$D$2,"Passé","Dans la période")))</f>
        <v/>
      </c>
      <c r="K2580">
        <f>IF(OR($B2580="",NOT(ISNUMBER($D2580))),"",IF(AND($E2580&lt;$D$2,$G2580&lt;&gt;"X",$F2580&lt;&gt;"Réalisé",$F2580&lt;&gt;"Clôturé"),"RETARD",""))</f>
        <v/>
      </c>
      <c r="L2580">
        <f>IF(OR($B2580="",NOT(ISNUMBER($D2580))),"",IF(AND($D2580&gt;=$D$2,$D2580&lt;=$H$2,$G2580&lt;&gt;"X",$F2580&lt;&gt;"Réalisé",$F2580&lt;&gt;"Clôturé"),"≤ 7 j",""))</f>
        <v/>
      </c>
      <c r="M2580" s="29">
        <f>IF($B2580="","",IFERROR(INDEX($T$4:$T$3183,MATCH(SMALL($V$4:$V$3183,2577),$V$4:$V$3183,0)),""))</f>
        <v/>
      </c>
      <c r="O2580">
        <f>IF(INDEX(Suivi!$B:$B,2629)="","",INDEX(Suivi!$B:$B,2629))</f>
        <v/>
      </c>
      <c r="P2580">
        <f>IF($O2580="","",IF(INDEX(Suivi!$D:$D,2629)="",INDEX(Suivi!$C:$C,2629),INDEX(Suivi!$D:$D,2629)))</f>
        <v/>
      </c>
      <c r="Q2580">
        <f>IF($O2580="","",INDEX(Suivi!$E:$E,2629))</f>
        <v/>
      </c>
      <c r="R2580">
        <f>IF($O2580="","",INDEX(Suivi!$F:$F,2629))</f>
        <v/>
      </c>
      <c r="S2580">
        <f>IF($O2580="","",INDEX(Suivi!$G:$G,2629))</f>
        <v/>
      </c>
      <c r="T2580">
        <f>IF($O2580="","",IF(INDEX(Dossiers!$F$4:$F$63,49)="","",INDEX(Dossiers!$F$4:$F$63,49)))</f>
        <v/>
      </c>
      <c r="U2580">
        <f>IF($O2580="","",IF(INDEX(Dossiers!$G$4:$G$63,49)="","",INDEX(Dossiers!$G$4:$G$63,49)))</f>
        <v/>
      </c>
      <c r="V2580">
        <f>IF(OR($O2580="",NOT(ISNUMBER($Q2580))),"",$Q2580*1000000+2580)</f>
        <v/>
      </c>
      <c r="W2580" s="29">
        <f>IF($B2580="","",IFERROR(INDEX($U$4:$U$3183,MATCH(SMALL($V$4:$V$3183,2577),$V$4:$V$3183,0)),""))</f>
        <v/>
      </c>
    </row>
    <row r="2581">
      <c r="A2581">
        <f>IFERROR(INDEX($N$4:$N$3183,MATCH(SMALL($V$4:$V$3183,2578),$V$4:$V$3183,0)),"")</f>
        <v/>
      </c>
      <c r="B2581">
        <f>IFERROR(INDEX($O$4:$O$3183,MATCH(SMALL($V$4:$V$3183,2578),$V$4:$V$3183,0)),"")</f>
        <v/>
      </c>
      <c r="C2581">
        <f>IFERROR(INDEX($P$4:$P$3183,MATCH(SMALL($V$4:$V$3183,2578),$V$4:$V$3183,0)),"")</f>
        <v/>
      </c>
      <c r="D2581" s="29">
        <f>IFERROR(INDEX($Q$4:$Q$3183,MATCH(SMALL($V$4:$V$3183,2578),$V$4:$V$3183,0)),"")</f>
        <v/>
      </c>
      <c r="E2581" s="29">
        <f>IFERROR(INDEX($R$4:$R$3183,MATCH(SMALL($V$4:$V$3183,2578),$V$4:$V$3183,0)),"")</f>
        <v/>
      </c>
      <c r="F2581">
        <f>IFERROR(INDEX($S$4:$S$3183,MATCH(SMALL($V$4:$V$3183,2578),$V$4:$V$3183,0)),"")</f>
        <v/>
      </c>
      <c r="I2581" s="29">
        <f>IF($B2581="","",IFERROR(INDEX($U$4:$U$3183,MATCH(SMALL($V$4:$V$3183,2578),$V$4:$V$3183,0)),""))</f>
        <v/>
      </c>
      <c r="J2581">
        <f>IF($B2581="","",IF($D2581&gt;$F$2,"À venir",IF($E2581&lt;$D$2,"Passé","Dans la période")))</f>
        <v/>
      </c>
      <c r="K2581">
        <f>IF(OR($B2581="",NOT(ISNUMBER($D2581))),"",IF(AND($E2581&lt;$D$2,$G2581&lt;&gt;"X",$F2581&lt;&gt;"Réalisé",$F2581&lt;&gt;"Clôturé"),"RETARD",""))</f>
        <v/>
      </c>
      <c r="L2581">
        <f>IF(OR($B2581="",NOT(ISNUMBER($D2581))),"",IF(AND($D2581&gt;=$D$2,$D2581&lt;=$H$2,$G2581&lt;&gt;"X",$F2581&lt;&gt;"Réalisé",$F2581&lt;&gt;"Clôturé"),"≤ 7 j",""))</f>
        <v/>
      </c>
      <c r="M2581" s="29">
        <f>IF($B2581="","",IFERROR(INDEX($T$4:$T$3183,MATCH(SMALL($V$4:$V$3183,2578),$V$4:$V$3183,0)),""))</f>
        <v/>
      </c>
      <c r="O2581">
        <f>IF(INDEX(Suivi!$B:$B,2630)="","",INDEX(Suivi!$B:$B,2630))</f>
        <v/>
      </c>
      <c r="P2581">
        <f>IF($O2581="","",IF(INDEX(Suivi!$D:$D,2630)="",INDEX(Suivi!$C:$C,2630),INDEX(Suivi!$D:$D,2630)))</f>
        <v/>
      </c>
      <c r="Q2581">
        <f>IF($O2581="","",INDEX(Suivi!$E:$E,2630))</f>
        <v/>
      </c>
      <c r="R2581">
        <f>IF($O2581="","",INDEX(Suivi!$F:$F,2630))</f>
        <v/>
      </c>
      <c r="S2581">
        <f>IF($O2581="","",INDEX(Suivi!$G:$G,2630))</f>
        <v/>
      </c>
      <c r="T2581">
        <f>IF($O2581="","",IF(INDEX(Dossiers!$F$4:$F$63,49)="","",INDEX(Dossiers!$F$4:$F$63,49)))</f>
        <v/>
      </c>
      <c r="U2581">
        <f>IF($O2581="","",IF(INDEX(Dossiers!$G$4:$G$63,49)="","",INDEX(Dossiers!$G$4:$G$63,49)))</f>
        <v/>
      </c>
      <c r="V2581">
        <f>IF(OR($O2581="",NOT(ISNUMBER($Q2581))),"",$Q2581*1000000+2581)</f>
        <v/>
      </c>
      <c r="W2581" s="29">
        <f>IF($B2581="","",IFERROR(INDEX($U$4:$U$3183,MATCH(SMALL($V$4:$V$3183,2578),$V$4:$V$3183,0)),""))</f>
        <v/>
      </c>
    </row>
    <row r="2582">
      <c r="A2582">
        <f>IFERROR(INDEX($N$4:$N$3183,MATCH(SMALL($V$4:$V$3183,2579),$V$4:$V$3183,0)),"")</f>
        <v/>
      </c>
      <c r="B2582">
        <f>IFERROR(INDEX($O$4:$O$3183,MATCH(SMALL($V$4:$V$3183,2579),$V$4:$V$3183,0)),"")</f>
        <v/>
      </c>
      <c r="C2582">
        <f>IFERROR(INDEX($P$4:$P$3183,MATCH(SMALL($V$4:$V$3183,2579),$V$4:$V$3183,0)),"")</f>
        <v/>
      </c>
      <c r="D2582" s="29">
        <f>IFERROR(INDEX($Q$4:$Q$3183,MATCH(SMALL($V$4:$V$3183,2579),$V$4:$V$3183,0)),"")</f>
        <v/>
      </c>
      <c r="E2582" s="29">
        <f>IFERROR(INDEX($R$4:$R$3183,MATCH(SMALL($V$4:$V$3183,2579),$V$4:$V$3183,0)),"")</f>
        <v/>
      </c>
      <c r="F2582">
        <f>IFERROR(INDEX($S$4:$S$3183,MATCH(SMALL($V$4:$V$3183,2579),$V$4:$V$3183,0)),"")</f>
        <v/>
      </c>
      <c r="I2582" s="29">
        <f>IF($B2582="","",IFERROR(INDEX($U$4:$U$3183,MATCH(SMALL($V$4:$V$3183,2579),$V$4:$V$3183,0)),""))</f>
        <v/>
      </c>
      <c r="J2582">
        <f>IF($B2582="","",IF($D2582&gt;$F$2,"À venir",IF($E2582&lt;$D$2,"Passé","Dans la période")))</f>
        <v/>
      </c>
      <c r="K2582">
        <f>IF(OR($B2582="",NOT(ISNUMBER($D2582))),"",IF(AND($E2582&lt;$D$2,$G2582&lt;&gt;"X",$F2582&lt;&gt;"Réalisé",$F2582&lt;&gt;"Clôturé"),"RETARD",""))</f>
        <v/>
      </c>
      <c r="L2582">
        <f>IF(OR($B2582="",NOT(ISNUMBER($D2582))),"",IF(AND($D2582&gt;=$D$2,$D2582&lt;=$H$2,$G2582&lt;&gt;"X",$F2582&lt;&gt;"Réalisé",$F2582&lt;&gt;"Clôturé"),"≤ 7 j",""))</f>
        <v/>
      </c>
      <c r="M2582" s="29">
        <f>IF($B2582="","",IFERROR(INDEX($T$4:$T$3183,MATCH(SMALL($V$4:$V$3183,2579),$V$4:$V$3183,0)),""))</f>
        <v/>
      </c>
      <c r="O2582">
        <f>IF(INDEX(Suivi!$B:$B,2631)="","",INDEX(Suivi!$B:$B,2631))</f>
        <v/>
      </c>
      <c r="P2582">
        <f>IF($O2582="","",IF(INDEX(Suivi!$D:$D,2631)="",INDEX(Suivi!$C:$C,2631),INDEX(Suivi!$D:$D,2631)))</f>
        <v/>
      </c>
      <c r="Q2582">
        <f>IF($O2582="","",INDEX(Suivi!$E:$E,2631))</f>
        <v/>
      </c>
      <c r="R2582">
        <f>IF($O2582="","",INDEX(Suivi!$F:$F,2631))</f>
        <v/>
      </c>
      <c r="S2582">
        <f>IF($O2582="","",INDEX(Suivi!$G:$G,2631))</f>
        <v/>
      </c>
      <c r="T2582">
        <f>IF($O2582="","",IF(INDEX(Dossiers!$F$4:$F$63,49)="","",INDEX(Dossiers!$F$4:$F$63,49)))</f>
        <v/>
      </c>
      <c r="U2582">
        <f>IF($O2582="","",IF(INDEX(Dossiers!$G$4:$G$63,49)="","",INDEX(Dossiers!$G$4:$G$63,49)))</f>
        <v/>
      </c>
      <c r="V2582">
        <f>IF(OR($O2582="",NOT(ISNUMBER($Q2582))),"",$Q2582*1000000+2582)</f>
        <v/>
      </c>
      <c r="W2582" s="29">
        <f>IF($B2582="","",IFERROR(INDEX($U$4:$U$3183,MATCH(SMALL($V$4:$V$3183,2579),$V$4:$V$3183,0)),""))</f>
        <v/>
      </c>
    </row>
    <row r="2583">
      <c r="A2583">
        <f>IFERROR(INDEX($N$4:$N$3183,MATCH(SMALL($V$4:$V$3183,2580),$V$4:$V$3183,0)),"")</f>
        <v/>
      </c>
      <c r="B2583">
        <f>IFERROR(INDEX($O$4:$O$3183,MATCH(SMALL($V$4:$V$3183,2580),$V$4:$V$3183,0)),"")</f>
        <v/>
      </c>
      <c r="C2583">
        <f>IFERROR(INDEX($P$4:$P$3183,MATCH(SMALL($V$4:$V$3183,2580),$V$4:$V$3183,0)),"")</f>
        <v/>
      </c>
      <c r="D2583" s="29">
        <f>IFERROR(INDEX($Q$4:$Q$3183,MATCH(SMALL($V$4:$V$3183,2580),$V$4:$V$3183,0)),"")</f>
        <v/>
      </c>
      <c r="E2583" s="29">
        <f>IFERROR(INDEX($R$4:$R$3183,MATCH(SMALL($V$4:$V$3183,2580),$V$4:$V$3183,0)),"")</f>
        <v/>
      </c>
      <c r="F2583">
        <f>IFERROR(INDEX($S$4:$S$3183,MATCH(SMALL($V$4:$V$3183,2580),$V$4:$V$3183,0)),"")</f>
        <v/>
      </c>
      <c r="I2583" s="29">
        <f>IF($B2583="","",IFERROR(INDEX($U$4:$U$3183,MATCH(SMALL($V$4:$V$3183,2580),$V$4:$V$3183,0)),""))</f>
        <v/>
      </c>
      <c r="J2583">
        <f>IF($B2583="","",IF($D2583&gt;$F$2,"À venir",IF($E2583&lt;$D$2,"Passé","Dans la période")))</f>
        <v/>
      </c>
      <c r="K2583">
        <f>IF(OR($B2583="",NOT(ISNUMBER($D2583))),"",IF(AND($E2583&lt;$D$2,$G2583&lt;&gt;"X",$F2583&lt;&gt;"Réalisé",$F2583&lt;&gt;"Clôturé"),"RETARD",""))</f>
        <v/>
      </c>
      <c r="L2583">
        <f>IF(OR($B2583="",NOT(ISNUMBER($D2583))),"",IF(AND($D2583&gt;=$D$2,$D2583&lt;=$H$2,$G2583&lt;&gt;"X",$F2583&lt;&gt;"Réalisé",$F2583&lt;&gt;"Clôturé"),"≤ 7 j",""))</f>
        <v/>
      </c>
      <c r="M2583" s="29">
        <f>IF($B2583="","",IFERROR(INDEX($T$4:$T$3183,MATCH(SMALL($V$4:$V$3183,2580),$V$4:$V$3183,0)),""))</f>
        <v/>
      </c>
      <c r="O2583">
        <f>IF(INDEX(Suivi!$B:$B,2632)="","",INDEX(Suivi!$B:$B,2632))</f>
        <v/>
      </c>
      <c r="P2583">
        <f>IF($O2583="","",IF(INDEX(Suivi!$D:$D,2632)="",INDEX(Suivi!$C:$C,2632),INDEX(Suivi!$D:$D,2632)))</f>
        <v/>
      </c>
      <c r="Q2583">
        <f>IF($O2583="","",INDEX(Suivi!$E:$E,2632))</f>
        <v/>
      </c>
      <c r="R2583">
        <f>IF($O2583="","",INDEX(Suivi!$F:$F,2632))</f>
        <v/>
      </c>
      <c r="S2583">
        <f>IF($O2583="","",INDEX(Suivi!$G:$G,2632))</f>
        <v/>
      </c>
      <c r="T2583">
        <f>IF($O2583="","",IF(INDEX(Dossiers!$F$4:$F$63,49)="","",INDEX(Dossiers!$F$4:$F$63,49)))</f>
        <v/>
      </c>
      <c r="U2583">
        <f>IF($O2583="","",IF(INDEX(Dossiers!$G$4:$G$63,49)="","",INDEX(Dossiers!$G$4:$G$63,49)))</f>
        <v/>
      </c>
      <c r="V2583">
        <f>IF(OR($O2583="",NOT(ISNUMBER($Q2583))),"",$Q2583*1000000+2583)</f>
        <v/>
      </c>
      <c r="W2583" s="29">
        <f>IF($B2583="","",IFERROR(INDEX($U$4:$U$3183,MATCH(SMALL($V$4:$V$3183,2580),$V$4:$V$3183,0)),""))</f>
        <v/>
      </c>
    </row>
    <row r="2584">
      <c r="A2584">
        <f>IFERROR(INDEX($N$4:$N$3183,MATCH(SMALL($V$4:$V$3183,2581),$V$4:$V$3183,0)),"")</f>
        <v/>
      </c>
      <c r="B2584">
        <f>IFERROR(INDEX($O$4:$O$3183,MATCH(SMALL($V$4:$V$3183,2581),$V$4:$V$3183,0)),"")</f>
        <v/>
      </c>
      <c r="C2584">
        <f>IFERROR(INDEX($P$4:$P$3183,MATCH(SMALL($V$4:$V$3183,2581),$V$4:$V$3183,0)),"")</f>
        <v/>
      </c>
      <c r="D2584" s="29">
        <f>IFERROR(INDEX($Q$4:$Q$3183,MATCH(SMALL($V$4:$V$3183,2581),$V$4:$V$3183,0)),"")</f>
        <v/>
      </c>
      <c r="E2584" s="29">
        <f>IFERROR(INDEX($R$4:$R$3183,MATCH(SMALL($V$4:$V$3183,2581),$V$4:$V$3183,0)),"")</f>
        <v/>
      </c>
      <c r="F2584">
        <f>IFERROR(INDEX($S$4:$S$3183,MATCH(SMALL($V$4:$V$3183,2581),$V$4:$V$3183,0)),"")</f>
        <v/>
      </c>
      <c r="I2584" s="29">
        <f>IF($B2584="","",IFERROR(INDEX($U$4:$U$3183,MATCH(SMALL($V$4:$V$3183,2581),$V$4:$V$3183,0)),""))</f>
        <v/>
      </c>
      <c r="J2584">
        <f>IF($B2584="","",IF($D2584&gt;$F$2,"À venir",IF($E2584&lt;$D$2,"Passé","Dans la période")))</f>
        <v/>
      </c>
      <c r="K2584">
        <f>IF(OR($B2584="",NOT(ISNUMBER($D2584))),"",IF(AND($E2584&lt;$D$2,$G2584&lt;&gt;"X",$F2584&lt;&gt;"Réalisé",$F2584&lt;&gt;"Clôturé"),"RETARD",""))</f>
        <v/>
      </c>
      <c r="L2584">
        <f>IF(OR($B2584="",NOT(ISNUMBER($D2584))),"",IF(AND($D2584&gt;=$D$2,$D2584&lt;=$H$2,$G2584&lt;&gt;"X",$F2584&lt;&gt;"Réalisé",$F2584&lt;&gt;"Clôturé"),"≤ 7 j",""))</f>
        <v/>
      </c>
      <c r="M2584" s="29">
        <f>IF($B2584="","",IFERROR(INDEX($T$4:$T$3183,MATCH(SMALL($V$4:$V$3183,2581),$V$4:$V$3183,0)),""))</f>
        <v/>
      </c>
      <c r="O2584">
        <f>IF(INDEX(Suivi!$B:$B,2633)="","",INDEX(Suivi!$B:$B,2633))</f>
        <v/>
      </c>
      <c r="P2584">
        <f>IF($O2584="","",IF(INDEX(Suivi!$D:$D,2633)="",INDEX(Suivi!$C:$C,2633),INDEX(Suivi!$D:$D,2633)))</f>
        <v/>
      </c>
      <c r="Q2584">
        <f>IF($O2584="","",INDEX(Suivi!$E:$E,2633))</f>
        <v/>
      </c>
      <c r="R2584">
        <f>IF($O2584="","",INDEX(Suivi!$F:$F,2633))</f>
        <v/>
      </c>
      <c r="S2584">
        <f>IF($O2584="","",INDEX(Suivi!$G:$G,2633))</f>
        <v/>
      </c>
      <c r="T2584">
        <f>IF($O2584="","",IF(INDEX(Dossiers!$F$4:$F$63,49)="","",INDEX(Dossiers!$F$4:$F$63,49)))</f>
        <v/>
      </c>
      <c r="U2584">
        <f>IF($O2584="","",IF(INDEX(Dossiers!$G$4:$G$63,49)="","",INDEX(Dossiers!$G$4:$G$63,49)))</f>
        <v/>
      </c>
      <c r="V2584">
        <f>IF(OR($O2584="",NOT(ISNUMBER($Q2584))),"",$Q2584*1000000+2584)</f>
        <v/>
      </c>
      <c r="W2584" s="29">
        <f>IF($B2584="","",IFERROR(INDEX($U$4:$U$3183,MATCH(SMALL($V$4:$V$3183,2581),$V$4:$V$3183,0)),""))</f>
        <v/>
      </c>
    </row>
    <row r="2585">
      <c r="A2585">
        <f>IFERROR(INDEX($N$4:$N$3183,MATCH(SMALL($V$4:$V$3183,2582),$V$4:$V$3183,0)),"")</f>
        <v/>
      </c>
      <c r="B2585">
        <f>IFERROR(INDEX($O$4:$O$3183,MATCH(SMALL($V$4:$V$3183,2582),$V$4:$V$3183,0)),"")</f>
        <v/>
      </c>
      <c r="C2585">
        <f>IFERROR(INDEX($P$4:$P$3183,MATCH(SMALL($V$4:$V$3183,2582),$V$4:$V$3183,0)),"")</f>
        <v/>
      </c>
      <c r="D2585" s="29">
        <f>IFERROR(INDEX($Q$4:$Q$3183,MATCH(SMALL($V$4:$V$3183,2582),$V$4:$V$3183,0)),"")</f>
        <v/>
      </c>
      <c r="E2585" s="29">
        <f>IFERROR(INDEX($R$4:$R$3183,MATCH(SMALL($V$4:$V$3183,2582),$V$4:$V$3183,0)),"")</f>
        <v/>
      </c>
      <c r="F2585">
        <f>IFERROR(INDEX($S$4:$S$3183,MATCH(SMALL($V$4:$V$3183,2582),$V$4:$V$3183,0)),"")</f>
        <v/>
      </c>
      <c r="I2585" s="29">
        <f>IF($B2585="","",IFERROR(INDEX($U$4:$U$3183,MATCH(SMALL($V$4:$V$3183,2582),$V$4:$V$3183,0)),""))</f>
        <v/>
      </c>
      <c r="J2585">
        <f>IF($B2585="","",IF($D2585&gt;$F$2,"À venir",IF($E2585&lt;$D$2,"Passé","Dans la période")))</f>
        <v/>
      </c>
      <c r="K2585">
        <f>IF(OR($B2585="",NOT(ISNUMBER($D2585))),"",IF(AND($E2585&lt;$D$2,$G2585&lt;&gt;"X",$F2585&lt;&gt;"Réalisé",$F2585&lt;&gt;"Clôturé"),"RETARD",""))</f>
        <v/>
      </c>
      <c r="L2585">
        <f>IF(OR($B2585="",NOT(ISNUMBER($D2585))),"",IF(AND($D2585&gt;=$D$2,$D2585&lt;=$H$2,$G2585&lt;&gt;"X",$F2585&lt;&gt;"Réalisé",$F2585&lt;&gt;"Clôturé"),"≤ 7 j",""))</f>
        <v/>
      </c>
      <c r="M2585" s="29">
        <f>IF($B2585="","",IFERROR(INDEX($T$4:$T$3183,MATCH(SMALL($V$4:$V$3183,2582),$V$4:$V$3183,0)),""))</f>
        <v/>
      </c>
      <c r="O2585">
        <f>IF(INDEX(Suivi!$B:$B,2634)="","",INDEX(Suivi!$B:$B,2634))</f>
        <v/>
      </c>
      <c r="P2585">
        <f>IF($O2585="","",IF(INDEX(Suivi!$D:$D,2634)="",INDEX(Suivi!$C:$C,2634),INDEX(Suivi!$D:$D,2634)))</f>
        <v/>
      </c>
      <c r="Q2585">
        <f>IF($O2585="","",INDEX(Suivi!$E:$E,2634))</f>
        <v/>
      </c>
      <c r="R2585">
        <f>IF($O2585="","",INDEX(Suivi!$F:$F,2634))</f>
        <v/>
      </c>
      <c r="S2585">
        <f>IF($O2585="","",INDEX(Suivi!$G:$G,2634))</f>
        <v/>
      </c>
      <c r="T2585">
        <f>IF($O2585="","",IF(INDEX(Dossiers!$F$4:$F$63,49)="","",INDEX(Dossiers!$F$4:$F$63,49)))</f>
        <v/>
      </c>
      <c r="U2585">
        <f>IF($O2585="","",IF(INDEX(Dossiers!$G$4:$G$63,49)="","",INDEX(Dossiers!$G$4:$G$63,49)))</f>
        <v/>
      </c>
      <c r="V2585">
        <f>IF(OR($O2585="",NOT(ISNUMBER($Q2585))),"",$Q2585*1000000+2585)</f>
        <v/>
      </c>
      <c r="W2585" s="29">
        <f>IF($B2585="","",IFERROR(INDEX($U$4:$U$3183,MATCH(SMALL($V$4:$V$3183,2582),$V$4:$V$3183,0)),""))</f>
        <v/>
      </c>
    </row>
    <row r="2586">
      <c r="A2586">
        <f>IFERROR(INDEX($N$4:$N$3183,MATCH(SMALL($V$4:$V$3183,2583),$V$4:$V$3183,0)),"")</f>
        <v/>
      </c>
      <c r="B2586">
        <f>IFERROR(INDEX($O$4:$O$3183,MATCH(SMALL($V$4:$V$3183,2583),$V$4:$V$3183,0)),"")</f>
        <v/>
      </c>
      <c r="C2586">
        <f>IFERROR(INDEX($P$4:$P$3183,MATCH(SMALL($V$4:$V$3183,2583),$V$4:$V$3183,0)),"")</f>
        <v/>
      </c>
      <c r="D2586" s="29">
        <f>IFERROR(INDEX($Q$4:$Q$3183,MATCH(SMALL($V$4:$V$3183,2583),$V$4:$V$3183,0)),"")</f>
        <v/>
      </c>
      <c r="E2586" s="29">
        <f>IFERROR(INDEX($R$4:$R$3183,MATCH(SMALL($V$4:$V$3183,2583),$V$4:$V$3183,0)),"")</f>
        <v/>
      </c>
      <c r="F2586">
        <f>IFERROR(INDEX($S$4:$S$3183,MATCH(SMALL($V$4:$V$3183,2583),$V$4:$V$3183,0)),"")</f>
        <v/>
      </c>
      <c r="I2586" s="29">
        <f>IF($B2586="","",IFERROR(INDEX($U$4:$U$3183,MATCH(SMALL($V$4:$V$3183,2583),$V$4:$V$3183,0)),""))</f>
        <v/>
      </c>
      <c r="J2586">
        <f>IF($B2586="","",IF($D2586&gt;$F$2,"À venir",IF($E2586&lt;$D$2,"Passé","Dans la période")))</f>
        <v/>
      </c>
      <c r="K2586">
        <f>IF(OR($B2586="",NOT(ISNUMBER($D2586))),"",IF(AND($E2586&lt;$D$2,$G2586&lt;&gt;"X",$F2586&lt;&gt;"Réalisé",$F2586&lt;&gt;"Clôturé"),"RETARD",""))</f>
        <v/>
      </c>
      <c r="L2586">
        <f>IF(OR($B2586="",NOT(ISNUMBER($D2586))),"",IF(AND($D2586&gt;=$D$2,$D2586&lt;=$H$2,$G2586&lt;&gt;"X",$F2586&lt;&gt;"Réalisé",$F2586&lt;&gt;"Clôturé"),"≤ 7 j",""))</f>
        <v/>
      </c>
      <c r="M2586" s="29">
        <f>IF($B2586="","",IFERROR(INDEX($T$4:$T$3183,MATCH(SMALL($V$4:$V$3183,2583),$V$4:$V$3183,0)),""))</f>
        <v/>
      </c>
      <c r="O2586">
        <f>IF(INDEX(Suivi!$B:$B,2635)="","",INDEX(Suivi!$B:$B,2635))</f>
        <v/>
      </c>
      <c r="P2586">
        <f>IF($O2586="","",IF(INDEX(Suivi!$D:$D,2635)="",INDEX(Suivi!$C:$C,2635),INDEX(Suivi!$D:$D,2635)))</f>
        <v/>
      </c>
      <c r="Q2586">
        <f>IF($O2586="","",INDEX(Suivi!$E:$E,2635))</f>
        <v/>
      </c>
      <c r="R2586">
        <f>IF($O2586="","",INDEX(Suivi!$F:$F,2635))</f>
        <v/>
      </c>
      <c r="S2586">
        <f>IF($O2586="","",INDEX(Suivi!$G:$G,2635))</f>
        <v/>
      </c>
      <c r="T2586">
        <f>IF($O2586="","",IF(INDEX(Dossiers!$F$4:$F$63,49)="","",INDEX(Dossiers!$F$4:$F$63,49)))</f>
        <v/>
      </c>
      <c r="U2586">
        <f>IF($O2586="","",IF(INDEX(Dossiers!$G$4:$G$63,49)="","",INDEX(Dossiers!$G$4:$G$63,49)))</f>
        <v/>
      </c>
      <c r="V2586">
        <f>IF(OR($O2586="",NOT(ISNUMBER($Q2586))),"",$Q2586*1000000+2586)</f>
        <v/>
      </c>
      <c r="W2586" s="29">
        <f>IF($B2586="","",IFERROR(INDEX($U$4:$U$3183,MATCH(SMALL($V$4:$V$3183,2583),$V$4:$V$3183,0)),""))</f>
        <v/>
      </c>
    </row>
    <row r="2587">
      <c r="A2587">
        <f>IFERROR(INDEX($N$4:$N$3183,MATCH(SMALL($V$4:$V$3183,2584),$V$4:$V$3183,0)),"")</f>
        <v/>
      </c>
      <c r="B2587">
        <f>IFERROR(INDEX($O$4:$O$3183,MATCH(SMALL($V$4:$V$3183,2584),$V$4:$V$3183,0)),"")</f>
        <v/>
      </c>
      <c r="C2587">
        <f>IFERROR(INDEX($P$4:$P$3183,MATCH(SMALL($V$4:$V$3183,2584),$V$4:$V$3183,0)),"")</f>
        <v/>
      </c>
      <c r="D2587" s="29">
        <f>IFERROR(INDEX($Q$4:$Q$3183,MATCH(SMALL($V$4:$V$3183,2584),$V$4:$V$3183,0)),"")</f>
        <v/>
      </c>
      <c r="E2587" s="29">
        <f>IFERROR(INDEX($R$4:$R$3183,MATCH(SMALL($V$4:$V$3183,2584),$V$4:$V$3183,0)),"")</f>
        <v/>
      </c>
      <c r="F2587">
        <f>IFERROR(INDEX($S$4:$S$3183,MATCH(SMALL($V$4:$V$3183,2584),$V$4:$V$3183,0)),"")</f>
        <v/>
      </c>
      <c r="I2587" s="29">
        <f>IF($B2587="","",IFERROR(INDEX($U$4:$U$3183,MATCH(SMALL($V$4:$V$3183,2584),$V$4:$V$3183,0)),""))</f>
        <v/>
      </c>
      <c r="J2587">
        <f>IF($B2587="","",IF($D2587&gt;$F$2,"À venir",IF($E2587&lt;$D$2,"Passé","Dans la période")))</f>
        <v/>
      </c>
      <c r="K2587">
        <f>IF(OR($B2587="",NOT(ISNUMBER($D2587))),"",IF(AND($E2587&lt;$D$2,$G2587&lt;&gt;"X",$F2587&lt;&gt;"Réalisé",$F2587&lt;&gt;"Clôturé"),"RETARD",""))</f>
        <v/>
      </c>
      <c r="L2587">
        <f>IF(OR($B2587="",NOT(ISNUMBER($D2587))),"",IF(AND($D2587&gt;=$D$2,$D2587&lt;=$H$2,$G2587&lt;&gt;"X",$F2587&lt;&gt;"Réalisé",$F2587&lt;&gt;"Clôturé"),"≤ 7 j",""))</f>
        <v/>
      </c>
      <c r="M2587" s="29">
        <f>IF($B2587="","",IFERROR(INDEX($T$4:$T$3183,MATCH(SMALL($V$4:$V$3183,2584),$V$4:$V$3183,0)),""))</f>
        <v/>
      </c>
      <c r="O2587">
        <f>IF(INDEX(Suivi!$B:$B,2636)="","",INDEX(Suivi!$B:$B,2636))</f>
        <v/>
      </c>
      <c r="P2587">
        <f>IF($O2587="","",IF(INDEX(Suivi!$D:$D,2636)="",INDEX(Suivi!$C:$C,2636),INDEX(Suivi!$D:$D,2636)))</f>
        <v/>
      </c>
      <c r="Q2587">
        <f>IF($O2587="","",INDEX(Suivi!$E:$E,2636))</f>
        <v/>
      </c>
      <c r="R2587">
        <f>IF($O2587="","",INDEX(Suivi!$F:$F,2636))</f>
        <v/>
      </c>
      <c r="S2587">
        <f>IF($O2587="","",INDEX(Suivi!$G:$G,2636))</f>
        <v/>
      </c>
      <c r="T2587">
        <f>IF($O2587="","",IF(INDEX(Dossiers!$F$4:$F$63,49)="","",INDEX(Dossiers!$F$4:$F$63,49)))</f>
        <v/>
      </c>
      <c r="U2587">
        <f>IF($O2587="","",IF(INDEX(Dossiers!$G$4:$G$63,49)="","",INDEX(Dossiers!$G$4:$G$63,49)))</f>
        <v/>
      </c>
      <c r="V2587">
        <f>IF(OR($O2587="",NOT(ISNUMBER($Q2587))),"",$Q2587*1000000+2587)</f>
        <v/>
      </c>
      <c r="W2587" s="29">
        <f>IF($B2587="","",IFERROR(INDEX($U$4:$U$3183,MATCH(SMALL($V$4:$V$3183,2584),$V$4:$V$3183,0)),""))</f>
        <v/>
      </c>
    </row>
    <row r="2588">
      <c r="A2588">
        <f>IFERROR(INDEX($N$4:$N$3183,MATCH(SMALL($V$4:$V$3183,2585),$V$4:$V$3183,0)),"")</f>
        <v/>
      </c>
      <c r="B2588">
        <f>IFERROR(INDEX($O$4:$O$3183,MATCH(SMALL($V$4:$V$3183,2585),$V$4:$V$3183,0)),"")</f>
        <v/>
      </c>
      <c r="C2588">
        <f>IFERROR(INDEX($P$4:$P$3183,MATCH(SMALL($V$4:$V$3183,2585),$V$4:$V$3183,0)),"")</f>
        <v/>
      </c>
      <c r="D2588" s="29">
        <f>IFERROR(INDEX($Q$4:$Q$3183,MATCH(SMALL($V$4:$V$3183,2585),$V$4:$V$3183,0)),"")</f>
        <v/>
      </c>
      <c r="E2588" s="29">
        <f>IFERROR(INDEX($R$4:$R$3183,MATCH(SMALL($V$4:$V$3183,2585),$V$4:$V$3183,0)),"")</f>
        <v/>
      </c>
      <c r="F2588">
        <f>IFERROR(INDEX($S$4:$S$3183,MATCH(SMALL($V$4:$V$3183,2585),$V$4:$V$3183,0)),"")</f>
        <v/>
      </c>
      <c r="I2588" s="29">
        <f>IF($B2588="","",IFERROR(INDEX($U$4:$U$3183,MATCH(SMALL($V$4:$V$3183,2585),$V$4:$V$3183,0)),""))</f>
        <v/>
      </c>
      <c r="J2588">
        <f>IF($B2588="","",IF($D2588&gt;$F$2,"À venir",IF($E2588&lt;$D$2,"Passé","Dans la période")))</f>
        <v/>
      </c>
      <c r="K2588">
        <f>IF(OR($B2588="",NOT(ISNUMBER($D2588))),"",IF(AND($E2588&lt;$D$2,$G2588&lt;&gt;"X",$F2588&lt;&gt;"Réalisé",$F2588&lt;&gt;"Clôturé"),"RETARD",""))</f>
        <v/>
      </c>
      <c r="L2588">
        <f>IF(OR($B2588="",NOT(ISNUMBER($D2588))),"",IF(AND($D2588&gt;=$D$2,$D2588&lt;=$H$2,$G2588&lt;&gt;"X",$F2588&lt;&gt;"Réalisé",$F2588&lt;&gt;"Clôturé"),"≤ 7 j",""))</f>
        <v/>
      </c>
      <c r="M2588" s="29">
        <f>IF($B2588="","",IFERROR(INDEX($T$4:$T$3183,MATCH(SMALL($V$4:$V$3183,2585),$V$4:$V$3183,0)),""))</f>
        <v/>
      </c>
      <c r="O2588">
        <f>IF(INDEX(Suivi!$B:$B,2637)="","",INDEX(Suivi!$B:$B,2637))</f>
        <v/>
      </c>
      <c r="P2588">
        <f>IF($O2588="","",IF(INDEX(Suivi!$D:$D,2637)="",INDEX(Suivi!$C:$C,2637),INDEX(Suivi!$D:$D,2637)))</f>
        <v/>
      </c>
      <c r="Q2588">
        <f>IF($O2588="","",INDEX(Suivi!$E:$E,2637))</f>
        <v/>
      </c>
      <c r="R2588">
        <f>IF($O2588="","",INDEX(Suivi!$F:$F,2637))</f>
        <v/>
      </c>
      <c r="S2588">
        <f>IF($O2588="","",INDEX(Suivi!$G:$G,2637))</f>
        <v/>
      </c>
      <c r="T2588">
        <f>IF($O2588="","",IF(INDEX(Dossiers!$F$4:$F$63,49)="","",INDEX(Dossiers!$F$4:$F$63,49)))</f>
        <v/>
      </c>
      <c r="U2588">
        <f>IF($O2588="","",IF(INDEX(Dossiers!$G$4:$G$63,49)="","",INDEX(Dossiers!$G$4:$G$63,49)))</f>
        <v/>
      </c>
      <c r="V2588">
        <f>IF(OR($O2588="",NOT(ISNUMBER($Q2588))),"",$Q2588*1000000+2588)</f>
        <v/>
      </c>
      <c r="W2588" s="29">
        <f>IF($B2588="","",IFERROR(INDEX($U$4:$U$3183,MATCH(SMALL($V$4:$V$3183,2585),$V$4:$V$3183,0)),""))</f>
        <v/>
      </c>
    </row>
    <row r="2589">
      <c r="A2589">
        <f>IFERROR(INDEX($N$4:$N$3183,MATCH(SMALL($V$4:$V$3183,2586),$V$4:$V$3183,0)),"")</f>
        <v/>
      </c>
      <c r="B2589">
        <f>IFERROR(INDEX($O$4:$O$3183,MATCH(SMALL($V$4:$V$3183,2586),$V$4:$V$3183,0)),"")</f>
        <v/>
      </c>
      <c r="C2589">
        <f>IFERROR(INDEX($P$4:$P$3183,MATCH(SMALL($V$4:$V$3183,2586),$V$4:$V$3183,0)),"")</f>
        <v/>
      </c>
      <c r="D2589" s="29">
        <f>IFERROR(INDEX($Q$4:$Q$3183,MATCH(SMALL($V$4:$V$3183,2586),$V$4:$V$3183,0)),"")</f>
        <v/>
      </c>
      <c r="E2589" s="29">
        <f>IFERROR(INDEX($R$4:$R$3183,MATCH(SMALL($V$4:$V$3183,2586),$V$4:$V$3183,0)),"")</f>
        <v/>
      </c>
      <c r="F2589">
        <f>IFERROR(INDEX($S$4:$S$3183,MATCH(SMALL($V$4:$V$3183,2586),$V$4:$V$3183,0)),"")</f>
        <v/>
      </c>
      <c r="I2589" s="29">
        <f>IF($B2589="","",IFERROR(INDEX($U$4:$U$3183,MATCH(SMALL($V$4:$V$3183,2586),$V$4:$V$3183,0)),""))</f>
        <v/>
      </c>
      <c r="J2589">
        <f>IF($B2589="","",IF($D2589&gt;$F$2,"À venir",IF($E2589&lt;$D$2,"Passé","Dans la période")))</f>
        <v/>
      </c>
      <c r="K2589">
        <f>IF(OR($B2589="",NOT(ISNUMBER($D2589))),"",IF(AND($E2589&lt;$D$2,$G2589&lt;&gt;"X",$F2589&lt;&gt;"Réalisé",$F2589&lt;&gt;"Clôturé"),"RETARD",""))</f>
        <v/>
      </c>
      <c r="L2589">
        <f>IF(OR($B2589="",NOT(ISNUMBER($D2589))),"",IF(AND($D2589&gt;=$D$2,$D2589&lt;=$H$2,$G2589&lt;&gt;"X",$F2589&lt;&gt;"Réalisé",$F2589&lt;&gt;"Clôturé"),"≤ 7 j",""))</f>
        <v/>
      </c>
      <c r="M2589" s="29">
        <f>IF($B2589="","",IFERROR(INDEX($T$4:$T$3183,MATCH(SMALL($V$4:$V$3183,2586),$V$4:$V$3183,0)),""))</f>
        <v/>
      </c>
      <c r="O2589">
        <f>IF(INDEX(Suivi!$B:$B,2638)="","",INDEX(Suivi!$B:$B,2638))</f>
        <v/>
      </c>
      <c r="P2589">
        <f>IF($O2589="","",IF(INDEX(Suivi!$D:$D,2638)="",INDEX(Suivi!$C:$C,2638),INDEX(Suivi!$D:$D,2638)))</f>
        <v/>
      </c>
      <c r="Q2589">
        <f>IF($O2589="","",INDEX(Suivi!$E:$E,2638))</f>
        <v/>
      </c>
      <c r="R2589">
        <f>IF($O2589="","",INDEX(Suivi!$F:$F,2638))</f>
        <v/>
      </c>
      <c r="S2589">
        <f>IF($O2589="","",INDEX(Suivi!$G:$G,2638))</f>
        <v/>
      </c>
      <c r="T2589">
        <f>IF($O2589="","",IF(INDEX(Dossiers!$F$4:$F$63,49)="","",INDEX(Dossiers!$F$4:$F$63,49)))</f>
        <v/>
      </c>
      <c r="U2589">
        <f>IF($O2589="","",IF(INDEX(Dossiers!$G$4:$G$63,49)="","",INDEX(Dossiers!$G$4:$G$63,49)))</f>
        <v/>
      </c>
      <c r="V2589">
        <f>IF(OR($O2589="",NOT(ISNUMBER($Q2589))),"",$Q2589*1000000+2589)</f>
        <v/>
      </c>
      <c r="W2589" s="29">
        <f>IF($B2589="","",IFERROR(INDEX($U$4:$U$3183,MATCH(SMALL($V$4:$V$3183,2586),$V$4:$V$3183,0)),""))</f>
        <v/>
      </c>
    </row>
    <row r="2590">
      <c r="A2590">
        <f>IFERROR(INDEX($N$4:$N$3183,MATCH(SMALL($V$4:$V$3183,2587),$V$4:$V$3183,0)),"")</f>
        <v/>
      </c>
      <c r="B2590">
        <f>IFERROR(INDEX($O$4:$O$3183,MATCH(SMALL($V$4:$V$3183,2587),$V$4:$V$3183,0)),"")</f>
        <v/>
      </c>
      <c r="C2590">
        <f>IFERROR(INDEX($P$4:$P$3183,MATCH(SMALL($V$4:$V$3183,2587),$V$4:$V$3183,0)),"")</f>
        <v/>
      </c>
      <c r="D2590" s="29">
        <f>IFERROR(INDEX($Q$4:$Q$3183,MATCH(SMALL($V$4:$V$3183,2587),$V$4:$V$3183,0)),"")</f>
        <v/>
      </c>
      <c r="E2590" s="29">
        <f>IFERROR(INDEX($R$4:$R$3183,MATCH(SMALL($V$4:$V$3183,2587),$V$4:$V$3183,0)),"")</f>
        <v/>
      </c>
      <c r="F2590">
        <f>IFERROR(INDEX($S$4:$S$3183,MATCH(SMALL($V$4:$V$3183,2587),$V$4:$V$3183,0)),"")</f>
        <v/>
      </c>
      <c r="I2590" s="29">
        <f>IF($B2590="","",IFERROR(INDEX($U$4:$U$3183,MATCH(SMALL($V$4:$V$3183,2587),$V$4:$V$3183,0)),""))</f>
        <v/>
      </c>
      <c r="J2590">
        <f>IF($B2590="","",IF($D2590&gt;$F$2,"À venir",IF($E2590&lt;$D$2,"Passé","Dans la période")))</f>
        <v/>
      </c>
      <c r="K2590">
        <f>IF(OR($B2590="",NOT(ISNUMBER($D2590))),"",IF(AND($E2590&lt;$D$2,$G2590&lt;&gt;"X",$F2590&lt;&gt;"Réalisé",$F2590&lt;&gt;"Clôturé"),"RETARD",""))</f>
        <v/>
      </c>
      <c r="L2590">
        <f>IF(OR($B2590="",NOT(ISNUMBER($D2590))),"",IF(AND($D2590&gt;=$D$2,$D2590&lt;=$H$2,$G2590&lt;&gt;"X",$F2590&lt;&gt;"Réalisé",$F2590&lt;&gt;"Clôturé"),"≤ 7 j",""))</f>
        <v/>
      </c>
      <c r="M2590" s="29">
        <f>IF($B2590="","",IFERROR(INDEX($T$4:$T$3183,MATCH(SMALL($V$4:$V$3183,2587),$V$4:$V$3183,0)),""))</f>
        <v/>
      </c>
      <c r="O2590">
        <f>IF(INDEX(Suivi!$B:$B,2639)="","",INDEX(Suivi!$B:$B,2639))</f>
        <v/>
      </c>
      <c r="P2590">
        <f>IF($O2590="","",IF(INDEX(Suivi!$D:$D,2639)="",INDEX(Suivi!$C:$C,2639),INDEX(Suivi!$D:$D,2639)))</f>
        <v/>
      </c>
      <c r="Q2590">
        <f>IF($O2590="","",INDEX(Suivi!$E:$E,2639))</f>
        <v/>
      </c>
      <c r="R2590">
        <f>IF($O2590="","",INDEX(Suivi!$F:$F,2639))</f>
        <v/>
      </c>
      <c r="S2590">
        <f>IF($O2590="","",INDEX(Suivi!$G:$G,2639))</f>
        <v/>
      </c>
      <c r="T2590">
        <f>IF($O2590="","",IF(INDEX(Dossiers!$F$4:$F$63,49)="","",INDEX(Dossiers!$F$4:$F$63,49)))</f>
        <v/>
      </c>
      <c r="U2590">
        <f>IF($O2590="","",IF(INDEX(Dossiers!$G$4:$G$63,49)="","",INDEX(Dossiers!$G$4:$G$63,49)))</f>
        <v/>
      </c>
      <c r="V2590">
        <f>IF(OR($O2590="",NOT(ISNUMBER($Q2590))),"",$Q2590*1000000+2590)</f>
        <v/>
      </c>
      <c r="W2590" s="29">
        <f>IF($B2590="","",IFERROR(INDEX($U$4:$U$3183,MATCH(SMALL($V$4:$V$3183,2587),$V$4:$V$3183,0)),""))</f>
        <v/>
      </c>
    </row>
    <row r="2591">
      <c r="A2591">
        <f>IFERROR(INDEX($N$4:$N$3183,MATCH(SMALL($V$4:$V$3183,2588),$V$4:$V$3183,0)),"")</f>
        <v/>
      </c>
      <c r="B2591">
        <f>IFERROR(INDEX($O$4:$O$3183,MATCH(SMALL($V$4:$V$3183,2588),$V$4:$V$3183,0)),"")</f>
        <v/>
      </c>
      <c r="C2591">
        <f>IFERROR(INDEX($P$4:$P$3183,MATCH(SMALL($V$4:$V$3183,2588),$V$4:$V$3183,0)),"")</f>
        <v/>
      </c>
      <c r="D2591" s="29">
        <f>IFERROR(INDEX($Q$4:$Q$3183,MATCH(SMALL($V$4:$V$3183,2588),$V$4:$V$3183,0)),"")</f>
        <v/>
      </c>
      <c r="E2591" s="29">
        <f>IFERROR(INDEX($R$4:$R$3183,MATCH(SMALL($V$4:$V$3183,2588),$V$4:$V$3183,0)),"")</f>
        <v/>
      </c>
      <c r="F2591">
        <f>IFERROR(INDEX($S$4:$S$3183,MATCH(SMALL($V$4:$V$3183,2588),$V$4:$V$3183,0)),"")</f>
        <v/>
      </c>
      <c r="I2591" s="29">
        <f>IF($B2591="","",IFERROR(INDEX($U$4:$U$3183,MATCH(SMALL($V$4:$V$3183,2588),$V$4:$V$3183,0)),""))</f>
        <v/>
      </c>
      <c r="J2591">
        <f>IF($B2591="","",IF($D2591&gt;$F$2,"À venir",IF($E2591&lt;$D$2,"Passé","Dans la période")))</f>
        <v/>
      </c>
      <c r="K2591">
        <f>IF(OR($B2591="",NOT(ISNUMBER($D2591))),"",IF(AND($E2591&lt;$D$2,$G2591&lt;&gt;"X",$F2591&lt;&gt;"Réalisé",$F2591&lt;&gt;"Clôturé"),"RETARD",""))</f>
        <v/>
      </c>
      <c r="L2591">
        <f>IF(OR($B2591="",NOT(ISNUMBER($D2591))),"",IF(AND($D2591&gt;=$D$2,$D2591&lt;=$H$2,$G2591&lt;&gt;"X",$F2591&lt;&gt;"Réalisé",$F2591&lt;&gt;"Clôturé"),"≤ 7 j",""))</f>
        <v/>
      </c>
      <c r="M2591" s="29">
        <f>IF($B2591="","",IFERROR(INDEX($T$4:$T$3183,MATCH(SMALL($V$4:$V$3183,2588),$V$4:$V$3183,0)),""))</f>
        <v/>
      </c>
      <c r="O2591">
        <f>IF(INDEX(Suivi!$B:$B,2640)="","",INDEX(Suivi!$B:$B,2640))</f>
        <v/>
      </c>
      <c r="P2591">
        <f>IF($O2591="","",IF(INDEX(Suivi!$D:$D,2640)="",INDEX(Suivi!$C:$C,2640),INDEX(Suivi!$D:$D,2640)))</f>
        <v/>
      </c>
      <c r="Q2591">
        <f>IF($O2591="","",INDEX(Suivi!$E:$E,2640))</f>
        <v/>
      </c>
      <c r="R2591">
        <f>IF($O2591="","",INDEX(Suivi!$F:$F,2640))</f>
        <v/>
      </c>
      <c r="S2591">
        <f>IF($O2591="","",INDEX(Suivi!$G:$G,2640))</f>
        <v/>
      </c>
      <c r="T2591">
        <f>IF($O2591="","",IF(INDEX(Dossiers!$F$4:$F$63,49)="","",INDEX(Dossiers!$F$4:$F$63,49)))</f>
        <v/>
      </c>
      <c r="U2591">
        <f>IF($O2591="","",IF(INDEX(Dossiers!$G$4:$G$63,49)="","",INDEX(Dossiers!$G$4:$G$63,49)))</f>
        <v/>
      </c>
      <c r="V2591">
        <f>IF(OR($O2591="",NOT(ISNUMBER($Q2591))),"",$Q2591*1000000+2591)</f>
        <v/>
      </c>
      <c r="W2591" s="29">
        <f>IF($B2591="","",IFERROR(INDEX($U$4:$U$3183,MATCH(SMALL($V$4:$V$3183,2588),$V$4:$V$3183,0)),""))</f>
        <v/>
      </c>
    </row>
    <row r="2592">
      <c r="A2592">
        <f>IFERROR(INDEX($N$4:$N$3183,MATCH(SMALL($V$4:$V$3183,2589),$V$4:$V$3183,0)),"")</f>
        <v/>
      </c>
      <c r="B2592">
        <f>IFERROR(INDEX($O$4:$O$3183,MATCH(SMALL($V$4:$V$3183,2589),$V$4:$V$3183,0)),"")</f>
        <v/>
      </c>
      <c r="C2592">
        <f>IFERROR(INDEX($P$4:$P$3183,MATCH(SMALL($V$4:$V$3183,2589),$V$4:$V$3183,0)),"")</f>
        <v/>
      </c>
      <c r="D2592" s="29">
        <f>IFERROR(INDEX($Q$4:$Q$3183,MATCH(SMALL($V$4:$V$3183,2589),$V$4:$V$3183,0)),"")</f>
        <v/>
      </c>
      <c r="E2592" s="29">
        <f>IFERROR(INDEX($R$4:$R$3183,MATCH(SMALL($V$4:$V$3183,2589),$V$4:$V$3183,0)),"")</f>
        <v/>
      </c>
      <c r="F2592">
        <f>IFERROR(INDEX($S$4:$S$3183,MATCH(SMALL($V$4:$V$3183,2589),$V$4:$V$3183,0)),"")</f>
        <v/>
      </c>
      <c r="I2592" s="29">
        <f>IF($B2592="","",IFERROR(INDEX($U$4:$U$3183,MATCH(SMALL($V$4:$V$3183,2589),$V$4:$V$3183,0)),""))</f>
        <v/>
      </c>
      <c r="J2592">
        <f>IF($B2592="","",IF($D2592&gt;$F$2,"À venir",IF($E2592&lt;$D$2,"Passé","Dans la période")))</f>
        <v/>
      </c>
      <c r="K2592">
        <f>IF(OR($B2592="",NOT(ISNUMBER($D2592))),"",IF(AND($E2592&lt;$D$2,$G2592&lt;&gt;"X",$F2592&lt;&gt;"Réalisé",$F2592&lt;&gt;"Clôturé"),"RETARD",""))</f>
        <v/>
      </c>
      <c r="L2592">
        <f>IF(OR($B2592="",NOT(ISNUMBER($D2592))),"",IF(AND($D2592&gt;=$D$2,$D2592&lt;=$H$2,$G2592&lt;&gt;"X",$F2592&lt;&gt;"Réalisé",$F2592&lt;&gt;"Clôturé"),"≤ 7 j",""))</f>
        <v/>
      </c>
      <c r="M2592" s="29">
        <f>IF($B2592="","",IFERROR(INDEX($T$4:$T$3183,MATCH(SMALL($V$4:$V$3183,2589),$V$4:$V$3183,0)),""))</f>
        <v/>
      </c>
      <c r="O2592">
        <f>IF(INDEX(Suivi!$B:$B,2641)="","",INDEX(Suivi!$B:$B,2641))</f>
        <v/>
      </c>
      <c r="P2592">
        <f>IF($O2592="","",IF(INDEX(Suivi!$D:$D,2641)="",INDEX(Suivi!$C:$C,2641),INDEX(Suivi!$D:$D,2641)))</f>
        <v/>
      </c>
      <c r="Q2592">
        <f>IF($O2592="","",INDEX(Suivi!$E:$E,2641))</f>
        <v/>
      </c>
      <c r="R2592">
        <f>IF($O2592="","",INDEX(Suivi!$F:$F,2641))</f>
        <v/>
      </c>
      <c r="S2592">
        <f>IF($O2592="","",INDEX(Suivi!$G:$G,2641))</f>
        <v/>
      </c>
      <c r="T2592">
        <f>IF($O2592="","",IF(INDEX(Dossiers!$F$4:$F$63,49)="","",INDEX(Dossiers!$F$4:$F$63,49)))</f>
        <v/>
      </c>
      <c r="U2592">
        <f>IF($O2592="","",IF(INDEX(Dossiers!$G$4:$G$63,49)="","",INDEX(Dossiers!$G$4:$G$63,49)))</f>
        <v/>
      </c>
      <c r="V2592">
        <f>IF(OR($O2592="",NOT(ISNUMBER($Q2592))),"",$Q2592*1000000+2592)</f>
        <v/>
      </c>
      <c r="W2592" s="29">
        <f>IF($B2592="","",IFERROR(INDEX($U$4:$U$3183,MATCH(SMALL($V$4:$V$3183,2589),$V$4:$V$3183,0)),""))</f>
        <v/>
      </c>
    </row>
    <row r="2593">
      <c r="A2593">
        <f>IFERROR(INDEX($N$4:$N$3183,MATCH(SMALL($V$4:$V$3183,2590),$V$4:$V$3183,0)),"")</f>
        <v/>
      </c>
      <c r="B2593">
        <f>IFERROR(INDEX($O$4:$O$3183,MATCH(SMALL($V$4:$V$3183,2590),$V$4:$V$3183,0)),"")</f>
        <v/>
      </c>
      <c r="C2593">
        <f>IFERROR(INDEX($P$4:$P$3183,MATCH(SMALL($V$4:$V$3183,2590),$V$4:$V$3183,0)),"")</f>
        <v/>
      </c>
      <c r="D2593" s="29">
        <f>IFERROR(INDEX($Q$4:$Q$3183,MATCH(SMALL($V$4:$V$3183,2590),$V$4:$V$3183,0)),"")</f>
        <v/>
      </c>
      <c r="E2593" s="29">
        <f>IFERROR(INDEX($R$4:$R$3183,MATCH(SMALL($V$4:$V$3183,2590),$V$4:$V$3183,0)),"")</f>
        <v/>
      </c>
      <c r="F2593">
        <f>IFERROR(INDEX($S$4:$S$3183,MATCH(SMALL($V$4:$V$3183,2590),$V$4:$V$3183,0)),"")</f>
        <v/>
      </c>
      <c r="I2593" s="29">
        <f>IF($B2593="","",IFERROR(INDEX($U$4:$U$3183,MATCH(SMALL($V$4:$V$3183,2590),$V$4:$V$3183,0)),""))</f>
        <v/>
      </c>
      <c r="J2593">
        <f>IF($B2593="","",IF($D2593&gt;$F$2,"À venir",IF($E2593&lt;$D$2,"Passé","Dans la période")))</f>
        <v/>
      </c>
      <c r="K2593">
        <f>IF(OR($B2593="",NOT(ISNUMBER($D2593))),"",IF(AND($E2593&lt;$D$2,$G2593&lt;&gt;"X",$F2593&lt;&gt;"Réalisé",$F2593&lt;&gt;"Clôturé"),"RETARD",""))</f>
        <v/>
      </c>
      <c r="L2593">
        <f>IF(OR($B2593="",NOT(ISNUMBER($D2593))),"",IF(AND($D2593&gt;=$D$2,$D2593&lt;=$H$2,$G2593&lt;&gt;"X",$F2593&lt;&gt;"Réalisé",$F2593&lt;&gt;"Clôturé"),"≤ 7 j",""))</f>
        <v/>
      </c>
      <c r="M2593" s="29">
        <f>IF($B2593="","",IFERROR(INDEX($T$4:$T$3183,MATCH(SMALL($V$4:$V$3183,2590),$V$4:$V$3183,0)),""))</f>
        <v/>
      </c>
      <c r="O2593">
        <f>IF(INDEX(Suivi!$B:$B,2642)="","",INDEX(Suivi!$B:$B,2642))</f>
        <v/>
      </c>
      <c r="P2593">
        <f>IF($O2593="","",IF(INDEX(Suivi!$D:$D,2642)="",INDEX(Suivi!$C:$C,2642),INDEX(Suivi!$D:$D,2642)))</f>
        <v/>
      </c>
      <c r="Q2593">
        <f>IF($O2593="","",INDEX(Suivi!$E:$E,2642))</f>
        <v/>
      </c>
      <c r="R2593">
        <f>IF($O2593="","",INDEX(Suivi!$F:$F,2642))</f>
        <v/>
      </c>
      <c r="S2593">
        <f>IF($O2593="","",INDEX(Suivi!$G:$G,2642))</f>
        <v/>
      </c>
      <c r="T2593">
        <f>IF($O2593="","",IF(INDEX(Dossiers!$F$4:$F$63,49)="","",INDEX(Dossiers!$F$4:$F$63,49)))</f>
        <v/>
      </c>
      <c r="U2593">
        <f>IF($O2593="","",IF(INDEX(Dossiers!$G$4:$G$63,49)="","",INDEX(Dossiers!$G$4:$G$63,49)))</f>
        <v/>
      </c>
      <c r="V2593">
        <f>IF(OR($O2593="",NOT(ISNUMBER($Q2593))),"",$Q2593*1000000+2593)</f>
        <v/>
      </c>
      <c r="W2593" s="29">
        <f>IF($B2593="","",IFERROR(INDEX($U$4:$U$3183,MATCH(SMALL($V$4:$V$3183,2590),$V$4:$V$3183,0)),""))</f>
        <v/>
      </c>
    </row>
    <row r="2594">
      <c r="A2594">
        <f>IFERROR(INDEX($N$4:$N$3183,MATCH(SMALL($V$4:$V$3183,2591),$V$4:$V$3183,0)),"")</f>
        <v/>
      </c>
      <c r="B2594">
        <f>IFERROR(INDEX($O$4:$O$3183,MATCH(SMALL($V$4:$V$3183,2591),$V$4:$V$3183,0)),"")</f>
        <v/>
      </c>
      <c r="C2594">
        <f>IFERROR(INDEX($P$4:$P$3183,MATCH(SMALL($V$4:$V$3183,2591),$V$4:$V$3183,0)),"")</f>
        <v/>
      </c>
      <c r="D2594" s="29">
        <f>IFERROR(INDEX($Q$4:$Q$3183,MATCH(SMALL($V$4:$V$3183,2591),$V$4:$V$3183,0)),"")</f>
        <v/>
      </c>
      <c r="E2594" s="29">
        <f>IFERROR(INDEX($R$4:$R$3183,MATCH(SMALL($V$4:$V$3183,2591),$V$4:$V$3183,0)),"")</f>
        <v/>
      </c>
      <c r="F2594">
        <f>IFERROR(INDEX($S$4:$S$3183,MATCH(SMALL($V$4:$V$3183,2591),$V$4:$V$3183,0)),"")</f>
        <v/>
      </c>
      <c r="I2594" s="29">
        <f>IF($B2594="","",IFERROR(INDEX($U$4:$U$3183,MATCH(SMALL($V$4:$V$3183,2591),$V$4:$V$3183,0)),""))</f>
        <v/>
      </c>
      <c r="J2594">
        <f>IF($B2594="","",IF($D2594&gt;$F$2,"À venir",IF($E2594&lt;$D$2,"Passé","Dans la période")))</f>
        <v/>
      </c>
      <c r="K2594">
        <f>IF(OR($B2594="",NOT(ISNUMBER($D2594))),"",IF(AND($E2594&lt;$D$2,$G2594&lt;&gt;"X",$F2594&lt;&gt;"Réalisé",$F2594&lt;&gt;"Clôturé"),"RETARD",""))</f>
        <v/>
      </c>
      <c r="L2594">
        <f>IF(OR($B2594="",NOT(ISNUMBER($D2594))),"",IF(AND($D2594&gt;=$D$2,$D2594&lt;=$H$2,$G2594&lt;&gt;"X",$F2594&lt;&gt;"Réalisé",$F2594&lt;&gt;"Clôturé"),"≤ 7 j",""))</f>
        <v/>
      </c>
      <c r="M2594" s="29">
        <f>IF($B2594="","",IFERROR(INDEX($T$4:$T$3183,MATCH(SMALL($V$4:$V$3183,2591),$V$4:$V$3183,0)),""))</f>
        <v/>
      </c>
      <c r="O2594">
        <f>IF(INDEX(Suivi!$B:$B,2643)="","",INDEX(Suivi!$B:$B,2643))</f>
        <v/>
      </c>
      <c r="P2594">
        <f>IF($O2594="","",IF(INDEX(Suivi!$D:$D,2643)="",INDEX(Suivi!$C:$C,2643),INDEX(Suivi!$D:$D,2643)))</f>
        <v/>
      </c>
      <c r="Q2594">
        <f>IF($O2594="","",INDEX(Suivi!$E:$E,2643))</f>
        <v/>
      </c>
      <c r="R2594">
        <f>IF($O2594="","",INDEX(Suivi!$F:$F,2643))</f>
        <v/>
      </c>
      <c r="S2594">
        <f>IF($O2594="","",INDEX(Suivi!$G:$G,2643))</f>
        <v/>
      </c>
      <c r="T2594">
        <f>IF($O2594="","",IF(INDEX(Dossiers!$F$4:$F$63,49)="","",INDEX(Dossiers!$F$4:$F$63,49)))</f>
        <v/>
      </c>
      <c r="U2594">
        <f>IF($O2594="","",IF(INDEX(Dossiers!$G$4:$G$63,49)="","",INDEX(Dossiers!$G$4:$G$63,49)))</f>
        <v/>
      </c>
      <c r="V2594">
        <f>IF(OR($O2594="",NOT(ISNUMBER($Q2594))),"",$Q2594*1000000+2594)</f>
        <v/>
      </c>
      <c r="W2594" s="29">
        <f>IF($B2594="","",IFERROR(INDEX($U$4:$U$3183,MATCH(SMALL($V$4:$V$3183,2591),$V$4:$V$3183,0)),""))</f>
        <v/>
      </c>
    </row>
    <row r="2595">
      <c r="A2595">
        <f>IFERROR(INDEX($N$4:$N$3183,MATCH(SMALL($V$4:$V$3183,2592),$V$4:$V$3183,0)),"")</f>
        <v/>
      </c>
      <c r="B2595">
        <f>IFERROR(INDEX($O$4:$O$3183,MATCH(SMALL($V$4:$V$3183,2592),$V$4:$V$3183,0)),"")</f>
        <v/>
      </c>
      <c r="C2595">
        <f>IFERROR(INDEX($P$4:$P$3183,MATCH(SMALL($V$4:$V$3183,2592),$V$4:$V$3183,0)),"")</f>
        <v/>
      </c>
      <c r="D2595" s="29">
        <f>IFERROR(INDEX($Q$4:$Q$3183,MATCH(SMALL($V$4:$V$3183,2592),$V$4:$V$3183,0)),"")</f>
        <v/>
      </c>
      <c r="E2595" s="29">
        <f>IFERROR(INDEX($R$4:$R$3183,MATCH(SMALL($V$4:$V$3183,2592),$V$4:$V$3183,0)),"")</f>
        <v/>
      </c>
      <c r="F2595">
        <f>IFERROR(INDEX($S$4:$S$3183,MATCH(SMALL($V$4:$V$3183,2592),$V$4:$V$3183,0)),"")</f>
        <v/>
      </c>
      <c r="I2595" s="29">
        <f>IF($B2595="","",IFERROR(INDEX($U$4:$U$3183,MATCH(SMALL($V$4:$V$3183,2592),$V$4:$V$3183,0)),""))</f>
        <v/>
      </c>
      <c r="J2595">
        <f>IF($B2595="","",IF($D2595&gt;$F$2,"À venir",IF($E2595&lt;$D$2,"Passé","Dans la période")))</f>
        <v/>
      </c>
      <c r="K2595">
        <f>IF(OR($B2595="",NOT(ISNUMBER($D2595))),"",IF(AND($E2595&lt;$D$2,$G2595&lt;&gt;"X",$F2595&lt;&gt;"Réalisé",$F2595&lt;&gt;"Clôturé"),"RETARD",""))</f>
        <v/>
      </c>
      <c r="L2595">
        <f>IF(OR($B2595="",NOT(ISNUMBER($D2595))),"",IF(AND($D2595&gt;=$D$2,$D2595&lt;=$H$2,$G2595&lt;&gt;"X",$F2595&lt;&gt;"Réalisé",$F2595&lt;&gt;"Clôturé"),"≤ 7 j",""))</f>
        <v/>
      </c>
      <c r="M2595" s="29">
        <f>IF($B2595="","",IFERROR(INDEX($T$4:$T$3183,MATCH(SMALL($V$4:$V$3183,2592),$V$4:$V$3183,0)),""))</f>
        <v/>
      </c>
      <c r="O2595">
        <f>IF(INDEX(Suivi!$B:$B,2644)="","",INDEX(Suivi!$B:$B,2644))</f>
        <v/>
      </c>
      <c r="P2595">
        <f>IF($O2595="","",IF(INDEX(Suivi!$D:$D,2644)="",INDEX(Suivi!$C:$C,2644),INDEX(Suivi!$D:$D,2644)))</f>
        <v/>
      </c>
      <c r="Q2595">
        <f>IF($O2595="","",INDEX(Suivi!$E:$E,2644))</f>
        <v/>
      </c>
      <c r="R2595">
        <f>IF($O2595="","",INDEX(Suivi!$F:$F,2644))</f>
        <v/>
      </c>
      <c r="S2595">
        <f>IF($O2595="","",INDEX(Suivi!$G:$G,2644))</f>
        <v/>
      </c>
      <c r="T2595">
        <f>IF($O2595="","",IF(INDEX(Dossiers!$F$4:$F$63,49)="","",INDEX(Dossiers!$F$4:$F$63,49)))</f>
        <v/>
      </c>
      <c r="U2595">
        <f>IF($O2595="","",IF(INDEX(Dossiers!$G$4:$G$63,49)="","",INDEX(Dossiers!$G$4:$G$63,49)))</f>
        <v/>
      </c>
      <c r="V2595">
        <f>IF(OR($O2595="",NOT(ISNUMBER($Q2595))),"",$Q2595*1000000+2595)</f>
        <v/>
      </c>
      <c r="W2595" s="29">
        <f>IF($B2595="","",IFERROR(INDEX($U$4:$U$3183,MATCH(SMALL($V$4:$V$3183,2592),$V$4:$V$3183,0)),""))</f>
        <v/>
      </c>
    </row>
    <row r="2596">
      <c r="A2596">
        <f>IFERROR(INDEX($N$4:$N$3183,MATCH(SMALL($V$4:$V$3183,2593),$V$4:$V$3183,0)),"")</f>
        <v/>
      </c>
      <c r="B2596">
        <f>IFERROR(INDEX($O$4:$O$3183,MATCH(SMALL($V$4:$V$3183,2593),$V$4:$V$3183,0)),"")</f>
        <v/>
      </c>
      <c r="C2596">
        <f>IFERROR(INDEX($P$4:$P$3183,MATCH(SMALL($V$4:$V$3183,2593),$V$4:$V$3183,0)),"")</f>
        <v/>
      </c>
      <c r="D2596" s="29">
        <f>IFERROR(INDEX($Q$4:$Q$3183,MATCH(SMALL($V$4:$V$3183,2593),$V$4:$V$3183,0)),"")</f>
        <v/>
      </c>
      <c r="E2596" s="29">
        <f>IFERROR(INDEX($R$4:$R$3183,MATCH(SMALL($V$4:$V$3183,2593),$V$4:$V$3183,0)),"")</f>
        <v/>
      </c>
      <c r="F2596">
        <f>IFERROR(INDEX($S$4:$S$3183,MATCH(SMALL($V$4:$V$3183,2593),$V$4:$V$3183,0)),"")</f>
        <v/>
      </c>
      <c r="I2596" s="29">
        <f>IF($B2596="","",IFERROR(INDEX($U$4:$U$3183,MATCH(SMALL($V$4:$V$3183,2593),$V$4:$V$3183,0)),""))</f>
        <v/>
      </c>
      <c r="J2596">
        <f>IF($B2596="","",IF($D2596&gt;$F$2,"À venir",IF($E2596&lt;$D$2,"Passé","Dans la période")))</f>
        <v/>
      </c>
      <c r="K2596">
        <f>IF(OR($B2596="",NOT(ISNUMBER($D2596))),"",IF(AND($E2596&lt;$D$2,$G2596&lt;&gt;"X",$F2596&lt;&gt;"Réalisé",$F2596&lt;&gt;"Clôturé"),"RETARD",""))</f>
        <v/>
      </c>
      <c r="L2596">
        <f>IF(OR($B2596="",NOT(ISNUMBER($D2596))),"",IF(AND($D2596&gt;=$D$2,$D2596&lt;=$H$2,$G2596&lt;&gt;"X",$F2596&lt;&gt;"Réalisé",$F2596&lt;&gt;"Clôturé"),"≤ 7 j",""))</f>
        <v/>
      </c>
      <c r="M2596" s="29">
        <f>IF($B2596="","",IFERROR(INDEX($T$4:$T$3183,MATCH(SMALL($V$4:$V$3183,2593),$V$4:$V$3183,0)),""))</f>
        <v/>
      </c>
      <c r="O2596">
        <f>IF(INDEX(Suivi!$B:$B,2645)="","",INDEX(Suivi!$B:$B,2645))</f>
        <v/>
      </c>
      <c r="P2596">
        <f>IF($O2596="","",IF(INDEX(Suivi!$D:$D,2645)="",INDEX(Suivi!$C:$C,2645),INDEX(Suivi!$D:$D,2645)))</f>
        <v/>
      </c>
      <c r="Q2596">
        <f>IF($O2596="","",INDEX(Suivi!$E:$E,2645))</f>
        <v/>
      </c>
      <c r="R2596">
        <f>IF($O2596="","",INDEX(Suivi!$F:$F,2645))</f>
        <v/>
      </c>
      <c r="S2596">
        <f>IF($O2596="","",INDEX(Suivi!$G:$G,2645))</f>
        <v/>
      </c>
      <c r="T2596">
        <f>IF($O2596="","",IF(INDEX(Dossiers!$F$4:$F$63,49)="","",INDEX(Dossiers!$F$4:$F$63,49)))</f>
        <v/>
      </c>
      <c r="U2596">
        <f>IF($O2596="","",IF(INDEX(Dossiers!$G$4:$G$63,49)="","",INDEX(Dossiers!$G$4:$G$63,49)))</f>
        <v/>
      </c>
      <c r="V2596">
        <f>IF(OR($O2596="",NOT(ISNUMBER($Q2596))),"",$Q2596*1000000+2596)</f>
        <v/>
      </c>
      <c r="W2596" s="29">
        <f>IF($B2596="","",IFERROR(INDEX($U$4:$U$3183,MATCH(SMALL($V$4:$V$3183,2593),$V$4:$V$3183,0)),""))</f>
        <v/>
      </c>
    </row>
    <row r="2597">
      <c r="A2597">
        <f>IFERROR(INDEX($N$4:$N$3183,MATCH(SMALL($V$4:$V$3183,2594),$V$4:$V$3183,0)),"")</f>
        <v/>
      </c>
      <c r="B2597">
        <f>IFERROR(INDEX($O$4:$O$3183,MATCH(SMALL($V$4:$V$3183,2594),$V$4:$V$3183,0)),"")</f>
        <v/>
      </c>
      <c r="C2597">
        <f>IFERROR(INDEX($P$4:$P$3183,MATCH(SMALL($V$4:$V$3183,2594),$V$4:$V$3183,0)),"")</f>
        <v/>
      </c>
      <c r="D2597" s="29">
        <f>IFERROR(INDEX($Q$4:$Q$3183,MATCH(SMALL($V$4:$V$3183,2594),$V$4:$V$3183,0)),"")</f>
        <v/>
      </c>
      <c r="E2597" s="29">
        <f>IFERROR(INDEX($R$4:$R$3183,MATCH(SMALL($V$4:$V$3183,2594),$V$4:$V$3183,0)),"")</f>
        <v/>
      </c>
      <c r="F2597">
        <f>IFERROR(INDEX($S$4:$S$3183,MATCH(SMALL($V$4:$V$3183,2594),$V$4:$V$3183,0)),"")</f>
        <v/>
      </c>
      <c r="I2597" s="29">
        <f>IF($B2597="","",IFERROR(INDEX($U$4:$U$3183,MATCH(SMALL($V$4:$V$3183,2594),$V$4:$V$3183,0)),""))</f>
        <v/>
      </c>
      <c r="J2597">
        <f>IF($B2597="","",IF($D2597&gt;$F$2,"À venir",IF($E2597&lt;$D$2,"Passé","Dans la période")))</f>
        <v/>
      </c>
      <c r="K2597">
        <f>IF(OR($B2597="",NOT(ISNUMBER($D2597))),"",IF(AND($E2597&lt;$D$2,$G2597&lt;&gt;"X",$F2597&lt;&gt;"Réalisé",$F2597&lt;&gt;"Clôturé"),"RETARD",""))</f>
        <v/>
      </c>
      <c r="L2597">
        <f>IF(OR($B2597="",NOT(ISNUMBER($D2597))),"",IF(AND($D2597&gt;=$D$2,$D2597&lt;=$H$2,$G2597&lt;&gt;"X",$F2597&lt;&gt;"Réalisé",$F2597&lt;&gt;"Clôturé"),"≤ 7 j",""))</f>
        <v/>
      </c>
      <c r="M2597" s="29">
        <f>IF($B2597="","",IFERROR(INDEX($T$4:$T$3183,MATCH(SMALL($V$4:$V$3183,2594),$V$4:$V$3183,0)),""))</f>
        <v/>
      </c>
      <c r="O2597">
        <f>IF(INDEX(Suivi!$B:$B,2646)="","",INDEX(Suivi!$B:$B,2646))</f>
        <v/>
      </c>
      <c r="P2597">
        <f>IF($O2597="","",IF(INDEX(Suivi!$D:$D,2646)="",INDEX(Suivi!$C:$C,2646),INDEX(Suivi!$D:$D,2646)))</f>
        <v/>
      </c>
      <c r="Q2597">
        <f>IF($O2597="","",INDEX(Suivi!$E:$E,2646))</f>
        <v/>
      </c>
      <c r="R2597">
        <f>IF($O2597="","",INDEX(Suivi!$F:$F,2646))</f>
        <v/>
      </c>
      <c r="S2597">
        <f>IF($O2597="","",INDEX(Suivi!$G:$G,2646))</f>
        <v/>
      </c>
      <c r="T2597">
        <f>IF($O2597="","",IF(INDEX(Dossiers!$F$4:$F$63,49)="","",INDEX(Dossiers!$F$4:$F$63,49)))</f>
        <v/>
      </c>
      <c r="U2597">
        <f>IF($O2597="","",IF(INDEX(Dossiers!$G$4:$G$63,49)="","",INDEX(Dossiers!$G$4:$G$63,49)))</f>
        <v/>
      </c>
      <c r="V2597">
        <f>IF(OR($O2597="",NOT(ISNUMBER($Q2597))),"",$Q2597*1000000+2597)</f>
        <v/>
      </c>
      <c r="W2597" s="29">
        <f>IF($B2597="","",IFERROR(INDEX($U$4:$U$3183,MATCH(SMALL($V$4:$V$3183,2594),$V$4:$V$3183,0)),""))</f>
        <v/>
      </c>
    </row>
    <row r="2598">
      <c r="A2598">
        <f>IFERROR(INDEX($N$4:$N$3183,MATCH(SMALL($V$4:$V$3183,2595),$V$4:$V$3183,0)),"")</f>
        <v/>
      </c>
      <c r="B2598">
        <f>IFERROR(INDEX($O$4:$O$3183,MATCH(SMALL($V$4:$V$3183,2595),$V$4:$V$3183,0)),"")</f>
        <v/>
      </c>
      <c r="C2598">
        <f>IFERROR(INDEX($P$4:$P$3183,MATCH(SMALL($V$4:$V$3183,2595),$V$4:$V$3183,0)),"")</f>
        <v/>
      </c>
      <c r="D2598" s="29">
        <f>IFERROR(INDEX($Q$4:$Q$3183,MATCH(SMALL($V$4:$V$3183,2595),$V$4:$V$3183,0)),"")</f>
        <v/>
      </c>
      <c r="E2598" s="29">
        <f>IFERROR(INDEX($R$4:$R$3183,MATCH(SMALL($V$4:$V$3183,2595),$V$4:$V$3183,0)),"")</f>
        <v/>
      </c>
      <c r="F2598">
        <f>IFERROR(INDEX($S$4:$S$3183,MATCH(SMALL($V$4:$V$3183,2595),$V$4:$V$3183,0)),"")</f>
        <v/>
      </c>
      <c r="I2598" s="29">
        <f>IF($B2598="","",IFERROR(INDEX($U$4:$U$3183,MATCH(SMALL($V$4:$V$3183,2595),$V$4:$V$3183,0)),""))</f>
        <v/>
      </c>
      <c r="J2598">
        <f>IF($B2598="","",IF($D2598&gt;$F$2,"À venir",IF($E2598&lt;$D$2,"Passé","Dans la période")))</f>
        <v/>
      </c>
      <c r="K2598">
        <f>IF(OR($B2598="",NOT(ISNUMBER($D2598))),"",IF(AND($E2598&lt;$D$2,$G2598&lt;&gt;"X",$F2598&lt;&gt;"Réalisé",$F2598&lt;&gt;"Clôturé"),"RETARD",""))</f>
        <v/>
      </c>
      <c r="L2598">
        <f>IF(OR($B2598="",NOT(ISNUMBER($D2598))),"",IF(AND($D2598&gt;=$D$2,$D2598&lt;=$H$2,$G2598&lt;&gt;"X",$F2598&lt;&gt;"Réalisé",$F2598&lt;&gt;"Clôturé"),"≤ 7 j",""))</f>
        <v/>
      </c>
      <c r="M2598" s="29">
        <f>IF($B2598="","",IFERROR(INDEX($T$4:$T$3183,MATCH(SMALL($V$4:$V$3183,2595),$V$4:$V$3183,0)),""))</f>
        <v/>
      </c>
      <c r="O2598">
        <f>IF(INDEX(Suivi!$B:$B,2647)="","",INDEX(Suivi!$B:$B,2647))</f>
        <v/>
      </c>
      <c r="P2598">
        <f>IF($O2598="","",IF(INDEX(Suivi!$D:$D,2647)="",INDEX(Suivi!$C:$C,2647),INDEX(Suivi!$D:$D,2647)))</f>
        <v/>
      </c>
      <c r="Q2598">
        <f>IF($O2598="","",INDEX(Suivi!$E:$E,2647))</f>
        <v/>
      </c>
      <c r="R2598">
        <f>IF($O2598="","",INDEX(Suivi!$F:$F,2647))</f>
        <v/>
      </c>
      <c r="S2598">
        <f>IF($O2598="","",INDEX(Suivi!$G:$G,2647))</f>
        <v/>
      </c>
      <c r="T2598">
        <f>IF($O2598="","",IF(INDEX(Dossiers!$F$4:$F$63,49)="","",INDEX(Dossiers!$F$4:$F$63,49)))</f>
        <v/>
      </c>
      <c r="U2598">
        <f>IF($O2598="","",IF(INDEX(Dossiers!$G$4:$G$63,49)="","",INDEX(Dossiers!$G$4:$G$63,49)))</f>
        <v/>
      </c>
      <c r="V2598">
        <f>IF(OR($O2598="",NOT(ISNUMBER($Q2598))),"",$Q2598*1000000+2598)</f>
        <v/>
      </c>
      <c r="W2598" s="29">
        <f>IF($B2598="","",IFERROR(INDEX($U$4:$U$3183,MATCH(SMALL($V$4:$V$3183,2595),$V$4:$V$3183,0)),""))</f>
        <v/>
      </c>
    </row>
    <row r="2599">
      <c r="A2599">
        <f>IFERROR(INDEX($N$4:$N$3183,MATCH(SMALL($V$4:$V$3183,2596),$V$4:$V$3183,0)),"")</f>
        <v/>
      </c>
      <c r="B2599">
        <f>IFERROR(INDEX($O$4:$O$3183,MATCH(SMALL($V$4:$V$3183,2596),$V$4:$V$3183,0)),"")</f>
        <v/>
      </c>
      <c r="C2599">
        <f>IFERROR(INDEX($P$4:$P$3183,MATCH(SMALL($V$4:$V$3183,2596),$V$4:$V$3183,0)),"")</f>
        <v/>
      </c>
      <c r="D2599" s="29">
        <f>IFERROR(INDEX($Q$4:$Q$3183,MATCH(SMALL($V$4:$V$3183,2596),$V$4:$V$3183,0)),"")</f>
        <v/>
      </c>
      <c r="E2599" s="29">
        <f>IFERROR(INDEX($R$4:$R$3183,MATCH(SMALL($V$4:$V$3183,2596),$V$4:$V$3183,0)),"")</f>
        <v/>
      </c>
      <c r="F2599">
        <f>IFERROR(INDEX($S$4:$S$3183,MATCH(SMALL($V$4:$V$3183,2596),$V$4:$V$3183,0)),"")</f>
        <v/>
      </c>
      <c r="I2599" s="29">
        <f>IF($B2599="","",IFERROR(INDEX($U$4:$U$3183,MATCH(SMALL($V$4:$V$3183,2596),$V$4:$V$3183,0)),""))</f>
        <v/>
      </c>
      <c r="J2599">
        <f>IF($B2599="","",IF($D2599&gt;$F$2,"À venir",IF($E2599&lt;$D$2,"Passé","Dans la période")))</f>
        <v/>
      </c>
      <c r="K2599">
        <f>IF(OR($B2599="",NOT(ISNUMBER($D2599))),"",IF(AND($E2599&lt;$D$2,$G2599&lt;&gt;"X",$F2599&lt;&gt;"Réalisé",$F2599&lt;&gt;"Clôturé"),"RETARD",""))</f>
        <v/>
      </c>
      <c r="L2599">
        <f>IF(OR($B2599="",NOT(ISNUMBER($D2599))),"",IF(AND($D2599&gt;=$D$2,$D2599&lt;=$H$2,$G2599&lt;&gt;"X",$F2599&lt;&gt;"Réalisé",$F2599&lt;&gt;"Clôturé"),"≤ 7 j",""))</f>
        <v/>
      </c>
      <c r="M2599" s="29">
        <f>IF($B2599="","",IFERROR(INDEX($T$4:$T$3183,MATCH(SMALL($V$4:$V$3183,2596),$V$4:$V$3183,0)),""))</f>
        <v/>
      </c>
      <c r="O2599">
        <f>IF(INDEX(Suivi!$B:$B,2648)="","",INDEX(Suivi!$B:$B,2648))</f>
        <v/>
      </c>
      <c r="P2599">
        <f>IF($O2599="","",IF(INDEX(Suivi!$D:$D,2648)="",INDEX(Suivi!$C:$C,2648),INDEX(Suivi!$D:$D,2648)))</f>
        <v/>
      </c>
      <c r="Q2599">
        <f>IF($O2599="","",INDEX(Suivi!$E:$E,2648))</f>
        <v/>
      </c>
      <c r="R2599">
        <f>IF($O2599="","",INDEX(Suivi!$F:$F,2648))</f>
        <v/>
      </c>
      <c r="S2599">
        <f>IF($O2599="","",INDEX(Suivi!$G:$G,2648))</f>
        <v/>
      </c>
      <c r="T2599">
        <f>IF($O2599="","",IF(INDEX(Dossiers!$F$4:$F$63,49)="","",INDEX(Dossiers!$F$4:$F$63,49)))</f>
        <v/>
      </c>
      <c r="U2599">
        <f>IF($O2599="","",IF(INDEX(Dossiers!$G$4:$G$63,49)="","",INDEX(Dossiers!$G$4:$G$63,49)))</f>
        <v/>
      </c>
      <c r="V2599">
        <f>IF(OR($O2599="",NOT(ISNUMBER($Q2599))),"",$Q2599*1000000+2599)</f>
        <v/>
      </c>
      <c r="W2599" s="29">
        <f>IF($B2599="","",IFERROR(INDEX($U$4:$U$3183,MATCH(SMALL($V$4:$V$3183,2596),$V$4:$V$3183,0)),""))</f>
        <v/>
      </c>
    </row>
    <row r="2600">
      <c r="A2600">
        <f>IFERROR(INDEX($N$4:$N$3183,MATCH(SMALL($V$4:$V$3183,2597),$V$4:$V$3183,0)),"")</f>
        <v/>
      </c>
      <c r="B2600">
        <f>IFERROR(INDEX($O$4:$O$3183,MATCH(SMALL($V$4:$V$3183,2597),$V$4:$V$3183,0)),"")</f>
        <v/>
      </c>
      <c r="C2600">
        <f>IFERROR(INDEX($P$4:$P$3183,MATCH(SMALL($V$4:$V$3183,2597),$V$4:$V$3183,0)),"")</f>
        <v/>
      </c>
      <c r="D2600" s="29">
        <f>IFERROR(INDEX($Q$4:$Q$3183,MATCH(SMALL($V$4:$V$3183,2597),$V$4:$V$3183,0)),"")</f>
        <v/>
      </c>
      <c r="E2600" s="29">
        <f>IFERROR(INDEX($R$4:$R$3183,MATCH(SMALL($V$4:$V$3183,2597),$V$4:$V$3183,0)),"")</f>
        <v/>
      </c>
      <c r="F2600">
        <f>IFERROR(INDEX($S$4:$S$3183,MATCH(SMALL($V$4:$V$3183,2597),$V$4:$V$3183,0)),"")</f>
        <v/>
      </c>
      <c r="I2600" s="29">
        <f>IF($B2600="","",IFERROR(INDEX($U$4:$U$3183,MATCH(SMALL($V$4:$V$3183,2597),$V$4:$V$3183,0)),""))</f>
        <v/>
      </c>
      <c r="J2600">
        <f>IF($B2600="","",IF($D2600&gt;$F$2,"À venir",IF($E2600&lt;$D$2,"Passé","Dans la période")))</f>
        <v/>
      </c>
      <c r="K2600">
        <f>IF(OR($B2600="",NOT(ISNUMBER($D2600))),"",IF(AND($E2600&lt;$D$2,$G2600&lt;&gt;"X",$F2600&lt;&gt;"Réalisé",$F2600&lt;&gt;"Clôturé"),"RETARD",""))</f>
        <v/>
      </c>
      <c r="L2600">
        <f>IF(OR($B2600="",NOT(ISNUMBER($D2600))),"",IF(AND($D2600&gt;=$D$2,$D2600&lt;=$H$2,$G2600&lt;&gt;"X",$F2600&lt;&gt;"Réalisé",$F2600&lt;&gt;"Clôturé"),"≤ 7 j",""))</f>
        <v/>
      </c>
      <c r="M2600" s="29">
        <f>IF($B2600="","",IFERROR(INDEX($T$4:$T$3183,MATCH(SMALL($V$4:$V$3183,2597),$V$4:$V$3183,0)),""))</f>
        <v/>
      </c>
      <c r="O2600">
        <f>IF(INDEX(Suivi!$B:$B,2649)="","",INDEX(Suivi!$B:$B,2649))</f>
        <v/>
      </c>
      <c r="P2600">
        <f>IF($O2600="","",IF(INDEX(Suivi!$D:$D,2649)="",INDEX(Suivi!$C:$C,2649),INDEX(Suivi!$D:$D,2649)))</f>
        <v/>
      </c>
      <c r="Q2600">
        <f>IF($O2600="","",INDEX(Suivi!$E:$E,2649))</f>
        <v/>
      </c>
      <c r="R2600">
        <f>IF($O2600="","",INDEX(Suivi!$F:$F,2649))</f>
        <v/>
      </c>
      <c r="S2600">
        <f>IF($O2600="","",INDEX(Suivi!$G:$G,2649))</f>
        <v/>
      </c>
      <c r="T2600">
        <f>IF($O2600="","",IF(INDEX(Dossiers!$F$4:$F$63,49)="","",INDEX(Dossiers!$F$4:$F$63,49)))</f>
        <v/>
      </c>
      <c r="U2600">
        <f>IF($O2600="","",IF(INDEX(Dossiers!$G$4:$G$63,49)="","",INDEX(Dossiers!$G$4:$G$63,49)))</f>
        <v/>
      </c>
      <c r="V2600">
        <f>IF(OR($O2600="",NOT(ISNUMBER($Q2600))),"",$Q2600*1000000+2600)</f>
        <v/>
      </c>
      <c r="W2600" s="29">
        <f>IF($B2600="","",IFERROR(INDEX($U$4:$U$3183,MATCH(SMALL($V$4:$V$3183,2597),$V$4:$V$3183,0)),""))</f>
        <v/>
      </c>
    </row>
    <row r="2601">
      <c r="A2601">
        <f>IFERROR(INDEX($N$4:$N$3183,MATCH(SMALL($V$4:$V$3183,2598),$V$4:$V$3183,0)),"")</f>
        <v/>
      </c>
      <c r="B2601">
        <f>IFERROR(INDEX($O$4:$O$3183,MATCH(SMALL($V$4:$V$3183,2598),$V$4:$V$3183,0)),"")</f>
        <v/>
      </c>
      <c r="C2601">
        <f>IFERROR(INDEX($P$4:$P$3183,MATCH(SMALL($V$4:$V$3183,2598),$V$4:$V$3183,0)),"")</f>
        <v/>
      </c>
      <c r="D2601" s="29">
        <f>IFERROR(INDEX($Q$4:$Q$3183,MATCH(SMALL($V$4:$V$3183,2598),$V$4:$V$3183,0)),"")</f>
        <v/>
      </c>
      <c r="E2601" s="29">
        <f>IFERROR(INDEX($R$4:$R$3183,MATCH(SMALL($V$4:$V$3183,2598),$V$4:$V$3183,0)),"")</f>
        <v/>
      </c>
      <c r="F2601">
        <f>IFERROR(INDEX($S$4:$S$3183,MATCH(SMALL($V$4:$V$3183,2598),$V$4:$V$3183,0)),"")</f>
        <v/>
      </c>
      <c r="I2601" s="29">
        <f>IF($B2601="","",IFERROR(INDEX($U$4:$U$3183,MATCH(SMALL($V$4:$V$3183,2598),$V$4:$V$3183,0)),""))</f>
        <v/>
      </c>
      <c r="J2601">
        <f>IF($B2601="","",IF($D2601&gt;$F$2,"À venir",IF($E2601&lt;$D$2,"Passé","Dans la période")))</f>
        <v/>
      </c>
      <c r="K2601">
        <f>IF(OR($B2601="",NOT(ISNUMBER($D2601))),"",IF(AND($E2601&lt;$D$2,$G2601&lt;&gt;"X",$F2601&lt;&gt;"Réalisé",$F2601&lt;&gt;"Clôturé"),"RETARD",""))</f>
        <v/>
      </c>
      <c r="L2601">
        <f>IF(OR($B2601="",NOT(ISNUMBER($D2601))),"",IF(AND($D2601&gt;=$D$2,$D2601&lt;=$H$2,$G2601&lt;&gt;"X",$F2601&lt;&gt;"Réalisé",$F2601&lt;&gt;"Clôturé"),"≤ 7 j",""))</f>
        <v/>
      </c>
      <c r="M2601" s="29">
        <f>IF($B2601="","",IFERROR(INDEX($T$4:$T$3183,MATCH(SMALL($V$4:$V$3183,2598),$V$4:$V$3183,0)),""))</f>
        <v/>
      </c>
      <c r="O2601">
        <f>IF(INDEX(Suivi!$B:$B,2651)="","",INDEX(Suivi!$B:$B,2651))</f>
        <v/>
      </c>
      <c r="P2601">
        <f>IF($O2601="","",IF(INDEX(Suivi!$D:$D,2651)="",INDEX(Suivi!$C:$C,2651),INDEX(Suivi!$D:$D,2651)))</f>
        <v/>
      </c>
      <c r="Q2601">
        <f>IF($O2601="","",INDEX(Suivi!$E:$E,2651))</f>
        <v/>
      </c>
      <c r="R2601">
        <f>IF($O2601="","",INDEX(Suivi!$F:$F,2651))</f>
        <v/>
      </c>
      <c r="S2601">
        <f>IF($O2601="","",INDEX(Suivi!$G:$G,2651))</f>
        <v/>
      </c>
      <c r="T2601">
        <f>IF($O2601="","",IF(INDEX(Dossiers!$F$4:$F$63,50)="","",INDEX(Dossiers!$F$4:$F$63,50)))</f>
        <v/>
      </c>
      <c r="U2601">
        <f>IF($O2601="","",IF(INDEX(Dossiers!$G$4:$G$63,50)="","",INDEX(Dossiers!$G$4:$G$63,50)))</f>
        <v/>
      </c>
      <c r="V2601">
        <f>IF(OR($O2601="",NOT(ISNUMBER($Q2601))),"",$Q2601*1000000+2601)</f>
        <v/>
      </c>
      <c r="W2601" s="29">
        <f>IF($B2601="","",IFERROR(INDEX($U$4:$U$3183,MATCH(SMALL($V$4:$V$3183,2598),$V$4:$V$3183,0)),""))</f>
        <v/>
      </c>
    </row>
    <row r="2602">
      <c r="A2602">
        <f>IFERROR(INDEX($N$4:$N$3183,MATCH(SMALL($V$4:$V$3183,2599),$V$4:$V$3183,0)),"")</f>
        <v/>
      </c>
      <c r="B2602">
        <f>IFERROR(INDEX($O$4:$O$3183,MATCH(SMALL($V$4:$V$3183,2599),$V$4:$V$3183,0)),"")</f>
        <v/>
      </c>
      <c r="C2602">
        <f>IFERROR(INDEX($P$4:$P$3183,MATCH(SMALL($V$4:$V$3183,2599),$V$4:$V$3183,0)),"")</f>
        <v/>
      </c>
      <c r="D2602" s="29">
        <f>IFERROR(INDEX($Q$4:$Q$3183,MATCH(SMALL($V$4:$V$3183,2599),$V$4:$V$3183,0)),"")</f>
        <v/>
      </c>
      <c r="E2602" s="29">
        <f>IFERROR(INDEX($R$4:$R$3183,MATCH(SMALL($V$4:$V$3183,2599),$V$4:$V$3183,0)),"")</f>
        <v/>
      </c>
      <c r="F2602">
        <f>IFERROR(INDEX($S$4:$S$3183,MATCH(SMALL($V$4:$V$3183,2599),$V$4:$V$3183,0)),"")</f>
        <v/>
      </c>
      <c r="I2602" s="29">
        <f>IF($B2602="","",IFERROR(INDEX($U$4:$U$3183,MATCH(SMALL($V$4:$V$3183,2599),$V$4:$V$3183,0)),""))</f>
        <v/>
      </c>
      <c r="J2602">
        <f>IF($B2602="","",IF($D2602&gt;$F$2,"À venir",IF($E2602&lt;$D$2,"Passé","Dans la période")))</f>
        <v/>
      </c>
      <c r="K2602">
        <f>IF(OR($B2602="",NOT(ISNUMBER($D2602))),"",IF(AND($E2602&lt;$D$2,$G2602&lt;&gt;"X",$F2602&lt;&gt;"Réalisé",$F2602&lt;&gt;"Clôturé"),"RETARD",""))</f>
        <v/>
      </c>
      <c r="L2602">
        <f>IF(OR($B2602="",NOT(ISNUMBER($D2602))),"",IF(AND($D2602&gt;=$D$2,$D2602&lt;=$H$2,$G2602&lt;&gt;"X",$F2602&lt;&gt;"Réalisé",$F2602&lt;&gt;"Clôturé"),"≤ 7 j",""))</f>
        <v/>
      </c>
      <c r="M2602" s="29">
        <f>IF($B2602="","",IFERROR(INDEX($T$4:$T$3183,MATCH(SMALL($V$4:$V$3183,2599),$V$4:$V$3183,0)),""))</f>
        <v/>
      </c>
      <c r="O2602">
        <f>IF(INDEX(Suivi!$B:$B,2652)="","",INDEX(Suivi!$B:$B,2652))</f>
        <v/>
      </c>
      <c r="P2602">
        <f>IF($O2602="","",IF(INDEX(Suivi!$D:$D,2652)="",INDEX(Suivi!$C:$C,2652),INDEX(Suivi!$D:$D,2652)))</f>
        <v/>
      </c>
      <c r="Q2602">
        <f>IF($O2602="","",INDEX(Suivi!$E:$E,2652))</f>
        <v/>
      </c>
      <c r="R2602">
        <f>IF($O2602="","",INDEX(Suivi!$F:$F,2652))</f>
        <v/>
      </c>
      <c r="S2602">
        <f>IF($O2602="","",INDEX(Suivi!$G:$G,2652))</f>
        <v/>
      </c>
      <c r="T2602">
        <f>IF($O2602="","",IF(INDEX(Dossiers!$F$4:$F$63,50)="","",INDEX(Dossiers!$F$4:$F$63,50)))</f>
        <v/>
      </c>
      <c r="U2602">
        <f>IF($O2602="","",IF(INDEX(Dossiers!$G$4:$G$63,50)="","",INDEX(Dossiers!$G$4:$G$63,50)))</f>
        <v/>
      </c>
      <c r="V2602">
        <f>IF(OR($O2602="",NOT(ISNUMBER($Q2602))),"",$Q2602*1000000+2602)</f>
        <v/>
      </c>
      <c r="W2602" s="29">
        <f>IF($B2602="","",IFERROR(INDEX($U$4:$U$3183,MATCH(SMALL($V$4:$V$3183,2599),$V$4:$V$3183,0)),""))</f>
        <v/>
      </c>
    </row>
    <row r="2603">
      <c r="A2603">
        <f>IFERROR(INDEX($N$4:$N$3183,MATCH(SMALL($V$4:$V$3183,2600),$V$4:$V$3183,0)),"")</f>
        <v/>
      </c>
      <c r="B2603">
        <f>IFERROR(INDEX($O$4:$O$3183,MATCH(SMALL($V$4:$V$3183,2600),$V$4:$V$3183,0)),"")</f>
        <v/>
      </c>
      <c r="C2603">
        <f>IFERROR(INDEX($P$4:$P$3183,MATCH(SMALL($V$4:$V$3183,2600),$V$4:$V$3183,0)),"")</f>
        <v/>
      </c>
      <c r="D2603" s="29">
        <f>IFERROR(INDEX($Q$4:$Q$3183,MATCH(SMALL($V$4:$V$3183,2600),$V$4:$V$3183,0)),"")</f>
        <v/>
      </c>
      <c r="E2603" s="29">
        <f>IFERROR(INDEX($R$4:$R$3183,MATCH(SMALL($V$4:$V$3183,2600),$V$4:$V$3183,0)),"")</f>
        <v/>
      </c>
      <c r="F2603">
        <f>IFERROR(INDEX($S$4:$S$3183,MATCH(SMALL($V$4:$V$3183,2600),$V$4:$V$3183,0)),"")</f>
        <v/>
      </c>
      <c r="I2603" s="29">
        <f>IF($B2603="","",IFERROR(INDEX($U$4:$U$3183,MATCH(SMALL($V$4:$V$3183,2600),$V$4:$V$3183,0)),""))</f>
        <v/>
      </c>
      <c r="J2603">
        <f>IF($B2603="","",IF($D2603&gt;$F$2,"À venir",IF($E2603&lt;$D$2,"Passé","Dans la période")))</f>
        <v/>
      </c>
      <c r="K2603">
        <f>IF(OR($B2603="",NOT(ISNUMBER($D2603))),"",IF(AND($E2603&lt;$D$2,$G2603&lt;&gt;"X",$F2603&lt;&gt;"Réalisé",$F2603&lt;&gt;"Clôturé"),"RETARD",""))</f>
        <v/>
      </c>
      <c r="L2603">
        <f>IF(OR($B2603="",NOT(ISNUMBER($D2603))),"",IF(AND($D2603&gt;=$D$2,$D2603&lt;=$H$2,$G2603&lt;&gt;"X",$F2603&lt;&gt;"Réalisé",$F2603&lt;&gt;"Clôturé"),"≤ 7 j",""))</f>
        <v/>
      </c>
      <c r="M2603" s="29">
        <f>IF($B2603="","",IFERROR(INDEX($T$4:$T$3183,MATCH(SMALL($V$4:$V$3183,2600),$V$4:$V$3183,0)),""))</f>
        <v/>
      </c>
      <c r="O2603">
        <f>IF(INDEX(Suivi!$B:$B,2653)="","",INDEX(Suivi!$B:$B,2653))</f>
        <v/>
      </c>
      <c r="P2603">
        <f>IF($O2603="","",IF(INDEX(Suivi!$D:$D,2653)="",INDEX(Suivi!$C:$C,2653),INDEX(Suivi!$D:$D,2653)))</f>
        <v/>
      </c>
      <c r="Q2603">
        <f>IF($O2603="","",INDEX(Suivi!$E:$E,2653))</f>
        <v/>
      </c>
      <c r="R2603">
        <f>IF($O2603="","",INDEX(Suivi!$F:$F,2653))</f>
        <v/>
      </c>
      <c r="S2603">
        <f>IF($O2603="","",INDEX(Suivi!$G:$G,2653))</f>
        <v/>
      </c>
      <c r="T2603">
        <f>IF($O2603="","",IF(INDEX(Dossiers!$F$4:$F$63,50)="","",INDEX(Dossiers!$F$4:$F$63,50)))</f>
        <v/>
      </c>
      <c r="U2603">
        <f>IF($O2603="","",IF(INDEX(Dossiers!$G$4:$G$63,50)="","",INDEX(Dossiers!$G$4:$G$63,50)))</f>
        <v/>
      </c>
      <c r="V2603">
        <f>IF(OR($O2603="",NOT(ISNUMBER($Q2603))),"",$Q2603*1000000+2603)</f>
        <v/>
      </c>
      <c r="W2603" s="29">
        <f>IF($B2603="","",IFERROR(INDEX($U$4:$U$3183,MATCH(SMALL($V$4:$V$3183,2600),$V$4:$V$3183,0)),""))</f>
        <v/>
      </c>
    </row>
    <row r="2604">
      <c r="A2604">
        <f>IFERROR(INDEX($N$4:$N$3183,MATCH(SMALL($V$4:$V$3183,2601),$V$4:$V$3183,0)),"")</f>
        <v/>
      </c>
      <c r="B2604">
        <f>IFERROR(INDEX($O$4:$O$3183,MATCH(SMALL($V$4:$V$3183,2601),$V$4:$V$3183,0)),"")</f>
        <v/>
      </c>
      <c r="C2604">
        <f>IFERROR(INDEX($P$4:$P$3183,MATCH(SMALL($V$4:$V$3183,2601),$V$4:$V$3183,0)),"")</f>
        <v/>
      </c>
      <c r="D2604" s="29">
        <f>IFERROR(INDEX($Q$4:$Q$3183,MATCH(SMALL($V$4:$V$3183,2601),$V$4:$V$3183,0)),"")</f>
        <v/>
      </c>
      <c r="E2604" s="29">
        <f>IFERROR(INDEX($R$4:$R$3183,MATCH(SMALL($V$4:$V$3183,2601),$V$4:$V$3183,0)),"")</f>
        <v/>
      </c>
      <c r="F2604">
        <f>IFERROR(INDEX($S$4:$S$3183,MATCH(SMALL($V$4:$V$3183,2601),$V$4:$V$3183,0)),"")</f>
        <v/>
      </c>
      <c r="I2604" s="29">
        <f>IF($B2604="","",IFERROR(INDEX($U$4:$U$3183,MATCH(SMALL($V$4:$V$3183,2601),$V$4:$V$3183,0)),""))</f>
        <v/>
      </c>
      <c r="J2604">
        <f>IF($B2604="","",IF($D2604&gt;$F$2,"À venir",IF($E2604&lt;$D$2,"Passé","Dans la période")))</f>
        <v/>
      </c>
      <c r="K2604">
        <f>IF(OR($B2604="",NOT(ISNUMBER($D2604))),"",IF(AND($E2604&lt;$D$2,$G2604&lt;&gt;"X",$F2604&lt;&gt;"Réalisé",$F2604&lt;&gt;"Clôturé"),"RETARD",""))</f>
        <v/>
      </c>
      <c r="L2604">
        <f>IF(OR($B2604="",NOT(ISNUMBER($D2604))),"",IF(AND($D2604&gt;=$D$2,$D2604&lt;=$H$2,$G2604&lt;&gt;"X",$F2604&lt;&gt;"Réalisé",$F2604&lt;&gt;"Clôturé"),"≤ 7 j",""))</f>
        <v/>
      </c>
      <c r="M2604" s="29">
        <f>IF($B2604="","",IFERROR(INDEX($T$4:$T$3183,MATCH(SMALL($V$4:$V$3183,2601),$V$4:$V$3183,0)),""))</f>
        <v/>
      </c>
      <c r="O2604">
        <f>IF(INDEX(Suivi!$B:$B,2654)="","",INDEX(Suivi!$B:$B,2654))</f>
        <v/>
      </c>
      <c r="P2604">
        <f>IF($O2604="","",IF(INDEX(Suivi!$D:$D,2654)="",INDEX(Suivi!$C:$C,2654),INDEX(Suivi!$D:$D,2654)))</f>
        <v/>
      </c>
      <c r="Q2604">
        <f>IF($O2604="","",INDEX(Suivi!$E:$E,2654))</f>
        <v/>
      </c>
      <c r="R2604">
        <f>IF($O2604="","",INDEX(Suivi!$F:$F,2654))</f>
        <v/>
      </c>
      <c r="S2604">
        <f>IF($O2604="","",INDEX(Suivi!$G:$G,2654))</f>
        <v/>
      </c>
      <c r="T2604">
        <f>IF($O2604="","",IF(INDEX(Dossiers!$F$4:$F$63,50)="","",INDEX(Dossiers!$F$4:$F$63,50)))</f>
        <v/>
      </c>
      <c r="U2604">
        <f>IF($O2604="","",IF(INDEX(Dossiers!$G$4:$G$63,50)="","",INDEX(Dossiers!$G$4:$G$63,50)))</f>
        <v/>
      </c>
      <c r="V2604">
        <f>IF(OR($O2604="",NOT(ISNUMBER($Q2604))),"",$Q2604*1000000+2604)</f>
        <v/>
      </c>
      <c r="W2604" s="29">
        <f>IF($B2604="","",IFERROR(INDEX($U$4:$U$3183,MATCH(SMALL($V$4:$V$3183,2601),$V$4:$V$3183,0)),""))</f>
        <v/>
      </c>
    </row>
    <row r="2605">
      <c r="A2605">
        <f>IFERROR(INDEX($N$4:$N$3183,MATCH(SMALL($V$4:$V$3183,2602),$V$4:$V$3183,0)),"")</f>
        <v/>
      </c>
      <c r="B2605">
        <f>IFERROR(INDEX($O$4:$O$3183,MATCH(SMALL($V$4:$V$3183,2602),$V$4:$V$3183,0)),"")</f>
        <v/>
      </c>
      <c r="C2605">
        <f>IFERROR(INDEX($P$4:$P$3183,MATCH(SMALL($V$4:$V$3183,2602),$V$4:$V$3183,0)),"")</f>
        <v/>
      </c>
      <c r="D2605" s="29">
        <f>IFERROR(INDEX($Q$4:$Q$3183,MATCH(SMALL($V$4:$V$3183,2602),$V$4:$V$3183,0)),"")</f>
        <v/>
      </c>
      <c r="E2605" s="29">
        <f>IFERROR(INDEX($R$4:$R$3183,MATCH(SMALL($V$4:$V$3183,2602),$V$4:$V$3183,0)),"")</f>
        <v/>
      </c>
      <c r="F2605">
        <f>IFERROR(INDEX($S$4:$S$3183,MATCH(SMALL($V$4:$V$3183,2602),$V$4:$V$3183,0)),"")</f>
        <v/>
      </c>
      <c r="I2605" s="29">
        <f>IF($B2605="","",IFERROR(INDEX($U$4:$U$3183,MATCH(SMALL($V$4:$V$3183,2602),$V$4:$V$3183,0)),""))</f>
        <v/>
      </c>
      <c r="J2605">
        <f>IF($B2605="","",IF($D2605&gt;$F$2,"À venir",IF($E2605&lt;$D$2,"Passé","Dans la période")))</f>
        <v/>
      </c>
      <c r="K2605">
        <f>IF(OR($B2605="",NOT(ISNUMBER($D2605))),"",IF(AND($E2605&lt;$D$2,$G2605&lt;&gt;"X",$F2605&lt;&gt;"Réalisé",$F2605&lt;&gt;"Clôturé"),"RETARD",""))</f>
        <v/>
      </c>
      <c r="L2605">
        <f>IF(OR($B2605="",NOT(ISNUMBER($D2605))),"",IF(AND($D2605&gt;=$D$2,$D2605&lt;=$H$2,$G2605&lt;&gt;"X",$F2605&lt;&gt;"Réalisé",$F2605&lt;&gt;"Clôturé"),"≤ 7 j",""))</f>
        <v/>
      </c>
      <c r="M2605" s="29">
        <f>IF($B2605="","",IFERROR(INDEX($T$4:$T$3183,MATCH(SMALL($V$4:$V$3183,2602),$V$4:$V$3183,0)),""))</f>
        <v/>
      </c>
      <c r="O2605">
        <f>IF(INDEX(Suivi!$B:$B,2655)="","",INDEX(Suivi!$B:$B,2655))</f>
        <v/>
      </c>
      <c r="P2605">
        <f>IF($O2605="","",IF(INDEX(Suivi!$D:$D,2655)="",INDEX(Suivi!$C:$C,2655),INDEX(Suivi!$D:$D,2655)))</f>
        <v/>
      </c>
      <c r="Q2605">
        <f>IF($O2605="","",INDEX(Suivi!$E:$E,2655))</f>
        <v/>
      </c>
      <c r="R2605">
        <f>IF($O2605="","",INDEX(Suivi!$F:$F,2655))</f>
        <v/>
      </c>
      <c r="S2605">
        <f>IF($O2605="","",INDEX(Suivi!$G:$G,2655))</f>
        <v/>
      </c>
      <c r="T2605">
        <f>IF($O2605="","",IF(INDEX(Dossiers!$F$4:$F$63,50)="","",INDEX(Dossiers!$F$4:$F$63,50)))</f>
        <v/>
      </c>
      <c r="U2605">
        <f>IF($O2605="","",IF(INDEX(Dossiers!$G$4:$G$63,50)="","",INDEX(Dossiers!$G$4:$G$63,50)))</f>
        <v/>
      </c>
      <c r="V2605">
        <f>IF(OR($O2605="",NOT(ISNUMBER($Q2605))),"",$Q2605*1000000+2605)</f>
        <v/>
      </c>
      <c r="W2605" s="29">
        <f>IF($B2605="","",IFERROR(INDEX($U$4:$U$3183,MATCH(SMALL($V$4:$V$3183,2602),$V$4:$V$3183,0)),""))</f>
        <v/>
      </c>
    </row>
    <row r="2606">
      <c r="A2606">
        <f>IFERROR(INDEX($N$4:$N$3183,MATCH(SMALL($V$4:$V$3183,2603),$V$4:$V$3183,0)),"")</f>
        <v/>
      </c>
      <c r="B2606">
        <f>IFERROR(INDEX($O$4:$O$3183,MATCH(SMALL($V$4:$V$3183,2603),$V$4:$V$3183,0)),"")</f>
        <v/>
      </c>
      <c r="C2606">
        <f>IFERROR(INDEX($P$4:$P$3183,MATCH(SMALL($V$4:$V$3183,2603),$V$4:$V$3183,0)),"")</f>
        <v/>
      </c>
      <c r="D2606" s="29">
        <f>IFERROR(INDEX($Q$4:$Q$3183,MATCH(SMALL($V$4:$V$3183,2603),$V$4:$V$3183,0)),"")</f>
        <v/>
      </c>
      <c r="E2606" s="29">
        <f>IFERROR(INDEX($R$4:$R$3183,MATCH(SMALL($V$4:$V$3183,2603),$V$4:$V$3183,0)),"")</f>
        <v/>
      </c>
      <c r="F2606">
        <f>IFERROR(INDEX($S$4:$S$3183,MATCH(SMALL($V$4:$V$3183,2603),$V$4:$V$3183,0)),"")</f>
        <v/>
      </c>
      <c r="I2606" s="29">
        <f>IF($B2606="","",IFERROR(INDEX($U$4:$U$3183,MATCH(SMALL($V$4:$V$3183,2603),$V$4:$V$3183,0)),""))</f>
        <v/>
      </c>
      <c r="J2606">
        <f>IF($B2606="","",IF($D2606&gt;$F$2,"À venir",IF($E2606&lt;$D$2,"Passé","Dans la période")))</f>
        <v/>
      </c>
      <c r="K2606">
        <f>IF(OR($B2606="",NOT(ISNUMBER($D2606))),"",IF(AND($E2606&lt;$D$2,$G2606&lt;&gt;"X",$F2606&lt;&gt;"Réalisé",$F2606&lt;&gt;"Clôturé"),"RETARD",""))</f>
        <v/>
      </c>
      <c r="L2606">
        <f>IF(OR($B2606="",NOT(ISNUMBER($D2606))),"",IF(AND($D2606&gt;=$D$2,$D2606&lt;=$H$2,$G2606&lt;&gt;"X",$F2606&lt;&gt;"Réalisé",$F2606&lt;&gt;"Clôturé"),"≤ 7 j",""))</f>
        <v/>
      </c>
      <c r="M2606" s="29">
        <f>IF($B2606="","",IFERROR(INDEX($T$4:$T$3183,MATCH(SMALL($V$4:$V$3183,2603),$V$4:$V$3183,0)),""))</f>
        <v/>
      </c>
      <c r="O2606">
        <f>IF(INDEX(Suivi!$B:$B,2656)="","",INDEX(Suivi!$B:$B,2656))</f>
        <v/>
      </c>
      <c r="P2606">
        <f>IF($O2606="","",IF(INDEX(Suivi!$D:$D,2656)="",INDEX(Suivi!$C:$C,2656),INDEX(Suivi!$D:$D,2656)))</f>
        <v/>
      </c>
      <c r="Q2606">
        <f>IF($O2606="","",INDEX(Suivi!$E:$E,2656))</f>
        <v/>
      </c>
      <c r="R2606">
        <f>IF($O2606="","",INDEX(Suivi!$F:$F,2656))</f>
        <v/>
      </c>
      <c r="S2606">
        <f>IF($O2606="","",INDEX(Suivi!$G:$G,2656))</f>
        <v/>
      </c>
      <c r="T2606">
        <f>IF($O2606="","",IF(INDEX(Dossiers!$F$4:$F$63,50)="","",INDEX(Dossiers!$F$4:$F$63,50)))</f>
        <v/>
      </c>
      <c r="U2606">
        <f>IF($O2606="","",IF(INDEX(Dossiers!$G$4:$G$63,50)="","",INDEX(Dossiers!$G$4:$G$63,50)))</f>
        <v/>
      </c>
      <c r="V2606">
        <f>IF(OR($O2606="",NOT(ISNUMBER($Q2606))),"",$Q2606*1000000+2606)</f>
        <v/>
      </c>
      <c r="W2606" s="29">
        <f>IF($B2606="","",IFERROR(INDEX($U$4:$U$3183,MATCH(SMALL($V$4:$V$3183,2603),$V$4:$V$3183,0)),""))</f>
        <v/>
      </c>
    </row>
    <row r="2607">
      <c r="A2607">
        <f>IFERROR(INDEX($N$4:$N$3183,MATCH(SMALL($V$4:$V$3183,2604),$V$4:$V$3183,0)),"")</f>
        <v/>
      </c>
      <c r="B2607">
        <f>IFERROR(INDEX($O$4:$O$3183,MATCH(SMALL($V$4:$V$3183,2604),$V$4:$V$3183,0)),"")</f>
        <v/>
      </c>
      <c r="C2607">
        <f>IFERROR(INDEX($P$4:$P$3183,MATCH(SMALL($V$4:$V$3183,2604),$V$4:$V$3183,0)),"")</f>
        <v/>
      </c>
      <c r="D2607" s="29">
        <f>IFERROR(INDEX($Q$4:$Q$3183,MATCH(SMALL($V$4:$V$3183,2604),$V$4:$V$3183,0)),"")</f>
        <v/>
      </c>
      <c r="E2607" s="29">
        <f>IFERROR(INDEX($R$4:$R$3183,MATCH(SMALL($V$4:$V$3183,2604),$V$4:$V$3183,0)),"")</f>
        <v/>
      </c>
      <c r="F2607">
        <f>IFERROR(INDEX($S$4:$S$3183,MATCH(SMALL($V$4:$V$3183,2604),$V$4:$V$3183,0)),"")</f>
        <v/>
      </c>
      <c r="I2607" s="29">
        <f>IF($B2607="","",IFERROR(INDEX($U$4:$U$3183,MATCH(SMALL($V$4:$V$3183,2604),$V$4:$V$3183,0)),""))</f>
        <v/>
      </c>
      <c r="J2607">
        <f>IF($B2607="","",IF($D2607&gt;$F$2,"À venir",IF($E2607&lt;$D$2,"Passé","Dans la période")))</f>
        <v/>
      </c>
      <c r="K2607">
        <f>IF(OR($B2607="",NOT(ISNUMBER($D2607))),"",IF(AND($E2607&lt;$D$2,$G2607&lt;&gt;"X",$F2607&lt;&gt;"Réalisé",$F2607&lt;&gt;"Clôturé"),"RETARD",""))</f>
        <v/>
      </c>
      <c r="L2607">
        <f>IF(OR($B2607="",NOT(ISNUMBER($D2607))),"",IF(AND($D2607&gt;=$D$2,$D2607&lt;=$H$2,$G2607&lt;&gt;"X",$F2607&lt;&gt;"Réalisé",$F2607&lt;&gt;"Clôturé"),"≤ 7 j",""))</f>
        <v/>
      </c>
      <c r="M2607" s="29">
        <f>IF($B2607="","",IFERROR(INDEX($T$4:$T$3183,MATCH(SMALL($V$4:$V$3183,2604),$V$4:$V$3183,0)),""))</f>
        <v/>
      </c>
      <c r="O2607">
        <f>IF(INDEX(Suivi!$B:$B,2657)="","",INDEX(Suivi!$B:$B,2657))</f>
        <v/>
      </c>
      <c r="P2607">
        <f>IF($O2607="","",IF(INDEX(Suivi!$D:$D,2657)="",INDEX(Suivi!$C:$C,2657),INDEX(Suivi!$D:$D,2657)))</f>
        <v/>
      </c>
      <c r="Q2607">
        <f>IF($O2607="","",INDEX(Suivi!$E:$E,2657))</f>
        <v/>
      </c>
      <c r="R2607">
        <f>IF($O2607="","",INDEX(Suivi!$F:$F,2657))</f>
        <v/>
      </c>
      <c r="S2607">
        <f>IF($O2607="","",INDEX(Suivi!$G:$G,2657))</f>
        <v/>
      </c>
      <c r="T2607">
        <f>IF($O2607="","",IF(INDEX(Dossiers!$F$4:$F$63,50)="","",INDEX(Dossiers!$F$4:$F$63,50)))</f>
        <v/>
      </c>
      <c r="U2607">
        <f>IF($O2607="","",IF(INDEX(Dossiers!$G$4:$G$63,50)="","",INDEX(Dossiers!$G$4:$G$63,50)))</f>
        <v/>
      </c>
      <c r="V2607">
        <f>IF(OR($O2607="",NOT(ISNUMBER($Q2607))),"",$Q2607*1000000+2607)</f>
        <v/>
      </c>
      <c r="W2607" s="29">
        <f>IF($B2607="","",IFERROR(INDEX($U$4:$U$3183,MATCH(SMALL($V$4:$V$3183,2604),$V$4:$V$3183,0)),""))</f>
        <v/>
      </c>
    </row>
    <row r="2608">
      <c r="A2608">
        <f>IFERROR(INDEX($N$4:$N$3183,MATCH(SMALL($V$4:$V$3183,2605),$V$4:$V$3183,0)),"")</f>
        <v/>
      </c>
      <c r="B2608">
        <f>IFERROR(INDEX($O$4:$O$3183,MATCH(SMALL($V$4:$V$3183,2605),$V$4:$V$3183,0)),"")</f>
        <v/>
      </c>
      <c r="C2608">
        <f>IFERROR(INDEX($P$4:$P$3183,MATCH(SMALL($V$4:$V$3183,2605),$V$4:$V$3183,0)),"")</f>
        <v/>
      </c>
      <c r="D2608" s="29">
        <f>IFERROR(INDEX($Q$4:$Q$3183,MATCH(SMALL($V$4:$V$3183,2605),$V$4:$V$3183,0)),"")</f>
        <v/>
      </c>
      <c r="E2608" s="29">
        <f>IFERROR(INDEX($R$4:$R$3183,MATCH(SMALL($V$4:$V$3183,2605),$V$4:$V$3183,0)),"")</f>
        <v/>
      </c>
      <c r="F2608">
        <f>IFERROR(INDEX($S$4:$S$3183,MATCH(SMALL($V$4:$V$3183,2605),$V$4:$V$3183,0)),"")</f>
        <v/>
      </c>
      <c r="I2608" s="29">
        <f>IF($B2608="","",IFERROR(INDEX($U$4:$U$3183,MATCH(SMALL($V$4:$V$3183,2605),$V$4:$V$3183,0)),""))</f>
        <v/>
      </c>
      <c r="J2608">
        <f>IF($B2608="","",IF($D2608&gt;$F$2,"À venir",IF($E2608&lt;$D$2,"Passé","Dans la période")))</f>
        <v/>
      </c>
      <c r="K2608">
        <f>IF(OR($B2608="",NOT(ISNUMBER($D2608))),"",IF(AND($E2608&lt;$D$2,$G2608&lt;&gt;"X",$F2608&lt;&gt;"Réalisé",$F2608&lt;&gt;"Clôturé"),"RETARD",""))</f>
        <v/>
      </c>
      <c r="L2608">
        <f>IF(OR($B2608="",NOT(ISNUMBER($D2608))),"",IF(AND($D2608&gt;=$D$2,$D2608&lt;=$H$2,$G2608&lt;&gt;"X",$F2608&lt;&gt;"Réalisé",$F2608&lt;&gt;"Clôturé"),"≤ 7 j",""))</f>
        <v/>
      </c>
      <c r="M2608" s="29">
        <f>IF($B2608="","",IFERROR(INDEX($T$4:$T$3183,MATCH(SMALL($V$4:$V$3183,2605),$V$4:$V$3183,0)),""))</f>
        <v/>
      </c>
      <c r="O2608">
        <f>IF(INDEX(Suivi!$B:$B,2658)="","",INDEX(Suivi!$B:$B,2658))</f>
        <v/>
      </c>
      <c r="P2608">
        <f>IF($O2608="","",IF(INDEX(Suivi!$D:$D,2658)="",INDEX(Suivi!$C:$C,2658),INDEX(Suivi!$D:$D,2658)))</f>
        <v/>
      </c>
      <c r="Q2608">
        <f>IF($O2608="","",INDEX(Suivi!$E:$E,2658))</f>
        <v/>
      </c>
      <c r="R2608">
        <f>IF($O2608="","",INDEX(Suivi!$F:$F,2658))</f>
        <v/>
      </c>
      <c r="S2608">
        <f>IF($O2608="","",INDEX(Suivi!$G:$G,2658))</f>
        <v/>
      </c>
      <c r="T2608">
        <f>IF($O2608="","",IF(INDEX(Dossiers!$F$4:$F$63,50)="","",INDEX(Dossiers!$F$4:$F$63,50)))</f>
        <v/>
      </c>
      <c r="U2608">
        <f>IF($O2608="","",IF(INDEX(Dossiers!$G$4:$G$63,50)="","",INDEX(Dossiers!$G$4:$G$63,50)))</f>
        <v/>
      </c>
      <c r="V2608">
        <f>IF(OR($O2608="",NOT(ISNUMBER($Q2608))),"",$Q2608*1000000+2608)</f>
        <v/>
      </c>
      <c r="W2608" s="29">
        <f>IF($B2608="","",IFERROR(INDEX($U$4:$U$3183,MATCH(SMALL($V$4:$V$3183,2605),$V$4:$V$3183,0)),""))</f>
        <v/>
      </c>
    </row>
    <row r="2609">
      <c r="A2609">
        <f>IFERROR(INDEX($N$4:$N$3183,MATCH(SMALL($V$4:$V$3183,2606),$V$4:$V$3183,0)),"")</f>
        <v/>
      </c>
      <c r="B2609">
        <f>IFERROR(INDEX($O$4:$O$3183,MATCH(SMALL($V$4:$V$3183,2606),$V$4:$V$3183,0)),"")</f>
        <v/>
      </c>
      <c r="C2609">
        <f>IFERROR(INDEX($P$4:$P$3183,MATCH(SMALL($V$4:$V$3183,2606),$V$4:$V$3183,0)),"")</f>
        <v/>
      </c>
      <c r="D2609" s="29">
        <f>IFERROR(INDEX($Q$4:$Q$3183,MATCH(SMALL($V$4:$V$3183,2606),$V$4:$V$3183,0)),"")</f>
        <v/>
      </c>
      <c r="E2609" s="29">
        <f>IFERROR(INDEX($R$4:$R$3183,MATCH(SMALL($V$4:$V$3183,2606),$V$4:$V$3183,0)),"")</f>
        <v/>
      </c>
      <c r="F2609">
        <f>IFERROR(INDEX($S$4:$S$3183,MATCH(SMALL($V$4:$V$3183,2606),$V$4:$V$3183,0)),"")</f>
        <v/>
      </c>
      <c r="I2609" s="29">
        <f>IF($B2609="","",IFERROR(INDEX($U$4:$U$3183,MATCH(SMALL($V$4:$V$3183,2606),$V$4:$V$3183,0)),""))</f>
        <v/>
      </c>
      <c r="J2609">
        <f>IF($B2609="","",IF($D2609&gt;$F$2,"À venir",IF($E2609&lt;$D$2,"Passé","Dans la période")))</f>
        <v/>
      </c>
      <c r="K2609">
        <f>IF(OR($B2609="",NOT(ISNUMBER($D2609))),"",IF(AND($E2609&lt;$D$2,$G2609&lt;&gt;"X",$F2609&lt;&gt;"Réalisé",$F2609&lt;&gt;"Clôturé"),"RETARD",""))</f>
        <v/>
      </c>
      <c r="L2609">
        <f>IF(OR($B2609="",NOT(ISNUMBER($D2609))),"",IF(AND($D2609&gt;=$D$2,$D2609&lt;=$H$2,$G2609&lt;&gt;"X",$F2609&lt;&gt;"Réalisé",$F2609&lt;&gt;"Clôturé"),"≤ 7 j",""))</f>
        <v/>
      </c>
      <c r="M2609" s="29">
        <f>IF($B2609="","",IFERROR(INDEX($T$4:$T$3183,MATCH(SMALL($V$4:$V$3183,2606),$V$4:$V$3183,0)),""))</f>
        <v/>
      </c>
      <c r="O2609">
        <f>IF(INDEX(Suivi!$B:$B,2659)="","",INDEX(Suivi!$B:$B,2659))</f>
        <v/>
      </c>
      <c r="P2609">
        <f>IF($O2609="","",IF(INDEX(Suivi!$D:$D,2659)="",INDEX(Suivi!$C:$C,2659),INDEX(Suivi!$D:$D,2659)))</f>
        <v/>
      </c>
      <c r="Q2609">
        <f>IF($O2609="","",INDEX(Suivi!$E:$E,2659))</f>
        <v/>
      </c>
      <c r="R2609">
        <f>IF($O2609="","",INDEX(Suivi!$F:$F,2659))</f>
        <v/>
      </c>
      <c r="S2609">
        <f>IF($O2609="","",INDEX(Suivi!$G:$G,2659))</f>
        <v/>
      </c>
      <c r="T2609">
        <f>IF($O2609="","",IF(INDEX(Dossiers!$F$4:$F$63,50)="","",INDEX(Dossiers!$F$4:$F$63,50)))</f>
        <v/>
      </c>
      <c r="U2609">
        <f>IF($O2609="","",IF(INDEX(Dossiers!$G$4:$G$63,50)="","",INDEX(Dossiers!$G$4:$G$63,50)))</f>
        <v/>
      </c>
      <c r="V2609">
        <f>IF(OR($O2609="",NOT(ISNUMBER($Q2609))),"",$Q2609*1000000+2609)</f>
        <v/>
      </c>
      <c r="W2609" s="29">
        <f>IF($B2609="","",IFERROR(INDEX($U$4:$U$3183,MATCH(SMALL($V$4:$V$3183,2606),$V$4:$V$3183,0)),""))</f>
        <v/>
      </c>
    </row>
    <row r="2610">
      <c r="A2610">
        <f>IFERROR(INDEX($N$4:$N$3183,MATCH(SMALL($V$4:$V$3183,2607),$V$4:$V$3183,0)),"")</f>
        <v/>
      </c>
      <c r="B2610">
        <f>IFERROR(INDEX($O$4:$O$3183,MATCH(SMALL($V$4:$V$3183,2607),$V$4:$V$3183,0)),"")</f>
        <v/>
      </c>
      <c r="C2610">
        <f>IFERROR(INDEX($P$4:$P$3183,MATCH(SMALL($V$4:$V$3183,2607),$V$4:$V$3183,0)),"")</f>
        <v/>
      </c>
      <c r="D2610" s="29">
        <f>IFERROR(INDEX($Q$4:$Q$3183,MATCH(SMALL($V$4:$V$3183,2607),$V$4:$V$3183,0)),"")</f>
        <v/>
      </c>
      <c r="E2610" s="29">
        <f>IFERROR(INDEX($R$4:$R$3183,MATCH(SMALL($V$4:$V$3183,2607),$V$4:$V$3183,0)),"")</f>
        <v/>
      </c>
      <c r="F2610">
        <f>IFERROR(INDEX($S$4:$S$3183,MATCH(SMALL($V$4:$V$3183,2607),$V$4:$V$3183,0)),"")</f>
        <v/>
      </c>
      <c r="I2610" s="29">
        <f>IF($B2610="","",IFERROR(INDEX($U$4:$U$3183,MATCH(SMALL($V$4:$V$3183,2607),$V$4:$V$3183,0)),""))</f>
        <v/>
      </c>
      <c r="J2610">
        <f>IF($B2610="","",IF($D2610&gt;$F$2,"À venir",IF($E2610&lt;$D$2,"Passé","Dans la période")))</f>
        <v/>
      </c>
      <c r="K2610">
        <f>IF(OR($B2610="",NOT(ISNUMBER($D2610))),"",IF(AND($E2610&lt;$D$2,$G2610&lt;&gt;"X",$F2610&lt;&gt;"Réalisé",$F2610&lt;&gt;"Clôturé"),"RETARD",""))</f>
        <v/>
      </c>
      <c r="L2610">
        <f>IF(OR($B2610="",NOT(ISNUMBER($D2610))),"",IF(AND($D2610&gt;=$D$2,$D2610&lt;=$H$2,$G2610&lt;&gt;"X",$F2610&lt;&gt;"Réalisé",$F2610&lt;&gt;"Clôturé"),"≤ 7 j",""))</f>
        <v/>
      </c>
      <c r="M2610" s="29">
        <f>IF($B2610="","",IFERROR(INDEX($T$4:$T$3183,MATCH(SMALL($V$4:$V$3183,2607),$V$4:$V$3183,0)),""))</f>
        <v/>
      </c>
      <c r="O2610">
        <f>IF(INDEX(Suivi!$B:$B,2660)="","",INDEX(Suivi!$B:$B,2660))</f>
        <v/>
      </c>
      <c r="P2610">
        <f>IF($O2610="","",IF(INDEX(Suivi!$D:$D,2660)="",INDEX(Suivi!$C:$C,2660),INDEX(Suivi!$D:$D,2660)))</f>
        <v/>
      </c>
      <c r="Q2610">
        <f>IF($O2610="","",INDEX(Suivi!$E:$E,2660))</f>
        <v/>
      </c>
      <c r="R2610">
        <f>IF($O2610="","",INDEX(Suivi!$F:$F,2660))</f>
        <v/>
      </c>
      <c r="S2610">
        <f>IF($O2610="","",INDEX(Suivi!$G:$G,2660))</f>
        <v/>
      </c>
      <c r="T2610">
        <f>IF($O2610="","",IF(INDEX(Dossiers!$F$4:$F$63,50)="","",INDEX(Dossiers!$F$4:$F$63,50)))</f>
        <v/>
      </c>
      <c r="U2610">
        <f>IF($O2610="","",IF(INDEX(Dossiers!$G$4:$G$63,50)="","",INDEX(Dossiers!$G$4:$G$63,50)))</f>
        <v/>
      </c>
      <c r="V2610">
        <f>IF(OR($O2610="",NOT(ISNUMBER($Q2610))),"",$Q2610*1000000+2610)</f>
        <v/>
      </c>
      <c r="W2610" s="29">
        <f>IF($B2610="","",IFERROR(INDEX($U$4:$U$3183,MATCH(SMALL($V$4:$V$3183,2607),$V$4:$V$3183,0)),""))</f>
        <v/>
      </c>
    </row>
    <row r="2611">
      <c r="A2611">
        <f>IFERROR(INDEX($N$4:$N$3183,MATCH(SMALL($V$4:$V$3183,2608),$V$4:$V$3183,0)),"")</f>
        <v/>
      </c>
      <c r="B2611">
        <f>IFERROR(INDEX($O$4:$O$3183,MATCH(SMALL($V$4:$V$3183,2608),$V$4:$V$3183,0)),"")</f>
        <v/>
      </c>
      <c r="C2611">
        <f>IFERROR(INDEX($P$4:$P$3183,MATCH(SMALL($V$4:$V$3183,2608),$V$4:$V$3183,0)),"")</f>
        <v/>
      </c>
      <c r="D2611" s="29">
        <f>IFERROR(INDEX($Q$4:$Q$3183,MATCH(SMALL($V$4:$V$3183,2608),$V$4:$V$3183,0)),"")</f>
        <v/>
      </c>
      <c r="E2611" s="29">
        <f>IFERROR(INDEX($R$4:$R$3183,MATCH(SMALL($V$4:$V$3183,2608),$V$4:$V$3183,0)),"")</f>
        <v/>
      </c>
      <c r="F2611">
        <f>IFERROR(INDEX($S$4:$S$3183,MATCH(SMALL($V$4:$V$3183,2608),$V$4:$V$3183,0)),"")</f>
        <v/>
      </c>
      <c r="I2611" s="29">
        <f>IF($B2611="","",IFERROR(INDEX($U$4:$U$3183,MATCH(SMALL($V$4:$V$3183,2608),$V$4:$V$3183,0)),""))</f>
        <v/>
      </c>
      <c r="J2611">
        <f>IF($B2611="","",IF($D2611&gt;$F$2,"À venir",IF($E2611&lt;$D$2,"Passé","Dans la période")))</f>
        <v/>
      </c>
      <c r="K2611">
        <f>IF(OR($B2611="",NOT(ISNUMBER($D2611))),"",IF(AND($E2611&lt;$D$2,$G2611&lt;&gt;"X",$F2611&lt;&gt;"Réalisé",$F2611&lt;&gt;"Clôturé"),"RETARD",""))</f>
        <v/>
      </c>
      <c r="L2611">
        <f>IF(OR($B2611="",NOT(ISNUMBER($D2611))),"",IF(AND($D2611&gt;=$D$2,$D2611&lt;=$H$2,$G2611&lt;&gt;"X",$F2611&lt;&gt;"Réalisé",$F2611&lt;&gt;"Clôturé"),"≤ 7 j",""))</f>
        <v/>
      </c>
      <c r="M2611" s="29">
        <f>IF($B2611="","",IFERROR(INDEX($T$4:$T$3183,MATCH(SMALL($V$4:$V$3183,2608),$V$4:$V$3183,0)),""))</f>
        <v/>
      </c>
      <c r="O2611">
        <f>IF(INDEX(Suivi!$B:$B,2661)="","",INDEX(Suivi!$B:$B,2661))</f>
        <v/>
      </c>
      <c r="P2611">
        <f>IF($O2611="","",IF(INDEX(Suivi!$D:$D,2661)="",INDEX(Suivi!$C:$C,2661),INDEX(Suivi!$D:$D,2661)))</f>
        <v/>
      </c>
      <c r="Q2611">
        <f>IF($O2611="","",INDEX(Suivi!$E:$E,2661))</f>
        <v/>
      </c>
      <c r="R2611">
        <f>IF($O2611="","",INDEX(Suivi!$F:$F,2661))</f>
        <v/>
      </c>
      <c r="S2611">
        <f>IF($O2611="","",INDEX(Suivi!$G:$G,2661))</f>
        <v/>
      </c>
      <c r="T2611">
        <f>IF($O2611="","",IF(INDEX(Dossiers!$F$4:$F$63,50)="","",INDEX(Dossiers!$F$4:$F$63,50)))</f>
        <v/>
      </c>
      <c r="U2611">
        <f>IF($O2611="","",IF(INDEX(Dossiers!$G$4:$G$63,50)="","",INDEX(Dossiers!$G$4:$G$63,50)))</f>
        <v/>
      </c>
      <c r="V2611">
        <f>IF(OR($O2611="",NOT(ISNUMBER($Q2611))),"",$Q2611*1000000+2611)</f>
        <v/>
      </c>
      <c r="W2611" s="29">
        <f>IF($B2611="","",IFERROR(INDEX($U$4:$U$3183,MATCH(SMALL($V$4:$V$3183,2608),$V$4:$V$3183,0)),""))</f>
        <v/>
      </c>
    </row>
    <row r="2612">
      <c r="A2612">
        <f>IFERROR(INDEX($N$4:$N$3183,MATCH(SMALL($V$4:$V$3183,2609),$V$4:$V$3183,0)),"")</f>
        <v/>
      </c>
      <c r="B2612">
        <f>IFERROR(INDEX($O$4:$O$3183,MATCH(SMALL($V$4:$V$3183,2609),$V$4:$V$3183,0)),"")</f>
        <v/>
      </c>
      <c r="C2612">
        <f>IFERROR(INDEX($P$4:$P$3183,MATCH(SMALL($V$4:$V$3183,2609),$V$4:$V$3183,0)),"")</f>
        <v/>
      </c>
      <c r="D2612" s="29">
        <f>IFERROR(INDEX($Q$4:$Q$3183,MATCH(SMALL($V$4:$V$3183,2609),$V$4:$V$3183,0)),"")</f>
        <v/>
      </c>
      <c r="E2612" s="29">
        <f>IFERROR(INDEX($R$4:$R$3183,MATCH(SMALL($V$4:$V$3183,2609),$V$4:$V$3183,0)),"")</f>
        <v/>
      </c>
      <c r="F2612">
        <f>IFERROR(INDEX($S$4:$S$3183,MATCH(SMALL($V$4:$V$3183,2609),$V$4:$V$3183,0)),"")</f>
        <v/>
      </c>
      <c r="I2612" s="29">
        <f>IF($B2612="","",IFERROR(INDEX($U$4:$U$3183,MATCH(SMALL($V$4:$V$3183,2609),$V$4:$V$3183,0)),""))</f>
        <v/>
      </c>
      <c r="J2612">
        <f>IF($B2612="","",IF($D2612&gt;$F$2,"À venir",IF($E2612&lt;$D$2,"Passé","Dans la période")))</f>
        <v/>
      </c>
      <c r="K2612">
        <f>IF(OR($B2612="",NOT(ISNUMBER($D2612))),"",IF(AND($E2612&lt;$D$2,$G2612&lt;&gt;"X",$F2612&lt;&gt;"Réalisé",$F2612&lt;&gt;"Clôturé"),"RETARD",""))</f>
        <v/>
      </c>
      <c r="L2612">
        <f>IF(OR($B2612="",NOT(ISNUMBER($D2612))),"",IF(AND($D2612&gt;=$D$2,$D2612&lt;=$H$2,$G2612&lt;&gt;"X",$F2612&lt;&gt;"Réalisé",$F2612&lt;&gt;"Clôturé"),"≤ 7 j",""))</f>
        <v/>
      </c>
      <c r="M2612" s="29">
        <f>IF($B2612="","",IFERROR(INDEX($T$4:$T$3183,MATCH(SMALL($V$4:$V$3183,2609),$V$4:$V$3183,0)),""))</f>
        <v/>
      </c>
      <c r="O2612">
        <f>IF(INDEX(Suivi!$B:$B,2662)="","",INDEX(Suivi!$B:$B,2662))</f>
        <v/>
      </c>
      <c r="P2612">
        <f>IF($O2612="","",IF(INDEX(Suivi!$D:$D,2662)="",INDEX(Suivi!$C:$C,2662),INDEX(Suivi!$D:$D,2662)))</f>
        <v/>
      </c>
      <c r="Q2612">
        <f>IF($O2612="","",INDEX(Suivi!$E:$E,2662))</f>
        <v/>
      </c>
      <c r="R2612">
        <f>IF($O2612="","",INDEX(Suivi!$F:$F,2662))</f>
        <v/>
      </c>
      <c r="S2612">
        <f>IF($O2612="","",INDEX(Suivi!$G:$G,2662))</f>
        <v/>
      </c>
      <c r="T2612">
        <f>IF($O2612="","",IF(INDEX(Dossiers!$F$4:$F$63,50)="","",INDEX(Dossiers!$F$4:$F$63,50)))</f>
        <v/>
      </c>
      <c r="U2612">
        <f>IF($O2612="","",IF(INDEX(Dossiers!$G$4:$G$63,50)="","",INDEX(Dossiers!$G$4:$G$63,50)))</f>
        <v/>
      </c>
      <c r="V2612">
        <f>IF(OR($O2612="",NOT(ISNUMBER($Q2612))),"",$Q2612*1000000+2612)</f>
        <v/>
      </c>
      <c r="W2612" s="29">
        <f>IF($B2612="","",IFERROR(INDEX($U$4:$U$3183,MATCH(SMALL($V$4:$V$3183,2609),$V$4:$V$3183,0)),""))</f>
        <v/>
      </c>
    </row>
    <row r="2613">
      <c r="A2613">
        <f>IFERROR(INDEX($N$4:$N$3183,MATCH(SMALL($V$4:$V$3183,2610),$V$4:$V$3183,0)),"")</f>
        <v/>
      </c>
      <c r="B2613">
        <f>IFERROR(INDEX($O$4:$O$3183,MATCH(SMALL($V$4:$V$3183,2610),$V$4:$V$3183,0)),"")</f>
        <v/>
      </c>
      <c r="C2613">
        <f>IFERROR(INDEX($P$4:$P$3183,MATCH(SMALL($V$4:$V$3183,2610),$V$4:$V$3183,0)),"")</f>
        <v/>
      </c>
      <c r="D2613" s="29">
        <f>IFERROR(INDEX($Q$4:$Q$3183,MATCH(SMALL($V$4:$V$3183,2610),$V$4:$V$3183,0)),"")</f>
        <v/>
      </c>
      <c r="E2613" s="29">
        <f>IFERROR(INDEX($R$4:$R$3183,MATCH(SMALL($V$4:$V$3183,2610),$V$4:$V$3183,0)),"")</f>
        <v/>
      </c>
      <c r="F2613">
        <f>IFERROR(INDEX($S$4:$S$3183,MATCH(SMALL($V$4:$V$3183,2610),$V$4:$V$3183,0)),"")</f>
        <v/>
      </c>
      <c r="I2613" s="29">
        <f>IF($B2613="","",IFERROR(INDEX($U$4:$U$3183,MATCH(SMALL($V$4:$V$3183,2610),$V$4:$V$3183,0)),""))</f>
        <v/>
      </c>
      <c r="J2613">
        <f>IF($B2613="","",IF($D2613&gt;$F$2,"À venir",IF($E2613&lt;$D$2,"Passé","Dans la période")))</f>
        <v/>
      </c>
      <c r="K2613">
        <f>IF(OR($B2613="",NOT(ISNUMBER($D2613))),"",IF(AND($E2613&lt;$D$2,$G2613&lt;&gt;"X",$F2613&lt;&gt;"Réalisé",$F2613&lt;&gt;"Clôturé"),"RETARD",""))</f>
        <v/>
      </c>
      <c r="L2613">
        <f>IF(OR($B2613="",NOT(ISNUMBER($D2613))),"",IF(AND($D2613&gt;=$D$2,$D2613&lt;=$H$2,$G2613&lt;&gt;"X",$F2613&lt;&gt;"Réalisé",$F2613&lt;&gt;"Clôturé"),"≤ 7 j",""))</f>
        <v/>
      </c>
      <c r="M2613" s="29">
        <f>IF($B2613="","",IFERROR(INDEX($T$4:$T$3183,MATCH(SMALL($V$4:$V$3183,2610),$V$4:$V$3183,0)),""))</f>
        <v/>
      </c>
      <c r="O2613">
        <f>IF(INDEX(Suivi!$B:$B,2663)="","",INDEX(Suivi!$B:$B,2663))</f>
        <v/>
      </c>
      <c r="P2613">
        <f>IF($O2613="","",IF(INDEX(Suivi!$D:$D,2663)="",INDEX(Suivi!$C:$C,2663),INDEX(Suivi!$D:$D,2663)))</f>
        <v/>
      </c>
      <c r="Q2613">
        <f>IF($O2613="","",INDEX(Suivi!$E:$E,2663))</f>
        <v/>
      </c>
      <c r="R2613">
        <f>IF($O2613="","",INDEX(Suivi!$F:$F,2663))</f>
        <v/>
      </c>
      <c r="S2613">
        <f>IF($O2613="","",INDEX(Suivi!$G:$G,2663))</f>
        <v/>
      </c>
      <c r="T2613">
        <f>IF($O2613="","",IF(INDEX(Dossiers!$F$4:$F$63,50)="","",INDEX(Dossiers!$F$4:$F$63,50)))</f>
        <v/>
      </c>
      <c r="U2613">
        <f>IF($O2613="","",IF(INDEX(Dossiers!$G$4:$G$63,50)="","",INDEX(Dossiers!$G$4:$G$63,50)))</f>
        <v/>
      </c>
      <c r="V2613">
        <f>IF(OR($O2613="",NOT(ISNUMBER($Q2613))),"",$Q2613*1000000+2613)</f>
        <v/>
      </c>
      <c r="W2613" s="29">
        <f>IF($B2613="","",IFERROR(INDEX($U$4:$U$3183,MATCH(SMALL($V$4:$V$3183,2610),$V$4:$V$3183,0)),""))</f>
        <v/>
      </c>
    </row>
    <row r="2614">
      <c r="A2614">
        <f>IFERROR(INDEX($N$4:$N$3183,MATCH(SMALL($V$4:$V$3183,2611),$V$4:$V$3183,0)),"")</f>
        <v/>
      </c>
      <c r="B2614">
        <f>IFERROR(INDEX($O$4:$O$3183,MATCH(SMALL($V$4:$V$3183,2611),$V$4:$V$3183,0)),"")</f>
        <v/>
      </c>
      <c r="C2614">
        <f>IFERROR(INDEX($P$4:$P$3183,MATCH(SMALL($V$4:$V$3183,2611),$V$4:$V$3183,0)),"")</f>
        <v/>
      </c>
      <c r="D2614" s="29">
        <f>IFERROR(INDEX($Q$4:$Q$3183,MATCH(SMALL($V$4:$V$3183,2611),$V$4:$V$3183,0)),"")</f>
        <v/>
      </c>
      <c r="E2614" s="29">
        <f>IFERROR(INDEX($R$4:$R$3183,MATCH(SMALL($V$4:$V$3183,2611),$V$4:$V$3183,0)),"")</f>
        <v/>
      </c>
      <c r="F2614">
        <f>IFERROR(INDEX($S$4:$S$3183,MATCH(SMALL($V$4:$V$3183,2611),$V$4:$V$3183,0)),"")</f>
        <v/>
      </c>
      <c r="I2614" s="29">
        <f>IF($B2614="","",IFERROR(INDEX($U$4:$U$3183,MATCH(SMALL($V$4:$V$3183,2611),$V$4:$V$3183,0)),""))</f>
        <v/>
      </c>
      <c r="J2614">
        <f>IF($B2614="","",IF($D2614&gt;$F$2,"À venir",IF($E2614&lt;$D$2,"Passé","Dans la période")))</f>
        <v/>
      </c>
      <c r="K2614">
        <f>IF(OR($B2614="",NOT(ISNUMBER($D2614))),"",IF(AND($E2614&lt;$D$2,$G2614&lt;&gt;"X",$F2614&lt;&gt;"Réalisé",$F2614&lt;&gt;"Clôturé"),"RETARD",""))</f>
        <v/>
      </c>
      <c r="L2614">
        <f>IF(OR($B2614="",NOT(ISNUMBER($D2614))),"",IF(AND($D2614&gt;=$D$2,$D2614&lt;=$H$2,$G2614&lt;&gt;"X",$F2614&lt;&gt;"Réalisé",$F2614&lt;&gt;"Clôturé"),"≤ 7 j",""))</f>
        <v/>
      </c>
      <c r="M2614" s="29">
        <f>IF($B2614="","",IFERROR(INDEX($T$4:$T$3183,MATCH(SMALL($V$4:$V$3183,2611),$V$4:$V$3183,0)),""))</f>
        <v/>
      </c>
      <c r="O2614">
        <f>IF(INDEX(Suivi!$B:$B,2664)="","",INDEX(Suivi!$B:$B,2664))</f>
        <v/>
      </c>
      <c r="P2614">
        <f>IF($O2614="","",IF(INDEX(Suivi!$D:$D,2664)="",INDEX(Suivi!$C:$C,2664),INDEX(Suivi!$D:$D,2664)))</f>
        <v/>
      </c>
      <c r="Q2614">
        <f>IF($O2614="","",INDEX(Suivi!$E:$E,2664))</f>
        <v/>
      </c>
      <c r="R2614">
        <f>IF($O2614="","",INDEX(Suivi!$F:$F,2664))</f>
        <v/>
      </c>
      <c r="S2614">
        <f>IF($O2614="","",INDEX(Suivi!$G:$G,2664))</f>
        <v/>
      </c>
      <c r="T2614">
        <f>IF($O2614="","",IF(INDEX(Dossiers!$F$4:$F$63,50)="","",INDEX(Dossiers!$F$4:$F$63,50)))</f>
        <v/>
      </c>
      <c r="U2614">
        <f>IF($O2614="","",IF(INDEX(Dossiers!$G$4:$G$63,50)="","",INDEX(Dossiers!$G$4:$G$63,50)))</f>
        <v/>
      </c>
      <c r="V2614">
        <f>IF(OR($O2614="",NOT(ISNUMBER($Q2614))),"",$Q2614*1000000+2614)</f>
        <v/>
      </c>
      <c r="W2614" s="29">
        <f>IF($B2614="","",IFERROR(INDEX($U$4:$U$3183,MATCH(SMALL($V$4:$V$3183,2611),$V$4:$V$3183,0)),""))</f>
        <v/>
      </c>
    </row>
    <row r="2615">
      <c r="A2615">
        <f>IFERROR(INDEX($N$4:$N$3183,MATCH(SMALL($V$4:$V$3183,2612),$V$4:$V$3183,0)),"")</f>
        <v/>
      </c>
      <c r="B2615">
        <f>IFERROR(INDEX($O$4:$O$3183,MATCH(SMALL($V$4:$V$3183,2612),$V$4:$V$3183,0)),"")</f>
        <v/>
      </c>
      <c r="C2615">
        <f>IFERROR(INDEX($P$4:$P$3183,MATCH(SMALL($V$4:$V$3183,2612),$V$4:$V$3183,0)),"")</f>
        <v/>
      </c>
      <c r="D2615" s="29">
        <f>IFERROR(INDEX($Q$4:$Q$3183,MATCH(SMALL($V$4:$V$3183,2612),$V$4:$V$3183,0)),"")</f>
        <v/>
      </c>
      <c r="E2615" s="29">
        <f>IFERROR(INDEX($R$4:$R$3183,MATCH(SMALL($V$4:$V$3183,2612),$V$4:$V$3183,0)),"")</f>
        <v/>
      </c>
      <c r="F2615">
        <f>IFERROR(INDEX($S$4:$S$3183,MATCH(SMALL($V$4:$V$3183,2612),$V$4:$V$3183,0)),"")</f>
        <v/>
      </c>
      <c r="I2615" s="29">
        <f>IF($B2615="","",IFERROR(INDEX($U$4:$U$3183,MATCH(SMALL($V$4:$V$3183,2612),$V$4:$V$3183,0)),""))</f>
        <v/>
      </c>
      <c r="J2615">
        <f>IF($B2615="","",IF($D2615&gt;$F$2,"À venir",IF($E2615&lt;$D$2,"Passé","Dans la période")))</f>
        <v/>
      </c>
      <c r="K2615">
        <f>IF(OR($B2615="",NOT(ISNUMBER($D2615))),"",IF(AND($E2615&lt;$D$2,$G2615&lt;&gt;"X",$F2615&lt;&gt;"Réalisé",$F2615&lt;&gt;"Clôturé"),"RETARD",""))</f>
        <v/>
      </c>
      <c r="L2615">
        <f>IF(OR($B2615="",NOT(ISNUMBER($D2615))),"",IF(AND($D2615&gt;=$D$2,$D2615&lt;=$H$2,$G2615&lt;&gt;"X",$F2615&lt;&gt;"Réalisé",$F2615&lt;&gt;"Clôturé"),"≤ 7 j",""))</f>
        <v/>
      </c>
      <c r="M2615" s="29">
        <f>IF($B2615="","",IFERROR(INDEX($T$4:$T$3183,MATCH(SMALL($V$4:$V$3183,2612),$V$4:$V$3183,0)),""))</f>
        <v/>
      </c>
      <c r="O2615">
        <f>IF(INDEX(Suivi!$B:$B,2665)="","",INDEX(Suivi!$B:$B,2665))</f>
        <v/>
      </c>
      <c r="P2615">
        <f>IF($O2615="","",IF(INDEX(Suivi!$D:$D,2665)="",INDEX(Suivi!$C:$C,2665),INDEX(Suivi!$D:$D,2665)))</f>
        <v/>
      </c>
      <c r="Q2615">
        <f>IF($O2615="","",INDEX(Suivi!$E:$E,2665))</f>
        <v/>
      </c>
      <c r="R2615">
        <f>IF($O2615="","",INDEX(Suivi!$F:$F,2665))</f>
        <v/>
      </c>
      <c r="S2615">
        <f>IF($O2615="","",INDEX(Suivi!$G:$G,2665))</f>
        <v/>
      </c>
      <c r="T2615">
        <f>IF($O2615="","",IF(INDEX(Dossiers!$F$4:$F$63,50)="","",INDEX(Dossiers!$F$4:$F$63,50)))</f>
        <v/>
      </c>
      <c r="U2615">
        <f>IF($O2615="","",IF(INDEX(Dossiers!$G$4:$G$63,50)="","",INDEX(Dossiers!$G$4:$G$63,50)))</f>
        <v/>
      </c>
      <c r="V2615">
        <f>IF(OR($O2615="",NOT(ISNUMBER($Q2615))),"",$Q2615*1000000+2615)</f>
        <v/>
      </c>
      <c r="W2615" s="29">
        <f>IF($B2615="","",IFERROR(INDEX($U$4:$U$3183,MATCH(SMALL($V$4:$V$3183,2612),$V$4:$V$3183,0)),""))</f>
        <v/>
      </c>
    </row>
    <row r="2616">
      <c r="A2616">
        <f>IFERROR(INDEX($N$4:$N$3183,MATCH(SMALL($V$4:$V$3183,2613),$V$4:$V$3183,0)),"")</f>
        <v/>
      </c>
      <c r="B2616">
        <f>IFERROR(INDEX($O$4:$O$3183,MATCH(SMALL($V$4:$V$3183,2613),$V$4:$V$3183,0)),"")</f>
        <v/>
      </c>
      <c r="C2616">
        <f>IFERROR(INDEX($P$4:$P$3183,MATCH(SMALL($V$4:$V$3183,2613),$V$4:$V$3183,0)),"")</f>
        <v/>
      </c>
      <c r="D2616" s="29">
        <f>IFERROR(INDEX($Q$4:$Q$3183,MATCH(SMALL($V$4:$V$3183,2613),$V$4:$V$3183,0)),"")</f>
        <v/>
      </c>
      <c r="E2616" s="29">
        <f>IFERROR(INDEX($R$4:$R$3183,MATCH(SMALL($V$4:$V$3183,2613),$V$4:$V$3183,0)),"")</f>
        <v/>
      </c>
      <c r="F2616">
        <f>IFERROR(INDEX($S$4:$S$3183,MATCH(SMALL($V$4:$V$3183,2613),$V$4:$V$3183,0)),"")</f>
        <v/>
      </c>
      <c r="I2616" s="29">
        <f>IF($B2616="","",IFERROR(INDEX($U$4:$U$3183,MATCH(SMALL($V$4:$V$3183,2613),$V$4:$V$3183,0)),""))</f>
        <v/>
      </c>
      <c r="J2616">
        <f>IF($B2616="","",IF($D2616&gt;$F$2,"À venir",IF($E2616&lt;$D$2,"Passé","Dans la période")))</f>
        <v/>
      </c>
      <c r="K2616">
        <f>IF(OR($B2616="",NOT(ISNUMBER($D2616))),"",IF(AND($E2616&lt;$D$2,$G2616&lt;&gt;"X",$F2616&lt;&gt;"Réalisé",$F2616&lt;&gt;"Clôturé"),"RETARD",""))</f>
        <v/>
      </c>
      <c r="L2616">
        <f>IF(OR($B2616="",NOT(ISNUMBER($D2616))),"",IF(AND($D2616&gt;=$D$2,$D2616&lt;=$H$2,$G2616&lt;&gt;"X",$F2616&lt;&gt;"Réalisé",$F2616&lt;&gt;"Clôturé"),"≤ 7 j",""))</f>
        <v/>
      </c>
      <c r="M2616" s="29">
        <f>IF($B2616="","",IFERROR(INDEX($T$4:$T$3183,MATCH(SMALL($V$4:$V$3183,2613),$V$4:$V$3183,0)),""))</f>
        <v/>
      </c>
      <c r="O2616">
        <f>IF(INDEX(Suivi!$B:$B,2666)="","",INDEX(Suivi!$B:$B,2666))</f>
        <v/>
      </c>
      <c r="P2616">
        <f>IF($O2616="","",IF(INDEX(Suivi!$D:$D,2666)="",INDEX(Suivi!$C:$C,2666),INDEX(Suivi!$D:$D,2666)))</f>
        <v/>
      </c>
      <c r="Q2616">
        <f>IF($O2616="","",INDEX(Suivi!$E:$E,2666))</f>
        <v/>
      </c>
      <c r="R2616">
        <f>IF($O2616="","",INDEX(Suivi!$F:$F,2666))</f>
        <v/>
      </c>
      <c r="S2616">
        <f>IF($O2616="","",INDEX(Suivi!$G:$G,2666))</f>
        <v/>
      </c>
      <c r="T2616">
        <f>IF($O2616="","",IF(INDEX(Dossiers!$F$4:$F$63,50)="","",INDEX(Dossiers!$F$4:$F$63,50)))</f>
        <v/>
      </c>
      <c r="U2616">
        <f>IF($O2616="","",IF(INDEX(Dossiers!$G$4:$G$63,50)="","",INDEX(Dossiers!$G$4:$G$63,50)))</f>
        <v/>
      </c>
      <c r="V2616">
        <f>IF(OR($O2616="",NOT(ISNUMBER($Q2616))),"",$Q2616*1000000+2616)</f>
        <v/>
      </c>
      <c r="W2616" s="29">
        <f>IF($B2616="","",IFERROR(INDEX($U$4:$U$3183,MATCH(SMALL($V$4:$V$3183,2613),$V$4:$V$3183,0)),""))</f>
        <v/>
      </c>
    </row>
    <row r="2617">
      <c r="A2617">
        <f>IFERROR(INDEX($N$4:$N$3183,MATCH(SMALL($V$4:$V$3183,2614),$V$4:$V$3183,0)),"")</f>
        <v/>
      </c>
      <c r="B2617">
        <f>IFERROR(INDEX($O$4:$O$3183,MATCH(SMALL($V$4:$V$3183,2614),$V$4:$V$3183,0)),"")</f>
        <v/>
      </c>
      <c r="C2617">
        <f>IFERROR(INDEX($P$4:$P$3183,MATCH(SMALL($V$4:$V$3183,2614),$V$4:$V$3183,0)),"")</f>
        <v/>
      </c>
      <c r="D2617" s="29">
        <f>IFERROR(INDEX($Q$4:$Q$3183,MATCH(SMALL($V$4:$V$3183,2614),$V$4:$V$3183,0)),"")</f>
        <v/>
      </c>
      <c r="E2617" s="29">
        <f>IFERROR(INDEX($R$4:$R$3183,MATCH(SMALL($V$4:$V$3183,2614),$V$4:$V$3183,0)),"")</f>
        <v/>
      </c>
      <c r="F2617">
        <f>IFERROR(INDEX($S$4:$S$3183,MATCH(SMALL($V$4:$V$3183,2614),$V$4:$V$3183,0)),"")</f>
        <v/>
      </c>
      <c r="I2617" s="29">
        <f>IF($B2617="","",IFERROR(INDEX($U$4:$U$3183,MATCH(SMALL($V$4:$V$3183,2614),$V$4:$V$3183,0)),""))</f>
        <v/>
      </c>
      <c r="J2617">
        <f>IF($B2617="","",IF($D2617&gt;$F$2,"À venir",IF($E2617&lt;$D$2,"Passé","Dans la période")))</f>
        <v/>
      </c>
      <c r="K2617">
        <f>IF(OR($B2617="",NOT(ISNUMBER($D2617))),"",IF(AND($E2617&lt;$D$2,$G2617&lt;&gt;"X",$F2617&lt;&gt;"Réalisé",$F2617&lt;&gt;"Clôturé"),"RETARD",""))</f>
        <v/>
      </c>
      <c r="L2617">
        <f>IF(OR($B2617="",NOT(ISNUMBER($D2617))),"",IF(AND($D2617&gt;=$D$2,$D2617&lt;=$H$2,$G2617&lt;&gt;"X",$F2617&lt;&gt;"Réalisé",$F2617&lt;&gt;"Clôturé"),"≤ 7 j",""))</f>
        <v/>
      </c>
      <c r="M2617" s="29">
        <f>IF($B2617="","",IFERROR(INDEX($T$4:$T$3183,MATCH(SMALL($V$4:$V$3183,2614),$V$4:$V$3183,0)),""))</f>
        <v/>
      </c>
      <c r="O2617">
        <f>IF(INDEX(Suivi!$B:$B,2667)="","",INDEX(Suivi!$B:$B,2667))</f>
        <v/>
      </c>
      <c r="P2617">
        <f>IF($O2617="","",IF(INDEX(Suivi!$D:$D,2667)="",INDEX(Suivi!$C:$C,2667),INDEX(Suivi!$D:$D,2667)))</f>
        <v/>
      </c>
      <c r="Q2617">
        <f>IF($O2617="","",INDEX(Suivi!$E:$E,2667))</f>
        <v/>
      </c>
      <c r="R2617">
        <f>IF($O2617="","",INDEX(Suivi!$F:$F,2667))</f>
        <v/>
      </c>
      <c r="S2617">
        <f>IF($O2617="","",INDEX(Suivi!$G:$G,2667))</f>
        <v/>
      </c>
      <c r="T2617">
        <f>IF($O2617="","",IF(INDEX(Dossiers!$F$4:$F$63,50)="","",INDEX(Dossiers!$F$4:$F$63,50)))</f>
        <v/>
      </c>
      <c r="U2617">
        <f>IF($O2617="","",IF(INDEX(Dossiers!$G$4:$G$63,50)="","",INDEX(Dossiers!$G$4:$G$63,50)))</f>
        <v/>
      </c>
      <c r="V2617">
        <f>IF(OR($O2617="",NOT(ISNUMBER($Q2617))),"",$Q2617*1000000+2617)</f>
        <v/>
      </c>
      <c r="W2617" s="29">
        <f>IF($B2617="","",IFERROR(INDEX($U$4:$U$3183,MATCH(SMALL($V$4:$V$3183,2614),$V$4:$V$3183,0)),""))</f>
        <v/>
      </c>
    </row>
    <row r="2618">
      <c r="A2618">
        <f>IFERROR(INDEX($N$4:$N$3183,MATCH(SMALL($V$4:$V$3183,2615),$V$4:$V$3183,0)),"")</f>
        <v/>
      </c>
      <c r="B2618">
        <f>IFERROR(INDEX($O$4:$O$3183,MATCH(SMALL($V$4:$V$3183,2615),$V$4:$V$3183,0)),"")</f>
        <v/>
      </c>
      <c r="C2618">
        <f>IFERROR(INDEX($P$4:$P$3183,MATCH(SMALL($V$4:$V$3183,2615),$V$4:$V$3183,0)),"")</f>
        <v/>
      </c>
      <c r="D2618" s="29">
        <f>IFERROR(INDEX($Q$4:$Q$3183,MATCH(SMALL($V$4:$V$3183,2615),$V$4:$V$3183,0)),"")</f>
        <v/>
      </c>
      <c r="E2618" s="29">
        <f>IFERROR(INDEX($R$4:$R$3183,MATCH(SMALL($V$4:$V$3183,2615),$V$4:$V$3183,0)),"")</f>
        <v/>
      </c>
      <c r="F2618">
        <f>IFERROR(INDEX($S$4:$S$3183,MATCH(SMALL($V$4:$V$3183,2615),$V$4:$V$3183,0)),"")</f>
        <v/>
      </c>
      <c r="I2618" s="29">
        <f>IF($B2618="","",IFERROR(INDEX($U$4:$U$3183,MATCH(SMALL($V$4:$V$3183,2615),$V$4:$V$3183,0)),""))</f>
        <v/>
      </c>
      <c r="J2618">
        <f>IF($B2618="","",IF($D2618&gt;$F$2,"À venir",IF($E2618&lt;$D$2,"Passé","Dans la période")))</f>
        <v/>
      </c>
      <c r="K2618">
        <f>IF(OR($B2618="",NOT(ISNUMBER($D2618))),"",IF(AND($E2618&lt;$D$2,$G2618&lt;&gt;"X",$F2618&lt;&gt;"Réalisé",$F2618&lt;&gt;"Clôturé"),"RETARD",""))</f>
        <v/>
      </c>
      <c r="L2618">
        <f>IF(OR($B2618="",NOT(ISNUMBER($D2618))),"",IF(AND($D2618&gt;=$D$2,$D2618&lt;=$H$2,$G2618&lt;&gt;"X",$F2618&lt;&gt;"Réalisé",$F2618&lt;&gt;"Clôturé"),"≤ 7 j",""))</f>
        <v/>
      </c>
      <c r="M2618" s="29">
        <f>IF($B2618="","",IFERROR(INDEX($T$4:$T$3183,MATCH(SMALL($V$4:$V$3183,2615),$V$4:$V$3183,0)),""))</f>
        <v/>
      </c>
      <c r="O2618">
        <f>IF(INDEX(Suivi!$B:$B,2668)="","",INDEX(Suivi!$B:$B,2668))</f>
        <v/>
      </c>
      <c r="P2618">
        <f>IF($O2618="","",IF(INDEX(Suivi!$D:$D,2668)="",INDEX(Suivi!$C:$C,2668),INDEX(Suivi!$D:$D,2668)))</f>
        <v/>
      </c>
      <c r="Q2618">
        <f>IF($O2618="","",INDEX(Suivi!$E:$E,2668))</f>
        <v/>
      </c>
      <c r="R2618">
        <f>IF($O2618="","",INDEX(Suivi!$F:$F,2668))</f>
        <v/>
      </c>
      <c r="S2618">
        <f>IF($O2618="","",INDEX(Suivi!$G:$G,2668))</f>
        <v/>
      </c>
      <c r="T2618">
        <f>IF($O2618="","",IF(INDEX(Dossiers!$F$4:$F$63,50)="","",INDEX(Dossiers!$F$4:$F$63,50)))</f>
        <v/>
      </c>
      <c r="U2618">
        <f>IF($O2618="","",IF(INDEX(Dossiers!$G$4:$G$63,50)="","",INDEX(Dossiers!$G$4:$G$63,50)))</f>
        <v/>
      </c>
      <c r="V2618">
        <f>IF(OR($O2618="",NOT(ISNUMBER($Q2618))),"",$Q2618*1000000+2618)</f>
        <v/>
      </c>
      <c r="W2618" s="29">
        <f>IF($B2618="","",IFERROR(INDEX($U$4:$U$3183,MATCH(SMALL($V$4:$V$3183,2615),$V$4:$V$3183,0)),""))</f>
        <v/>
      </c>
    </row>
    <row r="2619">
      <c r="A2619">
        <f>IFERROR(INDEX($N$4:$N$3183,MATCH(SMALL($V$4:$V$3183,2616),$V$4:$V$3183,0)),"")</f>
        <v/>
      </c>
      <c r="B2619">
        <f>IFERROR(INDEX($O$4:$O$3183,MATCH(SMALL($V$4:$V$3183,2616),$V$4:$V$3183,0)),"")</f>
        <v/>
      </c>
      <c r="C2619">
        <f>IFERROR(INDEX($P$4:$P$3183,MATCH(SMALL($V$4:$V$3183,2616),$V$4:$V$3183,0)),"")</f>
        <v/>
      </c>
      <c r="D2619" s="29">
        <f>IFERROR(INDEX($Q$4:$Q$3183,MATCH(SMALL($V$4:$V$3183,2616),$V$4:$V$3183,0)),"")</f>
        <v/>
      </c>
      <c r="E2619" s="29">
        <f>IFERROR(INDEX($R$4:$R$3183,MATCH(SMALL($V$4:$V$3183,2616),$V$4:$V$3183,0)),"")</f>
        <v/>
      </c>
      <c r="F2619">
        <f>IFERROR(INDEX($S$4:$S$3183,MATCH(SMALL($V$4:$V$3183,2616),$V$4:$V$3183,0)),"")</f>
        <v/>
      </c>
      <c r="I2619" s="29">
        <f>IF($B2619="","",IFERROR(INDEX($U$4:$U$3183,MATCH(SMALL($V$4:$V$3183,2616),$V$4:$V$3183,0)),""))</f>
        <v/>
      </c>
      <c r="J2619">
        <f>IF($B2619="","",IF($D2619&gt;$F$2,"À venir",IF($E2619&lt;$D$2,"Passé","Dans la période")))</f>
        <v/>
      </c>
      <c r="K2619">
        <f>IF(OR($B2619="",NOT(ISNUMBER($D2619))),"",IF(AND($E2619&lt;$D$2,$G2619&lt;&gt;"X",$F2619&lt;&gt;"Réalisé",$F2619&lt;&gt;"Clôturé"),"RETARD",""))</f>
        <v/>
      </c>
      <c r="L2619">
        <f>IF(OR($B2619="",NOT(ISNUMBER($D2619))),"",IF(AND($D2619&gt;=$D$2,$D2619&lt;=$H$2,$G2619&lt;&gt;"X",$F2619&lt;&gt;"Réalisé",$F2619&lt;&gt;"Clôturé"),"≤ 7 j",""))</f>
        <v/>
      </c>
      <c r="M2619" s="29">
        <f>IF($B2619="","",IFERROR(INDEX($T$4:$T$3183,MATCH(SMALL($V$4:$V$3183,2616),$V$4:$V$3183,0)),""))</f>
        <v/>
      </c>
      <c r="O2619">
        <f>IF(INDEX(Suivi!$B:$B,2669)="","",INDEX(Suivi!$B:$B,2669))</f>
        <v/>
      </c>
      <c r="P2619">
        <f>IF($O2619="","",IF(INDEX(Suivi!$D:$D,2669)="",INDEX(Suivi!$C:$C,2669),INDEX(Suivi!$D:$D,2669)))</f>
        <v/>
      </c>
      <c r="Q2619">
        <f>IF($O2619="","",INDEX(Suivi!$E:$E,2669))</f>
        <v/>
      </c>
      <c r="R2619">
        <f>IF($O2619="","",INDEX(Suivi!$F:$F,2669))</f>
        <v/>
      </c>
      <c r="S2619">
        <f>IF($O2619="","",INDEX(Suivi!$G:$G,2669))</f>
        <v/>
      </c>
      <c r="T2619">
        <f>IF($O2619="","",IF(INDEX(Dossiers!$F$4:$F$63,50)="","",INDEX(Dossiers!$F$4:$F$63,50)))</f>
        <v/>
      </c>
      <c r="U2619">
        <f>IF($O2619="","",IF(INDEX(Dossiers!$G$4:$G$63,50)="","",INDEX(Dossiers!$G$4:$G$63,50)))</f>
        <v/>
      </c>
      <c r="V2619">
        <f>IF(OR($O2619="",NOT(ISNUMBER($Q2619))),"",$Q2619*1000000+2619)</f>
        <v/>
      </c>
      <c r="W2619" s="29">
        <f>IF($B2619="","",IFERROR(INDEX($U$4:$U$3183,MATCH(SMALL($V$4:$V$3183,2616),$V$4:$V$3183,0)),""))</f>
        <v/>
      </c>
    </row>
    <row r="2620">
      <c r="A2620">
        <f>IFERROR(INDEX($N$4:$N$3183,MATCH(SMALL($V$4:$V$3183,2617),$V$4:$V$3183,0)),"")</f>
        <v/>
      </c>
      <c r="B2620">
        <f>IFERROR(INDEX($O$4:$O$3183,MATCH(SMALL($V$4:$V$3183,2617),$V$4:$V$3183,0)),"")</f>
        <v/>
      </c>
      <c r="C2620">
        <f>IFERROR(INDEX($P$4:$P$3183,MATCH(SMALL($V$4:$V$3183,2617),$V$4:$V$3183,0)),"")</f>
        <v/>
      </c>
      <c r="D2620" s="29">
        <f>IFERROR(INDEX($Q$4:$Q$3183,MATCH(SMALL($V$4:$V$3183,2617),$V$4:$V$3183,0)),"")</f>
        <v/>
      </c>
      <c r="E2620" s="29">
        <f>IFERROR(INDEX($R$4:$R$3183,MATCH(SMALL($V$4:$V$3183,2617),$V$4:$V$3183,0)),"")</f>
        <v/>
      </c>
      <c r="F2620">
        <f>IFERROR(INDEX($S$4:$S$3183,MATCH(SMALL($V$4:$V$3183,2617),$V$4:$V$3183,0)),"")</f>
        <v/>
      </c>
      <c r="I2620" s="29">
        <f>IF($B2620="","",IFERROR(INDEX($U$4:$U$3183,MATCH(SMALL($V$4:$V$3183,2617),$V$4:$V$3183,0)),""))</f>
        <v/>
      </c>
      <c r="J2620">
        <f>IF($B2620="","",IF($D2620&gt;$F$2,"À venir",IF($E2620&lt;$D$2,"Passé","Dans la période")))</f>
        <v/>
      </c>
      <c r="K2620">
        <f>IF(OR($B2620="",NOT(ISNUMBER($D2620))),"",IF(AND($E2620&lt;$D$2,$G2620&lt;&gt;"X",$F2620&lt;&gt;"Réalisé",$F2620&lt;&gt;"Clôturé"),"RETARD",""))</f>
        <v/>
      </c>
      <c r="L2620">
        <f>IF(OR($B2620="",NOT(ISNUMBER($D2620))),"",IF(AND($D2620&gt;=$D$2,$D2620&lt;=$H$2,$G2620&lt;&gt;"X",$F2620&lt;&gt;"Réalisé",$F2620&lt;&gt;"Clôturé"),"≤ 7 j",""))</f>
        <v/>
      </c>
      <c r="M2620" s="29">
        <f>IF($B2620="","",IFERROR(INDEX($T$4:$T$3183,MATCH(SMALL($V$4:$V$3183,2617),$V$4:$V$3183,0)),""))</f>
        <v/>
      </c>
      <c r="O2620">
        <f>IF(INDEX(Suivi!$B:$B,2670)="","",INDEX(Suivi!$B:$B,2670))</f>
        <v/>
      </c>
      <c r="P2620">
        <f>IF($O2620="","",IF(INDEX(Suivi!$D:$D,2670)="",INDEX(Suivi!$C:$C,2670),INDEX(Suivi!$D:$D,2670)))</f>
        <v/>
      </c>
      <c r="Q2620">
        <f>IF($O2620="","",INDEX(Suivi!$E:$E,2670))</f>
        <v/>
      </c>
      <c r="R2620">
        <f>IF($O2620="","",INDEX(Suivi!$F:$F,2670))</f>
        <v/>
      </c>
      <c r="S2620">
        <f>IF($O2620="","",INDEX(Suivi!$G:$G,2670))</f>
        <v/>
      </c>
      <c r="T2620">
        <f>IF($O2620="","",IF(INDEX(Dossiers!$F$4:$F$63,50)="","",INDEX(Dossiers!$F$4:$F$63,50)))</f>
        <v/>
      </c>
      <c r="U2620">
        <f>IF($O2620="","",IF(INDEX(Dossiers!$G$4:$G$63,50)="","",INDEX(Dossiers!$G$4:$G$63,50)))</f>
        <v/>
      </c>
      <c r="V2620">
        <f>IF(OR($O2620="",NOT(ISNUMBER($Q2620))),"",$Q2620*1000000+2620)</f>
        <v/>
      </c>
      <c r="W2620" s="29">
        <f>IF($B2620="","",IFERROR(INDEX($U$4:$U$3183,MATCH(SMALL($V$4:$V$3183,2617),$V$4:$V$3183,0)),""))</f>
        <v/>
      </c>
    </row>
    <row r="2621">
      <c r="A2621">
        <f>IFERROR(INDEX($N$4:$N$3183,MATCH(SMALL($V$4:$V$3183,2618),$V$4:$V$3183,0)),"")</f>
        <v/>
      </c>
      <c r="B2621">
        <f>IFERROR(INDEX($O$4:$O$3183,MATCH(SMALL($V$4:$V$3183,2618),$V$4:$V$3183,0)),"")</f>
        <v/>
      </c>
      <c r="C2621">
        <f>IFERROR(INDEX($P$4:$P$3183,MATCH(SMALL($V$4:$V$3183,2618),$V$4:$V$3183,0)),"")</f>
        <v/>
      </c>
      <c r="D2621" s="29">
        <f>IFERROR(INDEX($Q$4:$Q$3183,MATCH(SMALL($V$4:$V$3183,2618),$V$4:$V$3183,0)),"")</f>
        <v/>
      </c>
      <c r="E2621" s="29">
        <f>IFERROR(INDEX($R$4:$R$3183,MATCH(SMALL($V$4:$V$3183,2618),$V$4:$V$3183,0)),"")</f>
        <v/>
      </c>
      <c r="F2621">
        <f>IFERROR(INDEX($S$4:$S$3183,MATCH(SMALL($V$4:$V$3183,2618),$V$4:$V$3183,0)),"")</f>
        <v/>
      </c>
      <c r="I2621" s="29">
        <f>IF($B2621="","",IFERROR(INDEX($U$4:$U$3183,MATCH(SMALL($V$4:$V$3183,2618),$V$4:$V$3183,0)),""))</f>
        <v/>
      </c>
      <c r="J2621">
        <f>IF($B2621="","",IF($D2621&gt;$F$2,"À venir",IF($E2621&lt;$D$2,"Passé","Dans la période")))</f>
        <v/>
      </c>
      <c r="K2621">
        <f>IF(OR($B2621="",NOT(ISNUMBER($D2621))),"",IF(AND($E2621&lt;$D$2,$G2621&lt;&gt;"X",$F2621&lt;&gt;"Réalisé",$F2621&lt;&gt;"Clôturé"),"RETARD",""))</f>
        <v/>
      </c>
      <c r="L2621">
        <f>IF(OR($B2621="",NOT(ISNUMBER($D2621))),"",IF(AND($D2621&gt;=$D$2,$D2621&lt;=$H$2,$G2621&lt;&gt;"X",$F2621&lt;&gt;"Réalisé",$F2621&lt;&gt;"Clôturé"),"≤ 7 j",""))</f>
        <v/>
      </c>
      <c r="M2621" s="29">
        <f>IF($B2621="","",IFERROR(INDEX($T$4:$T$3183,MATCH(SMALL($V$4:$V$3183,2618),$V$4:$V$3183,0)),""))</f>
        <v/>
      </c>
      <c r="O2621">
        <f>IF(INDEX(Suivi!$B:$B,2671)="","",INDEX(Suivi!$B:$B,2671))</f>
        <v/>
      </c>
      <c r="P2621">
        <f>IF($O2621="","",IF(INDEX(Suivi!$D:$D,2671)="",INDEX(Suivi!$C:$C,2671),INDEX(Suivi!$D:$D,2671)))</f>
        <v/>
      </c>
      <c r="Q2621">
        <f>IF($O2621="","",INDEX(Suivi!$E:$E,2671))</f>
        <v/>
      </c>
      <c r="R2621">
        <f>IF($O2621="","",INDEX(Suivi!$F:$F,2671))</f>
        <v/>
      </c>
      <c r="S2621">
        <f>IF($O2621="","",INDEX(Suivi!$G:$G,2671))</f>
        <v/>
      </c>
      <c r="T2621">
        <f>IF($O2621="","",IF(INDEX(Dossiers!$F$4:$F$63,50)="","",INDEX(Dossiers!$F$4:$F$63,50)))</f>
        <v/>
      </c>
      <c r="U2621">
        <f>IF($O2621="","",IF(INDEX(Dossiers!$G$4:$G$63,50)="","",INDEX(Dossiers!$G$4:$G$63,50)))</f>
        <v/>
      </c>
      <c r="V2621">
        <f>IF(OR($O2621="",NOT(ISNUMBER($Q2621))),"",$Q2621*1000000+2621)</f>
        <v/>
      </c>
      <c r="W2621" s="29">
        <f>IF($B2621="","",IFERROR(INDEX($U$4:$U$3183,MATCH(SMALL($V$4:$V$3183,2618),$V$4:$V$3183,0)),""))</f>
        <v/>
      </c>
    </row>
    <row r="2622">
      <c r="A2622">
        <f>IFERROR(INDEX($N$4:$N$3183,MATCH(SMALL($V$4:$V$3183,2619),$V$4:$V$3183,0)),"")</f>
        <v/>
      </c>
      <c r="B2622">
        <f>IFERROR(INDEX($O$4:$O$3183,MATCH(SMALL($V$4:$V$3183,2619),$V$4:$V$3183,0)),"")</f>
        <v/>
      </c>
      <c r="C2622">
        <f>IFERROR(INDEX($P$4:$P$3183,MATCH(SMALL($V$4:$V$3183,2619),$V$4:$V$3183,0)),"")</f>
        <v/>
      </c>
      <c r="D2622" s="29">
        <f>IFERROR(INDEX($Q$4:$Q$3183,MATCH(SMALL($V$4:$V$3183,2619),$V$4:$V$3183,0)),"")</f>
        <v/>
      </c>
      <c r="E2622" s="29">
        <f>IFERROR(INDEX($R$4:$R$3183,MATCH(SMALL($V$4:$V$3183,2619),$V$4:$V$3183,0)),"")</f>
        <v/>
      </c>
      <c r="F2622">
        <f>IFERROR(INDEX($S$4:$S$3183,MATCH(SMALL($V$4:$V$3183,2619),$V$4:$V$3183,0)),"")</f>
        <v/>
      </c>
      <c r="I2622" s="29">
        <f>IF($B2622="","",IFERROR(INDEX($U$4:$U$3183,MATCH(SMALL($V$4:$V$3183,2619),$V$4:$V$3183,0)),""))</f>
        <v/>
      </c>
      <c r="J2622">
        <f>IF($B2622="","",IF($D2622&gt;$F$2,"À venir",IF($E2622&lt;$D$2,"Passé","Dans la période")))</f>
        <v/>
      </c>
      <c r="K2622">
        <f>IF(OR($B2622="",NOT(ISNUMBER($D2622))),"",IF(AND($E2622&lt;$D$2,$G2622&lt;&gt;"X",$F2622&lt;&gt;"Réalisé",$F2622&lt;&gt;"Clôturé"),"RETARD",""))</f>
        <v/>
      </c>
      <c r="L2622">
        <f>IF(OR($B2622="",NOT(ISNUMBER($D2622))),"",IF(AND($D2622&gt;=$D$2,$D2622&lt;=$H$2,$G2622&lt;&gt;"X",$F2622&lt;&gt;"Réalisé",$F2622&lt;&gt;"Clôturé"),"≤ 7 j",""))</f>
        <v/>
      </c>
      <c r="M2622" s="29">
        <f>IF($B2622="","",IFERROR(INDEX($T$4:$T$3183,MATCH(SMALL($V$4:$V$3183,2619),$V$4:$V$3183,0)),""))</f>
        <v/>
      </c>
      <c r="O2622">
        <f>IF(INDEX(Suivi!$B:$B,2672)="","",INDEX(Suivi!$B:$B,2672))</f>
        <v/>
      </c>
      <c r="P2622">
        <f>IF($O2622="","",IF(INDEX(Suivi!$D:$D,2672)="",INDEX(Suivi!$C:$C,2672),INDEX(Suivi!$D:$D,2672)))</f>
        <v/>
      </c>
      <c r="Q2622">
        <f>IF($O2622="","",INDEX(Suivi!$E:$E,2672))</f>
        <v/>
      </c>
      <c r="R2622">
        <f>IF($O2622="","",INDEX(Suivi!$F:$F,2672))</f>
        <v/>
      </c>
      <c r="S2622">
        <f>IF($O2622="","",INDEX(Suivi!$G:$G,2672))</f>
        <v/>
      </c>
      <c r="T2622">
        <f>IF($O2622="","",IF(INDEX(Dossiers!$F$4:$F$63,50)="","",INDEX(Dossiers!$F$4:$F$63,50)))</f>
        <v/>
      </c>
      <c r="U2622">
        <f>IF($O2622="","",IF(INDEX(Dossiers!$G$4:$G$63,50)="","",INDEX(Dossiers!$G$4:$G$63,50)))</f>
        <v/>
      </c>
      <c r="V2622">
        <f>IF(OR($O2622="",NOT(ISNUMBER($Q2622))),"",$Q2622*1000000+2622)</f>
        <v/>
      </c>
      <c r="W2622" s="29">
        <f>IF($B2622="","",IFERROR(INDEX($U$4:$U$3183,MATCH(SMALL($V$4:$V$3183,2619),$V$4:$V$3183,0)),""))</f>
        <v/>
      </c>
    </row>
    <row r="2623">
      <c r="A2623">
        <f>IFERROR(INDEX($N$4:$N$3183,MATCH(SMALL($V$4:$V$3183,2620),$V$4:$V$3183,0)),"")</f>
        <v/>
      </c>
      <c r="B2623">
        <f>IFERROR(INDEX($O$4:$O$3183,MATCH(SMALL($V$4:$V$3183,2620),$V$4:$V$3183,0)),"")</f>
        <v/>
      </c>
      <c r="C2623">
        <f>IFERROR(INDEX($P$4:$P$3183,MATCH(SMALL($V$4:$V$3183,2620),$V$4:$V$3183,0)),"")</f>
        <v/>
      </c>
      <c r="D2623" s="29">
        <f>IFERROR(INDEX($Q$4:$Q$3183,MATCH(SMALL($V$4:$V$3183,2620),$V$4:$V$3183,0)),"")</f>
        <v/>
      </c>
      <c r="E2623" s="29">
        <f>IFERROR(INDEX($R$4:$R$3183,MATCH(SMALL($V$4:$V$3183,2620),$V$4:$V$3183,0)),"")</f>
        <v/>
      </c>
      <c r="F2623">
        <f>IFERROR(INDEX($S$4:$S$3183,MATCH(SMALL($V$4:$V$3183,2620),$V$4:$V$3183,0)),"")</f>
        <v/>
      </c>
      <c r="I2623" s="29">
        <f>IF($B2623="","",IFERROR(INDEX($U$4:$U$3183,MATCH(SMALL($V$4:$V$3183,2620),$V$4:$V$3183,0)),""))</f>
        <v/>
      </c>
      <c r="J2623">
        <f>IF($B2623="","",IF($D2623&gt;$F$2,"À venir",IF($E2623&lt;$D$2,"Passé","Dans la période")))</f>
        <v/>
      </c>
      <c r="K2623">
        <f>IF(OR($B2623="",NOT(ISNUMBER($D2623))),"",IF(AND($E2623&lt;$D$2,$G2623&lt;&gt;"X",$F2623&lt;&gt;"Réalisé",$F2623&lt;&gt;"Clôturé"),"RETARD",""))</f>
        <v/>
      </c>
      <c r="L2623">
        <f>IF(OR($B2623="",NOT(ISNUMBER($D2623))),"",IF(AND($D2623&gt;=$D$2,$D2623&lt;=$H$2,$G2623&lt;&gt;"X",$F2623&lt;&gt;"Réalisé",$F2623&lt;&gt;"Clôturé"),"≤ 7 j",""))</f>
        <v/>
      </c>
      <c r="M2623" s="29">
        <f>IF($B2623="","",IFERROR(INDEX($T$4:$T$3183,MATCH(SMALL($V$4:$V$3183,2620),$V$4:$V$3183,0)),""))</f>
        <v/>
      </c>
      <c r="O2623">
        <f>IF(INDEX(Suivi!$B:$B,2673)="","",INDEX(Suivi!$B:$B,2673))</f>
        <v/>
      </c>
      <c r="P2623">
        <f>IF($O2623="","",IF(INDEX(Suivi!$D:$D,2673)="",INDEX(Suivi!$C:$C,2673),INDEX(Suivi!$D:$D,2673)))</f>
        <v/>
      </c>
      <c r="Q2623">
        <f>IF($O2623="","",INDEX(Suivi!$E:$E,2673))</f>
        <v/>
      </c>
      <c r="R2623">
        <f>IF($O2623="","",INDEX(Suivi!$F:$F,2673))</f>
        <v/>
      </c>
      <c r="S2623">
        <f>IF($O2623="","",INDEX(Suivi!$G:$G,2673))</f>
        <v/>
      </c>
      <c r="T2623">
        <f>IF($O2623="","",IF(INDEX(Dossiers!$F$4:$F$63,50)="","",INDEX(Dossiers!$F$4:$F$63,50)))</f>
        <v/>
      </c>
      <c r="U2623">
        <f>IF($O2623="","",IF(INDEX(Dossiers!$G$4:$G$63,50)="","",INDEX(Dossiers!$G$4:$G$63,50)))</f>
        <v/>
      </c>
      <c r="V2623">
        <f>IF(OR($O2623="",NOT(ISNUMBER($Q2623))),"",$Q2623*1000000+2623)</f>
        <v/>
      </c>
      <c r="W2623" s="29">
        <f>IF($B2623="","",IFERROR(INDEX($U$4:$U$3183,MATCH(SMALL($V$4:$V$3183,2620),$V$4:$V$3183,0)),""))</f>
        <v/>
      </c>
    </row>
    <row r="2624">
      <c r="A2624">
        <f>IFERROR(INDEX($N$4:$N$3183,MATCH(SMALL($V$4:$V$3183,2621),$V$4:$V$3183,0)),"")</f>
        <v/>
      </c>
      <c r="B2624">
        <f>IFERROR(INDEX($O$4:$O$3183,MATCH(SMALL($V$4:$V$3183,2621),$V$4:$V$3183,0)),"")</f>
        <v/>
      </c>
      <c r="C2624">
        <f>IFERROR(INDEX($P$4:$P$3183,MATCH(SMALL($V$4:$V$3183,2621),$V$4:$V$3183,0)),"")</f>
        <v/>
      </c>
      <c r="D2624" s="29">
        <f>IFERROR(INDEX($Q$4:$Q$3183,MATCH(SMALL($V$4:$V$3183,2621),$V$4:$V$3183,0)),"")</f>
        <v/>
      </c>
      <c r="E2624" s="29">
        <f>IFERROR(INDEX($R$4:$R$3183,MATCH(SMALL($V$4:$V$3183,2621),$V$4:$V$3183,0)),"")</f>
        <v/>
      </c>
      <c r="F2624">
        <f>IFERROR(INDEX($S$4:$S$3183,MATCH(SMALL($V$4:$V$3183,2621),$V$4:$V$3183,0)),"")</f>
        <v/>
      </c>
      <c r="I2624" s="29">
        <f>IF($B2624="","",IFERROR(INDEX($U$4:$U$3183,MATCH(SMALL($V$4:$V$3183,2621),$V$4:$V$3183,0)),""))</f>
        <v/>
      </c>
      <c r="J2624">
        <f>IF($B2624="","",IF($D2624&gt;$F$2,"À venir",IF($E2624&lt;$D$2,"Passé","Dans la période")))</f>
        <v/>
      </c>
      <c r="K2624">
        <f>IF(OR($B2624="",NOT(ISNUMBER($D2624))),"",IF(AND($E2624&lt;$D$2,$G2624&lt;&gt;"X",$F2624&lt;&gt;"Réalisé",$F2624&lt;&gt;"Clôturé"),"RETARD",""))</f>
        <v/>
      </c>
      <c r="L2624">
        <f>IF(OR($B2624="",NOT(ISNUMBER($D2624))),"",IF(AND($D2624&gt;=$D$2,$D2624&lt;=$H$2,$G2624&lt;&gt;"X",$F2624&lt;&gt;"Réalisé",$F2624&lt;&gt;"Clôturé"),"≤ 7 j",""))</f>
        <v/>
      </c>
      <c r="M2624" s="29">
        <f>IF($B2624="","",IFERROR(INDEX($T$4:$T$3183,MATCH(SMALL($V$4:$V$3183,2621),$V$4:$V$3183,0)),""))</f>
        <v/>
      </c>
      <c r="O2624">
        <f>IF(INDEX(Suivi!$B:$B,2674)="","",INDEX(Suivi!$B:$B,2674))</f>
        <v/>
      </c>
      <c r="P2624">
        <f>IF($O2624="","",IF(INDEX(Suivi!$D:$D,2674)="",INDEX(Suivi!$C:$C,2674),INDEX(Suivi!$D:$D,2674)))</f>
        <v/>
      </c>
      <c r="Q2624">
        <f>IF($O2624="","",INDEX(Suivi!$E:$E,2674))</f>
        <v/>
      </c>
      <c r="R2624">
        <f>IF($O2624="","",INDEX(Suivi!$F:$F,2674))</f>
        <v/>
      </c>
      <c r="S2624">
        <f>IF($O2624="","",INDEX(Suivi!$G:$G,2674))</f>
        <v/>
      </c>
      <c r="T2624">
        <f>IF($O2624="","",IF(INDEX(Dossiers!$F$4:$F$63,50)="","",INDEX(Dossiers!$F$4:$F$63,50)))</f>
        <v/>
      </c>
      <c r="U2624">
        <f>IF($O2624="","",IF(INDEX(Dossiers!$G$4:$G$63,50)="","",INDEX(Dossiers!$G$4:$G$63,50)))</f>
        <v/>
      </c>
      <c r="V2624">
        <f>IF(OR($O2624="",NOT(ISNUMBER($Q2624))),"",$Q2624*1000000+2624)</f>
        <v/>
      </c>
      <c r="W2624" s="29">
        <f>IF($B2624="","",IFERROR(INDEX($U$4:$U$3183,MATCH(SMALL($V$4:$V$3183,2621),$V$4:$V$3183,0)),""))</f>
        <v/>
      </c>
    </row>
    <row r="2625">
      <c r="A2625">
        <f>IFERROR(INDEX($N$4:$N$3183,MATCH(SMALL($V$4:$V$3183,2622),$V$4:$V$3183,0)),"")</f>
        <v/>
      </c>
      <c r="B2625">
        <f>IFERROR(INDEX($O$4:$O$3183,MATCH(SMALL($V$4:$V$3183,2622),$V$4:$V$3183,0)),"")</f>
        <v/>
      </c>
      <c r="C2625">
        <f>IFERROR(INDEX($P$4:$P$3183,MATCH(SMALL($V$4:$V$3183,2622),$V$4:$V$3183,0)),"")</f>
        <v/>
      </c>
      <c r="D2625" s="29">
        <f>IFERROR(INDEX($Q$4:$Q$3183,MATCH(SMALL($V$4:$V$3183,2622),$V$4:$V$3183,0)),"")</f>
        <v/>
      </c>
      <c r="E2625" s="29">
        <f>IFERROR(INDEX($R$4:$R$3183,MATCH(SMALL($V$4:$V$3183,2622),$V$4:$V$3183,0)),"")</f>
        <v/>
      </c>
      <c r="F2625">
        <f>IFERROR(INDEX($S$4:$S$3183,MATCH(SMALL($V$4:$V$3183,2622),$V$4:$V$3183,0)),"")</f>
        <v/>
      </c>
      <c r="I2625" s="29">
        <f>IF($B2625="","",IFERROR(INDEX($U$4:$U$3183,MATCH(SMALL($V$4:$V$3183,2622),$V$4:$V$3183,0)),""))</f>
        <v/>
      </c>
      <c r="J2625">
        <f>IF($B2625="","",IF($D2625&gt;$F$2,"À venir",IF($E2625&lt;$D$2,"Passé","Dans la période")))</f>
        <v/>
      </c>
      <c r="K2625">
        <f>IF(OR($B2625="",NOT(ISNUMBER($D2625))),"",IF(AND($E2625&lt;$D$2,$G2625&lt;&gt;"X",$F2625&lt;&gt;"Réalisé",$F2625&lt;&gt;"Clôturé"),"RETARD",""))</f>
        <v/>
      </c>
      <c r="L2625">
        <f>IF(OR($B2625="",NOT(ISNUMBER($D2625))),"",IF(AND($D2625&gt;=$D$2,$D2625&lt;=$H$2,$G2625&lt;&gt;"X",$F2625&lt;&gt;"Réalisé",$F2625&lt;&gt;"Clôturé"),"≤ 7 j",""))</f>
        <v/>
      </c>
      <c r="M2625" s="29">
        <f>IF($B2625="","",IFERROR(INDEX($T$4:$T$3183,MATCH(SMALL($V$4:$V$3183,2622),$V$4:$V$3183,0)),""))</f>
        <v/>
      </c>
      <c r="O2625">
        <f>IF(INDEX(Suivi!$B:$B,2675)="","",INDEX(Suivi!$B:$B,2675))</f>
        <v/>
      </c>
      <c r="P2625">
        <f>IF($O2625="","",IF(INDEX(Suivi!$D:$D,2675)="",INDEX(Suivi!$C:$C,2675),INDEX(Suivi!$D:$D,2675)))</f>
        <v/>
      </c>
      <c r="Q2625">
        <f>IF($O2625="","",INDEX(Suivi!$E:$E,2675))</f>
        <v/>
      </c>
      <c r="R2625">
        <f>IF($O2625="","",INDEX(Suivi!$F:$F,2675))</f>
        <v/>
      </c>
      <c r="S2625">
        <f>IF($O2625="","",INDEX(Suivi!$G:$G,2675))</f>
        <v/>
      </c>
      <c r="T2625">
        <f>IF($O2625="","",IF(INDEX(Dossiers!$F$4:$F$63,50)="","",INDEX(Dossiers!$F$4:$F$63,50)))</f>
        <v/>
      </c>
      <c r="U2625">
        <f>IF($O2625="","",IF(INDEX(Dossiers!$G$4:$G$63,50)="","",INDEX(Dossiers!$G$4:$G$63,50)))</f>
        <v/>
      </c>
      <c r="V2625">
        <f>IF(OR($O2625="",NOT(ISNUMBER($Q2625))),"",$Q2625*1000000+2625)</f>
        <v/>
      </c>
      <c r="W2625" s="29">
        <f>IF($B2625="","",IFERROR(INDEX($U$4:$U$3183,MATCH(SMALL($V$4:$V$3183,2622),$V$4:$V$3183,0)),""))</f>
        <v/>
      </c>
    </row>
    <row r="2626">
      <c r="A2626">
        <f>IFERROR(INDEX($N$4:$N$3183,MATCH(SMALL($V$4:$V$3183,2623),$V$4:$V$3183,0)),"")</f>
        <v/>
      </c>
      <c r="B2626">
        <f>IFERROR(INDEX($O$4:$O$3183,MATCH(SMALL($V$4:$V$3183,2623),$V$4:$V$3183,0)),"")</f>
        <v/>
      </c>
      <c r="C2626">
        <f>IFERROR(INDEX($P$4:$P$3183,MATCH(SMALL($V$4:$V$3183,2623),$V$4:$V$3183,0)),"")</f>
        <v/>
      </c>
      <c r="D2626" s="29">
        <f>IFERROR(INDEX($Q$4:$Q$3183,MATCH(SMALL($V$4:$V$3183,2623),$V$4:$V$3183,0)),"")</f>
        <v/>
      </c>
      <c r="E2626" s="29">
        <f>IFERROR(INDEX($R$4:$R$3183,MATCH(SMALL($V$4:$V$3183,2623),$V$4:$V$3183,0)),"")</f>
        <v/>
      </c>
      <c r="F2626">
        <f>IFERROR(INDEX($S$4:$S$3183,MATCH(SMALL($V$4:$V$3183,2623),$V$4:$V$3183,0)),"")</f>
        <v/>
      </c>
      <c r="I2626" s="29">
        <f>IF($B2626="","",IFERROR(INDEX($U$4:$U$3183,MATCH(SMALL($V$4:$V$3183,2623),$V$4:$V$3183,0)),""))</f>
        <v/>
      </c>
      <c r="J2626">
        <f>IF($B2626="","",IF($D2626&gt;$F$2,"À venir",IF($E2626&lt;$D$2,"Passé","Dans la période")))</f>
        <v/>
      </c>
      <c r="K2626">
        <f>IF(OR($B2626="",NOT(ISNUMBER($D2626))),"",IF(AND($E2626&lt;$D$2,$G2626&lt;&gt;"X",$F2626&lt;&gt;"Réalisé",$F2626&lt;&gt;"Clôturé"),"RETARD",""))</f>
        <v/>
      </c>
      <c r="L2626">
        <f>IF(OR($B2626="",NOT(ISNUMBER($D2626))),"",IF(AND($D2626&gt;=$D$2,$D2626&lt;=$H$2,$G2626&lt;&gt;"X",$F2626&lt;&gt;"Réalisé",$F2626&lt;&gt;"Clôturé"),"≤ 7 j",""))</f>
        <v/>
      </c>
      <c r="M2626" s="29">
        <f>IF($B2626="","",IFERROR(INDEX($T$4:$T$3183,MATCH(SMALL($V$4:$V$3183,2623),$V$4:$V$3183,0)),""))</f>
        <v/>
      </c>
      <c r="O2626">
        <f>IF(INDEX(Suivi!$B:$B,2676)="","",INDEX(Suivi!$B:$B,2676))</f>
        <v/>
      </c>
      <c r="P2626">
        <f>IF($O2626="","",IF(INDEX(Suivi!$D:$D,2676)="",INDEX(Suivi!$C:$C,2676),INDEX(Suivi!$D:$D,2676)))</f>
        <v/>
      </c>
      <c r="Q2626">
        <f>IF($O2626="","",INDEX(Suivi!$E:$E,2676))</f>
        <v/>
      </c>
      <c r="R2626">
        <f>IF($O2626="","",INDEX(Suivi!$F:$F,2676))</f>
        <v/>
      </c>
      <c r="S2626">
        <f>IF($O2626="","",INDEX(Suivi!$G:$G,2676))</f>
        <v/>
      </c>
      <c r="T2626">
        <f>IF($O2626="","",IF(INDEX(Dossiers!$F$4:$F$63,50)="","",INDEX(Dossiers!$F$4:$F$63,50)))</f>
        <v/>
      </c>
      <c r="U2626">
        <f>IF($O2626="","",IF(INDEX(Dossiers!$G$4:$G$63,50)="","",INDEX(Dossiers!$G$4:$G$63,50)))</f>
        <v/>
      </c>
      <c r="V2626">
        <f>IF(OR($O2626="",NOT(ISNUMBER($Q2626))),"",$Q2626*1000000+2626)</f>
        <v/>
      </c>
      <c r="W2626" s="29">
        <f>IF($B2626="","",IFERROR(INDEX($U$4:$U$3183,MATCH(SMALL($V$4:$V$3183,2623),$V$4:$V$3183,0)),""))</f>
        <v/>
      </c>
    </row>
    <row r="2627">
      <c r="A2627">
        <f>IFERROR(INDEX($N$4:$N$3183,MATCH(SMALL($V$4:$V$3183,2624),$V$4:$V$3183,0)),"")</f>
        <v/>
      </c>
      <c r="B2627">
        <f>IFERROR(INDEX($O$4:$O$3183,MATCH(SMALL($V$4:$V$3183,2624),$V$4:$V$3183,0)),"")</f>
        <v/>
      </c>
      <c r="C2627">
        <f>IFERROR(INDEX($P$4:$P$3183,MATCH(SMALL($V$4:$V$3183,2624),$V$4:$V$3183,0)),"")</f>
        <v/>
      </c>
      <c r="D2627" s="29">
        <f>IFERROR(INDEX($Q$4:$Q$3183,MATCH(SMALL($V$4:$V$3183,2624),$V$4:$V$3183,0)),"")</f>
        <v/>
      </c>
      <c r="E2627" s="29">
        <f>IFERROR(INDEX($R$4:$R$3183,MATCH(SMALL($V$4:$V$3183,2624),$V$4:$V$3183,0)),"")</f>
        <v/>
      </c>
      <c r="F2627">
        <f>IFERROR(INDEX($S$4:$S$3183,MATCH(SMALL($V$4:$V$3183,2624),$V$4:$V$3183,0)),"")</f>
        <v/>
      </c>
      <c r="I2627" s="29">
        <f>IF($B2627="","",IFERROR(INDEX($U$4:$U$3183,MATCH(SMALL($V$4:$V$3183,2624),$V$4:$V$3183,0)),""))</f>
        <v/>
      </c>
      <c r="J2627">
        <f>IF($B2627="","",IF($D2627&gt;$F$2,"À venir",IF($E2627&lt;$D$2,"Passé","Dans la période")))</f>
        <v/>
      </c>
      <c r="K2627">
        <f>IF(OR($B2627="",NOT(ISNUMBER($D2627))),"",IF(AND($E2627&lt;$D$2,$G2627&lt;&gt;"X",$F2627&lt;&gt;"Réalisé",$F2627&lt;&gt;"Clôturé"),"RETARD",""))</f>
        <v/>
      </c>
      <c r="L2627">
        <f>IF(OR($B2627="",NOT(ISNUMBER($D2627))),"",IF(AND($D2627&gt;=$D$2,$D2627&lt;=$H$2,$G2627&lt;&gt;"X",$F2627&lt;&gt;"Réalisé",$F2627&lt;&gt;"Clôturé"),"≤ 7 j",""))</f>
        <v/>
      </c>
      <c r="M2627" s="29">
        <f>IF($B2627="","",IFERROR(INDEX($T$4:$T$3183,MATCH(SMALL($V$4:$V$3183,2624),$V$4:$V$3183,0)),""))</f>
        <v/>
      </c>
      <c r="O2627">
        <f>IF(INDEX(Suivi!$B:$B,2677)="","",INDEX(Suivi!$B:$B,2677))</f>
        <v/>
      </c>
      <c r="P2627">
        <f>IF($O2627="","",IF(INDEX(Suivi!$D:$D,2677)="",INDEX(Suivi!$C:$C,2677),INDEX(Suivi!$D:$D,2677)))</f>
        <v/>
      </c>
      <c r="Q2627">
        <f>IF($O2627="","",INDEX(Suivi!$E:$E,2677))</f>
        <v/>
      </c>
      <c r="R2627">
        <f>IF($O2627="","",INDEX(Suivi!$F:$F,2677))</f>
        <v/>
      </c>
      <c r="S2627">
        <f>IF($O2627="","",INDEX(Suivi!$G:$G,2677))</f>
        <v/>
      </c>
      <c r="T2627">
        <f>IF($O2627="","",IF(INDEX(Dossiers!$F$4:$F$63,50)="","",INDEX(Dossiers!$F$4:$F$63,50)))</f>
        <v/>
      </c>
      <c r="U2627">
        <f>IF($O2627="","",IF(INDEX(Dossiers!$G$4:$G$63,50)="","",INDEX(Dossiers!$G$4:$G$63,50)))</f>
        <v/>
      </c>
      <c r="V2627">
        <f>IF(OR($O2627="",NOT(ISNUMBER($Q2627))),"",$Q2627*1000000+2627)</f>
        <v/>
      </c>
      <c r="W2627" s="29">
        <f>IF($B2627="","",IFERROR(INDEX($U$4:$U$3183,MATCH(SMALL($V$4:$V$3183,2624),$V$4:$V$3183,0)),""))</f>
        <v/>
      </c>
    </row>
    <row r="2628">
      <c r="A2628">
        <f>IFERROR(INDEX($N$4:$N$3183,MATCH(SMALL($V$4:$V$3183,2625),$V$4:$V$3183,0)),"")</f>
        <v/>
      </c>
      <c r="B2628">
        <f>IFERROR(INDEX($O$4:$O$3183,MATCH(SMALL($V$4:$V$3183,2625),$V$4:$V$3183,0)),"")</f>
        <v/>
      </c>
      <c r="C2628">
        <f>IFERROR(INDEX($P$4:$P$3183,MATCH(SMALL($V$4:$V$3183,2625),$V$4:$V$3183,0)),"")</f>
        <v/>
      </c>
      <c r="D2628" s="29">
        <f>IFERROR(INDEX($Q$4:$Q$3183,MATCH(SMALL($V$4:$V$3183,2625),$V$4:$V$3183,0)),"")</f>
        <v/>
      </c>
      <c r="E2628" s="29">
        <f>IFERROR(INDEX($R$4:$R$3183,MATCH(SMALL($V$4:$V$3183,2625),$V$4:$V$3183,0)),"")</f>
        <v/>
      </c>
      <c r="F2628">
        <f>IFERROR(INDEX($S$4:$S$3183,MATCH(SMALL($V$4:$V$3183,2625),$V$4:$V$3183,0)),"")</f>
        <v/>
      </c>
      <c r="I2628" s="29">
        <f>IF($B2628="","",IFERROR(INDEX($U$4:$U$3183,MATCH(SMALL($V$4:$V$3183,2625),$V$4:$V$3183,0)),""))</f>
        <v/>
      </c>
      <c r="J2628">
        <f>IF($B2628="","",IF($D2628&gt;$F$2,"À venir",IF($E2628&lt;$D$2,"Passé","Dans la période")))</f>
        <v/>
      </c>
      <c r="K2628">
        <f>IF(OR($B2628="",NOT(ISNUMBER($D2628))),"",IF(AND($E2628&lt;$D$2,$G2628&lt;&gt;"X",$F2628&lt;&gt;"Réalisé",$F2628&lt;&gt;"Clôturé"),"RETARD",""))</f>
        <v/>
      </c>
      <c r="L2628">
        <f>IF(OR($B2628="",NOT(ISNUMBER($D2628))),"",IF(AND($D2628&gt;=$D$2,$D2628&lt;=$H$2,$G2628&lt;&gt;"X",$F2628&lt;&gt;"Réalisé",$F2628&lt;&gt;"Clôturé"),"≤ 7 j",""))</f>
        <v/>
      </c>
      <c r="M2628" s="29">
        <f>IF($B2628="","",IFERROR(INDEX($T$4:$T$3183,MATCH(SMALL($V$4:$V$3183,2625),$V$4:$V$3183,0)),""))</f>
        <v/>
      </c>
      <c r="O2628">
        <f>IF(INDEX(Suivi!$B:$B,2678)="","",INDEX(Suivi!$B:$B,2678))</f>
        <v/>
      </c>
      <c r="P2628">
        <f>IF($O2628="","",IF(INDEX(Suivi!$D:$D,2678)="",INDEX(Suivi!$C:$C,2678),INDEX(Suivi!$D:$D,2678)))</f>
        <v/>
      </c>
      <c r="Q2628">
        <f>IF($O2628="","",INDEX(Suivi!$E:$E,2678))</f>
        <v/>
      </c>
      <c r="R2628">
        <f>IF($O2628="","",INDEX(Suivi!$F:$F,2678))</f>
        <v/>
      </c>
      <c r="S2628">
        <f>IF($O2628="","",INDEX(Suivi!$G:$G,2678))</f>
        <v/>
      </c>
      <c r="T2628">
        <f>IF($O2628="","",IF(INDEX(Dossiers!$F$4:$F$63,50)="","",INDEX(Dossiers!$F$4:$F$63,50)))</f>
        <v/>
      </c>
      <c r="U2628">
        <f>IF($O2628="","",IF(INDEX(Dossiers!$G$4:$G$63,50)="","",INDEX(Dossiers!$G$4:$G$63,50)))</f>
        <v/>
      </c>
      <c r="V2628">
        <f>IF(OR($O2628="",NOT(ISNUMBER($Q2628))),"",$Q2628*1000000+2628)</f>
        <v/>
      </c>
      <c r="W2628" s="29">
        <f>IF($B2628="","",IFERROR(INDEX($U$4:$U$3183,MATCH(SMALL($V$4:$V$3183,2625),$V$4:$V$3183,0)),""))</f>
        <v/>
      </c>
    </row>
    <row r="2629">
      <c r="A2629">
        <f>IFERROR(INDEX($N$4:$N$3183,MATCH(SMALL($V$4:$V$3183,2626),$V$4:$V$3183,0)),"")</f>
        <v/>
      </c>
      <c r="B2629">
        <f>IFERROR(INDEX($O$4:$O$3183,MATCH(SMALL($V$4:$V$3183,2626),$V$4:$V$3183,0)),"")</f>
        <v/>
      </c>
      <c r="C2629">
        <f>IFERROR(INDEX($P$4:$P$3183,MATCH(SMALL($V$4:$V$3183,2626),$V$4:$V$3183,0)),"")</f>
        <v/>
      </c>
      <c r="D2629" s="29">
        <f>IFERROR(INDEX($Q$4:$Q$3183,MATCH(SMALL($V$4:$V$3183,2626),$V$4:$V$3183,0)),"")</f>
        <v/>
      </c>
      <c r="E2629" s="29">
        <f>IFERROR(INDEX($R$4:$R$3183,MATCH(SMALL($V$4:$V$3183,2626),$V$4:$V$3183,0)),"")</f>
        <v/>
      </c>
      <c r="F2629">
        <f>IFERROR(INDEX($S$4:$S$3183,MATCH(SMALL($V$4:$V$3183,2626),$V$4:$V$3183,0)),"")</f>
        <v/>
      </c>
      <c r="I2629" s="29">
        <f>IF($B2629="","",IFERROR(INDEX($U$4:$U$3183,MATCH(SMALL($V$4:$V$3183,2626),$V$4:$V$3183,0)),""))</f>
        <v/>
      </c>
      <c r="J2629">
        <f>IF($B2629="","",IF($D2629&gt;$F$2,"À venir",IF($E2629&lt;$D$2,"Passé","Dans la période")))</f>
        <v/>
      </c>
      <c r="K2629">
        <f>IF(OR($B2629="",NOT(ISNUMBER($D2629))),"",IF(AND($E2629&lt;$D$2,$G2629&lt;&gt;"X",$F2629&lt;&gt;"Réalisé",$F2629&lt;&gt;"Clôturé"),"RETARD",""))</f>
        <v/>
      </c>
      <c r="L2629">
        <f>IF(OR($B2629="",NOT(ISNUMBER($D2629))),"",IF(AND($D2629&gt;=$D$2,$D2629&lt;=$H$2,$G2629&lt;&gt;"X",$F2629&lt;&gt;"Réalisé",$F2629&lt;&gt;"Clôturé"),"≤ 7 j",""))</f>
        <v/>
      </c>
      <c r="M2629" s="29">
        <f>IF($B2629="","",IFERROR(INDEX($T$4:$T$3183,MATCH(SMALL($V$4:$V$3183,2626),$V$4:$V$3183,0)),""))</f>
        <v/>
      </c>
      <c r="O2629">
        <f>IF(INDEX(Suivi!$B:$B,2679)="","",INDEX(Suivi!$B:$B,2679))</f>
        <v/>
      </c>
      <c r="P2629">
        <f>IF($O2629="","",IF(INDEX(Suivi!$D:$D,2679)="",INDEX(Suivi!$C:$C,2679),INDEX(Suivi!$D:$D,2679)))</f>
        <v/>
      </c>
      <c r="Q2629">
        <f>IF($O2629="","",INDEX(Suivi!$E:$E,2679))</f>
        <v/>
      </c>
      <c r="R2629">
        <f>IF($O2629="","",INDEX(Suivi!$F:$F,2679))</f>
        <v/>
      </c>
      <c r="S2629">
        <f>IF($O2629="","",INDEX(Suivi!$G:$G,2679))</f>
        <v/>
      </c>
      <c r="T2629">
        <f>IF($O2629="","",IF(INDEX(Dossiers!$F$4:$F$63,50)="","",INDEX(Dossiers!$F$4:$F$63,50)))</f>
        <v/>
      </c>
      <c r="U2629">
        <f>IF($O2629="","",IF(INDEX(Dossiers!$G$4:$G$63,50)="","",INDEX(Dossiers!$G$4:$G$63,50)))</f>
        <v/>
      </c>
      <c r="V2629">
        <f>IF(OR($O2629="",NOT(ISNUMBER($Q2629))),"",$Q2629*1000000+2629)</f>
        <v/>
      </c>
      <c r="W2629" s="29">
        <f>IF($B2629="","",IFERROR(INDEX($U$4:$U$3183,MATCH(SMALL($V$4:$V$3183,2626),$V$4:$V$3183,0)),""))</f>
        <v/>
      </c>
    </row>
    <row r="2630">
      <c r="A2630">
        <f>IFERROR(INDEX($N$4:$N$3183,MATCH(SMALL($V$4:$V$3183,2627),$V$4:$V$3183,0)),"")</f>
        <v/>
      </c>
      <c r="B2630">
        <f>IFERROR(INDEX($O$4:$O$3183,MATCH(SMALL($V$4:$V$3183,2627),$V$4:$V$3183,0)),"")</f>
        <v/>
      </c>
      <c r="C2630">
        <f>IFERROR(INDEX($P$4:$P$3183,MATCH(SMALL($V$4:$V$3183,2627),$V$4:$V$3183,0)),"")</f>
        <v/>
      </c>
      <c r="D2630" s="29">
        <f>IFERROR(INDEX($Q$4:$Q$3183,MATCH(SMALL($V$4:$V$3183,2627),$V$4:$V$3183,0)),"")</f>
        <v/>
      </c>
      <c r="E2630" s="29">
        <f>IFERROR(INDEX($R$4:$R$3183,MATCH(SMALL($V$4:$V$3183,2627),$V$4:$V$3183,0)),"")</f>
        <v/>
      </c>
      <c r="F2630">
        <f>IFERROR(INDEX($S$4:$S$3183,MATCH(SMALL($V$4:$V$3183,2627),$V$4:$V$3183,0)),"")</f>
        <v/>
      </c>
      <c r="I2630" s="29">
        <f>IF($B2630="","",IFERROR(INDEX($U$4:$U$3183,MATCH(SMALL($V$4:$V$3183,2627),$V$4:$V$3183,0)),""))</f>
        <v/>
      </c>
      <c r="J2630">
        <f>IF($B2630="","",IF($D2630&gt;$F$2,"À venir",IF($E2630&lt;$D$2,"Passé","Dans la période")))</f>
        <v/>
      </c>
      <c r="K2630">
        <f>IF(OR($B2630="",NOT(ISNUMBER($D2630))),"",IF(AND($E2630&lt;$D$2,$G2630&lt;&gt;"X",$F2630&lt;&gt;"Réalisé",$F2630&lt;&gt;"Clôturé"),"RETARD",""))</f>
        <v/>
      </c>
      <c r="L2630">
        <f>IF(OR($B2630="",NOT(ISNUMBER($D2630))),"",IF(AND($D2630&gt;=$D$2,$D2630&lt;=$H$2,$G2630&lt;&gt;"X",$F2630&lt;&gt;"Réalisé",$F2630&lt;&gt;"Clôturé"),"≤ 7 j",""))</f>
        <v/>
      </c>
      <c r="M2630" s="29">
        <f>IF($B2630="","",IFERROR(INDEX($T$4:$T$3183,MATCH(SMALL($V$4:$V$3183,2627),$V$4:$V$3183,0)),""))</f>
        <v/>
      </c>
      <c r="O2630">
        <f>IF(INDEX(Suivi!$B:$B,2680)="","",INDEX(Suivi!$B:$B,2680))</f>
        <v/>
      </c>
      <c r="P2630">
        <f>IF($O2630="","",IF(INDEX(Suivi!$D:$D,2680)="",INDEX(Suivi!$C:$C,2680),INDEX(Suivi!$D:$D,2680)))</f>
        <v/>
      </c>
      <c r="Q2630">
        <f>IF($O2630="","",INDEX(Suivi!$E:$E,2680))</f>
        <v/>
      </c>
      <c r="R2630">
        <f>IF($O2630="","",INDEX(Suivi!$F:$F,2680))</f>
        <v/>
      </c>
      <c r="S2630">
        <f>IF($O2630="","",INDEX(Suivi!$G:$G,2680))</f>
        <v/>
      </c>
      <c r="T2630">
        <f>IF($O2630="","",IF(INDEX(Dossiers!$F$4:$F$63,50)="","",INDEX(Dossiers!$F$4:$F$63,50)))</f>
        <v/>
      </c>
      <c r="U2630">
        <f>IF($O2630="","",IF(INDEX(Dossiers!$G$4:$G$63,50)="","",INDEX(Dossiers!$G$4:$G$63,50)))</f>
        <v/>
      </c>
      <c r="V2630">
        <f>IF(OR($O2630="",NOT(ISNUMBER($Q2630))),"",$Q2630*1000000+2630)</f>
        <v/>
      </c>
      <c r="W2630" s="29">
        <f>IF($B2630="","",IFERROR(INDEX($U$4:$U$3183,MATCH(SMALL($V$4:$V$3183,2627),$V$4:$V$3183,0)),""))</f>
        <v/>
      </c>
    </row>
    <row r="2631">
      <c r="A2631">
        <f>IFERROR(INDEX($N$4:$N$3183,MATCH(SMALL($V$4:$V$3183,2628),$V$4:$V$3183,0)),"")</f>
        <v/>
      </c>
      <c r="B2631">
        <f>IFERROR(INDEX($O$4:$O$3183,MATCH(SMALL($V$4:$V$3183,2628),$V$4:$V$3183,0)),"")</f>
        <v/>
      </c>
      <c r="C2631">
        <f>IFERROR(INDEX($P$4:$P$3183,MATCH(SMALL($V$4:$V$3183,2628),$V$4:$V$3183,0)),"")</f>
        <v/>
      </c>
      <c r="D2631" s="29">
        <f>IFERROR(INDEX($Q$4:$Q$3183,MATCH(SMALL($V$4:$V$3183,2628),$V$4:$V$3183,0)),"")</f>
        <v/>
      </c>
      <c r="E2631" s="29">
        <f>IFERROR(INDEX($R$4:$R$3183,MATCH(SMALL($V$4:$V$3183,2628),$V$4:$V$3183,0)),"")</f>
        <v/>
      </c>
      <c r="F2631">
        <f>IFERROR(INDEX($S$4:$S$3183,MATCH(SMALL($V$4:$V$3183,2628),$V$4:$V$3183,0)),"")</f>
        <v/>
      </c>
      <c r="I2631" s="29">
        <f>IF($B2631="","",IFERROR(INDEX($U$4:$U$3183,MATCH(SMALL($V$4:$V$3183,2628),$V$4:$V$3183,0)),""))</f>
        <v/>
      </c>
      <c r="J2631">
        <f>IF($B2631="","",IF($D2631&gt;$F$2,"À venir",IF($E2631&lt;$D$2,"Passé","Dans la période")))</f>
        <v/>
      </c>
      <c r="K2631">
        <f>IF(OR($B2631="",NOT(ISNUMBER($D2631))),"",IF(AND($E2631&lt;$D$2,$G2631&lt;&gt;"X",$F2631&lt;&gt;"Réalisé",$F2631&lt;&gt;"Clôturé"),"RETARD",""))</f>
        <v/>
      </c>
      <c r="L2631">
        <f>IF(OR($B2631="",NOT(ISNUMBER($D2631))),"",IF(AND($D2631&gt;=$D$2,$D2631&lt;=$H$2,$G2631&lt;&gt;"X",$F2631&lt;&gt;"Réalisé",$F2631&lt;&gt;"Clôturé"),"≤ 7 j",""))</f>
        <v/>
      </c>
      <c r="M2631" s="29">
        <f>IF($B2631="","",IFERROR(INDEX($T$4:$T$3183,MATCH(SMALL($V$4:$V$3183,2628),$V$4:$V$3183,0)),""))</f>
        <v/>
      </c>
      <c r="O2631">
        <f>IF(INDEX(Suivi!$B:$B,2681)="","",INDEX(Suivi!$B:$B,2681))</f>
        <v/>
      </c>
      <c r="P2631">
        <f>IF($O2631="","",IF(INDEX(Suivi!$D:$D,2681)="",INDEX(Suivi!$C:$C,2681),INDEX(Suivi!$D:$D,2681)))</f>
        <v/>
      </c>
      <c r="Q2631">
        <f>IF($O2631="","",INDEX(Suivi!$E:$E,2681))</f>
        <v/>
      </c>
      <c r="R2631">
        <f>IF($O2631="","",INDEX(Suivi!$F:$F,2681))</f>
        <v/>
      </c>
      <c r="S2631">
        <f>IF($O2631="","",INDEX(Suivi!$G:$G,2681))</f>
        <v/>
      </c>
      <c r="T2631">
        <f>IF($O2631="","",IF(INDEX(Dossiers!$F$4:$F$63,50)="","",INDEX(Dossiers!$F$4:$F$63,50)))</f>
        <v/>
      </c>
      <c r="U2631">
        <f>IF($O2631="","",IF(INDEX(Dossiers!$G$4:$G$63,50)="","",INDEX(Dossiers!$G$4:$G$63,50)))</f>
        <v/>
      </c>
      <c r="V2631">
        <f>IF(OR($O2631="",NOT(ISNUMBER($Q2631))),"",$Q2631*1000000+2631)</f>
        <v/>
      </c>
      <c r="W2631" s="29">
        <f>IF($B2631="","",IFERROR(INDEX($U$4:$U$3183,MATCH(SMALL($V$4:$V$3183,2628),$V$4:$V$3183,0)),""))</f>
        <v/>
      </c>
    </row>
    <row r="2632">
      <c r="A2632">
        <f>IFERROR(INDEX($N$4:$N$3183,MATCH(SMALL($V$4:$V$3183,2629),$V$4:$V$3183,0)),"")</f>
        <v/>
      </c>
      <c r="B2632">
        <f>IFERROR(INDEX($O$4:$O$3183,MATCH(SMALL($V$4:$V$3183,2629),$V$4:$V$3183,0)),"")</f>
        <v/>
      </c>
      <c r="C2632">
        <f>IFERROR(INDEX($P$4:$P$3183,MATCH(SMALL($V$4:$V$3183,2629),$V$4:$V$3183,0)),"")</f>
        <v/>
      </c>
      <c r="D2632" s="29">
        <f>IFERROR(INDEX($Q$4:$Q$3183,MATCH(SMALL($V$4:$V$3183,2629),$V$4:$V$3183,0)),"")</f>
        <v/>
      </c>
      <c r="E2632" s="29">
        <f>IFERROR(INDEX($R$4:$R$3183,MATCH(SMALL($V$4:$V$3183,2629),$V$4:$V$3183,0)),"")</f>
        <v/>
      </c>
      <c r="F2632">
        <f>IFERROR(INDEX($S$4:$S$3183,MATCH(SMALL($V$4:$V$3183,2629),$V$4:$V$3183,0)),"")</f>
        <v/>
      </c>
      <c r="I2632" s="29">
        <f>IF($B2632="","",IFERROR(INDEX($U$4:$U$3183,MATCH(SMALL($V$4:$V$3183,2629),$V$4:$V$3183,0)),""))</f>
        <v/>
      </c>
      <c r="J2632">
        <f>IF($B2632="","",IF($D2632&gt;$F$2,"À venir",IF($E2632&lt;$D$2,"Passé","Dans la période")))</f>
        <v/>
      </c>
      <c r="K2632">
        <f>IF(OR($B2632="",NOT(ISNUMBER($D2632))),"",IF(AND($E2632&lt;$D$2,$G2632&lt;&gt;"X",$F2632&lt;&gt;"Réalisé",$F2632&lt;&gt;"Clôturé"),"RETARD",""))</f>
        <v/>
      </c>
      <c r="L2632">
        <f>IF(OR($B2632="",NOT(ISNUMBER($D2632))),"",IF(AND($D2632&gt;=$D$2,$D2632&lt;=$H$2,$G2632&lt;&gt;"X",$F2632&lt;&gt;"Réalisé",$F2632&lt;&gt;"Clôturé"),"≤ 7 j",""))</f>
        <v/>
      </c>
      <c r="M2632" s="29">
        <f>IF($B2632="","",IFERROR(INDEX($T$4:$T$3183,MATCH(SMALL($V$4:$V$3183,2629),$V$4:$V$3183,0)),""))</f>
        <v/>
      </c>
      <c r="O2632">
        <f>IF(INDEX(Suivi!$B:$B,2682)="","",INDEX(Suivi!$B:$B,2682))</f>
        <v/>
      </c>
      <c r="P2632">
        <f>IF($O2632="","",IF(INDEX(Suivi!$D:$D,2682)="",INDEX(Suivi!$C:$C,2682),INDEX(Suivi!$D:$D,2682)))</f>
        <v/>
      </c>
      <c r="Q2632">
        <f>IF($O2632="","",INDEX(Suivi!$E:$E,2682))</f>
        <v/>
      </c>
      <c r="R2632">
        <f>IF($O2632="","",INDEX(Suivi!$F:$F,2682))</f>
        <v/>
      </c>
      <c r="S2632">
        <f>IF($O2632="","",INDEX(Suivi!$G:$G,2682))</f>
        <v/>
      </c>
      <c r="T2632">
        <f>IF($O2632="","",IF(INDEX(Dossiers!$F$4:$F$63,50)="","",INDEX(Dossiers!$F$4:$F$63,50)))</f>
        <v/>
      </c>
      <c r="U2632">
        <f>IF($O2632="","",IF(INDEX(Dossiers!$G$4:$G$63,50)="","",INDEX(Dossiers!$G$4:$G$63,50)))</f>
        <v/>
      </c>
      <c r="V2632">
        <f>IF(OR($O2632="",NOT(ISNUMBER($Q2632))),"",$Q2632*1000000+2632)</f>
        <v/>
      </c>
      <c r="W2632" s="29">
        <f>IF($B2632="","",IFERROR(INDEX($U$4:$U$3183,MATCH(SMALL($V$4:$V$3183,2629),$V$4:$V$3183,0)),""))</f>
        <v/>
      </c>
    </row>
    <row r="2633">
      <c r="A2633">
        <f>IFERROR(INDEX($N$4:$N$3183,MATCH(SMALL($V$4:$V$3183,2630),$V$4:$V$3183,0)),"")</f>
        <v/>
      </c>
      <c r="B2633">
        <f>IFERROR(INDEX($O$4:$O$3183,MATCH(SMALL($V$4:$V$3183,2630),$V$4:$V$3183,0)),"")</f>
        <v/>
      </c>
      <c r="C2633">
        <f>IFERROR(INDEX($P$4:$P$3183,MATCH(SMALL($V$4:$V$3183,2630),$V$4:$V$3183,0)),"")</f>
        <v/>
      </c>
      <c r="D2633" s="29">
        <f>IFERROR(INDEX($Q$4:$Q$3183,MATCH(SMALL($V$4:$V$3183,2630),$V$4:$V$3183,0)),"")</f>
        <v/>
      </c>
      <c r="E2633" s="29">
        <f>IFERROR(INDEX($R$4:$R$3183,MATCH(SMALL($V$4:$V$3183,2630),$V$4:$V$3183,0)),"")</f>
        <v/>
      </c>
      <c r="F2633">
        <f>IFERROR(INDEX($S$4:$S$3183,MATCH(SMALL($V$4:$V$3183,2630),$V$4:$V$3183,0)),"")</f>
        <v/>
      </c>
      <c r="I2633" s="29">
        <f>IF($B2633="","",IFERROR(INDEX($U$4:$U$3183,MATCH(SMALL($V$4:$V$3183,2630),$V$4:$V$3183,0)),""))</f>
        <v/>
      </c>
      <c r="J2633">
        <f>IF($B2633="","",IF($D2633&gt;$F$2,"À venir",IF($E2633&lt;$D$2,"Passé","Dans la période")))</f>
        <v/>
      </c>
      <c r="K2633">
        <f>IF(OR($B2633="",NOT(ISNUMBER($D2633))),"",IF(AND($E2633&lt;$D$2,$G2633&lt;&gt;"X",$F2633&lt;&gt;"Réalisé",$F2633&lt;&gt;"Clôturé"),"RETARD",""))</f>
        <v/>
      </c>
      <c r="L2633">
        <f>IF(OR($B2633="",NOT(ISNUMBER($D2633))),"",IF(AND($D2633&gt;=$D$2,$D2633&lt;=$H$2,$G2633&lt;&gt;"X",$F2633&lt;&gt;"Réalisé",$F2633&lt;&gt;"Clôturé"),"≤ 7 j",""))</f>
        <v/>
      </c>
      <c r="M2633" s="29">
        <f>IF($B2633="","",IFERROR(INDEX($T$4:$T$3183,MATCH(SMALL($V$4:$V$3183,2630),$V$4:$V$3183,0)),""))</f>
        <v/>
      </c>
      <c r="O2633">
        <f>IF(INDEX(Suivi!$B:$B,2683)="","",INDEX(Suivi!$B:$B,2683))</f>
        <v/>
      </c>
      <c r="P2633">
        <f>IF($O2633="","",IF(INDEX(Suivi!$D:$D,2683)="",INDEX(Suivi!$C:$C,2683),INDEX(Suivi!$D:$D,2683)))</f>
        <v/>
      </c>
      <c r="Q2633">
        <f>IF($O2633="","",INDEX(Suivi!$E:$E,2683))</f>
        <v/>
      </c>
      <c r="R2633">
        <f>IF($O2633="","",INDEX(Suivi!$F:$F,2683))</f>
        <v/>
      </c>
      <c r="S2633">
        <f>IF($O2633="","",INDEX(Suivi!$G:$G,2683))</f>
        <v/>
      </c>
      <c r="T2633">
        <f>IF($O2633="","",IF(INDEX(Dossiers!$F$4:$F$63,50)="","",INDEX(Dossiers!$F$4:$F$63,50)))</f>
        <v/>
      </c>
      <c r="U2633">
        <f>IF($O2633="","",IF(INDEX(Dossiers!$G$4:$G$63,50)="","",INDEX(Dossiers!$G$4:$G$63,50)))</f>
        <v/>
      </c>
      <c r="V2633">
        <f>IF(OR($O2633="",NOT(ISNUMBER($Q2633))),"",$Q2633*1000000+2633)</f>
        <v/>
      </c>
      <c r="W2633" s="29">
        <f>IF($B2633="","",IFERROR(INDEX($U$4:$U$3183,MATCH(SMALL($V$4:$V$3183,2630),$V$4:$V$3183,0)),""))</f>
        <v/>
      </c>
    </row>
    <row r="2634">
      <c r="A2634">
        <f>IFERROR(INDEX($N$4:$N$3183,MATCH(SMALL($V$4:$V$3183,2631),$V$4:$V$3183,0)),"")</f>
        <v/>
      </c>
      <c r="B2634">
        <f>IFERROR(INDEX($O$4:$O$3183,MATCH(SMALL($V$4:$V$3183,2631),$V$4:$V$3183,0)),"")</f>
        <v/>
      </c>
      <c r="C2634">
        <f>IFERROR(INDEX($P$4:$P$3183,MATCH(SMALL($V$4:$V$3183,2631),$V$4:$V$3183,0)),"")</f>
        <v/>
      </c>
      <c r="D2634" s="29">
        <f>IFERROR(INDEX($Q$4:$Q$3183,MATCH(SMALL($V$4:$V$3183,2631),$V$4:$V$3183,0)),"")</f>
        <v/>
      </c>
      <c r="E2634" s="29">
        <f>IFERROR(INDEX($R$4:$R$3183,MATCH(SMALL($V$4:$V$3183,2631),$V$4:$V$3183,0)),"")</f>
        <v/>
      </c>
      <c r="F2634">
        <f>IFERROR(INDEX($S$4:$S$3183,MATCH(SMALL($V$4:$V$3183,2631),$V$4:$V$3183,0)),"")</f>
        <v/>
      </c>
      <c r="I2634" s="29">
        <f>IF($B2634="","",IFERROR(INDEX($U$4:$U$3183,MATCH(SMALL($V$4:$V$3183,2631),$V$4:$V$3183,0)),""))</f>
        <v/>
      </c>
      <c r="J2634">
        <f>IF($B2634="","",IF($D2634&gt;$F$2,"À venir",IF($E2634&lt;$D$2,"Passé","Dans la période")))</f>
        <v/>
      </c>
      <c r="K2634">
        <f>IF(OR($B2634="",NOT(ISNUMBER($D2634))),"",IF(AND($E2634&lt;$D$2,$G2634&lt;&gt;"X",$F2634&lt;&gt;"Réalisé",$F2634&lt;&gt;"Clôturé"),"RETARD",""))</f>
        <v/>
      </c>
      <c r="L2634">
        <f>IF(OR($B2634="",NOT(ISNUMBER($D2634))),"",IF(AND($D2634&gt;=$D$2,$D2634&lt;=$H$2,$G2634&lt;&gt;"X",$F2634&lt;&gt;"Réalisé",$F2634&lt;&gt;"Clôturé"),"≤ 7 j",""))</f>
        <v/>
      </c>
      <c r="M2634" s="29">
        <f>IF($B2634="","",IFERROR(INDEX($T$4:$T$3183,MATCH(SMALL($V$4:$V$3183,2631),$V$4:$V$3183,0)),""))</f>
        <v/>
      </c>
      <c r="O2634">
        <f>IF(INDEX(Suivi!$B:$B,2684)="","",INDEX(Suivi!$B:$B,2684))</f>
        <v/>
      </c>
      <c r="P2634">
        <f>IF($O2634="","",IF(INDEX(Suivi!$D:$D,2684)="",INDEX(Suivi!$C:$C,2684),INDEX(Suivi!$D:$D,2684)))</f>
        <v/>
      </c>
      <c r="Q2634">
        <f>IF($O2634="","",INDEX(Suivi!$E:$E,2684))</f>
        <v/>
      </c>
      <c r="R2634">
        <f>IF($O2634="","",INDEX(Suivi!$F:$F,2684))</f>
        <v/>
      </c>
      <c r="S2634">
        <f>IF($O2634="","",INDEX(Suivi!$G:$G,2684))</f>
        <v/>
      </c>
      <c r="T2634">
        <f>IF($O2634="","",IF(INDEX(Dossiers!$F$4:$F$63,50)="","",INDEX(Dossiers!$F$4:$F$63,50)))</f>
        <v/>
      </c>
      <c r="U2634">
        <f>IF($O2634="","",IF(INDEX(Dossiers!$G$4:$G$63,50)="","",INDEX(Dossiers!$G$4:$G$63,50)))</f>
        <v/>
      </c>
      <c r="V2634">
        <f>IF(OR($O2634="",NOT(ISNUMBER($Q2634))),"",$Q2634*1000000+2634)</f>
        <v/>
      </c>
      <c r="W2634" s="29">
        <f>IF($B2634="","",IFERROR(INDEX($U$4:$U$3183,MATCH(SMALL($V$4:$V$3183,2631),$V$4:$V$3183,0)),""))</f>
        <v/>
      </c>
    </row>
    <row r="2635">
      <c r="A2635">
        <f>IFERROR(INDEX($N$4:$N$3183,MATCH(SMALL($V$4:$V$3183,2632),$V$4:$V$3183,0)),"")</f>
        <v/>
      </c>
      <c r="B2635">
        <f>IFERROR(INDEX($O$4:$O$3183,MATCH(SMALL($V$4:$V$3183,2632),$V$4:$V$3183,0)),"")</f>
        <v/>
      </c>
      <c r="C2635">
        <f>IFERROR(INDEX($P$4:$P$3183,MATCH(SMALL($V$4:$V$3183,2632),$V$4:$V$3183,0)),"")</f>
        <v/>
      </c>
      <c r="D2635" s="29">
        <f>IFERROR(INDEX($Q$4:$Q$3183,MATCH(SMALL($V$4:$V$3183,2632),$V$4:$V$3183,0)),"")</f>
        <v/>
      </c>
      <c r="E2635" s="29">
        <f>IFERROR(INDEX($R$4:$R$3183,MATCH(SMALL($V$4:$V$3183,2632),$V$4:$V$3183,0)),"")</f>
        <v/>
      </c>
      <c r="F2635">
        <f>IFERROR(INDEX($S$4:$S$3183,MATCH(SMALL($V$4:$V$3183,2632),$V$4:$V$3183,0)),"")</f>
        <v/>
      </c>
      <c r="I2635" s="29">
        <f>IF($B2635="","",IFERROR(INDEX($U$4:$U$3183,MATCH(SMALL($V$4:$V$3183,2632),$V$4:$V$3183,0)),""))</f>
        <v/>
      </c>
      <c r="J2635">
        <f>IF($B2635="","",IF($D2635&gt;$F$2,"À venir",IF($E2635&lt;$D$2,"Passé","Dans la période")))</f>
        <v/>
      </c>
      <c r="K2635">
        <f>IF(OR($B2635="",NOT(ISNUMBER($D2635))),"",IF(AND($E2635&lt;$D$2,$G2635&lt;&gt;"X",$F2635&lt;&gt;"Réalisé",$F2635&lt;&gt;"Clôturé"),"RETARD",""))</f>
        <v/>
      </c>
      <c r="L2635">
        <f>IF(OR($B2635="",NOT(ISNUMBER($D2635))),"",IF(AND($D2635&gt;=$D$2,$D2635&lt;=$H$2,$G2635&lt;&gt;"X",$F2635&lt;&gt;"Réalisé",$F2635&lt;&gt;"Clôturé"),"≤ 7 j",""))</f>
        <v/>
      </c>
      <c r="M2635" s="29">
        <f>IF($B2635="","",IFERROR(INDEX($T$4:$T$3183,MATCH(SMALL($V$4:$V$3183,2632),$V$4:$V$3183,0)),""))</f>
        <v/>
      </c>
      <c r="O2635">
        <f>IF(INDEX(Suivi!$B:$B,2685)="","",INDEX(Suivi!$B:$B,2685))</f>
        <v/>
      </c>
      <c r="P2635">
        <f>IF($O2635="","",IF(INDEX(Suivi!$D:$D,2685)="",INDEX(Suivi!$C:$C,2685),INDEX(Suivi!$D:$D,2685)))</f>
        <v/>
      </c>
      <c r="Q2635">
        <f>IF($O2635="","",INDEX(Suivi!$E:$E,2685))</f>
        <v/>
      </c>
      <c r="R2635">
        <f>IF($O2635="","",INDEX(Suivi!$F:$F,2685))</f>
        <v/>
      </c>
      <c r="S2635">
        <f>IF($O2635="","",INDEX(Suivi!$G:$G,2685))</f>
        <v/>
      </c>
      <c r="T2635">
        <f>IF($O2635="","",IF(INDEX(Dossiers!$F$4:$F$63,50)="","",INDEX(Dossiers!$F$4:$F$63,50)))</f>
        <v/>
      </c>
      <c r="U2635">
        <f>IF($O2635="","",IF(INDEX(Dossiers!$G$4:$G$63,50)="","",INDEX(Dossiers!$G$4:$G$63,50)))</f>
        <v/>
      </c>
      <c r="V2635">
        <f>IF(OR($O2635="",NOT(ISNUMBER($Q2635))),"",$Q2635*1000000+2635)</f>
        <v/>
      </c>
      <c r="W2635" s="29">
        <f>IF($B2635="","",IFERROR(INDEX($U$4:$U$3183,MATCH(SMALL($V$4:$V$3183,2632),$V$4:$V$3183,0)),""))</f>
        <v/>
      </c>
    </row>
    <row r="2636">
      <c r="A2636">
        <f>IFERROR(INDEX($N$4:$N$3183,MATCH(SMALL($V$4:$V$3183,2633),$V$4:$V$3183,0)),"")</f>
        <v/>
      </c>
      <c r="B2636">
        <f>IFERROR(INDEX($O$4:$O$3183,MATCH(SMALL($V$4:$V$3183,2633),$V$4:$V$3183,0)),"")</f>
        <v/>
      </c>
      <c r="C2636">
        <f>IFERROR(INDEX($P$4:$P$3183,MATCH(SMALL($V$4:$V$3183,2633),$V$4:$V$3183,0)),"")</f>
        <v/>
      </c>
      <c r="D2636" s="29">
        <f>IFERROR(INDEX($Q$4:$Q$3183,MATCH(SMALL($V$4:$V$3183,2633),$V$4:$V$3183,0)),"")</f>
        <v/>
      </c>
      <c r="E2636" s="29">
        <f>IFERROR(INDEX($R$4:$R$3183,MATCH(SMALL($V$4:$V$3183,2633),$V$4:$V$3183,0)),"")</f>
        <v/>
      </c>
      <c r="F2636">
        <f>IFERROR(INDEX($S$4:$S$3183,MATCH(SMALL($V$4:$V$3183,2633),$V$4:$V$3183,0)),"")</f>
        <v/>
      </c>
      <c r="I2636" s="29">
        <f>IF($B2636="","",IFERROR(INDEX($U$4:$U$3183,MATCH(SMALL($V$4:$V$3183,2633),$V$4:$V$3183,0)),""))</f>
        <v/>
      </c>
      <c r="J2636">
        <f>IF($B2636="","",IF($D2636&gt;$F$2,"À venir",IF($E2636&lt;$D$2,"Passé","Dans la période")))</f>
        <v/>
      </c>
      <c r="K2636">
        <f>IF(OR($B2636="",NOT(ISNUMBER($D2636))),"",IF(AND($E2636&lt;$D$2,$G2636&lt;&gt;"X",$F2636&lt;&gt;"Réalisé",$F2636&lt;&gt;"Clôturé"),"RETARD",""))</f>
        <v/>
      </c>
      <c r="L2636">
        <f>IF(OR($B2636="",NOT(ISNUMBER($D2636))),"",IF(AND($D2636&gt;=$D$2,$D2636&lt;=$H$2,$G2636&lt;&gt;"X",$F2636&lt;&gt;"Réalisé",$F2636&lt;&gt;"Clôturé"),"≤ 7 j",""))</f>
        <v/>
      </c>
      <c r="M2636" s="29">
        <f>IF($B2636="","",IFERROR(INDEX($T$4:$T$3183,MATCH(SMALL($V$4:$V$3183,2633),$V$4:$V$3183,0)),""))</f>
        <v/>
      </c>
      <c r="O2636">
        <f>IF(INDEX(Suivi!$B:$B,2686)="","",INDEX(Suivi!$B:$B,2686))</f>
        <v/>
      </c>
      <c r="P2636">
        <f>IF($O2636="","",IF(INDEX(Suivi!$D:$D,2686)="",INDEX(Suivi!$C:$C,2686),INDEX(Suivi!$D:$D,2686)))</f>
        <v/>
      </c>
      <c r="Q2636">
        <f>IF($O2636="","",INDEX(Suivi!$E:$E,2686))</f>
        <v/>
      </c>
      <c r="R2636">
        <f>IF($O2636="","",INDEX(Suivi!$F:$F,2686))</f>
        <v/>
      </c>
      <c r="S2636">
        <f>IF($O2636="","",INDEX(Suivi!$G:$G,2686))</f>
        <v/>
      </c>
      <c r="T2636">
        <f>IF($O2636="","",IF(INDEX(Dossiers!$F$4:$F$63,50)="","",INDEX(Dossiers!$F$4:$F$63,50)))</f>
        <v/>
      </c>
      <c r="U2636">
        <f>IF($O2636="","",IF(INDEX(Dossiers!$G$4:$G$63,50)="","",INDEX(Dossiers!$G$4:$G$63,50)))</f>
        <v/>
      </c>
      <c r="V2636">
        <f>IF(OR($O2636="",NOT(ISNUMBER($Q2636))),"",$Q2636*1000000+2636)</f>
        <v/>
      </c>
      <c r="W2636" s="29">
        <f>IF($B2636="","",IFERROR(INDEX($U$4:$U$3183,MATCH(SMALL($V$4:$V$3183,2633),$V$4:$V$3183,0)),""))</f>
        <v/>
      </c>
    </row>
    <row r="2637">
      <c r="A2637">
        <f>IFERROR(INDEX($N$4:$N$3183,MATCH(SMALL($V$4:$V$3183,2634),$V$4:$V$3183,0)),"")</f>
        <v/>
      </c>
      <c r="B2637">
        <f>IFERROR(INDEX($O$4:$O$3183,MATCH(SMALL($V$4:$V$3183,2634),$V$4:$V$3183,0)),"")</f>
        <v/>
      </c>
      <c r="C2637">
        <f>IFERROR(INDEX($P$4:$P$3183,MATCH(SMALL($V$4:$V$3183,2634),$V$4:$V$3183,0)),"")</f>
        <v/>
      </c>
      <c r="D2637" s="29">
        <f>IFERROR(INDEX($Q$4:$Q$3183,MATCH(SMALL($V$4:$V$3183,2634),$V$4:$V$3183,0)),"")</f>
        <v/>
      </c>
      <c r="E2637" s="29">
        <f>IFERROR(INDEX($R$4:$R$3183,MATCH(SMALL($V$4:$V$3183,2634),$V$4:$V$3183,0)),"")</f>
        <v/>
      </c>
      <c r="F2637">
        <f>IFERROR(INDEX($S$4:$S$3183,MATCH(SMALL($V$4:$V$3183,2634),$V$4:$V$3183,0)),"")</f>
        <v/>
      </c>
      <c r="I2637" s="29">
        <f>IF($B2637="","",IFERROR(INDEX($U$4:$U$3183,MATCH(SMALL($V$4:$V$3183,2634),$V$4:$V$3183,0)),""))</f>
        <v/>
      </c>
      <c r="J2637">
        <f>IF($B2637="","",IF($D2637&gt;$F$2,"À venir",IF($E2637&lt;$D$2,"Passé","Dans la période")))</f>
        <v/>
      </c>
      <c r="K2637">
        <f>IF(OR($B2637="",NOT(ISNUMBER($D2637))),"",IF(AND($E2637&lt;$D$2,$G2637&lt;&gt;"X",$F2637&lt;&gt;"Réalisé",$F2637&lt;&gt;"Clôturé"),"RETARD",""))</f>
        <v/>
      </c>
      <c r="L2637">
        <f>IF(OR($B2637="",NOT(ISNUMBER($D2637))),"",IF(AND($D2637&gt;=$D$2,$D2637&lt;=$H$2,$G2637&lt;&gt;"X",$F2637&lt;&gt;"Réalisé",$F2637&lt;&gt;"Clôturé"),"≤ 7 j",""))</f>
        <v/>
      </c>
      <c r="M2637" s="29">
        <f>IF($B2637="","",IFERROR(INDEX($T$4:$T$3183,MATCH(SMALL($V$4:$V$3183,2634),$V$4:$V$3183,0)),""))</f>
        <v/>
      </c>
      <c r="O2637">
        <f>IF(INDEX(Suivi!$B:$B,2687)="","",INDEX(Suivi!$B:$B,2687))</f>
        <v/>
      </c>
      <c r="P2637">
        <f>IF($O2637="","",IF(INDEX(Suivi!$D:$D,2687)="",INDEX(Suivi!$C:$C,2687),INDEX(Suivi!$D:$D,2687)))</f>
        <v/>
      </c>
      <c r="Q2637">
        <f>IF($O2637="","",INDEX(Suivi!$E:$E,2687))</f>
        <v/>
      </c>
      <c r="R2637">
        <f>IF($O2637="","",INDEX(Suivi!$F:$F,2687))</f>
        <v/>
      </c>
      <c r="S2637">
        <f>IF($O2637="","",INDEX(Suivi!$G:$G,2687))</f>
        <v/>
      </c>
      <c r="T2637">
        <f>IF($O2637="","",IF(INDEX(Dossiers!$F$4:$F$63,50)="","",INDEX(Dossiers!$F$4:$F$63,50)))</f>
        <v/>
      </c>
      <c r="U2637">
        <f>IF($O2637="","",IF(INDEX(Dossiers!$G$4:$G$63,50)="","",INDEX(Dossiers!$G$4:$G$63,50)))</f>
        <v/>
      </c>
      <c r="V2637">
        <f>IF(OR($O2637="",NOT(ISNUMBER($Q2637))),"",$Q2637*1000000+2637)</f>
        <v/>
      </c>
      <c r="W2637" s="29">
        <f>IF($B2637="","",IFERROR(INDEX($U$4:$U$3183,MATCH(SMALL($V$4:$V$3183,2634),$V$4:$V$3183,0)),""))</f>
        <v/>
      </c>
    </row>
    <row r="2638">
      <c r="A2638">
        <f>IFERROR(INDEX($N$4:$N$3183,MATCH(SMALL($V$4:$V$3183,2635),$V$4:$V$3183,0)),"")</f>
        <v/>
      </c>
      <c r="B2638">
        <f>IFERROR(INDEX($O$4:$O$3183,MATCH(SMALL($V$4:$V$3183,2635),$V$4:$V$3183,0)),"")</f>
        <v/>
      </c>
      <c r="C2638">
        <f>IFERROR(INDEX($P$4:$P$3183,MATCH(SMALL($V$4:$V$3183,2635),$V$4:$V$3183,0)),"")</f>
        <v/>
      </c>
      <c r="D2638" s="29">
        <f>IFERROR(INDEX($Q$4:$Q$3183,MATCH(SMALL($V$4:$V$3183,2635),$V$4:$V$3183,0)),"")</f>
        <v/>
      </c>
      <c r="E2638" s="29">
        <f>IFERROR(INDEX($R$4:$R$3183,MATCH(SMALL($V$4:$V$3183,2635),$V$4:$V$3183,0)),"")</f>
        <v/>
      </c>
      <c r="F2638">
        <f>IFERROR(INDEX($S$4:$S$3183,MATCH(SMALL($V$4:$V$3183,2635),$V$4:$V$3183,0)),"")</f>
        <v/>
      </c>
      <c r="I2638" s="29">
        <f>IF($B2638="","",IFERROR(INDEX($U$4:$U$3183,MATCH(SMALL($V$4:$V$3183,2635),$V$4:$V$3183,0)),""))</f>
        <v/>
      </c>
      <c r="J2638">
        <f>IF($B2638="","",IF($D2638&gt;$F$2,"À venir",IF($E2638&lt;$D$2,"Passé","Dans la période")))</f>
        <v/>
      </c>
      <c r="K2638">
        <f>IF(OR($B2638="",NOT(ISNUMBER($D2638))),"",IF(AND($E2638&lt;$D$2,$G2638&lt;&gt;"X",$F2638&lt;&gt;"Réalisé",$F2638&lt;&gt;"Clôturé"),"RETARD",""))</f>
        <v/>
      </c>
      <c r="L2638">
        <f>IF(OR($B2638="",NOT(ISNUMBER($D2638))),"",IF(AND($D2638&gt;=$D$2,$D2638&lt;=$H$2,$G2638&lt;&gt;"X",$F2638&lt;&gt;"Réalisé",$F2638&lt;&gt;"Clôturé"),"≤ 7 j",""))</f>
        <v/>
      </c>
      <c r="M2638" s="29">
        <f>IF($B2638="","",IFERROR(INDEX($T$4:$T$3183,MATCH(SMALL($V$4:$V$3183,2635),$V$4:$V$3183,0)),""))</f>
        <v/>
      </c>
      <c r="O2638">
        <f>IF(INDEX(Suivi!$B:$B,2688)="","",INDEX(Suivi!$B:$B,2688))</f>
        <v/>
      </c>
      <c r="P2638">
        <f>IF($O2638="","",IF(INDEX(Suivi!$D:$D,2688)="",INDEX(Suivi!$C:$C,2688),INDEX(Suivi!$D:$D,2688)))</f>
        <v/>
      </c>
      <c r="Q2638">
        <f>IF($O2638="","",INDEX(Suivi!$E:$E,2688))</f>
        <v/>
      </c>
      <c r="R2638">
        <f>IF($O2638="","",INDEX(Suivi!$F:$F,2688))</f>
        <v/>
      </c>
      <c r="S2638">
        <f>IF($O2638="","",INDEX(Suivi!$G:$G,2688))</f>
        <v/>
      </c>
      <c r="T2638">
        <f>IF($O2638="","",IF(INDEX(Dossiers!$F$4:$F$63,50)="","",INDEX(Dossiers!$F$4:$F$63,50)))</f>
        <v/>
      </c>
      <c r="U2638">
        <f>IF($O2638="","",IF(INDEX(Dossiers!$G$4:$G$63,50)="","",INDEX(Dossiers!$G$4:$G$63,50)))</f>
        <v/>
      </c>
      <c r="V2638">
        <f>IF(OR($O2638="",NOT(ISNUMBER($Q2638))),"",$Q2638*1000000+2638)</f>
        <v/>
      </c>
      <c r="W2638" s="29">
        <f>IF($B2638="","",IFERROR(INDEX($U$4:$U$3183,MATCH(SMALL($V$4:$V$3183,2635),$V$4:$V$3183,0)),""))</f>
        <v/>
      </c>
    </row>
    <row r="2639">
      <c r="A2639">
        <f>IFERROR(INDEX($N$4:$N$3183,MATCH(SMALL($V$4:$V$3183,2636),$V$4:$V$3183,0)),"")</f>
        <v/>
      </c>
      <c r="B2639">
        <f>IFERROR(INDEX($O$4:$O$3183,MATCH(SMALL($V$4:$V$3183,2636),$V$4:$V$3183,0)),"")</f>
        <v/>
      </c>
      <c r="C2639">
        <f>IFERROR(INDEX($P$4:$P$3183,MATCH(SMALL($V$4:$V$3183,2636),$V$4:$V$3183,0)),"")</f>
        <v/>
      </c>
      <c r="D2639" s="29">
        <f>IFERROR(INDEX($Q$4:$Q$3183,MATCH(SMALL($V$4:$V$3183,2636),$V$4:$V$3183,0)),"")</f>
        <v/>
      </c>
      <c r="E2639" s="29">
        <f>IFERROR(INDEX($R$4:$R$3183,MATCH(SMALL($V$4:$V$3183,2636),$V$4:$V$3183,0)),"")</f>
        <v/>
      </c>
      <c r="F2639">
        <f>IFERROR(INDEX($S$4:$S$3183,MATCH(SMALL($V$4:$V$3183,2636),$V$4:$V$3183,0)),"")</f>
        <v/>
      </c>
      <c r="I2639" s="29">
        <f>IF($B2639="","",IFERROR(INDEX($U$4:$U$3183,MATCH(SMALL($V$4:$V$3183,2636),$V$4:$V$3183,0)),""))</f>
        <v/>
      </c>
      <c r="J2639">
        <f>IF($B2639="","",IF($D2639&gt;$F$2,"À venir",IF($E2639&lt;$D$2,"Passé","Dans la période")))</f>
        <v/>
      </c>
      <c r="K2639">
        <f>IF(OR($B2639="",NOT(ISNUMBER($D2639))),"",IF(AND($E2639&lt;$D$2,$G2639&lt;&gt;"X",$F2639&lt;&gt;"Réalisé",$F2639&lt;&gt;"Clôturé"),"RETARD",""))</f>
        <v/>
      </c>
      <c r="L2639">
        <f>IF(OR($B2639="",NOT(ISNUMBER($D2639))),"",IF(AND($D2639&gt;=$D$2,$D2639&lt;=$H$2,$G2639&lt;&gt;"X",$F2639&lt;&gt;"Réalisé",$F2639&lt;&gt;"Clôturé"),"≤ 7 j",""))</f>
        <v/>
      </c>
      <c r="M2639" s="29">
        <f>IF($B2639="","",IFERROR(INDEX($T$4:$T$3183,MATCH(SMALL($V$4:$V$3183,2636),$V$4:$V$3183,0)),""))</f>
        <v/>
      </c>
      <c r="O2639">
        <f>IF(INDEX(Suivi!$B:$B,2689)="","",INDEX(Suivi!$B:$B,2689))</f>
        <v/>
      </c>
      <c r="P2639">
        <f>IF($O2639="","",IF(INDEX(Suivi!$D:$D,2689)="",INDEX(Suivi!$C:$C,2689),INDEX(Suivi!$D:$D,2689)))</f>
        <v/>
      </c>
      <c r="Q2639">
        <f>IF($O2639="","",INDEX(Suivi!$E:$E,2689))</f>
        <v/>
      </c>
      <c r="R2639">
        <f>IF($O2639="","",INDEX(Suivi!$F:$F,2689))</f>
        <v/>
      </c>
      <c r="S2639">
        <f>IF($O2639="","",INDEX(Suivi!$G:$G,2689))</f>
        <v/>
      </c>
      <c r="T2639">
        <f>IF($O2639="","",IF(INDEX(Dossiers!$F$4:$F$63,50)="","",INDEX(Dossiers!$F$4:$F$63,50)))</f>
        <v/>
      </c>
      <c r="U2639">
        <f>IF($O2639="","",IF(INDEX(Dossiers!$G$4:$G$63,50)="","",INDEX(Dossiers!$G$4:$G$63,50)))</f>
        <v/>
      </c>
      <c r="V2639">
        <f>IF(OR($O2639="",NOT(ISNUMBER($Q2639))),"",$Q2639*1000000+2639)</f>
        <v/>
      </c>
      <c r="W2639" s="29">
        <f>IF($B2639="","",IFERROR(INDEX($U$4:$U$3183,MATCH(SMALL($V$4:$V$3183,2636),$V$4:$V$3183,0)),""))</f>
        <v/>
      </c>
    </row>
    <row r="2640">
      <c r="A2640">
        <f>IFERROR(INDEX($N$4:$N$3183,MATCH(SMALL($V$4:$V$3183,2637),$V$4:$V$3183,0)),"")</f>
        <v/>
      </c>
      <c r="B2640">
        <f>IFERROR(INDEX($O$4:$O$3183,MATCH(SMALL($V$4:$V$3183,2637),$V$4:$V$3183,0)),"")</f>
        <v/>
      </c>
      <c r="C2640">
        <f>IFERROR(INDEX($P$4:$P$3183,MATCH(SMALL($V$4:$V$3183,2637),$V$4:$V$3183,0)),"")</f>
        <v/>
      </c>
      <c r="D2640" s="29">
        <f>IFERROR(INDEX($Q$4:$Q$3183,MATCH(SMALL($V$4:$V$3183,2637),$V$4:$V$3183,0)),"")</f>
        <v/>
      </c>
      <c r="E2640" s="29">
        <f>IFERROR(INDEX($R$4:$R$3183,MATCH(SMALL($V$4:$V$3183,2637),$V$4:$V$3183,0)),"")</f>
        <v/>
      </c>
      <c r="F2640">
        <f>IFERROR(INDEX($S$4:$S$3183,MATCH(SMALL($V$4:$V$3183,2637),$V$4:$V$3183,0)),"")</f>
        <v/>
      </c>
      <c r="I2640" s="29">
        <f>IF($B2640="","",IFERROR(INDEX($U$4:$U$3183,MATCH(SMALL($V$4:$V$3183,2637),$V$4:$V$3183,0)),""))</f>
        <v/>
      </c>
      <c r="J2640">
        <f>IF($B2640="","",IF($D2640&gt;$F$2,"À venir",IF($E2640&lt;$D$2,"Passé","Dans la période")))</f>
        <v/>
      </c>
      <c r="K2640">
        <f>IF(OR($B2640="",NOT(ISNUMBER($D2640))),"",IF(AND($E2640&lt;$D$2,$G2640&lt;&gt;"X",$F2640&lt;&gt;"Réalisé",$F2640&lt;&gt;"Clôturé"),"RETARD",""))</f>
        <v/>
      </c>
      <c r="L2640">
        <f>IF(OR($B2640="",NOT(ISNUMBER($D2640))),"",IF(AND($D2640&gt;=$D$2,$D2640&lt;=$H$2,$G2640&lt;&gt;"X",$F2640&lt;&gt;"Réalisé",$F2640&lt;&gt;"Clôturé"),"≤ 7 j",""))</f>
        <v/>
      </c>
      <c r="M2640" s="29">
        <f>IF($B2640="","",IFERROR(INDEX($T$4:$T$3183,MATCH(SMALL($V$4:$V$3183,2637),$V$4:$V$3183,0)),""))</f>
        <v/>
      </c>
      <c r="O2640">
        <f>IF(INDEX(Suivi!$B:$B,2690)="","",INDEX(Suivi!$B:$B,2690))</f>
        <v/>
      </c>
      <c r="P2640">
        <f>IF($O2640="","",IF(INDEX(Suivi!$D:$D,2690)="",INDEX(Suivi!$C:$C,2690),INDEX(Suivi!$D:$D,2690)))</f>
        <v/>
      </c>
      <c r="Q2640">
        <f>IF($O2640="","",INDEX(Suivi!$E:$E,2690))</f>
        <v/>
      </c>
      <c r="R2640">
        <f>IF($O2640="","",INDEX(Suivi!$F:$F,2690))</f>
        <v/>
      </c>
      <c r="S2640">
        <f>IF($O2640="","",INDEX(Suivi!$G:$G,2690))</f>
        <v/>
      </c>
      <c r="T2640">
        <f>IF($O2640="","",IF(INDEX(Dossiers!$F$4:$F$63,50)="","",INDEX(Dossiers!$F$4:$F$63,50)))</f>
        <v/>
      </c>
      <c r="U2640">
        <f>IF($O2640="","",IF(INDEX(Dossiers!$G$4:$G$63,50)="","",INDEX(Dossiers!$G$4:$G$63,50)))</f>
        <v/>
      </c>
      <c r="V2640">
        <f>IF(OR($O2640="",NOT(ISNUMBER($Q2640))),"",$Q2640*1000000+2640)</f>
        <v/>
      </c>
      <c r="W2640" s="29">
        <f>IF($B2640="","",IFERROR(INDEX($U$4:$U$3183,MATCH(SMALL($V$4:$V$3183,2637),$V$4:$V$3183,0)),""))</f>
        <v/>
      </c>
    </row>
    <row r="2641">
      <c r="A2641">
        <f>IFERROR(INDEX($N$4:$N$3183,MATCH(SMALL($V$4:$V$3183,2638),$V$4:$V$3183,0)),"")</f>
        <v/>
      </c>
      <c r="B2641">
        <f>IFERROR(INDEX($O$4:$O$3183,MATCH(SMALL($V$4:$V$3183,2638),$V$4:$V$3183,0)),"")</f>
        <v/>
      </c>
      <c r="C2641">
        <f>IFERROR(INDEX($P$4:$P$3183,MATCH(SMALL($V$4:$V$3183,2638),$V$4:$V$3183,0)),"")</f>
        <v/>
      </c>
      <c r="D2641" s="29">
        <f>IFERROR(INDEX($Q$4:$Q$3183,MATCH(SMALL($V$4:$V$3183,2638),$V$4:$V$3183,0)),"")</f>
        <v/>
      </c>
      <c r="E2641" s="29">
        <f>IFERROR(INDEX($R$4:$R$3183,MATCH(SMALL($V$4:$V$3183,2638),$V$4:$V$3183,0)),"")</f>
        <v/>
      </c>
      <c r="F2641">
        <f>IFERROR(INDEX($S$4:$S$3183,MATCH(SMALL($V$4:$V$3183,2638),$V$4:$V$3183,0)),"")</f>
        <v/>
      </c>
      <c r="I2641" s="29">
        <f>IF($B2641="","",IFERROR(INDEX($U$4:$U$3183,MATCH(SMALL($V$4:$V$3183,2638),$V$4:$V$3183,0)),""))</f>
        <v/>
      </c>
      <c r="J2641">
        <f>IF($B2641="","",IF($D2641&gt;$F$2,"À venir",IF($E2641&lt;$D$2,"Passé","Dans la période")))</f>
        <v/>
      </c>
      <c r="K2641">
        <f>IF(OR($B2641="",NOT(ISNUMBER($D2641))),"",IF(AND($E2641&lt;$D$2,$G2641&lt;&gt;"X",$F2641&lt;&gt;"Réalisé",$F2641&lt;&gt;"Clôturé"),"RETARD",""))</f>
        <v/>
      </c>
      <c r="L2641">
        <f>IF(OR($B2641="",NOT(ISNUMBER($D2641))),"",IF(AND($D2641&gt;=$D$2,$D2641&lt;=$H$2,$G2641&lt;&gt;"X",$F2641&lt;&gt;"Réalisé",$F2641&lt;&gt;"Clôturé"),"≤ 7 j",""))</f>
        <v/>
      </c>
      <c r="M2641" s="29">
        <f>IF($B2641="","",IFERROR(INDEX($T$4:$T$3183,MATCH(SMALL($V$4:$V$3183,2638),$V$4:$V$3183,0)),""))</f>
        <v/>
      </c>
      <c r="O2641">
        <f>IF(INDEX(Suivi!$B:$B,2691)="","",INDEX(Suivi!$B:$B,2691))</f>
        <v/>
      </c>
      <c r="P2641">
        <f>IF($O2641="","",IF(INDEX(Suivi!$D:$D,2691)="",INDEX(Suivi!$C:$C,2691),INDEX(Suivi!$D:$D,2691)))</f>
        <v/>
      </c>
      <c r="Q2641">
        <f>IF($O2641="","",INDEX(Suivi!$E:$E,2691))</f>
        <v/>
      </c>
      <c r="R2641">
        <f>IF($O2641="","",INDEX(Suivi!$F:$F,2691))</f>
        <v/>
      </c>
      <c r="S2641">
        <f>IF($O2641="","",INDEX(Suivi!$G:$G,2691))</f>
        <v/>
      </c>
      <c r="T2641">
        <f>IF($O2641="","",IF(INDEX(Dossiers!$F$4:$F$63,50)="","",INDEX(Dossiers!$F$4:$F$63,50)))</f>
        <v/>
      </c>
      <c r="U2641">
        <f>IF($O2641="","",IF(INDEX(Dossiers!$G$4:$G$63,50)="","",INDEX(Dossiers!$G$4:$G$63,50)))</f>
        <v/>
      </c>
      <c r="V2641">
        <f>IF(OR($O2641="",NOT(ISNUMBER($Q2641))),"",$Q2641*1000000+2641)</f>
        <v/>
      </c>
      <c r="W2641" s="29">
        <f>IF($B2641="","",IFERROR(INDEX($U$4:$U$3183,MATCH(SMALL($V$4:$V$3183,2638),$V$4:$V$3183,0)),""))</f>
        <v/>
      </c>
    </row>
    <row r="2642">
      <c r="A2642">
        <f>IFERROR(INDEX($N$4:$N$3183,MATCH(SMALL($V$4:$V$3183,2639),$V$4:$V$3183,0)),"")</f>
        <v/>
      </c>
      <c r="B2642">
        <f>IFERROR(INDEX($O$4:$O$3183,MATCH(SMALL($V$4:$V$3183,2639),$V$4:$V$3183,0)),"")</f>
        <v/>
      </c>
      <c r="C2642">
        <f>IFERROR(INDEX($P$4:$P$3183,MATCH(SMALL($V$4:$V$3183,2639),$V$4:$V$3183,0)),"")</f>
        <v/>
      </c>
      <c r="D2642" s="29">
        <f>IFERROR(INDEX($Q$4:$Q$3183,MATCH(SMALL($V$4:$V$3183,2639),$V$4:$V$3183,0)),"")</f>
        <v/>
      </c>
      <c r="E2642" s="29">
        <f>IFERROR(INDEX($R$4:$R$3183,MATCH(SMALL($V$4:$V$3183,2639),$V$4:$V$3183,0)),"")</f>
        <v/>
      </c>
      <c r="F2642">
        <f>IFERROR(INDEX($S$4:$S$3183,MATCH(SMALL($V$4:$V$3183,2639),$V$4:$V$3183,0)),"")</f>
        <v/>
      </c>
      <c r="I2642" s="29">
        <f>IF($B2642="","",IFERROR(INDEX($U$4:$U$3183,MATCH(SMALL($V$4:$V$3183,2639),$V$4:$V$3183,0)),""))</f>
        <v/>
      </c>
      <c r="J2642">
        <f>IF($B2642="","",IF($D2642&gt;$F$2,"À venir",IF($E2642&lt;$D$2,"Passé","Dans la période")))</f>
        <v/>
      </c>
      <c r="K2642">
        <f>IF(OR($B2642="",NOT(ISNUMBER($D2642))),"",IF(AND($E2642&lt;$D$2,$G2642&lt;&gt;"X",$F2642&lt;&gt;"Réalisé",$F2642&lt;&gt;"Clôturé"),"RETARD",""))</f>
        <v/>
      </c>
      <c r="L2642">
        <f>IF(OR($B2642="",NOT(ISNUMBER($D2642))),"",IF(AND($D2642&gt;=$D$2,$D2642&lt;=$H$2,$G2642&lt;&gt;"X",$F2642&lt;&gt;"Réalisé",$F2642&lt;&gt;"Clôturé"),"≤ 7 j",""))</f>
        <v/>
      </c>
      <c r="M2642" s="29">
        <f>IF($B2642="","",IFERROR(INDEX($T$4:$T$3183,MATCH(SMALL($V$4:$V$3183,2639),$V$4:$V$3183,0)),""))</f>
        <v/>
      </c>
      <c r="O2642">
        <f>IF(INDEX(Suivi!$B:$B,2692)="","",INDEX(Suivi!$B:$B,2692))</f>
        <v/>
      </c>
      <c r="P2642">
        <f>IF($O2642="","",IF(INDEX(Suivi!$D:$D,2692)="",INDEX(Suivi!$C:$C,2692),INDEX(Suivi!$D:$D,2692)))</f>
        <v/>
      </c>
      <c r="Q2642">
        <f>IF($O2642="","",INDEX(Suivi!$E:$E,2692))</f>
        <v/>
      </c>
      <c r="R2642">
        <f>IF($O2642="","",INDEX(Suivi!$F:$F,2692))</f>
        <v/>
      </c>
      <c r="S2642">
        <f>IF($O2642="","",INDEX(Suivi!$G:$G,2692))</f>
        <v/>
      </c>
      <c r="T2642">
        <f>IF($O2642="","",IF(INDEX(Dossiers!$F$4:$F$63,50)="","",INDEX(Dossiers!$F$4:$F$63,50)))</f>
        <v/>
      </c>
      <c r="U2642">
        <f>IF($O2642="","",IF(INDEX(Dossiers!$G$4:$G$63,50)="","",INDEX(Dossiers!$G$4:$G$63,50)))</f>
        <v/>
      </c>
      <c r="V2642">
        <f>IF(OR($O2642="",NOT(ISNUMBER($Q2642))),"",$Q2642*1000000+2642)</f>
        <v/>
      </c>
      <c r="W2642" s="29">
        <f>IF($B2642="","",IFERROR(INDEX($U$4:$U$3183,MATCH(SMALL($V$4:$V$3183,2639),$V$4:$V$3183,0)),""))</f>
        <v/>
      </c>
    </row>
    <row r="2643">
      <c r="A2643">
        <f>IFERROR(INDEX($N$4:$N$3183,MATCH(SMALL($V$4:$V$3183,2640),$V$4:$V$3183,0)),"")</f>
        <v/>
      </c>
      <c r="B2643">
        <f>IFERROR(INDEX($O$4:$O$3183,MATCH(SMALL($V$4:$V$3183,2640),$V$4:$V$3183,0)),"")</f>
        <v/>
      </c>
      <c r="C2643">
        <f>IFERROR(INDEX($P$4:$P$3183,MATCH(SMALL($V$4:$V$3183,2640),$V$4:$V$3183,0)),"")</f>
        <v/>
      </c>
      <c r="D2643" s="29">
        <f>IFERROR(INDEX($Q$4:$Q$3183,MATCH(SMALL($V$4:$V$3183,2640),$V$4:$V$3183,0)),"")</f>
        <v/>
      </c>
      <c r="E2643" s="29">
        <f>IFERROR(INDEX($R$4:$R$3183,MATCH(SMALL($V$4:$V$3183,2640),$V$4:$V$3183,0)),"")</f>
        <v/>
      </c>
      <c r="F2643">
        <f>IFERROR(INDEX($S$4:$S$3183,MATCH(SMALL($V$4:$V$3183,2640),$V$4:$V$3183,0)),"")</f>
        <v/>
      </c>
      <c r="I2643" s="29">
        <f>IF($B2643="","",IFERROR(INDEX($U$4:$U$3183,MATCH(SMALL($V$4:$V$3183,2640),$V$4:$V$3183,0)),""))</f>
        <v/>
      </c>
      <c r="J2643">
        <f>IF($B2643="","",IF($D2643&gt;$F$2,"À venir",IF($E2643&lt;$D$2,"Passé","Dans la période")))</f>
        <v/>
      </c>
      <c r="K2643">
        <f>IF(OR($B2643="",NOT(ISNUMBER($D2643))),"",IF(AND($E2643&lt;$D$2,$G2643&lt;&gt;"X",$F2643&lt;&gt;"Réalisé",$F2643&lt;&gt;"Clôturé"),"RETARD",""))</f>
        <v/>
      </c>
      <c r="L2643">
        <f>IF(OR($B2643="",NOT(ISNUMBER($D2643))),"",IF(AND($D2643&gt;=$D$2,$D2643&lt;=$H$2,$G2643&lt;&gt;"X",$F2643&lt;&gt;"Réalisé",$F2643&lt;&gt;"Clôturé"),"≤ 7 j",""))</f>
        <v/>
      </c>
      <c r="M2643" s="29">
        <f>IF($B2643="","",IFERROR(INDEX($T$4:$T$3183,MATCH(SMALL($V$4:$V$3183,2640),$V$4:$V$3183,0)),""))</f>
        <v/>
      </c>
      <c r="O2643">
        <f>IF(INDEX(Suivi!$B:$B,2693)="","",INDEX(Suivi!$B:$B,2693))</f>
        <v/>
      </c>
      <c r="P2643">
        <f>IF($O2643="","",IF(INDEX(Suivi!$D:$D,2693)="",INDEX(Suivi!$C:$C,2693),INDEX(Suivi!$D:$D,2693)))</f>
        <v/>
      </c>
      <c r="Q2643">
        <f>IF($O2643="","",INDEX(Suivi!$E:$E,2693))</f>
        <v/>
      </c>
      <c r="R2643">
        <f>IF($O2643="","",INDEX(Suivi!$F:$F,2693))</f>
        <v/>
      </c>
      <c r="S2643">
        <f>IF($O2643="","",INDEX(Suivi!$G:$G,2693))</f>
        <v/>
      </c>
      <c r="T2643">
        <f>IF($O2643="","",IF(INDEX(Dossiers!$F$4:$F$63,50)="","",INDEX(Dossiers!$F$4:$F$63,50)))</f>
        <v/>
      </c>
      <c r="U2643">
        <f>IF($O2643="","",IF(INDEX(Dossiers!$G$4:$G$63,50)="","",INDEX(Dossiers!$G$4:$G$63,50)))</f>
        <v/>
      </c>
      <c r="V2643">
        <f>IF(OR($O2643="",NOT(ISNUMBER($Q2643))),"",$Q2643*1000000+2643)</f>
        <v/>
      </c>
      <c r="W2643" s="29">
        <f>IF($B2643="","",IFERROR(INDEX($U$4:$U$3183,MATCH(SMALL($V$4:$V$3183,2640),$V$4:$V$3183,0)),""))</f>
        <v/>
      </c>
    </row>
    <row r="2644">
      <c r="A2644">
        <f>IFERROR(INDEX($N$4:$N$3183,MATCH(SMALL($V$4:$V$3183,2641),$V$4:$V$3183,0)),"")</f>
        <v/>
      </c>
      <c r="B2644">
        <f>IFERROR(INDEX($O$4:$O$3183,MATCH(SMALL($V$4:$V$3183,2641),$V$4:$V$3183,0)),"")</f>
        <v/>
      </c>
      <c r="C2644">
        <f>IFERROR(INDEX($P$4:$P$3183,MATCH(SMALL($V$4:$V$3183,2641),$V$4:$V$3183,0)),"")</f>
        <v/>
      </c>
      <c r="D2644" s="29">
        <f>IFERROR(INDEX($Q$4:$Q$3183,MATCH(SMALL($V$4:$V$3183,2641),$V$4:$V$3183,0)),"")</f>
        <v/>
      </c>
      <c r="E2644" s="29">
        <f>IFERROR(INDEX($R$4:$R$3183,MATCH(SMALL($V$4:$V$3183,2641),$V$4:$V$3183,0)),"")</f>
        <v/>
      </c>
      <c r="F2644">
        <f>IFERROR(INDEX($S$4:$S$3183,MATCH(SMALL($V$4:$V$3183,2641),$V$4:$V$3183,0)),"")</f>
        <v/>
      </c>
      <c r="I2644" s="29">
        <f>IF($B2644="","",IFERROR(INDEX($U$4:$U$3183,MATCH(SMALL($V$4:$V$3183,2641),$V$4:$V$3183,0)),""))</f>
        <v/>
      </c>
      <c r="J2644">
        <f>IF($B2644="","",IF($D2644&gt;$F$2,"À venir",IF($E2644&lt;$D$2,"Passé","Dans la période")))</f>
        <v/>
      </c>
      <c r="K2644">
        <f>IF(OR($B2644="",NOT(ISNUMBER($D2644))),"",IF(AND($E2644&lt;$D$2,$G2644&lt;&gt;"X",$F2644&lt;&gt;"Réalisé",$F2644&lt;&gt;"Clôturé"),"RETARD",""))</f>
        <v/>
      </c>
      <c r="L2644">
        <f>IF(OR($B2644="",NOT(ISNUMBER($D2644))),"",IF(AND($D2644&gt;=$D$2,$D2644&lt;=$H$2,$G2644&lt;&gt;"X",$F2644&lt;&gt;"Réalisé",$F2644&lt;&gt;"Clôturé"),"≤ 7 j",""))</f>
        <v/>
      </c>
      <c r="M2644" s="29">
        <f>IF($B2644="","",IFERROR(INDEX($T$4:$T$3183,MATCH(SMALL($V$4:$V$3183,2641),$V$4:$V$3183,0)),""))</f>
        <v/>
      </c>
      <c r="O2644">
        <f>IF(INDEX(Suivi!$B:$B,2694)="","",INDEX(Suivi!$B:$B,2694))</f>
        <v/>
      </c>
      <c r="P2644">
        <f>IF($O2644="","",IF(INDEX(Suivi!$D:$D,2694)="",INDEX(Suivi!$C:$C,2694),INDEX(Suivi!$D:$D,2694)))</f>
        <v/>
      </c>
      <c r="Q2644">
        <f>IF($O2644="","",INDEX(Suivi!$E:$E,2694))</f>
        <v/>
      </c>
      <c r="R2644">
        <f>IF($O2644="","",INDEX(Suivi!$F:$F,2694))</f>
        <v/>
      </c>
      <c r="S2644">
        <f>IF($O2644="","",INDEX(Suivi!$G:$G,2694))</f>
        <v/>
      </c>
      <c r="T2644">
        <f>IF($O2644="","",IF(INDEX(Dossiers!$F$4:$F$63,50)="","",INDEX(Dossiers!$F$4:$F$63,50)))</f>
        <v/>
      </c>
      <c r="U2644">
        <f>IF($O2644="","",IF(INDEX(Dossiers!$G$4:$G$63,50)="","",INDEX(Dossiers!$G$4:$G$63,50)))</f>
        <v/>
      </c>
      <c r="V2644">
        <f>IF(OR($O2644="",NOT(ISNUMBER($Q2644))),"",$Q2644*1000000+2644)</f>
        <v/>
      </c>
      <c r="W2644" s="29">
        <f>IF($B2644="","",IFERROR(INDEX($U$4:$U$3183,MATCH(SMALL($V$4:$V$3183,2641),$V$4:$V$3183,0)),""))</f>
        <v/>
      </c>
    </row>
    <row r="2645">
      <c r="A2645">
        <f>IFERROR(INDEX($N$4:$N$3183,MATCH(SMALL($V$4:$V$3183,2642),$V$4:$V$3183,0)),"")</f>
        <v/>
      </c>
      <c r="B2645">
        <f>IFERROR(INDEX($O$4:$O$3183,MATCH(SMALL($V$4:$V$3183,2642),$V$4:$V$3183,0)),"")</f>
        <v/>
      </c>
      <c r="C2645">
        <f>IFERROR(INDEX($P$4:$P$3183,MATCH(SMALL($V$4:$V$3183,2642),$V$4:$V$3183,0)),"")</f>
        <v/>
      </c>
      <c r="D2645" s="29">
        <f>IFERROR(INDEX($Q$4:$Q$3183,MATCH(SMALL($V$4:$V$3183,2642),$V$4:$V$3183,0)),"")</f>
        <v/>
      </c>
      <c r="E2645" s="29">
        <f>IFERROR(INDEX($R$4:$R$3183,MATCH(SMALL($V$4:$V$3183,2642),$V$4:$V$3183,0)),"")</f>
        <v/>
      </c>
      <c r="F2645">
        <f>IFERROR(INDEX($S$4:$S$3183,MATCH(SMALL($V$4:$V$3183,2642),$V$4:$V$3183,0)),"")</f>
        <v/>
      </c>
      <c r="I2645" s="29">
        <f>IF($B2645="","",IFERROR(INDEX($U$4:$U$3183,MATCH(SMALL($V$4:$V$3183,2642),$V$4:$V$3183,0)),""))</f>
        <v/>
      </c>
      <c r="J2645">
        <f>IF($B2645="","",IF($D2645&gt;$F$2,"À venir",IF($E2645&lt;$D$2,"Passé","Dans la période")))</f>
        <v/>
      </c>
      <c r="K2645">
        <f>IF(OR($B2645="",NOT(ISNUMBER($D2645))),"",IF(AND($E2645&lt;$D$2,$G2645&lt;&gt;"X",$F2645&lt;&gt;"Réalisé",$F2645&lt;&gt;"Clôturé"),"RETARD",""))</f>
        <v/>
      </c>
      <c r="L2645">
        <f>IF(OR($B2645="",NOT(ISNUMBER($D2645))),"",IF(AND($D2645&gt;=$D$2,$D2645&lt;=$H$2,$G2645&lt;&gt;"X",$F2645&lt;&gt;"Réalisé",$F2645&lt;&gt;"Clôturé"),"≤ 7 j",""))</f>
        <v/>
      </c>
      <c r="M2645" s="29">
        <f>IF($B2645="","",IFERROR(INDEX($T$4:$T$3183,MATCH(SMALL($V$4:$V$3183,2642),$V$4:$V$3183,0)),""))</f>
        <v/>
      </c>
      <c r="O2645">
        <f>IF(INDEX(Suivi!$B:$B,2695)="","",INDEX(Suivi!$B:$B,2695))</f>
        <v/>
      </c>
      <c r="P2645">
        <f>IF($O2645="","",IF(INDEX(Suivi!$D:$D,2695)="",INDEX(Suivi!$C:$C,2695),INDEX(Suivi!$D:$D,2695)))</f>
        <v/>
      </c>
      <c r="Q2645">
        <f>IF($O2645="","",INDEX(Suivi!$E:$E,2695))</f>
        <v/>
      </c>
      <c r="R2645">
        <f>IF($O2645="","",INDEX(Suivi!$F:$F,2695))</f>
        <v/>
      </c>
      <c r="S2645">
        <f>IF($O2645="","",INDEX(Suivi!$G:$G,2695))</f>
        <v/>
      </c>
      <c r="T2645">
        <f>IF($O2645="","",IF(INDEX(Dossiers!$F$4:$F$63,50)="","",INDEX(Dossiers!$F$4:$F$63,50)))</f>
        <v/>
      </c>
      <c r="U2645">
        <f>IF($O2645="","",IF(INDEX(Dossiers!$G$4:$G$63,50)="","",INDEX(Dossiers!$G$4:$G$63,50)))</f>
        <v/>
      </c>
      <c r="V2645">
        <f>IF(OR($O2645="",NOT(ISNUMBER($Q2645))),"",$Q2645*1000000+2645)</f>
        <v/>
      </c>
      <c r="W2645" s="29">
        <f>IF($B2645="","",IFERROR(INDEX($U$4:$U$3183,MATCH(SMALL($V$4:$V$3183,2642),$V$4:$V$3183,0)),""))</f>
        <v/>
      </c>
    </row>
    <row r="2646">
      <c r="A2646">
        <f>IFERROR(INDEX($N$4:$N$3183,MATCH(SMALL($V$4:$V$3183,2643),$V$4:$V$3183,0)),"")</f>
        <v/>
      </c>
      <c r="B2646">
        <f>IFERROR(INDEX($O$4:$O$3183,MATCH(SMALL($V$4:$V$3183,2643),$V$4:$V$3183,0)),"")</f>
        <v/>
      </c>
      <c r="C2646">
        <f>IFERROR(INDEX($P$4:$P$3183,MATCH(SMALL($V$4:$V$3183,2643),$V$4:$V$3183,0)),"")</f>
        <v/>
      </c>
      <c r="D2646" s="29">
        <f>IFERROR(INDEX($Q$4:$Q$3183,MATCH(SMALL($V$4:$V$3183,2643),$V$4:$V$3183,0)),"")</f>
        <v/>
      </c>
      <c r="E2646" s="29">
        <f>IFERROR(INDEX($R$4:$R$3183,MATCH(SMALL($V$4:$V$3183,2643),$V$4:$V$3183,0)),"")</f>
        <v/>
      </c>
      <c r="F2646">
        <f>IFERROR(INDEX($S$4:$S$3183,MATCH(SMALL($V$4:$V$3183,2643),$V$4:$V$3183,0)),"")</f>
        <v/>
      </c>
      <c r="I2646" s="29">
        <f>IF($B2646="","",IFERROR(INDEX($U$4:$U$3183,MATCH(SMALL($V$4:$V$3183,2643),$V$4:$V$3183,0)),""))</f>
        <v/>
      </c>
      <c r="J2646">
        <f>IF($B2646="","",IF($D2646&gt;$F$2,"À venir",IF($E2646&lt;$D$2,"Passé","Dans la période")))</f>
        <v/>
      </c>
      <c r="K2646">
        <f>IF(OR($B2646="",NOT(ISNUMBER($D2646))),"",IF(AND($E2646&lt;$D$2,$G2646&lt;&gt;"X",$F2646&lt;&gt;"Réalisé",$F2646&lt;&gt;"Clôturé"),"RETARD",""))</f>
        <v/>
      </c>
      <c r="L2646">
        <f>IF(OR($B2646="",NOT(ISNUMBER($D2646))),"",IF(AND($D2646&gt;=$D$2,$D2646&lt;=$H$2,$G2646&lt;&gt;"X",$F2646&lt;&gt;"Réalisé",$F2646&lt;&gt;"Clôturé"),"≤ 7 j",""))</f>
        <v/>
      </c>
      <c r="M2646" s="29">
        <f>IF($B2646="","",IFERROR(INDEX($T$4:$T$3183,MATCH(SMALL($V$4:$V$3183,2643),$V$4:$V$3183,0)),""))</f>
        <v/>
      </c>
      <c r="O2646">
        <f>IF(INDEX(Suivi!$B:$B,2696)="","",INDEX(Suivi!$B:$B,2696))</f>
        <v/>
      </c>
      <c r="P2646">
        <f>IF($O2646="","",IF(INDEX(Suivi!$D:$D,2696)="",INDEX(Suivi!$C:$C,2696),INDEX(Suivi!$D:$D,2696)))</f>
        <v/>
      </c>
      <c r="Q2646">
        <f>IF($O2646="","",INDEX(Suivi!$E:$E,2696))</f>
        <v/>
      </c>
      <c r="R2646">
        <f>IF($O2646="","",INDEX(Suivi!$F:$F,2696))</f>
        <v/>
      </c>
      <c r="S2646">
        <f>IF($O2646="","",INDEX(Suivi!$G:$G,2696))</f>
        <v/>
      </c>
      <c r="T2646">
        <f>IF($O2646="","",IF(INDEX(Dossiers!$F$4:$F$63,50)="","",INDEX(Dossiers!$F$4:$F$63,50)))</f>
        <v/>
      </c>
      <c r="U2646">
        <f>IF($O2646="","",IF(INDEX(Dossiers!$G$4:$G$63,50)="","",INDEX(Dossiers!$G$4:$G$63,50)))</f>
        <v/>
      </c>
      <c r="V2646">
        <f>IF(OR($O2646="",NOT(ISNUMBER($Q2646))),"",$Q2646*1000000+2646)</f>
        <v/>
      </c>
      <c r="W2646" s="29">
        <f>IF($B2646="","",IFERROR(INDEX($U$4:$U$3183,MATCH(SMALL($V$4:$V$3183,2643),$V$4:$V$3183,0)),""))</f>
        <v/>
      </c>
    </row>
    <row r="2647">
      <c r="A2647">
        <f>IFERROR(INDEX($N$4:$N$3183,MATCH(SMALL($V$4:$V$3183,2644),$V$4:$V$3183,0)),"")</f>
        <v/>
      </c>
      <c r="B2647">
        <f>IFERROR(INDEX($O$4:$O$3183,MATCH(SMALL($V$4:$V$3183,2644),$V$4:$V$3183,0)),"")</f>
        <v/>
      </c>
      <c r="C2647">
        <f>IFERROR(INDEX($P$4:$P$3183,MATCH(SMALL($V$4:$V$3183,2644),$V$4:$V$3183,0)),"")</f>
        <v/>
      </c>
      <c r="D2647" s="29">
        <f>IFERROR(INDEX($Q$4:$Q$3183,MATCH(SMALL($V$4:$V$3183,2644),$V$4:$V$3183,0)),"")</f>
        <v/>
      </c>
      <c r="E2647" s="29">
        <f>IFERROR(INDEX($R$4:$R$3183,MATCH(SMALL($V$4:$V$3183,2644),$V$4:$V$3183,0)),"")</f>
        <v/>
      </c>
      <c r="F2647">
        <f>IFERROR(INDEX($S$4:$S$3183,MATCH(SMALL($V$4:$V$3183,2644),$V$4:$V$3183,0)),"")</f>
        <v/>
      </c>
      <c r="I2647" s="29">
        <f>IF($B2647="","",IFERROR(INDEX($U$4:$U$3183,MATCH(SMALL($V$4:$V$3183,2644),$V$4:$V$3183,0)),""))</f>
        <v/>
      </c>
      <c r="J2647">
        <f>IF($B2647="","",IF($D2647&gt;$F$2,"À venir",IF($E2647&lt;$D$2,"Passé","Dans la période")))</f>
        <v/>
      </c>
      <c r="K2647">
        <f>IF(OR($B2647="",NOT(ISNUMBER($D2647))),"",IF(AND($E2647&lt;$D$2,$G2647&lt;&gt;"X",$F2647&lt;&gt;"Réalisé",$F2647&lt;&gt;"Clôturé"),"RETARD",""))</f>
        <v/>
      </c>
      <c r="L2647">
        <f>IF(OR($B2647="",NOT(ISNUMBER($D2647))),"",IF(AND($D2647&gt;=$D$2,$D2647&lt;=$H$2,$G2647&lt;&gt;"X",$F2647&lt;&gt;"Réalisé",$F2647&lt;&gt;"Clôturé"),"≤ 7 j",""))</f>
        <v/>
      </c>
      <c r="M2647" s="29">
        <f>IF($B2647="","",IFERROR(INDEX($T$4:$T$3183,MATCH(SMALL($V$4:$V$3183,2644),$V$4:$V$3183,0)),""))</f>
        <v/>
      </c>
      <c r="O2647">
        <f>IF(INDEX(Suivi!$B:$B,2697)="","",INDEX(Suivi!$B:$B,2697))</f>
        <v/>
      </c>
      <c r="P2647">
        <f>IF($O2647="","",IF(INDEX(Suivi!$D:$D,2697)="",INDEX(Suivi!$C:$C,2697),INDEX(Suivi!$D:$D,2697)))</f>
        <v/>
      </c>
      <c r="Q2647">
        <f>IF($O2647="","",INDEX(Suivi!$E:$E,2697))</f>
        <v/>
      </c>
      <c r="R2647">
        <f>IF($O2647="","",INDEX(Suivi!$F:$F,2697))</f>
        <v/>
      </c>
      <c r="S2647">
        <f>IF($O2647="","",INDEX(Suivi!$G:$G,2697))</f>
        <v/>
      </c>
      <c r="T2647">
        <f>IF($O2647="","",IF(INDEX(Dossiers!$F$4:$F$63,50)="","",INDEX(Dossiers!$F$4:$F$63,50)))</f>
        <v/>
      </c>
      <c r="U2647">
        <f>IF($O2647="","",IF(INDEX(Dossiers!$G$4:$G$63,50)="","",INDEX(Dossiers!$G$4:$G$63,50)))</f>
        <v/>
      </c>
      <c r="V2647">
        <f>IF(OR($O2647="",NOT(ISNUMBER($Q2647))),"",$Q2647*1000000+2647)</f>
        <v/>
      </c>
      <c r="W2647" s="29">
        <f>IF($B2647="","",IFERROR(INDEX($U$4:$U$3183,MATCH(SMALL($V$4:$V$3183,2644),$V$4:$V$3183,0)),""))</f>
        <v/>
      </c>
    </row>
    <row r="2648">
      <c r="A2648">
        <f>IFERROR(INDEX($N$4:$N$3183,MATCH(SMALL($V$4:$V$3183,2645),$V$4:$V$3183,0)),"")</f>
        <v/>
      </c>
      <c r="B2648">
        <f>IFERROR(INDEX($O$4:$O$3183,MATCH(SMALL($V$4:$V$3183,2645),$V$4:$V$3183,0)),"")</f>
        <v/>
      </c>
      <c r="C2648">
        <f>IFERROR(INDEX($P$4:$P$3183,MATCH(SMALL($V$4:$V$3183,2645),$V$4:$V$3183,0)),"")</f>
        <v/>
      </c>
      <c r="D2648" s="29">
        <f>IFERROR(INDEX($Q$4:$Q$3183,MATCH(SMALL($V$4:$V$3183,2645),$V$4:$V$3183,0)),"")</f>
        <v/>
      </c>
      <c r="E2648" s="29">
        <f>IFERROR(INDEX($R$4:$R$3183,MATCH(SMALL($V$4:$V$3183,2645),$V$4:$V$3183,0)),"")</f>
        <v/>
      </c>
      <c r="F2648">
        <f>IFERROR(INDEX($S$4:$S$3183,MATCH(SMALL($V$4:$V$3183,2645),$V$4:$V$3183,0)),"")</f>
        <v/>
      </c>
      <c r="I2648" s="29">
        <f>IF($B2648="","",IFERROR(INDEX($U$4:$U$3183,MATCH(SMALL($V$4:$V$3183,2645),$V$4:$V$3183,0)),""))</f>
        <v/>
      </c>
      <c r="J2648">
        <f>IF($B2648="","",IF($D2648&gt;$F$2,"À venir",IF($E2648&lt;$D$2,"Passé","Dans la période")))</f>
        <v/>
      </c>
      <c r="K2648">
        <f>IF(OR($B2648="",NOT(ISNUMBER($D2648))),"",IF(AND($E2648&lt;$D$2,$G2648&lt;&gt;"X",$F2648&lt;&gt;"Réalisé",$F2648&lt;&gt;"Clôturé"),"RETARD",""))</f>
        <v/>
      </c>
      <c r="L2648">
        <f>IF(OR($B2648="",NOT(ISNUMBER($D2648))),"",IF(AND($D2648&gt;=$D$2,$D2648&lt;=$H$2,$G2648&lt;&gt;"X",$F2648&lt;&gt;"Réalisé",$F2648&lt;&gt;"Clôturé"),"≤ 7 j",""))</f>
        <v/>
      </c>
      <c r="M2648" s="29">
        <f>IF($B2648="","",IFERROR(INDEX($T$4:$T$3183,MATCH(SMALL($V$4:$V$3183,2645),$V$4:$V$3183,0)),""))</f>
        <v/>
      </c>
      <c r="O2648">
        <f>IF(INDEX(Suivi!$B:$B,2698)="","",INDEX(Suivi!$B:$B,2698))</f>
        <v/>
      </c>
      <c r="P2648">
        <f>IF($O2648="","",IF(INDEX(Suivi!$D:$D,2698)="",INDEX(Suivi!$C:$C,2698),INDEX(Suivi!$D:$D,2698)))</f>
        <v/>
      </c>
      <c r="Q2648">
        <f>IF($O2648="","",INDEX(Suivi!$E:$E,2698))</f>
        <v/>
      </c>
      <c r="R2648">
        <f>IF($O2648="","",INDEX(Suivi!$F:$F,2698))</f>
        <v/>
      </c>
      <c r="S2648">
        <f>IF($O2648="","",INDEX(Suivi!$G:$G,2698))</f>
        <v/>
      </c>
      <c r="T2648">
        <f>IF($O2648="","",IF(INDEX(Dossiers!$F$4:$F$63,50)="","",INDEX(Dossiers!$F$4:$F$63,50)))</f>
        <v/>
      </c>
      <c r="U2648">
        <f>IF($O2648="","",IF(INDEX(Dossiers!$G$4:$G$63,50)="","",INDEX(Dossiers!$G$4:$G$63,50)))</f>
        <v/>
      </c>
      <c r="V2648">
        <f>IF(OR($O2648="",NOT(ISNUMBER($Q2648))),"",$Q2648*1000000+2648)</f>
        <v/>
      </c>
      <c r="W2648" s="29">
        <f>IF($B2648="","",IFERROR(INDEX($U$4:$U$3183,MATCH(SMALL($V$4:$V$3183,2645),$V$4:$V$3183,0)),""))</f>
        <v/>
      </c>
    </row>
    <row r="2649">
      <c r="A2649">
        <f>IFERROR(INDEX($N$4:$N$3183,MATCH(SMALL($V$4:$V$3183,2646),$V$4:$V$3183,0)),"")</f>
        <v/>
      </c>
      <c r="B2649">
        <f>IFERROR(INDEX($O$4:$O$3183,MATCH(SMALL($V$4:$V$3183,2646),$V$4:$V$3183,0)),"")</f>
        <v/>
      </c>
      <c r="C2649">
        <f>IFERROR(INDEX($P$4:$P$3183,MATCH(SMALL($V$4:$V$3183,2646),$V$4:$V$3183,0)),"")</f>
        <v/>
      </c>
      <c r="D2649" s="29">
        <f>IFERROR(INDEX($Q$4:$Q$3183,MATCH(SMALL($V$4:$V$3183,2646),$V$4:$V$3183,0)),"")</f>
        <v/>
      </c>
      <c r="E2649" s="29">
        <f>IFERROR(INDEX($R$4:$R$3183,MATCH(SMALL($V$4:$V$3183,2646),$V$4:$V$3183,0)),"")</f>
        <v/>
      </c>
      <c r="F2649">
        <f>IFERROR(INDEX($S$4:$S$3183,MATCH(SMALL($V$4:$V$3183,2646),$V$4:$V$3183,0)),"")</f>
        <v/>
      </c>
      <c r="I2649" s="29">
        <f>IF($B2649="","",IFERROR(INDEX($U$4:$U$3183,MATCH(SMALL($V$4:$V$3183,2646),$V$4:$V$3183,0)),""))</f>
        <v/>
      </c>
      <c r="J2649">
        <f>IF($B2649="","",IF($D2649&gt;$F$2,"À venir",IF($E2649&lt;$D$2,"Passé","Dans la période")))</f>
        <v/>
      </c>
      <c r="K2649">
        <f>IF(OR($B2649="",NOT(ISNUMBER($D2649))),"",IF(AND($E2649&lt;$D$2,$G2649&lt;&gt;"X",$F2649&lt;&gt;"Réalisé",$F2649&lt;&gt;"Clôturé"),"RETARD",""))</f>
        <v/>
      </c>
      <c r="L2649">
        <f>IF(OR($B2649="",NOT(ISNUMBER($D2649))),"",IF(AND($D2649&gt;=$D$2,$D2649&lt;=$H$2,$G2649&lt;&gt;"X",$F2649&lt;&gt;"Réalisé",$F2649&lt;&gt;"Clôturé"),"≤ 7 j",""))</f>
        <v/>
      </c>
      <c r="M2649" s="29">
        <f>IF($B2649="","",IFERROR(INDEX($T$4:$T$3183,MATCH(SMALL($V$4:$V$3183,2646),$V$4:$V$3183,0)),""))</f>
        <v/>
      </c>
      <c r="O2649">
        <f>IF(INDEX(Suivi!$B:$B,2699)="","",INDEX(Suivi!$B:$B,2699))</f>
        <v/>
      </c>
      <c r="P2649">
        <f>IF($O2649="","",IF(INDEX(Suivi!$D:$D,2699)="",INDEX(Suivi!$C:$C,2699),INDEX(Suivi!$D:$D,2699)))</f>
        <v/>
      </c>
      <c r="Q2649">
        <f>IF($O2649="","",INDEX(Suivi!$E:$E,2699))</f>
        <v/>
      </c>
      <c r="R2649">
        <f>IF($O2649="","",INDEX(Suivi!$F:$F,2699))</f>
        <v/>
      </c>
      <c r="S2649">
        <f>IF($O2649="","",INDEX(Suivi!$G:$G,2699))</f>
        <v/>
      </c>
      <c r="T2649">
        <f>IF($O2649="","",IF(INDEX(Dossiers!$F$4:$F$63,50)="","",INDEX(Dossiers!$F$4:$F$63,50)))</f>
        <v/>
      </c>
      <c r="U2649">
        <f>IF($O2649="","",IF(INDEX(Dossiers!$G$4:$G$63,50)="","",INDEX(Dossiers!$G$4:$G$63,50)))</f>
        <v/>
      </c>
      <c r="V2649">
        <f>IF(OR($O2649="",NOT(ISNUMBER($Q2649))),"",$Q2649*1000000+2649)</f>
        <v/>
      </c>
      <c r="W2649" s="29">
        <f>IF($B2649="","",IFERROR(INDEX($U$4:$U$3183,MATCH(SMALL($V$4:$V$3183,2646),$V$4:$V$3183,0)),""))</f>
        <v/>
      </c>
    </row>
    <row r="2650">
      <c r="A2650">
        <f>IFERROR(INDEX($N$4:$N$3183,MATCH(SMALL($V$4:$V$3183,2647),$V$4:$V$3183,0)),"")</f>
        <v/>
      </c>
      <c r="B2650">
        <f>IFERROR(INDEX($O$4:$O$3183,MATCH(SMALL($V$4:$V$3183,2647),$V$4:$V$3183,0)),"")</f>
        <v/>
      </c>
      <c r="C2650">
        <f>IFERROR(INDEX($P$4:$P$3183,MATCH(SMALL($V$4:$V$3183,2647),$V$4:$V$3183,0)),"")</f>
        <v/>
      </c>
      <c r="D2650" s="29">
        <f>IFERROR(INDEX($Q$4:$Q$3183,MATCH(SMALL($V$4:$V$3183,2647),$V$4:$V$3183,0)),"")</f>
        <v/>
      </c>
      <c r="E2650" s="29">
        <f>IFERROR(INDEX($R$4:$R$3183,MATCH(SMALL($V$4:$V$3183,2647),$V$4:$V$3183,0)),"")</f>
        <v/>
      </c>
      <c r="F2650">
        <f>IFERROR(INDEX($S$4:$S$3183,MATCH(SMALL($V$4:$V$3183,2647),$V$4:$V$3183,0)),"")</f>
        <v/>
      </c>
      <c r="I2650" s="29">
        <f>IF($B2650="","",IFERROR(INDEX($U$4:$U$3183,MATCH(SMALL($V$4:$V$3183,2647),$V$4:$V$3183,0)),""))</f>
        <v/>
      </c>
      <c r="J2650">
        <f>IF($B2650="","",IF($D2650&gt;$F$2,"À venir",IF($E2650&lt;$D$2,"Passé","Dans la période")))</f>
        <v/>
      </c>
      <c r="K2650">
        <f>IF(OR($B2650="",NOT(ISNUMBER($D2650))),"",IF(AND($E2650&lt;$D$2,$G2650&lt;&gt;"X",$F2650&lt;&gt;"Réalisé",$F2650&lt;&gt;"Clôturé"),"RETARD",""))</f>
        <v/>
      </c>
      <c r="L2650">
        <f>IF(OR($B2650="",NOT(ISNUMBER($D2650))),"",IF(AND($D2650&gt;=$D$2,$D2650&lt;=$H$2,$G2650&lt;&gt;"X",$F2650&lt;&gt;"Réalisé",$F2650&lt;&gt;"Clôturé"),"≤ 7 j",""))</f>
        <v/>
      </c>
      <c r="M2650" s="29">
        <f>IF($B2650="","",IFERROR(INDEX($T$4:$T$3183,MATCH(SMALL($V$4:$V$3183,2647),$V$4:$V$3183,0)),""))</f>
        <v/>
      </c>
      <c r="O2650">
        <f>IF(INDEX(Suivi!$B:$B,2700)="","",INDEX(Suivi!$B:$B,2700))</f>
        <v/>
      </c>
      <c r="P2650">
        <f>IF($O2650="","",IF(INDEX(Suivi!$D:$D,2700)="",INDEX(Suivi!$C:$C,2700),INDEX(Suivi!$D:$D,2700)))</f>
        <v/>
      </c>
      <c r="Q2650">
        <f>IF($O2650="","",INDEX(Suivi!$E:$E,2700))</f>
        <v/>
      </c>
      <c r="R2650">
        <f>IF($O2650="","",INDEX(Suivi!$F:$F,2700))</f>
        <v/>
      </c>
      <c r="S2650">
        <f>IF($O2650="","",INDEX(Suivi!$G:$G,2700))</f>
        <v/>
      </c>
      <c r="T2650">
        <f>IF($O2650="","",IF(INDEX(Dossiers!$F$4:$F$63,50)="","",INDEX(Dossiers!$F$4:$F$63,50)))</f>
        <v/>
      </c>
      <c r="U2650">
        <f>IF($O2650="","",IF(INDEX(Dossiers!$G$4:$G$63,50)="","",INDEX(Dossiers!$G$4:$G$63,50)))</f>
        <v/>
      </c>
      <c r="V2650">
        <f>IF(OR($O2650="",NOT(ISNUMBER($Q2650))),"",$Q2650*1000000+2650)</f>
        <v/>
      </c>
      <c r="W2650" s="29">
        <f>IF($B2650="","",IFERROR(INDEX($U$4:$U$3183,MATCH(SMALL($V$4:$V$3183,2647),$V$4:$V$3183,0)),""))</f>
        <v/>
      </c>
    </row>
    <row r="2651">
      <c r="A2651">
        <f>IFERROR(INDEX($N$4:$N$3183,MATCH(SMALL($V$4:$V$3183,2648),$V$4:$V$3183,0)),"")</f>
        <v/>
      </c>
      <c r="B2651">
        <f>IFERROR(INDEX($O$4:$O$3183,MATCH(SMALL($V$4:$V$3183,2648),$V$4:$V$3183,0)),"")</f>
        <v/>
      </c>
      <c r="C2651">
        <f>IFERROR(INDEX($P$4:$P$3183,MATCH(SMALL($V$4:$V$3183,2648),$V$4:$V$3183,0)),"")</f>
        <v/>
      </c>
      <c r="D2651" s="29">
        <f>IFERROR(INDEX($Q$4:$Q$3183,MATCH(SMALL($V$4:$V$3183,2648),$V$4:$V$3183,0)),"")</f>
        <v/>
      </c>
      <c r="E2651" s="29">
        <f>IFERROR(INDEX($R$4:$R$3183,MATCH(SMALL($V$4:$V$3183,2648),$V$4:$V$3183,0)),"")</f>
        <v/>
      </c>
      <c r="F2651">
        <f>IFERROR(INDEX($S$4:$S$3183,MATCH(SMALL($V$4:$V$3183,2648),$V$4:$V$3183,0)),"")</f>
        <v/>
      </c>
      <c r="I2651" s="29">
        <f>IF($B2651="","",IFERROR(INDEX($U$4:$U$3183,MATCH(SMALL($V$4:$V$3183,2648),$V$4:$V$3183,0)),""))</f>
        <v/>
      </c>
      <c r="J2651">
        <f>IF($B2651="","",IF($D2651&gt;$F$2,"À venir",IF($E2651&lt;$D$2,"Passé","Dans la période")))</f>
        <v/>
      </c>
      <c r="K2651">
        <f>IF(OR($B2651="",NOT(ISNUMBER($D2651))),"",IF(AND($E2651&lt;$D$2,$G2651&lt;&gt;"X",$F2651&lt;&gt;"Réalisé",$F2651&lt;&gt;"Clôturé"),"RETARD",""))</f>
        <v/>
      </c>
      <c r="L2651">
        <f>IF(OR($B2651="",NOT(ISNUMBER($D2651))),"",IF(AND($D2651&gt;=$D$2,$D2651&lt;=$H$2,$G2651&lt;&gt;"X",$F2651&lt;&gt;"Réalisé",$F2651&lt;&gt;"Clôturé"),"≤ 7 j",""))</f>
        <v/>
      </c>
      <c r="M2651" s="29">
        <f>IF($B2651="","",IFERROR(INDEX($T$4:$T$3183,MATCH(SMALL($V$4:$V$3183,2648),$V$4:$V$3183,0)),""))</f>
        <v/>
      </c>
      <c r="O2651">
        <f>IF(INDEX(Suivi!$B:$B,2701)="","",INDEX(Suivi!$B:$B,2701))</f>
        <v/>
      </c>
      <c r="P2651">
        <f>IF($O2651="","",IF(INDEX(Suivi!$D:$D,2701)="",INDEX(Suivi!$C:$C,2701),INDEX(Suivi!$D:$D,2701)))</f>
        <v/>
      </c>
      <c r="Q2651">
        <f>IF($O2651="","",INDEX(Suivi!$E:$E,2701))</f>
        <v/>
      </c>
      <c r="R2651">
        <f>IF($O2651="","",INDEX(Suivi!$F:$F,2701))</f>
        <v/>
      </c>
      <c r="S2651">
        <f>IF($O2651="","",INDEX(Suivi!$G:$G,2701))</f>
        <v/>
      </c>
      <c r="T2651">
        <f>IF($O2651="","",IF(INDEX(Dossiers!$F$4:$F$63,50)="","",INDEX(Dossiers!$F$4:$F$63,50)))</f>
        <v/>
      </c>
      <c r="U2651">
        <f>IF($O2651="","",IF(INDEX(Dossiers!$G$4:$G$63,50)="","",INDEX(Dossiers!$G$4:$G$63,50)))</f>
        <v/>
      </c>
      <c r="V2651">
        <f>IF(OR($O2651="",NOT(ISNUMBER($Q2651))),"",$Q2651*1000000+2651)</f>
        <v/>
      </c>
      <c r="W2651" s="29">
        <f>IF($B2651="","",IFERROR(INDEX($U$4:$U$3183,MATCH(SMALL($V$4:$V$3183,2648),$V$4:$V$3183,0)),""))</f>
        <v/>
      </c>
    </row>
    <row r="2652">
      <c r="A2652">
        <f>IFERROR(INDEX($N$4:$N$3183,MATCH(SMALL($V$4:$V$3183,2649),$V$4:$V$3183,0)),"")</f>
        <v/>
      </c>
      <c r="B2652">
        <f>IFERROR(INDEX($O$4:$O$3183,MATCH(SMALL($V$4:$V$3183,2649),$V$4:$V$3183,0)),"")</f>
        <v/>
      </c>
      <c r="C2652">
        <f>IFERROR(INDEX($P$4:$P$3183,MATCH(SMALL($V$4:$V$3183,2649),$V$4:$V$3183,0)),"")</f>
        <v/>
      </c>
      <c r="D2652" s="29">
        <f>IFERROR(INDEX($Q$4:$Q$3183,MATCH(SMALL($V$4:$V$3183,2649),$V$4:$V$3183,0)),"")</f>
        <v/>
      </c>
      <c r="E2652" s="29">
        <f>IFERROR(INDEX($R$4:$R$3183,MATCH(SMALL($V$4:$V$3183,2649),$V$4:$V$3183,0)),"")</f>
        <v/>
      </c>
      <c r="F2652">
        <f>IFERROR(INDEX($S$4:$S$3183,MATCH(SMALL($V$4:$V$3183,2649),$V$4:$V$3183,0)),"")</f>
        <v/>
      </c>
      <c r="I2652" s="29">
        <f>IF($B2652="","",IFERROR(INDEX($U$4:$U$3183,MATCH(SMALL($V$4:$V$3183,2649),$V$4:$V$3183,0)),""))</f>
        <v/>
      </c>
      <c r="J2652">
        <f>IF($B2652="","",IF($D2652&gt;$F$2,"À venir",IF($E2652&lt;$D$2,"Passé","Dans la période")))</f>
        <v/>
      </c>
      <c r="K2652">
        <f>IF(OR($B2652="",NOT(ISNUMBER($D2652))),"",IF(AND($E2652&lt;$D$2,$G2652&lt;&gt;"X",$F2652&lt;&gt;"Réalisé",$F2652&lt;&gt;"Clôturé"),"RETARD",""))</f>
        <v/>
      </c>
      <c r="L2652">
        <f>IF(OR($B2652="",NOT(ISNUMBER($D2652))),"",IF(AND($D2652&gt;=$D$2,$D2652&lt;=$H$2,$G2652&lt;&gt;"X",$F2652&lt;&gt;"Réalisé",$F2652&lt;&gt;"Clôturé"),"≤ 7 j",""))</f>
        <v/>
      </c>
      <c r="M2652" s="29">
        <f>IF($B2652="","",IFERROR(INDEX($T$4:$T$3183,MATCH(SMALL($V$4:$V$3183,2649),$V$4:$V$3183,0)),""))</f>
        <v/>
      </c>
      <c r="O2652">
        <f>IF(INDEX(Suivi!$B:$B,2702)="","",INDEX(Suivi!$B:$B,2702))</f>
        <v/>
      </c>
      <c r="P2652">
        <f>IF($O2652="","",IF(INDEX(Suivi!$D:$D,2702)="",INDEX(Suivi!$C:$C,2702),INDEX(Suivi!$D:$D,2702)))</f>
        <v/>
      </c>
      <c r="Q2652">
        <f>IF($O2652="","",INDEX(Suivi!$E:$E,2702))</f>
        <v/>
      </c>
      <c r="R2652">
        <f>IF($O2652="","",INDEX(Suivi!$F:$F,2702))</f>
        <v/>
      </c>
      <c r="S2652">
        <f>IF($O2652="","",INDEX(Suivi!$G:$G,2702))</f>
        <v/>
      </c>
      <c r="T2652">
        <f>IF($O2652="","",IF(INDEX(Dossiers!$F$4:$F$63,50)="","",INDEX(Dossiers!$F$4:$F$63,50)))</f>
        <v/>
      </c>
      <c r="U2652">
        <f>IF($O2652="","",IF(INDEX(Dossiers!$G$4:$G$63,50)="","",INDEX(Dossiers!$G$4:$G$63,50)))</f>
        <v/>
      </c>
      <c r="V2652">
        <f>IF(OR($O2652="",NOT(ISNUMBER($Q2652))),"",$Q2652*1000000+2652)</f>
        <v/>
      </c>
      <c r="W2652" s="29">
        <f>IF($B2652="","",IFERROR(INDEX($U$4:$U$3183,MATCH(SMALL($V$4:$V$3183,2649),$V$4:$V$3183,0)),""))</f>
        <v/>
      </c>
    </row>
    <row r="2653">
      <c r="A2653">
        <f>IFERROR(INDEX($N$4:$N$3183,MATCH(SMALL($V$4:$V$3183,2650),$V$4:$V$3183,0)),"")</f>
        <v/>
      </c>
      <c r="B2653">
        <f>IFERROR(INDEX($O$4:$O$3183,MATCH(SMALL($V$4:$V$3183,2650),$V$4:$V$3183,0)),"")</f>
        <v/>
      </c>
      <c r="C2653">
        <f>IFERROR(INDEX($P$4:$P$3183,MATCH(SMALL($V$4:$V$3183,2650),$V$4:$V$3183,0)),"")</f>
        <v/>
      </c>
      <c r="D2653" s="29">
        <f>IFERROR(INDEX($Q$4:$Q$3183,MATCH(SMALL($V$4:$V$3183,2650),$V$4:$V$3183,0)),"")</f>
        <v/>
      </c>
      <c r="E2653" s="29">
        <f>IFERROR(INDEX($R$4:$R$3183,MATCH(SMALL($V$4:$V$3183,2650),$V$4:$V$3183,0)),"")</f>
        <v/>
      </c>
      <c r="F2653">
        <f>IFERROR(INDEX($S$4:$S$3183,MATCH(SMALL($V$4:$V$3183,2650),$V$4:$V$3183,0)),"")</f>
        <v/>
      </c>
      <c r="I2653" s="29">
        <f>IF($B2653="","",IFERROR(INDEX($U$4:$U$3183,MATCH(SMALL($V$4:$V$3183,2650),$V$4:$V$3183,0)),""))</f>
        <v/>
      </c>
      <c r="J2653">
        <f>IF($B2653="","",IF($D2653&gt;$F$2,"À venir",IF($E2653&lt;$D$2,"Passé","Dans la période")))</f>
        <v/>
      </c>
      <c r="K2653">
        <f>IF(OR($B2653="",NOT(ISNUMBER($D2653))),"",IF(AND($E2653&lt;$D$2,$G2653&lt;&gt;"X",$F2653&lt;&gt;"Réalisé",$F2653&lt;&gt;"Clôturé"),"RETARD",""))</f>
        <v/>
      </c>
      <c r="L2653">
        <f>IF(OR($B2653="",NOT(ISNUMBER($D2653))),"",IF(AND($D2653&gt;=$D$2,$D2653&lt;=$H$2,$G2653&lt;&gt;"X",$F2653&lt;&gt;"Réalisé",$F2653&lt;&gt;"Clôturé"),"≤ 7 j",""))</f>
        <v/>
      </c>
      <c r="M2653" s="29">
        <f>IF($B2653="","",IFERROR(INDEX($T$4:$T$3183,MATCH(SMALL($V$4:$V$3183,2650),$V$4:$V$3183,0)),""))</f>
        <v/>
      </c>
      <c r="O2653">
        <f>IF(INDEX(Suivi!$B:$B,2703)="","",INDEX(Suivi!$B:$B,2703))</f>
        <v/>
      </c>
      <c r="P2653">
        <f>IF($O2653="","",IF(INDEX(Suivi!$D:$D,2703)="",INDEX(Suivi!$C:$C,2703),INDEX(Suivi!$D:$D,2703)))</f>
        <v/>
      </c>
      <c r="Q2653">
        <f>IF($O2653="","",INDEX(Suivi!$E:$E,2703))</f>
        <v/>
      </c>
      <c r="R2653">
        <f>IF($O2653="","",INDEX(Suivi!$F:$F,2703))</f>
        <v/>
      </c>
      <c r="S2653">
        <f>IF($O2653="","",INDEX(Suivi!$G:$G,2703))</f>
        <v/>
      </c>
      <c r="T2653">
        <f>IF($O2653="","",IF(INDEX(Dossiers!$F$4:$F$63,50)="","",INDEX(Dossiers!$F$4:$F$63,50)))</f>
        <v/>
      </c>
      <c r="U2653">
        <f>IF($O2653="","",IF(INDEX(Dossiers!$G$4:$G$63,50)="","",INDEX(Dossiers!$G$4:$G$63,50)))</f>
        <v/>
      </c>
      <c r="V2653">
        <f>IF(OR($O2653="",NOT(ISNUMBER($Q2653))),"",$Q2653*1000000+2653)</f>
        <v/>
      </c>
      <c r="W2653" s="29">
        <f>IF($B2653="","",IFERROR(INDEX($U$4:$U$3183,MATCH(SMALL($V$4:$V$3183,2650),$V$4:$V$3183,0)),""))</f>
        <v/>
      </c>
    </row>
    <row r="2654">
      <c r="A2654">
        <f>IFERROR(INDEX($N$4:$N$3183,MATCH(SMALL($V$4:$V$3183,2651),$V$4:$V$3183,0)),"")</f>
        <v/>
      </c>
      <c r="B2654">
        <f>IFERROR(INDEX($O$4:$O$3183,MATCH(SMALL($V$4:$V$3183,2651),$V$4:$V$3183,0)),"")</f>
        <v/>
      </c>
      <c r="C2654">
        <f>IFERROR(INDEX($P$4:$P$3183,MATCH(SMALL($V$4:$V$3183,2651),$V$4:$V$3183,0)),"")</f>
        <v/>
      </c>
      <c r="D2654" s="29">
        <f>IFERROR(INDEX($Q$4:$Q$3183,MATCH(SMALL($V$4:$V$3183,2651),$V$4:$V$3183,0)),"")</f>
        <v/>
      </c>
      <c r="E2654" s="29">
        <f>IFERROR(INDEX($R$4:$R$3183,MATCH(SMALL($V$4:$V$3183,2651),$V$4:$V$3183,0)),"")</f>
        <v/>
      </c>
      <c r="F2654">
        <f>IFERROR(INDEX($S$4:$S$3183,MATCH(SMALL($V$4:$V$3183,2651),$V$4:$V$3183,0)),"")</f>
        <v/>
      </c>
      <c r="I2654" s="29">
        <f>IF($B2654="","",IFERROR(INDEX($U$4:$U$3183,MATCH(SMALL($V$4:$V$3183,2651),$V$4:$V$3183,0)),""))</f>
        <v/>
      </c>
      <c r="J2654">
        <f>IF($B2654="","",IF($D2654&gt;$F$2,"À venir",IF($E2654&lt;$D$2,"Passé","Dans la période")))</f>
        <v/>
      </c>
      <c r="K2654">
        <f>IF(OR($B2654="",NOT(ISNUMBER($D2654))),"",IF(AND($E2654&lt;$D$2,$G2654&lt;&gt;"X",$F2654&lt;&gt;"Réalisé",$F2654&lt;&gt;"Clôturé"),"RETARD",""))</f>
        <v/>
      </c>
      <c r="L2654">
        <f>IF(OR($B2654="",NOT(ISNUMBER($D2654))),"",IF(AND($D2654&gt;=$D$2,$D2654&lt;=$H$2,$G2654&lt;&gt;"X",$F2654&lt;&gt;"Réalisé",$F2654&lt;&gt;"Clôturé"),"≤ 7 j",""))</f>
        <v/>
      </c>
      <c r="M2654" s="29">
        <f>IF($B2654="","",IFERROR(INDEX($T$4:$T$3183,MATCH(SMALL($V$4:$V$3183,2651),$V$4:$V$3183,0)),""))</f>
        <v/>
      </c>
      <c r="O2654">
        <f>IF(INDEX(Suivi!$B:$B,2705)="","",INDEX(Suivi!$B:$B,2705))</f>
        <v/>
      </c>
      <c r="P2654">
        <f>IF($O2654="","",IF(INDEX(Suivi!$D:$D,2705)="",INDEX(Suivi!$C:$C,2705),INDEX(Suivi!$D:$D,2705)))</f>
        <v/>
      </c>
      <c r="Q2654">
        <f>IF($O2654="","",INDEX(Suivi!$E:$E,2705))</f>
        <v/>
      </c>
      <c r="R2654">
        <f>IF($O2654="","",INDEX(Suivi!$F:$F,2705))</f>
        <v/>
      </c>
      <c r="S2654">
        <f>IF($O2654="","",INDEX(Suivi!$G:$G,2705))</f>
        <v/>
      </c>
      <c r="T2654">
        <f>IF($O2654="","",IF(INDEX(Dossiers!$F$4:$F$63,51)="","",INDEX(Dossiers!$F$4:$F$63,51)))</f>
        <v/>
      </c>
      <c r="U2654">
        <f>IF($O2654="","",IF(INDEX(Dossiers!$G$4:$G$63,51)="","",INDEX(Dossiers!$G$4:$G$63,51)))</f>
        <v/>
      </c>
      <c r="V2654">
        <f>IF(OR($O2654="",NOT(ISNUMBER($Q2654))),"",$Q2654*1000000+2654)</f>
        <v/>
      </c>
      <c r="W2654" s="29">
        <f>IF($B2654="","",IFERROR(INDEX($U$4:$U$3183,MATCH(SMALL($V$4:$V$3183,2651),$V$4:$V$3183,0)),""))</f>
        <v/>
      </c>
    </row>
    <row r="2655">
      <c r="A2655">
        <f>IFERROR(INDEX($N$4:$N$3183,MATCH(SMALL($V$4:$V$3183,2652),$V$4:$V$3183,0)),"")</f>
        <v/>
      </c>
      <c r="B2655">
        <f>IFERROR(INDEX($O$4:$O$3183,MATCH(SMALL($V$4:$V$3183,2652),$V$4:$V$3183,0)),"")</f>
        <v/>
      </c>
      <c r="C2655">
        <f>IFERROR(INDEX($P$4:$P$3183,MATCH(SMALL($V$4:$V$3183,2652),$V$4:$V$3183,0)),"")</f>
        <v/>
      </c>
      <c r="D2655" s="29">
        <f>IFERROR(INDEX($Q$4:$Q$3183,MATCH(SMALL($V$4:$V$3183,2652),$V$4:$V$3183,0)),"")</f>
        <v/>
      </c>
      <c r="E2655" s="29">
        <f>IFERROR(INDEX($R$4:$R$3183,MATCH(SMALL($V$4:$V$3183,2652),$V$4:$V$3183,0)),"")</f>
        <v/>
      </c>
      <c r="F2655">
        <f>IFERROR(INDEX($S$4:$S$3183,MATCH(SMALL($V$4:$V$3183,2652),$V$4:$V$3183,0)),"")</f>
        <v/>
      </c>
      <c r="I2655" s="29">
        <f>IF($B2655="","",IFERROR(INDEX($U$4:$U$3183,MATCH(SMALL($V$4:$V$3183,2652),$V$4:$V$3183,0)),""))</f>
        <v/>
      </c>
      <c r="J2655">
        <f>IF($B2655="","",IF($D2655&gt;$F$2,"À venir",IF($E2655&lt;$D$2,"Passé","Dans la période")))</f>
        <v/>
      </c>
      <c r="K2655">
        <f>IF(OR($B2655="",NOT(ISNUMBER($D2655))),"",IF(AND($E2655&lt;$D$2,$G2655&lt;&gt;"X",$F2655&lt;&gt;"Réalisé",$F2655&lt;&gt;"Clôturé"),"RETARD",""))</f>
        <v/>
      </c>
      <c r="L2655">
        <f>IF(OR($B2655="",NOT(ISNUMBER($D2655))),"",IF(AND($D2655&gt;=$D$2,$D2655&lt;=$H$2,$G2655&lt;&gt;"X",$F2655&lt;&gt;"Réalisé",$F2655&lt;&gt;"Clôturé"),"≤ 7 j",""))</f>
        <v/>
      </c>
      <c r="M2655" s="29">
        <f>IF($B2655="","",IFERROR(INDEX($T$4:$T$3183,MATCH(SMALL($V$4:$V$3183,2652),$V$4:$V$3183,0)),""))</f>
        <v/>
      </c>
      <c r="O2655">
        <f>IF(INDEX(Suivi!$B:$B,2706)="","",INDEX(Suivi!$B:$B,2706))</f>
        <v/>
      </c>
      <c r="P2655">
        <f>IF($O2655="","",IF(INDEX(Suivi!$D:$D,2706)="",INDEX(Suivi!$C:$C,2706),INDEX(Suivi!$D:$D,2706)))</f>
        <v/>
      </c>
      <c r="Q2655">
        <f>IF($O2655="","",INDEX(Suivi!$E:$E,2706))</f>
        <v/>
      </c>
      <c r="R2655">
        <f>IF($O2655="","",INDEX(Suivi!$F:$F,2706))</f>
        <v/>
      </c>
      <c r="S2655">
        <f>IF($O2655="","",INDEX(Suivi!$G:$G,2706))</f>
        <v/>
      </c>
      <c r="T2655">
        <f>IF($O2655="","",IF(INDEX(Dossiers!$F$4:$F$63,51)="","",INDEX(Dossiers!$F$4:$F$63,51)))</f>
        <v/>
      </c>
      <c r="U2655">
        <f>IF($O2655="","",IF(INDEX(Dossiers!$G$4:$G$63,51)="","",INDEX(Dossiers!$G$4:$G$63,51)))</f>
        <v/>
      </c>
      <c r="V2655">
        <f>IF(OR($O2655="",NOT(ISNUMBER($Q2655))),"",$Q2655*1000000+2655)</f>
        <v/>
      </c>
      <c r="W2655" s="29">
        <f>IF($B2655="","",IFERROR(INDEX($U$4:$U$3183,MATCH(SMALL($V$4:$V$3183,2652),$V$4:$V$3183,0)),""))</f>
        <v/>
      </c>
    </row>
    <row r="2656">
      <c r="A2656">
        <f>IFERROR(INDEX($N$4:$N$3183,MATCH(SMALL($V$4:$V$3183,2653),$V$4:$V$3183,0)),"")</f>
        <v/>
      </c>
      <c r="B2656">
        <f>IFERROR(INDEX($O$4:$O$3183,MATCH(SMALL($V$4:$V$3183,2653),$V$4:$V$3183,0)),"")</f>
        <v/>
      </c>
      <c r="C2656">
        <f>IFERROR(INDEX($P$4:$P$3183,MATCH(SMALL($V$4:$V$3183,2653),$V$4:$V$3183,0)),"")</f>
        <v/>
      </c>
      <c r="D2656" s="29">
        <f>IFERROR(INDEX($Q$4:$Q$3183,MATCH(SMALL($V$4:$V$3183,2653),$V$4:$V$3183,0)),"")</f>
        <v/>
      </c>
      <c r="E2656" s="29">
        <f>IFERROR(INDEX($R$4:$R$3183,MATCH(SMALL($V$4:$V$3183,2653),$V$4:$V$3183,0)),"")</f>
        <v/>
      </c>
      <c r="F2656">
        <f>IFERROR(INDEX($S$4:$S$3183,MATCH(SMALL($V$4:$V$3183,2653),$V$4:$V$3183,0)),"")</f>
        <v/>
      </c>
      <c r="I2656" s="29">
        <f>IF($B2656="","",IFERROR(INDEX($U$4:$U$3183,MATCH(SMALL($V$4:$V$3183,2653),$V$4:$V$3183,0)),""))</f>
        <v/>
      </c>
      <c r="J2656">
        <f>IF($B2656="","",IF($D2656&gt;$F$2,"À venir",IF($E2656&lt;$D$2,"Passé","Dans la période")))</f>
        <v/>
      </c>
      <c r="K2656">
        <f>IF(OR($B2656="",NOT(ISNUMBER($D2656))),"",IF(AND($E2656&lt;$D$2,$G2656&lt;&gt;"X",$F2656&lt;&gt;"Réalisé",$F2656&lt;&gt;"Clôturé"),"RETARD",""))</f>
        <v/>
      </c>
      <c r="L2656">
        <f>IF(OR($B2656="",NOT(ISNUMBER($D2656))),"",IF(AND($D2656&gt;=$D$2,$D2656&lt;=$H$2,$G2656&lt;&gt;"X",$F2656&lt;&gt;"Réalisé",$F2656&lt;&gt;"Clôturé"),"≤ 7 j",""))</f>
        <v/>
      </c>
      <c r="M2656" s="29">
        <f>IF($B2656="","",IFERROR(INDEX($T$4:$T$3183,MATCH(SMALL($V$4:$V$3183,2653),$V$4:$V$3183,0)),""))</f>
        <v/>
      </c>
      <c r="O2656">
        <f>IF(INDEX(Suivi!$B:$B,2707)="","",INDEX(Suivi!$B:$B,2707))</f>
        <v/>
      </c>
      <c r="P2656">
        <f>IF($O2656="","",IF(INDEX(Suivi!$D:$D,2707)="",INDEX(Suivi!$C:$C,2707),INDEX(Suivi!$D:$D,2707)))</f>
        <v/>
      </c>
      <c r="Q2656">
        <f>IF($O2656="","",INDEX(Suivi!$E:$E,2707))</f>
        <v/>
      </c>
      <c r="R2656">
        <f>IF($O2656="","",INDEX(Suivi!$F:$F,2707))</f>
        <v/>
      </c>
      <c r="S2656">
        <f>IF($O2656="","",INDEX(Suivi!$G:$G,2707))</f>
        <v/>
      </c>
      <c r="T2656">
        <f>IF($O2656="","",IF(INDEX(Dossiers!$F$4:$F$63,51)="","",INDEX(Dossiers!$F$4:$F$63,51)))</f>
        <v/>
      </c>
      <c r="U2656">
        <f>IF($O2656="","",IF(INDEX(Dossiers!$G$4:$G$63,51)="","",INDEX(Dossiers!$G$4:$G$63,51)))</f>
        <v/>
      </c>
      <c r="V2656">
        <f>IF(OR($O2656="",NOT(ISNUMBER($Q2656))),"",$Q2656*1000000+2656)</f>
        <v/>
      </c>
      <c r="W2656" s="29">
        <f>IF($B2656="","",IFERROR(INDEX($U$4:$U$3183,MATCH(SMALL($V$4:$V$3183,2653),$V$4:$V$3183,0)),""))</f>
        <v/>
      </c>
    </row>
    <row r="2657">
      <c r="A2657">
        <f>IFERROR(INDEX($N$4:$N$3183,MATCH(SMALL($V$4:$V$3183,2654),$V$4:$V$3183,0)),"")</f>
        <v/>
      </c>
      <c r="B2657">
        <f>IFERROR(INDEX($O$4:$O$3183,MATCH(SMALL($V$4:$V$3183,2654),$V$4:$V$3183,0)),"")</f>
        <v/>
      </c>
      <c r="C2657">
        <f>IFERROR(INDEX($P$4:$P$3183,MATCH(SMALL($V$4:$V$3183,2654),$V$4:$V$3183,0)),"")</f>
        <v/>
      </c>
      <c r="D2657" s="29">
        <f>IFERROR(INDEX($Q$4:$Q$3183,MATCH(SMALL($V$4:$V$3183,2654),$V$4:$V$3183,0)),"")</f>
        <v/>
      </c>
      <c r="E2657" s="29">
        <f>IFERROR(INDEX($R$4:$R$3183,MATCH(SMALL($V$4:$V$3183,2654),$V$4:$V$3183,0)),"")</f>
        <v/>
      </c>
      <c r="F2657">
        <f>IFERROR(INDEX($S$4:$S$3183,MATCH(SMALL($V$4:$V$3183,2654),$V$4:$V$3183,0)),"")</f>
        <v/>
      </c>
      <c r="I2657" s="29">
        <f>IF($B2657="","",IFERROR(INDEX($U$4:$U$3183,MATCH(SMALL($V$4:$V$3183,2654),$V$4:$V$3183,0)),""))</f>
        <v/>
      </c>
      <c r="J2657">
        <f>IF($B2657="","",IF($D2657&gt;$F$2,"À venir",IF($E2657&lt;$D$2,"Passé","Dans la période")))</f>
        <v/>
      </c>
      <c r="K2657">
        <f>IF(OR($B2657="",NOT(ISNUMBER($D2657))),"",IF(AND($E2657&lt;$D$2,$G2657&lt;&gt;"X",$F2657&lt;&gt;"Réalisé",$F2657&lt;&gt;"Clôturé"),"RETARD",""))</f>
        <v/>
      </c>
      <c r="L2657">
        <f>IF(OR($B2657="",NOT(ISNUMBER($D2657))),"",IF(AND($D2657&gt;=$D$2,$D2657&lt;=$H$2,$G2657&lt;&gt;"X",$F2657&lt;&gt;"Réalisé",$F2657&lt;&gt;"Clôturé"),"≤ 7 j",""))</f>
        <v/>
      </c>
      <c r="M2657" s="29">
        <f>IF($B2657="","",IFERROR(INDEX($T$4:$T$3183,MATCH(SMALL($V$4:$V$3183,2654),$V$4:$V$3183,0)),""))</f>
        <v/>
      </c>
      <c r="O2657">
        <f>IF(INDEX(Suivi!$B:$B,2708)="","",INDEX(Suivi!$B:$B,2708))</f>
        <v/>
      </c>
      <c r="P2657">
        <f>IF($O2657="","",IF(INDEX(Suivi!$D:$D,2708)="",INDEX(Suivi!$C:$C,2708),INDEX(Suivi!$D:$D,2708)))</f>
        <v/>
      </c>
      <c r="Q2657">
        <f>IF($O2657="","",INDEX(Suivi!$E:$E,2708))</f>
        <v/>
      </c>
      <c r="R2657">
        <f>IF($O2657="","",INDEX(Suivi!$F:$F,2708))</f>
        <v/>
      </c>
      <c r="S2657">
        <f>IF($O2657="","",INDEX(Suivi!$G:$G,2708))</f>
        <v/>
      </c>
      <c r="T2657">
        <f>IF($O2657="","",IF(INDEX(Dossiers!$F$4:$F$63,51)="","",INDEX(Dossiers!$F$4:$F$63,51)))</f>
        <v/>
      </c>
      <c r="U2657">
        <f>IF($O2657="","",IF(INDEX(Dossiers!$G$4:$G$63,51)="","",INDEX(Dossiers!$G$4:$G$63,51)))</f>
        <v/>
      </c>
      <c r="V2657">
        <f>IF(OR($O2657="",NOT(ISNUMBER($Q2657))),"",$Q2657*1000000+2657)</f>
        <v/>
      </c>
      <c r="W2657" s="29">
        <f>IF($B2657="","",IFERROR(INDEX($U$4:$U$3183,MATCH(SMALL($V$4:$V$3183,2654),$V$4:$V$3183,0)),""))</f>
        <v/>
      </c>
    </row>
    <row r="2658">
      <c r="A2658">
        <f>IFERROR(INDEX($N$4:$N$3183,MATCH(SMALL($V$4:$V$3183,2655),$V$4:$V$3183,0)),"")</f>
        <v/>
      </c>
      <c r="B2658">
        <f>IFERROR(INDEX($O$4:$O$3183,MATCH(SMALL($V$4:$V$3183,2655),$V$4:$V$3183,0)),"")</f>
        <v/>
      </c>
      <c r="C2658">
        <f>IFERROR(INDEX($P$4:$P$3183,MATCH(SMALL($V$4:$V$3183,2655),$V$4:$V$3183,0)),"")</f>
        <v/>
      </c>
      <c r="D2658" s="29">
        <f>IFERROR(INDEX($Q$4:$Q$3183,MATCH(SMALL($V$4:$V$3183,2655),$V$4:$V$3183,0)),"")</f>
        <v/>
      </c>
      <c r="E2658" s="29">
        <f>IFERROR(INDEX($R$4:$R$3183,MATCH(SMALL($V$4:$V$3183,2655),$V$4:$V$3183,0)),"")</f>
        <v/>
      </c>
      <c r="F2658">
        <f>IFERROR(INDEX($S$4:$S$3183,MATCH(SMALL($V$4:$V$3183,2655),$V$4:$V$3183,0)),"")</f>
        <v/>
      </c>
      <c r="I2658" s="29">
        <f>IF($B2658="","",IFERROR(INDEX($U$4:$U$3183,MATCH(SMALL($V$4:$V$3183,2655),$V$4:$V$3183,0)),""))</f>
        <v/>
      </c>
      <c r="J2658">
        <f>IF($B2658="","",IF($D2658&gt;$F$2,"À venir",IF($E2658&lt;$D$2,"Passé","Dans la période")))</f>
        <v/>
      </c>
      <c r="K2658">
        <f>IF(OR($B2658="",NOT(ISNUMBER($D2658))),"",IF(AND($E2658&lt;$D$2,$G2658&lt;&gt;"X",$F2658&lt;&gt;"Réalisé",$F2658&lt;&gt;"Clôturé"),"RETARD",""))</f>
        <v/>
      </c>
      <c r="L2658">
        <f>IF(OR($B2658="",NOT(ISNUMBER($D2658))),"",IF(AND($D2658&gt;=$D$2,$D2658&lt;=$H$2,$G2658&lt;&gt;"X",$F2658&lt;&gt;"Réalisé",$F2658&lt;&gt;"Clôturé"),"≤ 7 j",""))</f>
        <v/>
      </c>
      <c r="M2658" s="29">
        <f>IF($B2658="","",IFERROR(INDEX($T$4:$T$3183,MATCH(SMALL($V$4:$V$3183,2655),$V$4:$V$3183,0)),""))</f>
        <v/>
      </c>
      <c r="O2658">
        <f>IF(INDEX(Suivi!$B:$B,2709)="","",INDEX(Suivi!$B:$B,2709))</f>
        <v/>
      </c>
      <c r="P2658">
        <f>IF($O2658="","",IF(INDEX(Suivi!$D:$D,2709)="",INDEX(Suivi!$C:$C,2709),INDEX(Suivi!$D:$D,2709)))</f>
        <v/>
      </c>
      <c r="Q2658">
        <f>IF($O2658="","",INDEX(Suivi!$E:$E,2709))</f>
        <v/>
      </c>
      <c r="R2658">
        <f>IF($O2658="","",INDEX(Suivi!$F:$F,2709))</f>
        <v/>
      </c>
      <c r="S2658">
        <f>IF($O2658="","",INDEX(Suivi!$G:$G,2709))</f>
        <v/>
      </c>
      <c r="T2658">
        <f>IF($O2658="","",IF(INDEX(Dossiers!$F$4:$F$63,51)="","",INDEX(Dossiers!$F$4:$F$63,51)))</f>
        <v/>
      </c>
      <c r="U2658">
        <f>IF($O2658="","",IF(INDEX(Dossiers!$G$4:$G$63,51)="","",INDEX(Dossiers!$G$4:$G$63,51)))</f>
        <v/>
      </c>
      <c r="V2658">
        <f>IF(OR($O2658="",NOT(ISNUMBER($Q2658))),"",$Q2658*1000000+2658)</f>
        <v/>
      </c>
      <c r="W2658" s="29">
        <f>IF($B2658="","",IFERROR(INDEX($U$4:$U$3183,MATCH(SMALL($V$4:$V$3183,2655),$V$4:$V$3183,0)),""))</f>
        <v/>
      </c>
    </row>
    <row r="2659">
      <c r="A2659">
        <f>IFERROR(INDEX($N$4:$N$3183,MATCH(SMALL($V$4:$V$3183,2656),$V$4:$V$3183,0)),"")</f>
        <v/>
      </c>
      <c r="B2659">
        <f>IFERROR(INDEX($O$4:$O$3183,MATCH(SMALL($V$4:$V$3183,2656),$V$4:$V$3183,0)),"")</f>
        <v/>
      </c>
      <c r="C2659">
        <f>IFERROR(INDEX($P$4:$P$3183,MATCH(SMALL($V$4:$V$3183,2656),$V$4:$V$3183,0)),"")</f>
        <v/>
      </c>
      <c r="D2659" s="29">
        <f>IFERROR(INDEX($Q$4:$Q$3183,MATCH(SMALL($V$4:$V$3183,2656),$V$4:$V$3183,0)),"")</f>
        <v/>
      </c>
      <c r="E2659" s="29">
        <f>IFERROR(INDEX($R$4:$R$3183,MATCH(SMALL($V$4:$V$3183,2656),$V$4:$V$3183,0)),"")</f>
        <v/>
      </c>
      <c r="F2659">
        <f>IFERROR(INDEX($S$4:$S$3183,MATCH(SMALL($V$4:$V$3183,2656),$V$4:$V$3183,0)),"")</f>
        <v/>
      </c>
      <c r="I2659" s="29">
        <f>IF($B2659="","",IFERROR(INDEX($U$4:$U$3183,MATCH(SMALL($V$4:$V$3183,2656),$V$4:$V$3183,0)),""))</f>
        <v/>
      </c>
      <c r="J2659">
        <f>IF($B2659="","",IF($D2659&gt;$F$2,"À venir",IF($E2659&lt;$D$2,"Passé","Dans la période")))</f>
        <v/>
      </c>
      <c r="K2659">
        <f>IF(OR($B2659="",NOT(ISNUMBER($D2659))),"",IF(AND($E2659&lt;$D$2,$G2659&lt;&gt;"X",$F2659&lt;&gt;"Réalisé",$F2659&lt;&gt;"Clôturé"),"RETARD",""))</f>
        <v/>
      </c>
      <c r="L2659">
        <f>IF(OR($B2659="",NOT(ISNUMBER($D2659))),"",IF(AND($D2659&gt;=$D$2,$D2659&lt;=$H$2,$G2659&lt;&gt;"X",$F2659&lt;&gt;"Réalisé",$F2659&lt;&gt;"Clôturé"),"≤ 7 j",""))</f>
        <v/>
      </c>
      <c r="M2659" s="29">
        <f>IF($B2659="","",IFERROR(INDEX($T$4:$T$3183,MATCH(SMALL($V$4:$V$3183,2656),$V$4:$V$3183,0)),""))</f>
        <v/>
      </c>
      <c r="O2659">
        <f>IF(INDEX(Suivi!$B:$B,2710)="","",INDEX(Suivi!$B:$B,2710))</f>
        <v/>
      </c>
      <c r="P2659">
        <f>IF($O2659="","",IF(INDEX(Suivi!$D:$D,2710)="",INDEX(Suivi!$C:$C,2710),INDEX(Suivi!$D:$D,2710)))</f>
        <v/>
      </c>
      <c r="Q2659">
        <f>IF($O2659="","",INDEX(Suivi!$E:$E,2710))</f>
        <v/>
      </c>
      <c r="R2659">
        <f>IF($O2659="","",INDEX(Suivi!$F:$F,2710))</f>
        <v/>
      </c>
      <c r="S2659">
        <f>IF($O2659="","",INDEX(Suivi!$G:$G,2710))</f>
        <v/>
      </c>
      <c r="T2659">
        <f>IF($O2659="","",IF(INDEX(Dossiers!$F$4:$F$63,51)="","",INDEX(Dossiers!$F$4:$F$63,51)))</f>
        <v/>
      </c>
      <c r="U2659">
        <f>IF($O2659="","",IF(INDEX(Dossiers!$G$4:$G$63,51)="","",INDEX(Dossiers!$G$4:$G$63,51)))</f>
        <v/>
      </c>
      <c r="V2659">
        <f>IF(OR($O2659="",NOT(ISNUMBER($Q2659))),"",$Q2659*1000000+2659)</f>
        <v/>
      </c>
      <c r="W2659" s="29">
        <f>IF($B2659="","",IFERROR(INDEX($U$4:$U$3183,MATCH(SMALL($V$4:$V$3183,2656),$V$4:$V$3183,0)),""))</f>
        <v/>
      </c>
    </row>
    <row r="2660">
      <c r="A2660">
        <f>IFERROR(INDEX($N$4:$N$3183,MATCH(SMALL($V$4:$V$3183,2657),$V$4:$V$3183,0)),"")</f>
        <v/>
      </c>
      <c r="B2660">
        <f>IFERROR(INDEX($O$4:$O$3183,MATCH(SMALL($V$4:$V$3183,2657),$V$4:$V$3183,0)),"")</f>
        <v/>
      </c>
      <c r="C2660">
        <f>IFERROR(INDEX($P$4:$P$3183,MATCH(SMALL($V$4:$V$3183,2657),$V$4:$V$3183,0)),"")</f>
        <v/>
      </c>
      <c r="D2660" s="29">
        <f>IFERROR(INDEX($Q$4:$Q$3183,MATCH(SMALL($V$4:$V$3183,2657),$V$4:$V$3183,0)),"")</f>
        <v/>
      </c>
      <c r="E2660" s="29">
        <f>IFERROR(INDEX($R$4:$R$3183,MATCH(SMALL($V$4:$V$3183,2657),$V$4:$V$3183,0)),"")</f>
        <v/>
      </c>
      <c r="F2660">
        <f>IFERROR(INDEX($S$4:$S$3183,MATCH(SMALL($V$4:$V$3183,2657),$V$4:$V$3183,0)),"")</f>
        <v/>
      </c>
      <c r="I2660" s="29">
        <f>IF($B2660="","",IFERROR(INDEX($U$4:$U$3183,MATCH(SMALL($V$4:$V$3183,2657),$V$4:$V$3183,0)),""))</f>
        <v/>
      </c>
      <c r="J2660">
        <f>IF($B2660="","",IF($D2660&gt;$F$2,"À venir",IF($E2660&lt;$D$2,"Passé","Dans la période")))</f>
        <v/>
      </c>
      <c r="K2660">
        <f>IF(OR($B2660="",NOT(ISNUMBER($D2660))),"",IF(AND($E2660&lt;$D$2,$G2660&lt;&gt;"X",$F2660&lt;&gt;"Réalisé",$F2660&lt;&gt;"Clôturé"),"RETARD",""))</f>
        <v/>
      </c>
      <c r="L2660">
        <f>IF(OR($B2660="",NOT(ISNUMBER($D2660))),"",IF(AND($D2660&gt;=$D$2,$D2660&lt;=$H$2,$G2660&lt;&gt;"X",$F2660&lt;&gt;"Réalisé",$F2660&lt;&gt;"Clôturé"),"≤ 7 j",""))</f>
        <v/>
      </c>
      <c r="M2660" s="29">
        <f>IF($B2660="","",IFERROR(INDEX($T$4:$T$3183,MATCH(SMALL($V$4:$V$3183,2657),$V$4:$V$3183,0)),""))</f>
        <v/>
      </c>
      <c r="O2660">
        <f>IF(INDEX(Suivi!$B:$B,2711)="","",INDEX(Suivi!$B:$B,2711))</f>
        <v/>
      </c>
      <c r="P2660">
        <f>IF($O2660="","",IF(INDEX(Suivi!$D:$D,2711)="",INDEX(Suivi!$C:$C,2711),INDEX(Suivi!$D:$D,2711)))</f>
        <v/>
      </c>
      <c r="Q2660">
        <f>IF($O2660="","",INDEX(Suivi!$E:$E,2711))</f>
        <v/>
      </c>
      <c r="R2660">
        <f>IF($O2660="","",INDEX(Suivi!$F:$F,2711))</f>
        <v/>
      </c>
      <c r="S2660">
        <f>IF($O2660="","",INDEX(Suivi!$G:$G,2711))</f>
        <v/>
      </c>
      <c r="T2660">
        <f>IF($O2660="","",IF(INDEX(Dossiers!$F$4:$F$63,51)="","",INDEX(Dossiers!$F$4:$F$63,51)))</f>
        <v/>
      </c>
      <c r="U2660">
        <f>IF($O2660="","",IF(INDEX(Dossiers!$G$4:$G$63,51)="","",INDEX(Dossiers!$G$4:$G$63,51)))</f>
        <v/>
      </c>
      <c r="V2660">
        <f>IF(OR($O2660="",NOT(ISNUMBER($Q2660))),"",$Q2660*1000000+2660)</f>
        <v/>
      </c>
      <c r="W2660" s="29">
        <f>IF($B2660="","",IFERROR(INDEX($U$4:$U$3183,MATCH(SMALL($V$4:$V$3183,2657),$V$4:$V$3183,0)),""))</f>
        <v/>
      </c>
    </row>
    <row r="2661">
      <c r="A2661">
        <f>IFERROR(INDEX($N$4:$N$3183,MATCH(SMALL($V$4:$V$3183,2658),$V$4:$V$3183,0)),"")</f>
        <v/>
      </c>
      <c r="B2661">
        <f>IFERROR(INDEX($O$4:$O$3183,MATCH(SMALL($V$4:$V$3183,2658),$V$4:$V$3183,0)),"")</f>
        <v/>
      </c>
      <c r="C2661">
        <f>IFERROR(INDEX($P$4:$P$3183,MATCH(SMALL($V$4:$V$3183,2658),$V$4:$V$3183,0)),"")</f>
        <v/>
      </c>
      <c r="D2661" s="29">
        <f>IFERROR(INDEX($Q$4:$Q$3183,MATCH(SMALL($V$4:$V$3183,2658),$V$4:$V$3183,0)),"")</f>
        <v/>
      </c>
      <c r="E2661" s="29">
        <f>IFERROR(INDEX($R$4:$R$3183,MATCH(SMALL($V$4:$V$3183,2658),$V$4:$V$3183,0)),"")</f>
        <v/>
      </c>
      <c r="F2661">
        <f>IFERROR(INDEX($S$4:$S$3183,MATCH(SMALL($V$4:$V$3183,2658),$V$4:$V$3183,0)),"")</f>
        <v/>
      </c>
      <c r="I2661" s="29">
        <f>IF($B2661="","",IFERROR(INDEX($U$4:$U$3183,MATCH(SMALL($V$4:$V$3183,2658),$V$4:$V$3183,0)),""))</f>
        <v/>
      </c>
      <c r="J2661">
        <f>IF($B2661="","",IF($D2661&gt;$F$2,"À venir",IF($E2661&lt;$D$2,"Passé","Dans la période")))</f>
        <v/>
      </c>
      <c r="K2661">
        <f>IF(OR($B2661="",NOT(ISNUMBER($D2661))),"",IF(AND($E2661&lt;$D$2,$G2661&lt;&gt;"X",$F2661&lt;&gt;"Réalisé",$F2661&lt;&gt;"Clôturé"),"RETARD",""))</f>
        <v/>
      </c>
      <c r="L2661">
        <f>IF(OR($B2661="",NOT(ISNUMBER($D2661))),"",IF(AND($D2661&gt;=$D$2,$D2661&lt;=$H$2,$G2661&lt;&gt;"X",$F2661&lt;&gt;"Réalisé",$F2661&lt;&gt;"Clôturé"),"≤ 7 j",""))</f>
        <v/>
      </c>
      <c r="M2661" s="29">
        <f>IF($B2661="","",IFERROR(INDEX($T$4:$T$3183,MATCH(SMALL($V$4:$V$3183,2658),$V$4:$V$3183,0)),""))</f>
        <v/>
      </c>
      <c r="O2661">
        <f>IF(INDEX(Suivi!$B:$B,2712)="","",INDEX(Suivi!$B:$B,2712))</f>
        <v/>
      </c>
      <c r="P2661">
        <f>IF($O2661="","",IF(INDEX(Suivi!$D:$D,2712)="",INDEX(Suivi!$C:$C,2712),INDEX(Suivi!$D:$D,2712)))</f>
        <v/>
      </c>
      <c r="Q2661">
        <f>IF($O2661="","",INDEX(Suivi!$E:$E,2712))</f>
        <v/>
      </c>
      <c r="R2661">
        <f>IF($O2661="","",INDEX(Suivi!$F:$F,2712))</f>
        <v/>
      </c>
      <c r="S2661">
        <f>IF($O2661="","",INDEX(Suivi!$G:$G,2712))</f>
        <v/>
      </c>
      <c r="T2661">
        <f>IF($O2661="","",IF(INDEX(Dossiers!$F$4:$F$63,51)="","",INDEX(Dossiers!$F$4:$F$63,51)))</f>
        <v/>
      </c>
      <c r="U2661">
        <f>IF($O2661="","",IF(INDEX(Dossiers!$G$4:$G$63,51)="","",INDEX(Dossiers!$G$4:$G$63,51)))</f>
        <v/>
      </c>
      <c r="V2661">
        <f>IF(OR($O2661="",NOT(ISNUMBER($Q2661))),"",$Q2661*1000000+2661)</f>
        <v/>
      </c>
      <c r="W2661" s="29">
        <f>IF($B2661="","",IFERROR(INDEX($U$4:$U$3183,MATCH(SMALL($V$4:$V$3183,2658),$V$4:$V$3183,0)),""))</f>
        <v/>
      </c>
    </row>
    <row r="2662">
      <c r="A2662">
        <f>IFERROR(INDEX($N$4:$N$3183,MATCH(SMALL($V$4:$V$3183,2659),$V$4:$V$3183,0)),"")</f>
        <v/>
      </c>
      <c r="B2662">
        <f>IFERROR(INDEX($O$4:$O$3183,MATCH(SMALL($V$4:$V$3183,2659),$V$4:$V$3183,0)),"")</f>
        <v/>
      </c>
      <c r="C2662">
        <f>IFERROR(INDEX($P$4:$P$3183,MATCH(SMALL($V$4:$V$3183,2659),$V$4:$V$3183,0)),"")</f>
        <v/>
      </c>
      <c r="D2662" s="29">
        <f>IFERROR(INDEX($Q$4:$Q$3183,MATCH(SMALL($V$4:$V$3183,2659),$V$4:$V$3183,0)),"")</f>
        <v/>
      </c>
      <c r="E2662" s="29">
        <f>IFERROR(INDEX($R$4:$R$3183,MATCH(SMALL($V$4:$V$3183,2659),$V$4:$V$3183,0)),"")</f>
        <v/>
      </c>
      <c r="F2662">
        <f>IFERROR(INDEX($S$4:$S$3183,MATCH(SMALL($V$4:$V$3183,2659),$V$4:$V$3183,0)),"")</f>
        <v/>
      </c>
      <c r="I2662" s="29">
        <f>IF($B2662="","",IFERROR(INDEX($U$4:$U$3183,MATCH(SMALL($V$4:$V$3183,2659),$V$4:$V$3183,0)),""))</f>
        <v/>
      </c>
      <c r="J2662">
        <f>IF($B2662="","",IF($D2662&gt;$F$2,"À venir",IF($E2662&lt;$D$2,"Passé","Dans la période")))</f>
        <v/>
      </c>
      <c r="K2662">
        <f>IF(OR($B2662="",NOT(ISNUMBER($D2662))),"",IF(AND($E2662&lt;$D$2,$G2662&lt;&gt;"X",$F2662&lt;&gt;"Réalisé",$F2662&lt;&gt;"Clôturé"),"RETARD",""))</f>
        <v/>
      </c>
      <c r="L2662">
        <f>IF(OR($B2662="",NOT(ISNUMBER($D2662))),"",IF(AND($D2662&gt;=$D$2,$D2662&lt;=$H$2,$G2662&lt;&gt;"X",$F2662&lt;&gt;"Réalisé",$F2662&lt;&gt;"Clôturé"),"≤ 7 j",""))</f>
        <v/>
      </c>
      <c r="M2662" s="29">
        <f>IF($B2662="","",IFERROR(INDEX($T$4:$T$3183,MATCH(SMALL($V$4:$V$3183,2659),$V$4:$V$3183,0)),""))</f>
        <v/>
      </c>
      <c r="O2662">
        <f>IF(INDEX(Suivi!$B:$B,2713)="","",INDEX(Suivi!$B:$B,2713))</f>
        <v/>
      </c>
      <c r="P2662">
        <f>IF($O2662="","",IF(INDEX(Suivi!$D:$D,2713)="",INDEX(Suivi!$C:$C,2713),INDEX(Suivi!$D:$D,2713)))</f>
        <v/>
      </c>
      <c r="Q2662">
        <f>IF($O2662="","",INDEX(Suivi!$E:$E,2713))</f>
        <v/>
      </c>
      <c r="R2662">
        <f>IF($O2662="","",INDEX(Suivi!$F:$F,2713))</f>
        <v/>
      </c>
      <c r="S2662">
        <f>IF($O2662="","",INDEX(Suivi!$G:$G,2713))</f>
        <v/>
      </c>
      <c r="T2662">
        <f>IF($O2662="","",IF(INDEX(Dossiers!$F$4:$F$63,51)="","",INDEX(Dossiers!$F$4:$F$63,51)))</f>
        <v/>
      </c>
      <c r="U2662">
        <f>IF($O2662="","",IF(INDEX(Dossiers!$G$4:$G$63,51)="","",INDEX(Dossiers!$G$4:$G$63,51)))</f>
        <v/>
      </c>
      <c r="V2662">
        <f>IF(OR($O2662="",NOT(ISNUMBER($Q2662))),"",$Q2662*1000000+2662)</f>
        <v/>
      </c>
      <c r="W2662" s="29">
        <f>IF($B2662="","",IFERROR(INDEX($U$4:$U$3183,MATCH(SMALL($V$4:$V$3183,2659),$V$4:$V$3183,0)),""))</f>
        <v/>
      </c>
    </row>
    <row r="2663">
      <c r="A2663">
        <f>IFERROR(INDEX($N$4:$N$3183,MATCH(SMALL($V$4:$V$3183,2660),$V$4:$V$3183,0)),"")</f>
        <v/>
      </c>
      <c r="B2663">
        <f>IFERROR(INDEX($O$4:$O$3183,MATCH(SMALL($V$4:$V$3183,2660),$V$4:$V$3183,0)),"")</f>
        <v/>
      </c>
      <c r="C2663">
        <f>IFERROR(INDEX($P$4:$P$3183,MATCH(SMALL($V$4:$V$3183,2660),$V$4:$V$3183,0)),"")</f>
        <v/>
      </c>
      <c r="D2663" s="29">
        <f>IFERROR(INDEX($Q$4:$Q$3183,MATCH(SMALL($V$4:$V$3183,2660),$V$4:$V$3183,0)),"")</f>
        <v/>
      </c>
      <c r="E2663" s="29">
        <f>IFERROR(INDEX($R$4:$R$3183,MATCH(SMALL($V$4:$V$3183,2660),$V$4:$V$3183,0)),"")</f>
        <v/>
      </c>
      <c r="F2663">
        <f>IFERROR(INDEX($S$4:$S$3183,MATCH(SMALL($V$4:$V$3183,2660),$V$4:$V$3183,0)),"")</f>
        <v/>
      </c>
      <c r="I2663" s="29">
        <f>IF($B2663="","",IFERROR(INDEX($U$4:$U$3183,MATCH(SMALL($V$4:$V$3183,2660),$V$4:$V$3183,0)),""))</f>
        <v/>
      </c>
      <c r="J2663">
        <f>IF($B2663="","",IF($D2663&gt;$F$2,"À venir",IF($E2663&lt;$D$2,"Passé","Dans la période")))</f>
        <v/>
      </c>
      <c r="K2663">
        <f>IF(OR($B2663="",NOT(ISNUMBER($D2663))),"",IF(AND($E2663&lt;$D$2,$G2663&lt;&gt;"X",$F2663&lt;&gt;"Réalisé",$F2663&lt;&gt;"Clôturé"),"RETARD",""))</f>
        <v/>
      </c>
      <c r="L2663">
        <f>IF(OR($B2663="",NOT(ISNUMBER($D2663))),"",IF(AND($D2663&gt;=$D$2,$D2663&lt;=$H$2,$G2663&lt;&gt;"X",$F2663&lt;&gt;"Réalisé",$F2663&lt;&gt;"Clôturé"),"≤ 7 j",""))</f>
        <v/>
      </c>
      <c r="M2663" s="29">
        <f>IF($B2663="","",IFERROR(INDEX($T$4:$T$3183,MATCH(SMALL($V$4:$V$3183,2660),$V$4:$V$3183,0)),""))</f>
        <v/>
      </c>
      <c r="O2663">
        <f>IF(INDEX(Suivi!$B:$B,2714)="","",INDEX(Suivi!$B:$B,2714))</f>
        <v/>
      </c>
      <c r="P2663">
        <f>IF($O2663="","",IF(INDEX(Suivi!$D:$D,2714)="",INDEX(Suivi!$C:$C,2714),INDEX(Suivi!$D:$D,2714)))</f>
        <v/>
      </c>
      <c r="Q2663">
        <f>IF($O2663="","",INDEX(Suivi!$E:$E,2714))</f>
        <v/>
      </c>
      <c r="R2663">
        <f>IF($O2663="","",INDEX(Suivi!$F:$F,2714))</f>
        <v/>
      </c>
      <c r="S2663">
        <f>IF($O2663="","",INDEX(Suivi!$G:$G,2714))</f>
        <v/>
      </c>
      <c r="T2663">
        <f>IF($O2663="","",IF(INDEX(Dossiers!$F$4:$F$63,51)="","",INDEX(Dossiers!$F$4:$F$63,51)))</f>
        <v/>
      </c>
      <c r="U2663">
        <f>IF($O2663="","",IF(INDEX(Dossiers!$G$4:$G$63,51)="","",INDEX(Dossiers!$G$4:$G$63,51)))</f>
        <v/>
      </c>
      <c r="V2663">
        <f>IF(OR($O2663="",NOT(ISNUMBER($Q2663))),"",$Q2663*1000000+2663)</f>
        <v/>
      </c>
      <c r="W2663" s="29">
        <f>IF($B2663="","",IFERROR(INDEX($U$4:$U$3183,MATCH(SMALL($V$4:$V$3183,2660),$V$4:$V$3183,0)),""))</f>
        <v/>
      </c>
    </row>
    <row r="2664">
      <c r="A2664">
        <f>IFERROR(INDEX($N$4:$N$3183,MATCH(SMALL($V$4:$V$3183,2661),$V$4:$V$3183,0)),"")</f>
        <v/>
      </c>
      <c r="B2664">
        <f>IFERROR(INDEX($O$4:$O$3183,MATCH(SMALL($V$4:$V$3183,2661),$V$4:$V$3183,0)),"")</f>
        <v/>
      </c>
      <c r="C2664">
        <f>IFERROR(INDEX($P$4:$P$3183,MATCH(SMALL($V$4:$V$3183,2661),$V$4:$V$3183,0)),"")</f>
        <v/>
      </c>
      <c r="D2664" s="29">
        <f>IFERROR(INDEX($Q$4:$Q$3183,MATCH(SMALL($V$4:$V$3183,2661),$V$4:$V$3183,0)),"")</f>
        <v/>
      </c>
      <c r="E2664" s="29">
        <f>IFERROR(INDEX($R$4:$R$3183,MATCH(SMALL($V$4:$V$3183,2661),$V$4:$V$3183,0)),"")</f>
        <v/>
      </c>
      <c r="F2664">
        <f>IFERROR(INDEX($S$4:$S$3183,MATCH(SMALL($V$4:$V$3183,2661),$V$4:$V$3183,0)),"")</f>
        <v/>
      </c>
      <c r="I2664" s="29">
        <f>IF($B2664="","",IFERROR(INDEX($U$4:$U$3183,MATCH(SMALL($V$4:$V$3183,2661),$V$4:$V$3183,0)),""))</f>
        <v/>
      </c>
      <c r="J2664">
        <f>IF($B2664="","",IF($D2664&gt;$F$2,"À venir",IF($E2664&lt;$D$2,"Passé","Dans la période")))</f>
        <v/>
      </c>
      <c r="K2664">
        <f>IF(OR($B2664="",NOT(ISNUMBER($D2664))),"",IF(AND($E2664&lt;$D$2,$G2664&lt;&gt;"X",$F2664&lt;&gt;"Réalisé",$F2664&lt;&gt;"Clôturé"),"RETARD",""))</f>
        <v/>
      </c>
      <c r="L2664">
        <f>IF(OR($B2664="",NOT(ISNUMBER($D2664))),"",IF(AND($D2664&gt;=$D$2,$D2664&lt;=$H$2,$G2664&lt;&gt;"X",$F2664&lt;&gt;"Réalisé",$F2664&lt;&gt;"Clôturé"),"≤ 7 j",""))</f>
        <v/>
      </c>
      <c r="M2664" s="29">
        <f>IF($B2664="","",IFERROR(INDEX($T$4:$T$3183,MATCH(SMALL($V$4:$V$3183,2661),$V$4:$V$3183,0)),""))</f>
        <v/>
      </c>
      <c r="O2664">
        <f>IF(INDEX(Suivi!$B:$B,2715)="","",INDEX(Suivi!$B:$B,2715))</f>
        <v/>
      </c>
      <c r="P2664">
        <f>IF($O2664="","",IF(INDEX(Suivi!$D:$D,2715)="",INDEX(Suivi!$C:$C,2715),INDEX(Suivi!$D:$D,2715)))</f>
        <v/>
      </c>
      <c r="Q2664">
        <f>IF($O2664="","",INDEX(Suivi!$E:$E,2715))</f>
        <v/>
      </c>
      <c r="R2664">
        <f>IF($O2664="","",INDEX(Suivi!$F:$F,2715))</f>
        <v/>
      </c>
      <c r="S2664">
        <f>IF($O2664="","",INDEX(Suivi!$G:$G,2715))</f>
        <v/>
      </c>
      <c r="T2664">
        <f>IF($O2664="","",IF(INDEX(Dossiers!$F$4:$F$63,51)="","",INDEX(Dossiers!$F$4:$F$63,51)))</f>
        <v/>
      </c>
      <c r="U2664">
        <f>IF($O2664="","",IF(INDEX(Dossiers!$G$4:$G$63,51)="","",INDEX(Dossiers!$G$4:$G$63,51)))</f>
        <v/>
      </c>
      <c r="V2664">
        <f>IF(OR($O2664="",NOT(ISNUMBER($Q2664))),"",$Q2664*1000000+2664)</f>
        <v/>
      </c>
      <c r="W2664" s="29">
        <f>IF($B2664="","",IFERROR(INDEX($U$4:$U$3183,MATCH(SMALL($V$4:$V$3183,2661),$V$4:$V$3183,0)),""))</f>
        <v/>
      </c>
    </row>
    <row r="2665">
      <c r="A2665">
        <f>IFERROR(INDEX($N$4:$N$3183,MATCH(SMALL($V$4:$V$3183,2662),$V$4:$V$3183,0)),"")</f>
        <v/>
      </c>
      <c r="B2665">
        <f>IFERROR(INDEX($O$4:$O$3183,MATCH(SMALL($V$4:$V$3183,2662),$V$4:$V$3183,0)),"")</f>
        <v/>
      </c>
      <c r="C2665">
        <f>IFERROR(INDEX($P$4:$P$3183,MATCH(SMALL($V$4:$V$3183,2662),$V$4:$V$3183,0)),"")</f>
        <v/>
      </c>
      <c r="D2665" s="29">
        <f>IFERROR(INDEX($Q$4:$Q$3183,MATCH(SMALL($V$4:$V$3183,2662),$V$4:$V$3183,0)),"")</f>
        <v/>
      </c>
      <c r="E2665" s="29">
        <f>IFERROR(INDEX($R$4:$R$3183,MATCH(SMALL($V$4:$V$3183,2662),$V$4:$V$3183,0)),"")</f>
        <v/>
      </c>
      <c r="F2665">
        <f>IFERROR(INDEX($S$4:$S$3183,MATCH(SMALL($V$4:$V$3183,2662),$V$4:$V$3183,0)),"")</f>
        <v/>
      </c>
      <c r="I2665" s="29">
        <f>IF($B2665="","",IFERROR(INDEX($U$4:$U$3183,MATCH(SMALL($V$4:$V$3183,2662),$V$4:$V$3183,0)),""))</f>
        <v/>
      </c>
      <c r="J2665">
        <f>IF($B2665="","",IF($D2665&gt;$F$2,"À venir",IF($E2665&lt;$D$2,"Passé","Dans la période")))</f>
        <v/>
      </c>
      <c r="K2665">
        <f>IF(OR($B2665="",NOT(ISNUMBER($D2665))),"",IF(AND($E2665&lt;$D$2,$G2665&lt;&gt;"X",$F2665&lt;&gt;"Réalisé",$F2665&lt;&gt;"Clôturé"),"RETARD",""))</f>
        <v/>
      </c>
      <c r="L2665">
        <f>IF(OR($B2665="",NOT(ISNUMBER($D2665))),"",IF(AND($D2665&gt;=$D$2,$D2665&lt;=$H$2,$G2665&lt;&gt;"X",$F2665&lt;&gt;"Réalisé",$F2665&lt;&gt;"Clôturé"),"≤ 7 j",""))</f>
        <v/>
      </c>
      <c r="M2665" s="29">
        <f>IF($B2665="","",IFERROR(INDEX($T$4:$T$3183,MATCH(SMALL($V$4:$V$3183,2662),$V$4:$V$3183,0)),""))</f>
        <v/>
      </c>
      <c r="O2665">
        <f>IF(INDEX(Suivi!$B:$B,2716)="","",INDEX(Suivi!$B:$B,2716))</f>
        <v/>
      </c>
      <c r="P2665">
        <f>IF($O2665="","",IF(INDEX(Suivi!$D:$D,2716)="",INDEX(Suivi!$C:$C,2716),INDEX(Suivi!$D:$D,2716)))</f>
        <v/>
      </c>
      <c r="Q2665">
        <f>IF($O2665="","",INDEX(Suivi!$E:$E,2716))</f>
        <v/>
      </c>
      <c r="R2665">
        <f>IF($O2665="","",INDEX(Suivi!$F:$F,2716))</f>
        <v/>
      </c>
      <c r="S2665">
        <f>IF($O2665="","",INDEX(Suivi!$G:$G,2716))</f>
        <v/>
      </c>
      <c r="T2665">
        <f>IF($O2665="","",IF(INDEX(Dossiers!$F$4:$F$63,51)="","",INDEX(Dossiers!$F$4:$F$63,51)))</f>
        <v/>
      </c>
      <c r="U2665">
        <f>IF($O2665="","",IF(INDEX(Dossiers!$G$4:$G$63,51)="","",INDEX(Dossiers!$G$4:$G$63,51)))</f>
        <v/>
      </c>
      <c r="V2665">
        <f>IF(OR($O2665="",NOT(ISNUMBER($Q2665))),"",$Q2665*1000000+2665)</f>
        <v/>
      </c>
      <c r="W2665" s="29">
        <f>IF($B2665="","",IFERROR(INDEX($U$4:$U$3183,MATCH(SMALL($V$4:$V$3183,2662),$V$4:$V$3183,0)),""))</f>
        <v/>
      </c>
    </row>
    <row r="2666">
      <c r="A2666">
        <f>IFERROR(INDEX($N$4:$N$3183,MATCH(SMALL($V$4:$V$3183,2663),$V$4:$V$3183,0)),"")</f>
        <v/>
      </c>
      <c r="B2666">
        <f>IFERROR(INDEX($O$4:$O$3183,MATCH(SMALL($V$4:$V$3183,2663),$V$4:$V$3183,0)),"")</f>
        <v/>
      </c>
      <c r="C2666">
        <f>IFERROR(INDEX($P$4:$P$3183,MATCH(SMALL($V$4:$V$3183,2663),$V$4:$V$3183,0)),"")</f>
        <v/>
      </c>
      <c r="D2666" s="29">
        <f>IFERROR(INDEX($Q$4:$Q$3183,MATCH(SMALL($V$4:$V$3183,2663),$V$4:$V$3183,0)),"")</f>
        <v/>
      </c>
      <c r="E2666" s="29">
        <f>IFERROR(INDEX($R$4:$R$3183,MATCH(SMALL($V$4:$V$3183,2663),$V$4:$V$3183,0)),"")</f>
        <v/>
      </c>
      <c r="F2666">
        <f>IFERROR(INDEX($S$4:$S$3183,MATCH(SMALL($V$4:$V$3183,2663),$V$4:$V$3183,0)),"")</f>
        <v/>
      </c>
      <c r="I2666" s="29">
        <f>IF($B2666="","",IFERROR(INDEX($U$4:$U$3183,MATCH(SMALL($V$4:$V$3183,2663),$V$4:$V$3183,0)),""))</f>
        <v/>
      </c>
      <c r="J2666">
        <f>IF($B2666="","",IF($D2666&gt;$F$2,"À venir",IF($E2666&lt;$D$2,"Passé","Dans la période")))</f>
        <v/>
      </c>
      <c r="K2666">
        <f>IF(OR($B2666="",NOT(ISNUMBER($D2666))),"",IF(AND($E2666&lt;$D$2,$G2666&lt;&gt;"X",$F2666&lt;&gt;"Réalisé",$F2666&lt;&gt;"Clôturé"),"RETARD",""))</f>
        <v/>
      </c>
      <c r="L2666">
        <f>IF(OR($B2666="",NOT(ISNUMBER($D2666))),"",IF(AND($D2666&gt;=$D$2,$D2666&lt;=$H$2,$G2666&lt;&gt;"X",$F2666&lt;&gt;"Réalisé",$F2666&lt;&gt;"Clôturé"),"≤ 7 j",""))</f>
        <v/>
      </c>
      <c r="M2666" s="29">
        <f>IF($B2666="","",IFERROR(INDEX($T$4:$T$3183,MATCH(SMALL($V$4:$V$3183,2663),$V$4:$V$3183,0)),""))</f>
        <v/>
      </c>
      <c r="O2666">
        <f>IF(INDEX(Suivi!$B:$B,2717)="","",INDEX(Suivi!$B:$B,2717))</f>
        <v/>
      </c>
      <c r="P2666">
        <f>IF($O2666="","",IF(INDEX(Suivi!$D:$D,2717)="",INDEX(Suivi!$C:$C,2717),INDEX(Suivi!$D:$D,2717)))</f>
        <v/>
      </c>
      <c r="Q2666">
        <f>IF($O2666="","",INDEX(Suivi!$E:$E,2717))</f>
        <v/>
      </c>
      <c r="R2666">
        <f>IF($O2666="","",INDEX(Suivi!$F:$F,2717))</f>
        <v/>
      </c>
      <c r="S2666">
        <f>IF($O2666="","",INDEX(Suivi!$G:$G,2717))</f>
        <v/>
      </c>
      <c r="T2666">
        <f>IF($O2666="","",IF(INDEX(Dossiers!$F$4:$F$63,51)="","",INDEX(Dossiers!$F$4:$F$63,51)))</f>
        <v/>
      </c>
      <c r="U2666">
        <f>IF($O2666="","",IF(INDEX(Dossiers!$G$4:$G$63,51)="","",INDEX(Dossiers!$G$4:$G$63,51)))</f>
        <v/>
      </c>
      <c r="V2666">
        <f>IF(OR($O2666="",NOT(ISNUMBER($Q2666))),"",$Q2666*1000000+2666)</f>
        <v/>
      </c>
      <c r="W2666" s="29">
        <f>IF($B2666="","",IFERROR(INDEX($U$4:$U$3183,MATCH(SMALL($V$4:$V$3183,2663),$V$4:$V$3183,0)),""))</f>
        <v/>
      </c>
    </row>
    <row r="2667">
      <c r="A2667">
        <f>IFERROR(INDEX($N$4:$N$3183,MATCH(SMALL($V$4:$V$3183,2664),$V$4:$V$3183,0)),"")</f>
        <v/>
      </c>
      <c r="B2667">
        <f>IFERROR(INDEX($O$4:$O$3183,MATCH(SMALL($V$4:$V$3183,2664),$V$4:$V$3183,0)),"")</f>
        <v/>
      </c>
      <c r="C2667">
        <f>IFERROR(INDEX($P$4:$P$3183,MATCH(SMALL($V$4:$V$3183,2664),$V$4:$V$3183,0)),"")</f>
        <v/>
      </c>
      <c r="D2667" s="29">
        <f>IFERROR(INDEX($Q$4:$Q$3183,MATCH(SMALL($V$4:$V$3183,2664),$V$4:$V$3183,0)),"")</f>
        <v/>
      </c>
      <c r="E2667" s="29">
        <f>IFERROR(INDEX($R$4:$R$3183,MATCH(SMALL($V$4:$V$3183,2664),$V$4:$V$3183,0)),"")</f>
        <v/>
      </c>
      <c r="F2667">
        <f>IFERROR(INDEX($S$4:$S$3183,MATCH(SMALL($V$4:$V$3183,2664),$V$4:$V$3183,0)),"")</f>
        <v/>
      </c>
      <c r="I2667" s="29">
        <f>IF($B2667="","",IFERROR(INDEX($U$4:$U$3183,MATCH(SMALL($V$4:$V$3183,2664),$V$4:$V$3183,0)),""))</f>
        <v/>
      </c>
      <c r="J2667">
        <f>IF($B2667="","",IF($D2667&gt;$F$2,"À venir",IF($E2667&lt;$D$2,"Passé","Dans la période")))</f>
        <v/>
      </c>
      <c r="K2667">
        <f>IF(OR($B2667="",NOT(ISNUMBER($D2667))),"",IF(AND($E2667&lt;$D$2,$G2667&lt;&gt;"X",$F2667&lt;&gt;"Réalisé",$F2667&lt;&gt;"Clôturé"),"RETARD",""))</f>
        <v/>
      </c>
      <c r="L2667">
        <f>IF(OR($B2667="",NOT(ISNUMBER($D2667))),"",IF(AND($D2667&gt;=$D$2,$D2667&lt;=$H$2,$G2667&lt;&gt;"X",$F2667&lt;&gt;"Réalisé",$F2667&lt;&gt;"Clôturé"),"≤ 7 j",""))</f>
        <v/>
      </c>
      <c r="M2667" s="29">
        <f>IF($B2667="","",IFERROR(INDEX($T$4:$T$3183,MATCH(SMALL($V$4:$V$3183,2664),$V$4:$V$3183,0)),""))</f>
        <v/>
      </c>
      <c r="O2667">
        <f>IF(INDEX(Suivi!$B:$B,2718)="","",INDEX(Suivi!$B:$B,2718))</f>
        <v/>
      </c>
      <c r="P2667">
        <f>IF($O2667="","",IF(INDEX(Suivi!$D:$D,2718)="",INDEX(Suivi!$C:$C,2718),INDEX(Suivi!$D:$D,2718)))</f>
        <v/>
      </c>
      <c r="Q2667">
        <f>IF($O2667="","",INDEX(Suivi!$E:$E,2718))</f>
        <v/>
      </c>
      <c r="R2667">
        <f>IF($O2667="","",INDEX(Suivi!$F:$F,2718))</f>
        <v/>
      </c>
      <c r="S2667">
        <f>IF($O2667="","",INDEX(Suivi!$G:$G,2718))</f>
        <v/>
      </c>
      <c r="T2667">
        <f>IF($O2667="","",IF(INDEX(Dossiers!$F$4:$F$63,51)="","",INDEX(Dossiers!$F$4:$F$63,51)))</f>
        <v/>
      </c>
      <c r="U2667">
        <f>IF($O2667="","",IF(INDEX(Dossiers!$G$4:$G$63,51)="","",INDEX(Dossiers!$G$4:$G$63,51)))</f>
        <v/>
      </c>
      <c r="V2667">
        <f>IF(OR($O2667="",NOT(ISNUMBER($Q2667))),"",$Q2667*1000000+2667)</f>
        <v/>
      </c>
      <c r="W2667" s="29">
        <f>IF($B2667="","",IFERROR(INDEX($U$4:$U$3183,MATCH(SMALL($V$4:$V$3183,2664),$V$4:$V$3183,0)),""))</f>
        <v/>
      </c>
    </row>
    <row r="2668">
      <c r="A2668">
        <f>IFERROR(INDEX($N$4:$N$3183,MATCH(SMALL($V$4:$V$3183,2665),$V$4:$V$3183,0)),"")</f>
        <v/>
      </c>
      <c r="B2668">
        <f>IFERROR(INDEX($O$4:$O$3183,MATCH(SMALL($V$4:$V$3183,2665),$V$4:$V$3183,0)),"")</f>
        <v/>
      </c>
      <c r="C2668">
        <f>IFERROR(INDEX($P$4:$P$3183,MATCH(SMALL($V$4:$V$3183,2665),$V$4:$V$3183,0)),"")</f>
        <v/>
      </c>
      <c r="D2668" s="29">
        <f>IFERROR(INDEX($Q$4:$Q$3183,MATCH(SMALL($V$4:$V$3183,2665),$V$4:$V$3183,0)),"")</f>
        <v/>
      </c>
      <c r="E2668" s="29">
        <f>IFERROR(INDEX($R$4:$R$3183,MATCH(SMALL($V$4:$V$3183,2665),$V$4:$V$3183,0)),"")</f>
        <v/>
      </c>
      <c r="F2668">
        <f>IFERROR(INDEX($S$4:$S$3183,MATCH(SMALL($V$4:$V$3183,2665),$V$4:$V$3183,0)),"")</f>
        <v/>
      </c>
      <c r="I2668" s="29">
        <f>IF($B2668="","",IFERROR(INDEX($U$4:$U$3183,MATCH(SMALL($V$4:$V$3183,2665),$V$4:$V$3183,0)),""))</f>
        <v/>
      </c>
      <c r="J2668">
        <f>IF($B2668="","",IF($D2668&gt;$F$2,"À venir",IF($E2668&lt;$D$2,"Passé","Dans la période")))</f>
        <v/>
      </c>
      <c r="K2668">
        <f>IF(OR($B2668="",NOT(ISNUMBER($D2668))),"",IF(AND($E2668&lt;$D$2,$G2668&lt;&gt;"X",$F2668&lt;&gt;"Réalisé",$F2668&lt;&gt;"Clôturé"),"RETARD",""))</f>
        <v/>
      </c>
      <c r="L2668">
        <f>IF(OR($B2668="",NOT(ISNUMBER($D2668))),"",IF(AND($D2668&gt;=$D$2,$D2668&lt;=$H$2,$G2668&lt;&gt;"X",$F2668&lt;&gt;"Réalisé",$F2668&lt;&gt;"Clôturé"),"≤ 7 j",""))</f>
        <v/>
      </c>
      <c r="M2668" s="29">
        <f>IF($B2668="","",IFERROR(INDEX($T$4:$T$3183,MATCH(SMALL($V$4:$V$3183,2665),$V$4:$V$3183,0)),""))</f>
        <v/>
      </c>
      <c r="O2668">
        <f>IF(INDEX(Suivi!$B:$B,2719)="","",INDEX(Suivi!$B:$B,2719))</f>
        <v/>
      </c>
      <c r="P2668">
        <f>IF($O2668="","",IF(INDEX(Suivi!$D:$D,2719)="",INDEX(Suivi!$C:$C,2719),INDEX(Suivi!$D:$D,2719)))</f>
        <v/>
      </c>
      <c r="Q2668">
        <f>IF($O2668="","",INDEX(Suivi!$E:$E,2719))</f>
        <v/>
      </c>
      <c r="R2668">
        <f>IF($O2668="","",INDEX(Suivi!$F:$F,2719))</f>
        <v/>
      </c>
      <c r="S2668">
        <f>IF($O2668="","",INDEX(Suivi!$G:$G,2719))</f>
        <v/>
      </c>
      <c r="T2668">
        <f>IF($O2668="","",IF(INDEX(Dossiers!$F$4:$F$63,51)="","",INDEX(Dossiers!$F$4:$F$63,51)))</f>
        <v/>
      </c>
      <c r="U2668">
        <f>IF($O2668="","",IF(INDEX(Dossiers!$G$4:$G$63,51)="","",INDEX(Dossiers!$G$4:$G$63,51)))</f>
        <v/>
      </c>
      <c r="V2668">
        <f>IF(OR($O2668="",NOT(ISNUMBER($Q2668))),"",$Q2668*1000000+2668)</f>
        <v/>
      </c>
      <c r="W2668" s="29">
        <f>IF($B2668="","",IFERROR(INDEX($U$4:$U$3183,MATCH(SMALL($V$4:$V$3183,2665),$V$4:$V$3183,0)),""))</f>
        <v/>
      </c>
    </row>
    <row r="2669">
      <c r="A2669">
        <f>IFERROR(INDEX($N$4:$N$3183,MATCH(SMALL($V$4:$V$3183,2666),$V$4:$V$3183,0)),"")</f>
        <v/>
      </c>
      <c r="B2669">
        <f>IFERROR(INDEX($O$4:$O$3183,MATCH(SMALL($V$4:$V$3183,2666),$V$4:$V$3183,0)),"")</f>
        <v/>
      </c>
      <c r="C2669">
        <f>IFERROR(INDEX($P$4:$P$3183,MATCH(SMALL($V$4:$V$3183,2666),$V$4:$V$3183,0)),"")</f>
        <v/>
      </c>
      <c r="D2669" s="29">
        <f>IFERROR(INDEX($Q$4:$Q$3183,MATCH(SMALL($V$4:$V$3183,2666),$V$4:$V$3183,0)),"")</f>
        <v/>
      </c>
      <c r="E2669" s="29">
        <f>IFERROR(INDEX($R$4:$R$3183,MATCH(SMALL($V$4:$V$3183,2666),$V$4:$V$3183,0)),"")</f>
        <v/>
      </c>
      <c r="F2669">
        <f>IFERROR(INDEX($S$4:$S$3183,MATCH(SMALL($V$4:$V$3183,2666),$V$4:$V$3183,0)),"")</f>
        <v/>
      </c>
      <c r="I2669" s="29">
        <f>IF($B2669="","",IFERROR(INDEX($U$4:$U$3183,MATCH(SMALL($V$4:$V$3183,2666),$V$4:$V$3183,0)),""))</f>
        <v/>
      </c>
      <c r="J2669">
        <f>IF($B2669="","",IF($D2669&gt;$F$2,"À venir",IF($E2669&lt;$D$2,"Passé","Dans la période")))</f>
        <v/>
      </c>
      <c r="K2669">
        <f>IF(OR($B2669="",NOT(ISNUMBER($D2669))),"",IF(AND($E2669&lt;$D$2,$G2669&lt;&gt;"X",$F2669&lt;&gt;"Réalisé",$F2669&lt;&gt;"Clôturé"),"RETARD",""))</f>
        <v/>
      </c>
      <c r="L2669">
        <f>IF(OR($B2669="",NOT(ISNUMBER($D2669))),"",IF(AND($D2669&gt;=$D$2,$D2669&lt;=$H$2,$G2669&lt;&gt;"X",$F2669&lt;&gt;"Réalisé",$F2669&lt;&gt;"Clôturé"),"≤ 7 j",""))</f>
        <v/>
      </c>
      <c r="M2669" s="29">
        <f>IF($B2669="","",IFERROR(INDEX($T$4:$T$3183,MATCH(SMALL($V$4:$V$3183,2666),$V$4:$V$3183,0)),""))</f>
        <v/>
      </c>
      <c r="O2669">
        <f>IF(INDEX(Suivi!$B:$B,2720)="","",INDEX(Suivi!$B:$B,2720))</f>
        <v/>
      </c>
      <c r="P2669">
        <f>IF($O2669="","",IF(INDEX(Suivi!$D:$D,2720)="",INDEX(Suivi!$C:$C,2720),INDEX(Suivi!$D:$D,2720)))</f>
        <v/>
      </c>
      <c r="Q2669">
        <f>IF($O2669="","",INDEX(Suivi!$E:$E,2720))</f>
        <v/>
      </c>
      <c r="R2669">
        <f>IF($O2669="","",INDEX(Suivi!$F:$F,2720))</f>
        <v/>
      </c>
      <c r="S2669">
        <f>IF($O2669="","",INDEX(Suivi!$G:$G,2720))</f>
        <v/>
      </c>
      <c r="T2669">
        <f>IF($O2669="","",IF(INDEX(Dossiers!$F$4:$F$63,51)="","",INDEX(Dossiers!$F$4:$F$63,51)))</f>
        <v/>
      </c>
      <c r="U2669">
        <f>IF($O2669="","",IF(INDEX(Dossiers!$G$4:$G$63,51)="","",INDEX(Dossiers!$G$4:$G$63,51)))</f>
        <v/>
      </c>
      <c r="V2669">
        <f>IF(OR($O2669="",NOT(ISNUMBER($Q2669))),"",$Q2669*1000000+2669)</f>
        <v/>
      </c>
      <c r="W2669" s="29">
        <f>IF($B2669="","",IFERROR(INDEX($U$4:$U$3183,MATCH(SMALL($V$4:$V$3183,2666),$V$4:$V$3183,0)),""))</f>
        <v/>
      </c>
    </row>
    <row r="2670">
      <c r="A2670">
        <f>IFERROR(INDEX($N$4:$N$3183,MATCH(SMALL($V$4:$V$3183,2667),$V$4:$V$3183,0)),"")</f>
        <v/>
      </c>
      <c r="B2670">
        <f>IFERROR(INDEX($O$4:$O$3183,MATCH(SMALL($V$4:$V$3183,2667),$V$4:$V$3183,0)),"")</f>
        <v/>
      </c>
      <c r="C2670">
        <f>IFERROR(INDEX($P$4:$P$3183,MATCH(SMALL($V$4:$V$3183,2667),$V$4:$V$3183,0)),"")</f>
        <v/>
      </c>
      <c r="D2670" s="29">
        <f>IFERROR(INDEX($Q$4:$Q$3183,MATCH(SMALL($V$4:$V$3183,2667),$V$4:$V$3183,0)),"")</f>
        <v/>
      </c>
      <c r="E2670" s="29">
        <f>IFERROR(INDEX($R$4:$R$3183,MATCH(SMALL($V$4:$V$3183,2667),$V$4:$V$3183,0)),"")</f>
        <v/>
      </c>
      <c r="F2670">
        <f>IFERROR(INDEX($S$4:$S$3183,MATCH(SMALL($V$4:$V$3183,2667),$V$4:$V$3183,0)),"")</f>
        <v/>
      </c>
      <c r="I2670" s="29">
        <f>IF($B2670="","",IFERROR(INDEX($U$4:$U$3183,MATCH(SMALL($V$4:$V$3183,2667),$V$4:$V$3183,0)),""))</f>
        <v/>
      </c>
      <c r="J2670">
        <f>IF($B2670="","",IF($D2670&gt;$F$2,"À venir",IF($E2670&lt;$D$2,"Passé","Dans la période")))</f>
        <v/>
      </c>
      <c r="K2670">
        <f>IF(OR($B2670="",NOT(ISNUMBER($D2670))),"",IF(AND($E2670&lt;$D$2,$G2670&lt;&gt;"X",$F2670&lt;&gt;"Réalisé",$F2670&lt;&gt;"Clôturé"),"RETARD",""))</f>
        <v/>
      </c>
      <c r="L2670">
        <f>IF(OR($B2670="",NOT(ISNUMBER($D2670))),"",IF(AND($D2670&gt;=$D$2,$D2670&lt;=$H$2,$G2670&lt;&gt;"X",$F2670&lt;&gt;"Réalisé",$F2670&lt;&gt;"Clôturé"),"≤ 7 j",""))</f>
        <v/>
      </c>
      <c r="M2670" s="29">
        <f>IF($B2670="","",IFERROR(INDEX($T$4:$T$3183,MATCH(SMALL($V$4:$V$3183,2667),$V$4:$V$3183,0)),""))</f>
        <v/>
      </c>
      <c r="O2670">
        <f>IF(INDEX(Suivi!$B:$B,2721)="","",INDEX(Suivi!$B:$B,2721))</f>
        <v/>
      </c>
      <c r="P2670">
        <f>IF($O2670="","",IF(INDEX(Suivi!$D:$D,2721)="",INDEX(Suivi!$C:$C,2721),INDEX(Suivi!$D:$D,2721)))</f>
        <v/>
      </c>
      <c r="Q2670">
        <f>IF($O2670="","",INDEX(Suivi!$E:$E,2721))</f>
        <v/>
      </c>
      <c r="R2670">
        <f>IF($O2670="","",INDEX(Suivi!$F:$F,2721))</f>
        <v/>
      </c>
      <c r="S2670">
        <f>IF($O2670="","",INDEX(Suivi!$G:$G,2721))</f>
        <v/>
      </c>
      <c r="T2670">
        <f>IF($O2670="","",IF(INDEX(Dossiers!$F$4:$F$63,51)="","",INDEX(Dossiers!$F$4:$F$63,51)))</f>
        <v/>
      </c>
      <c r="U2670">
        <f>IF($O2670="","",IF(INDEX(Dossiers!$G$4:$G$63,51)="","",INDEX(Dossiers!$G$4:$G$63,51)))</f>
        <v/>
      </c>
      <c r="V2670">
        <f>IF(OR($O2670="",NOT(ISNUMBER($Q2670))),"",$Q2670*1000000+2670)</f>
        <v/>
      </c>
      <c r="W2670" s="29">
        <f>IF($B2670="","",IFERROR(INDEX($U$4:$U$3183,MATCH(SMALL($V$4:$V$3183,2667),$V$4:$V$3183,0)),""))</f>
        <v/>
      </c>
    </row>
    <row r="2671">
      <c r="A2671">
        <f>IFERROR(INDEX($N$4:$N$3183,MATCH(SMALL($V$4:$V$3183,2668),$V$4:$V$3183,0)),"")</f>
        <v/>
      </c>
      <c r="B2671">
        <f>IFERROR(INDEX($O$4:$O$3183,MATCH(SMALL($V$4:$V$3183,2668),$V$4:$V$3183,0)),"")</f>
        <v/>
      </c>
      <c r="C2671">
        <f>IFERROR(INDEX($P$4:$P$3183,MATCH(SMALL($V$4:$V$3183,2668),$V$4:$V$3183,0)),"")</f>
        <v/>
      </c>
      <c r="D2671" s="29">
        <f>IFERROR(INDEX($Q$4:$Q$3183,MATCH(SMALL($V$4:$V$3183,2668),$V$4:$V$3183,0)),"")</f>
        <v/>
      </c>
      <c r="E2671" s="29">
        <f>IFERROR(INDEX($R$4:$R$3183,MATCH(SMALL($V$4:$V$3183,2668),$V$4:$V$3183,0)),"")</f>
        <v/>
      </c>
      <c r="F2671">
        <f>IFERROR(INDEX($S$4:$S$3183,MATCH(SMALL($V$4:$V$3183,2668),$V$4:$V$3183,0)),"")</f>
        <v/>
      </c>
      <c r="I2671" s="29">
        <f>IF($B2671="","",IFERROR(INDEX($U$4:$U$3183,MATCH(SMALL($V$4:$V$3183,2668),$V$4:$V$3183,0)),""))</f>
        <v/>
      </c>
      <c r="J2671">
        <f>IF($B2671="","",IF($D2671&gt;$F$2,"À venir",IF($E2671&lt;$D$2,"Passé","Dans la période")))</f>
        <v/>
      </c>
      <c r="K2671">
        <f>IF(OR($B2671="",NOT(ISNUMBER($D2671))),"",IF(AND($E2671&lt;$D$2,$G2671&lt;&gt;"X",$F2671&lt;&gt;"Réalisé",$F2671&lt;&gt;"Clôturé"),"RETARD",""))</f>
        <v/>
      </c>
      <c r="L2671">
        <f>IF(OR($B2671="",NOT(ISNUMBER($D2671))),"",IF(AND($D2671&gt;=$D$2,$D2671&lt;=$H$2,$G2671&lt;&gt;"X",$F2671&lt;&gt;"Réalisé",$F2671&lt;&gt;"Clôturé"),"≤ 7 j",""))</f>
        <v/>
      </c>
      <c r="M2671" s="29">
        <f>IF($B2671="","",IFERROR(INDEX($T$4:$T$3183,MATCH(SMALL($V$4:$V$3183,2668),$V$4:$V$3183,0)),""))</f>
        <v/>
      </c>
      <c r="O2671">
        <f>IF(INDEX(Suivi!$B:$B,2722)="","",INDEX(Suivi!$B:$B,2722))</f>
        <v/>
      </c>
      <c r="P2671">
        <f>IF($O2671="","",IF(INDEX(Suivi!$D:$D,2722)="",INDEX(Suivi!$C:$C,2722),INDEX(Suivi!$D:$D,2722)))</f>
        <v/>
      </c>
      <c r="Q2671">
        <f>IF($O2671="","",INDEX(Suivi!$E:$E,2722))</f>
        <v/>
      </c>
      <c r="R2671">
        <f>IF($O2671="","",INDEX(Suivi!$F:$F,2722))</f>
        <v/>
      </c>
      <c r="S2671">
        <f>IF($O2671="","",INDEX(Suivi!$G:$G,2722))</f>
        <v/>
      </c>
      <c r="T2671">
        <f>IF($O2671="","",IF(INDEX(Dossiers!$F$4:$F$63,51)="","",INDEX(Dossiers!$F$4:$F$63,51)))</f>
        <v/>
      </c>
      <c r="U2671">
        <f>IF($O2671="","",IF(INDEX(Dossiers!$G$4:$G$63,51)="","",INDEX(Dossiers!$G$4:$G$63,51)))</f>
        <v/>
      </c>
      <c r="V2671">
        <f>IF(OR($O2671="",NOT(ISNUMBER($Q2671))),"",$Q2671*1000000+2671)</f>
        <v/>
      </c>
      <c r="W2671" s="29">
        <f>IF($B2671="","",IFERROR(INDEX($U$4:$U$3183,MATCH(SMALL($V$4:$V$3183,2668),$V$4:$V$3183,0)),""))</f>
        <v/>
      </c>
    </row>
    <row r="2672">
      <c r="A2672">
        <f>IFERROR(INDEX($N$4:$N$3183,MATCH(SMALL($V$4:$V$3183,2669),$V$4:$V$3183,0)),"")</f>
        <v/>
      </c>
      <c r="B2672">
        <f>IFERROR(INDEX($O$4:$O$3183,MATCH(SMALL($V$4:$V$3183,2669),$V$4:$V$3183,0)),"")</f>
        <v/>
      </c>
      <c r="C2672">
        <f>IFERROR(INDEX($P$4:$P$3183,MATCH(SMALL($V$4:$V$3183,2669),$V$4:$V$3183,0)),"")</f>
        <v/>
      </c>
      <c r="D2672" s="29">
        <f>IFERROR(INDEX($Q$4:$Q$3183,MATCH(SMALL($V$4:$V$3183,2669),$V$4:$V$3183,0)),"")</f>
        <v/>
      </c>
      <c r="E2672" s="29">
        <f>IFERROR(INDEX($R$4:$R$3183,MATCH(SMALL($V$4:$V$3183,2669),$V$4:$V$3183,0)),"")</f>
        <v/>
      </c>
      <c r="F2672">
        <f>IFERROR(INDEX($S$4:$S$3183,MATCH(SMALL($V$4:$V$3183,2669),$V$4:$V$3183,0)),"")</f>
        <v/>
      </c>
      <c r="I2672" s="29">
        <f>IF($B2672="","",IFERROR(INDEX($U$4:$U$3183,MATCH(SMALL($V$4:$V$3183,2669),$V$4:$V$3183,0)),""))</f>
        <v/>
      </c>
      <c r="J2672">
        <f>IF($B2672="","",IF($D2672&gt;$F$2,"À venir",IF($E2672&lt;$D$2,"Passé","Dans la période")))</f>
        <v/>
      </c>
      <c r="K2672">
        <f>IF(OR($B2672="",NOT(ISNUMBER($D2672))),"",IF(AND($E2672&lt;$D$2,$G2672&lt;&gt;"X",$F2672&lt;&gt;"Réalisé",$F2672&lt;&gt;"Clôturé"),"RETARD",""))</f>
        <v/>
      </c>
      <c r="L2672">
        <f>IF(OR($B2672="",NOT(ISNUMBER($D2672))),"",IF(AND($D2672&gt;=$D$2,$D2672&lt;=$H$2,$G2672&lt;&gt;"X",$F2672&lt;&gt;"Réalisé",$F2672&lt;&gt;"Clôturé"),"≤ 7 j",""))</f>
        <v/>
      </c>
      <c r="M2672" s="29">
        <f>IF($B2672="","",IFERROR(INDEX($T$4:$T$3183,MATCH(SMALL($V$4:$V$3183,2669),$V$4:$V$3183,0)),""))</f>
        <v/>
      </c>
      <c r="O2672">
        <f>IF(INDEX(Suivi!$B:$B,2723)="","",INDEX(Suivi!$B:$B,2723))</f>
        <v/>
      </c>
      <c r="P2672">
        <f>IF($O2672="","",IF(INDEX(Suivi!$D:$D,2723)="",INDEX(Suivi!$C:$C,2723),INDEX(Suivi!$D:$D,2723)))</f>
        <v/>
      </c>
      <c r="Q2672">
        <f>IF($O2672="","",INDEX(Suivi!$E:$E,2723))</f>
        <v/>
      </c>
      <c r="R2672">
        <f>IF($O2672="","",INDEX(Suivi!$F:$F,2723))</f>
        <v/>
      </c>
      <c r="S2672">
        <f>IF($O2672="","",INDEX(Suivi!$G:$G,2723))</f>
        <v/>
      </c>
      <c r="T2672">
        <f>IF($O2672="","",IF(INDEX(Dossiers!$F$4:$F$63,51)="","",INDEX(Dossiers!$F$4:$F$63,51)))</f>
        <v/>
      </c>
      <c r="U2672">
        <f>IF($O2672="","",IF(INDEX(Dossiers!$G$4:$G$63,51)="","",INDEX(Dossiers!$G$4:$G$63,51)))</f>
        <v/>
      </c>
      <c r="V2672">
        <f>IF(OR($O2672="",NOT(ISNUMBER($Q2672))),"",$Q2672*1000000+2672)</f>
        <v/>
      </c>
      <c r="W2672" s="29">
        <f>IF($B2672="","",IFERROR(INDEX($U$4:$U$3183,MATCH(SMALL($V$4:$V$3183,2669),$V$4:$V$3183,0)),""))</f>
        <v/>
      </c>
    </row>
    <row r="2673">
      <c r="A2673">
        <f>IFERROR(INDEX($N$4:$N$3183,MATCH(SMALL($V$4:$V$3183,2670),$V$4:$V$3183,0)),"")</f>
        <v/>
      </c>
      <c r="B2673">
        <f>IFERROR(INDEX($O$4:$O$3183,MATCH(SMALL($V$4:$V$3183,2670),$V$4:$V$3183,0)),"")</f>
        <v/>
      </c>
      <c r="C2673">
        <f>IFERROR(INDEX($P$4:$P$3183,MATCH(SMALL($V$4:$V$3183,2670),$V$4:$V$3183,0)),"")</f>
        <v/>
      </c>
      <c r="D2673" s="29">
        <f>IFERROR(INDEX($Q$4:$Q$3183,MATCH(SMALL($V$4:$V$3183,2670),$V$4:$V$3183,0)),"")</f>
        <v/>
      </c>
      <c r="E2673" s="29">
        <f>IFERROR(INDEX($R$4:$R$3183,MATCH(SMALL($V$4:$V$3183,2670),$V$4:$V$3183,0)),"")</f>
        <v/>
      </c>
      <c r="F2673">
        <f>IFERROR(INDEX($S$4:$S$3183,MATCH(SMALL($V$4:$V$3183,2670),$V$4:$V$3183,0)),"")</f>
        <v/>
      </c>
      <c r="I2673" s="29">
        <f>IF($B2673="","",IFERROR(INDEX($U$4:$U$3183,MATCH(SMALL($V$4:$V$3183,2670),$V$4:$V$3183,0)),""))</f>
        <v/>
      </c>
      <c r="J2673">
        <f>IF($B2673="","",IF($D2673&gt;$F$2,"À venir",IF($E2673&lt;$D$2,"Passé","Dans la période")))</f>
        <v/>
      </c>
      <c r="K2673">
        <f>IF(OR($B2673="",NOT(ISNUMBER($D2673))),"",IF(AND($E2673&lt;$D$2,$G2673&lt;&gt;"X",$F2673&lt;&gt;"Réalisé",$F2673&lt;&gt;"Clôturé"),"RETARD",""))</f>
        <v/>
      </c>
      <c r="L2673">
        <f>IF(OR($B2673="",NOT(ISNUMBER($D2673))),"",IF(AND($D2673&gt;=$D$2,$D2673&lt;=$H$2,$G2673&lt;&gt;"X",$F2673&lt;&gt;"Réalisé",$F2673&lt;&gt;"Clôturé"),"≤ 7 j",""))</f>
        <v/>
      </c>
      <c r="M2673" s="29">
        <f>IF($B2673="","",IFERROR(INDEX($T$4:$T$3183,MATCH(SMALL($V$4:$V$3183,2670),$V$4:$V$3183,0)),""))</f>
        <v/>
      </c>
      <c r="O2673">
        <f>IF(INDEX(Suivi!$B:$B,2724)="","",INDEX(Suivi!$B:$B,2724))</f>
        <v/>
      </c>
      <c r="P2673">
        <f>IF($O2673="","",IF(INDEX(Suivi!$D:$D,2724)="",INDEX(Suivi!$C:$C,2724),INDEX(Suivi!$D:$D,2724)))</f>
        <v/>
      </c>
      <c r="Q2673">
        <f>IF($O2673="","",INDEX(Suivi!$E:$E,2724))</f>
        <v/>
      </c>
      <c r="R2673">
        <f>IF($O2673="","",INDEX(Suivi!$F:$F,2724))</f>
        <v/>
      </c>
      <c r="S2673">
        <f>IF($O2673="","",INDEX(Suivi!$G:$G,2724))</f>
        <v/>
      </c>
      <c r="T2673">
        <f>IF($O2673="","",IF(INDEX(Dossiers!$F$4:$F$63,51)="","",INDEX(Dossiers!$F$4:$F$63,51)))</f>
        <v/>
      </c>
      <c r="U2673">
        <f>IF($O2673="","",IF(INDEX(Dossiers!$G$4:$G$63,51)="","",INDEX(Dossiers!$G$4:$G$63,51)))</f>
        <v/>
      </c>
      <c r="V2673">
        <f>IF(OR($O2673="",NOT(ISNUMBER($Q2673))),"",$Q2673*1000000+2673)</f>
        <v/>
      </c>
      <c r="W2673" s="29">
        <f>IF($B2673="","",IFERROR(INDEX($U$4:$U$3183,MATCH(SMALL($V$4:$V$3183,2670),$V$4:$V$3183,0)),""))</f>
        <v/>
      </c>
    </row>
    <row r="2674">
      <c r="A2674">
        <f>IFERROR(INDEX($N$4:$N$3183,MATCH(SMALL($V$4:$V$3183,2671),$V$4:$V$3183,0)),"")</f>
        <v/>
      </c>
      <c r="B2674">
        <f>IFERROR(INDEX($O$4:$O$3183,MATCH(SMALL($V$4:$V$3183,2671),$V$4:$V$3183,0)),"")</f>
        <v/>
      </c>
      <c r="C2674">
        <f>IFERROR(INDEX($P$4:$P$3183,MATCH(SMALL($V$4:$V$3183,2671),$V$4:$V$3183,0)),"")</f>
        <v/>
      </c>
      <c r="D2674" s="29">
        <f>IFERROR(INDEX($Q$4:$Q$3183,MATCH(SMALL($V$4:$V$3183,2671),$V$4:$V$3183,0)),"")</f>
        <v/>
      </c>
      <c r="E2674" s="29">
        <f>IFERROR(INDEX($R$4:$R$3183,MATCH(SMALL($V$4:$V$3183,2671),$V$4:$V$3183,0)),"")</f>
        <v/>
      </c>
      <c r="F2674">
        <f>IFERROR(INDEX($S$4:$S$3183,MATCH(SMALL($V$4:$V$3183,2671),$V$4:$V$3183,0)),"")</f>
        <v/>
      </c>
      <c r="I2674" s="29">
        <f>IF($B2674="","",IFERROR(INDEX($U$4:$U$3183,MATCH(SMALL($V$4:$V$3183,2671),$V$4:$V$3183,0)),""))</f>
        <v/>
      </c>
      <c r="J2674">
        <f>IF($B2674="","",IF($D2674&gt;$F$2,"À venir",IF($E2674&lt;$D$2,"Passé","Dans la période")))</f>
        <v/>
      </c>
      <c r="K2674">
        <f>IF(OR($B2674="",NOT(ISNUMBER($D2674))),"",IF(AND($E2674&lt;$D$2,$G2674&lt;&gt;"X",$F2674&lt;&gt;"Réalisé",$F2674&lt;&gt;"Clôturé"),"RETARD",""))</f>
        <v/>
      </c>
      <c r="L2674">
        <f>IF(OR($B2674="",NOT(ISNUMBER($D2674))),"",IF(AND($D2674&gt;=$D$2,$D2674&lt;=$H$2,$G2674&lt;&gt;"X",$F2674&lt;&gt;"Réalisé",$F2674&lt;&gt;"Clôturé"),"≤ 7 j",""))</f>
        <v/>
      </c>
      <c r="M2674" s="29">
        <f>IF($B2674="","",IFERROR(INDEX($T$4:$T$3183,MATCH(SMALL($V$4:$V$3183,2671),$V$4:$V$3183,0)),""))</f>
        <v/>
      </c>
      <c r="O2674">
        <f>IF(INDEX(Suivi!$B:$B,2725)="","",INDEX(Suivi!$B:$B,2725))</f>
        <v/>
      </c>
      <c r="P2674">
        <f>IF($O2674="","",IF(INDEX(Suivi!$D:$D,2725)="",INDEX(Suivi!$C:$C,2725),INDEX(Suivi!$D:$D,2725)))</f>
        <v/>
      </c>
      <c r="Q2674">
        <f>IF($O2674="","",INDEX(Suivi!$E:$E,2725))</f>
        <v/>
      </c>
      <c r="R2674">
        <f>IF($O2674="","",INDEX(Suivi!$F:$F,2725))</f>
        <v/>
      </c>
      <c r="S2674">
        <f>IF($O2674="","",INDEX(Suivi!$G:$G,2725))</f>
        <v/>
      </c>
      <c r="T2674">
        <f>IF($O2674="","",IF(INDEX(Dossiers!$F$4:$F$63,51)="","",INDEX(Dossiers!$F$4:$F$63,51)))</f>
        <v/>
      </c>
      <c r="U2674">
        <f>IF($O2674="","",IF(INDEX(Dossiers!$G$4:$G$63,51)="","",INDEX(Dossiers!$G$4:$G$63,51)))</f>
        <v/>
      </c>
      <c r="V2674">
        <f>IF(OR($O2674="",NOT(ISNUMBER($Q2674))),"",$Q2674*1000000+2674)</f>
        <v/>
      </c>
      <c r="W2674" s="29">
        <f>IF($B2674="","",IFERROR(INDEX($U$4:$U$3183,MATCH(SMALL($V$4:$V$3183,2671),$V$4:$V$3183,0)),""))</f>
        <v/>
      </c>
    </row>
    <row r="2675">
      <c r="A2675">
        <f>IFERROR(INDEX($N$4:$N$3183,MATCH(SMALL($V$4:$V$3183,2672),$V$4:$V$3183,0)),"")</f>
        <v/>
      </c>
      <c r="B2675">
        <f>IFERROR(INDEX($O$4:$O$3183,MATCH(SMALL($V$4:$V$3183,2672),$V$4:$V$3183,0)),"")</f>
        <v/>
      </c>
      <c r="C2675">
        <f>IFERROR(INDEX($P$4:$P$3183,MATCH(SMALL($V$4:$V$3183,2672),$V$4:$V$3183,0)),"")</f>
        <v/>
      </c>
      <c r="D2675" s="29">
        <f>IFERROR(INDEX($Q$4:$Q$3183,MATCH(SMALL($V$4:$V$3183,2672),$V$4:$V$3183,0)),"")</f>
        <v/>
      </c>
      <c r="E2675" s="29">
        <f>IFERROR(INDEX($R$4:$R$3183,MATCH(SMALL($V$4:$V$3183,2672),$V$4:$V$3183,0)),"")</f>
        <v/>
      </c>
      <c r="F2675">
        <f>IFERROR(INDEX($S$4:$S$3183,MATCH(SMALL($V$4:$V$3183,2672),$V$4:$V$3183,0)),"")</f>
        <v/>
      </c>
      <c r="I2675" s="29">
        <f>IF($B2675="","",IFERROR(INDEX($U$4:$U$3183,MATCH(SMALL($V$4:$V$3183,2672),$V$4:$V$3183,0)),""))</f>
        <v/>
      </c>
      <c r="J2675">
        <f>IF($B2675="","",IF($D2675&gt;$F$2,"À venir",IF($E2675&lt;$D$2,"Passé","Dans la période")))</f>
        <v/>
      </c>
      <c r="K2675">
        <f>IF(OR($B2675="",NOT(ISNUMBER($D2675))),"",IF(AND($E2675&lt;$D$2,$G2675&lt;&gt;"X",$F2675&lt;&gt;"Réalisé",$F2675&lt;&gt;"Clôturé"),"RETARD",""))</f>
        <v/>
      </c>
      <c r="L2675">
        <f>IF(OR($B2675="",NOT(ISNUMBER($D2675))),"",IF(AND($D2675&gt;=$D$2,$D2675&lt;=$H$2,$G2675&lt;&gt;"X",$F2675&lt;&gt;"Réalisé",$F2675&lt;&gt;"Clôturé"),"≤ 7 j",""))</f>
        <v/>
      </c>
      <c r="M2675" s="29">
        <f>IF($B2675="","",IFERROR(INDEX($T$4:$T$3183,MATCH(SMALL($V$4:$V$3183,2672),$V$4:$V$3183,0)),""))</f>
        <v/>
      </c>
      <c r="O2675">
        <f>IF(INDEX(Suivi!$B:$B,2726)="","",INDEX(Suivi!$B:$B,2726))</f>
        <v/>
      </c>
      <c r="P2675">
        <f>IF($O2675="","",IF(INDEX(Suivi!$D:$D,2726)="",INDEX(Suivi!$C:$C,2726),INDEX(Suivi!$D:$D,2726)))</f>
        <v/>
      </c>
      <c r="Q2675">
        <f>IF($O2675="","",INDEX(Suivi!$E:$E,2726))</f>
        <v/>
      </c>
      <c r="R2675">
        <f>IF($O2675="","",INDEX(Suivi!$F:$F,2726))</f>
        <v/>
      </c>
      <c r="S2675">
        <f>IF($O2675="","",INDEX(Suivi!$G:$G,2726))</f>
        <v/>
      </c>
      <c r="T2675">
        <f>IF($O2675="","",IF(INDEX(Dossiers!$F$4:$F$63,51)="","",INDEX(Dossiers!$F$4:$F$63,51)))</f>
        <v/>
      </c>
      <c r="U2675">
        <f>IF($O2675="","",IF(INDEX(Dossiers!$G$4:$G$63,51)="","",INDEX(Dossiers!$G$4:$G$63,51)))</f>
        <v/>
      </c>
      <c r="V2675">
        <f>IF(OR($O2675="",NOT(ISNUMBER($Q2675))),"",$Q2675*1000000+2675)</f>
        <v/>
      </c>
      <c r="W2675" s="29">
        <f>IF($B2675="","",IFERROR(INDEX($U$4:$U$3183,MATCH(SMALL($V$4:$V$3183,2672),$V$4:$V$3183,0)),""))</f>
        <v/>
      </c>
    </row>
    <row r="2676">
      <c r="A2676">
        <f>IFERROR(INDEX($N$4:$N$3183,MATCH(SMALL($V$4:$V$3183,2673),$V$4:$V$3183,0)),"")</f>
        <v/>
      </c>
      <c r="B2676">
        <f>IFERROR(INDEX($O$4:$O$3183,MATCH(SMALL($V$4:$V$3183,2673),$V$4:$V$3183,0)),"")</f>
        <v/>
      </c>
      <c r="C2676">
        <f>IFERROR(INDEX($P$4:$P$3183,MATCH(SMALL($V$4:$V$3183,2673),$V$4:$V$3183,0)),"")</f>
        <v/>
      </c>
      <c r="D2676" s="29">
        <f>IFERROR(INDEX($Q$4:$Q$3183,MATCH(SMALL($V$4:$V$3183,2673),$V$4:$V$3183,0)),"")</f>
        <v/>
      </c>
      <c r="E2676" s="29">
        <f>IFERROR(INDEX($R$4:$R$3183,MATCH(SMALL($V$4:$V$3183,2673),$V$4:$V$3183,0)),"")</f>
        <v/>
      </c>
      <c r="F2676">
        <f>IFERROR(INDEX($S$4:$S$3183,MATCH(SMALL($V$4:$V$3183,2673),$V$4:$V$3183,0)),"")</f>
        <v/>
      </c>
      <c r="I2676" s="29">
        <f>IF($B2676="","",IFERROR(INDEX($U$4:$U$3183,MATCH(SMALL($V$4:$V$3183,2673),$V$4:$V$3183,0)),""))</f>
        <v/>
      </c>
      <c r="J2676">
        <f>IF($B2676="","",IF($D2676&gt;$F$2,"À venir",IF($E2676&lt;$D$2,"Passé","Dans la période")))</f>
        <v/>
      </c>
      <c r="K2676">
        <f>IF(OR($B2676="",NOT(ISNUMBER($D2676))),"",IF(AND($E2676&lt;$D$2,$G2676&lt;&gt;"X",$F2676&lt;&gt;"Réalisé",$F2676&lt;&gt;"Clôturé"),"RETARD",""))</f>
        <v/>
      </c>
      <c r="L2676">
        <f>IF(OR($B2676="",NOT(ISNUMBER($D2676))),"",IF(AND($D2676&gt;=$D$2,$D2676&lt;=$H$2,$G2676&lt;&gt;"X",$F2676&lt;&gt;"Réalisé",$F2676&lt;&gt;"Clôturé"),"≤ 7 j",""))</f>
        <v/>
      </c>
      <c r="M2676" s="29">
        <f>IF($B2676="","",IFERROR(INDEX($T$4:$T$3183,MATCH(SMALL($V$4:$V$3183,2673),$V$4:$V$3183,0)),""))</f>
        <v/>
      </c>
      <c r="O2676">
        <f>IF(INDEX(Suivi!$B:$B,2727)="","",INDEX(Suivi!$B:$B,2727))</f>
        <v/>
      </c>
      <c r="P2676">
        <f>IF($O2676="","",IF(INDEX(Suivi!$D:$D,2727)="",INDEX(Suivi!$C:$C,2727),INDEX(Suivi!$D:$D,2727)))</f>
        <v/>
      </c>
      <c r="Q2676">
        <f>IF($O2676="","",INDEX(Suivi!$E:$E,2727))</f>
        <v/>
      </c>
      <c r="R2676">
        <f>IF($O2676="","",INDEX(Suivi!$F:$F,2727))</f>
        <v/>
      </c>
      <c r="S2676">
        <f>IF($O2676="","",INDEX(Suivi!$G:$G,2727))</f>
        <v/>
      </c>
      <c r="T2676">
        <f>IF($O2676="","",IF(INDEX(Dossiers!$F$4:$F$63,51)="","",INDEX(Dossiers!$F$4:$F$63,51)))</f>
        <v/>
      </c>
      <c r="U2676">
        <f>IF($O2676="","",IF(INDEX(Dossiers!$G$4:$G$63,51)="","",INDEX(Dossiers!$G$4:$G$63,51)))</f>
        <v/>
      </c>
      <c r="V2676">
        <f>IF(OR($O2676="",NOT(ISNUMBER($Q2676))),"",$Q2676*1000000+2676)</f>
        <v/>
      </c>
      <c r="W2676" s="29">
        <f>IF($B2676="","",IFERROR(INDEX($U$4:$U$3183,MATCH(SMALL($V$4:$V$3183,2673),$V$4:$V$3183,0)),""))</f>
        <v/>
      </c>
    </row>
    <row r="2677">
      <c r="A2677">
        <f>IFERROR(INDEX($N$4:$N$3183,MATCH(SMALL($V$4:$V$3183,2674),$V$4:$V$3183,0)),"")</f>
        <v/>
      </c>
      <c r="B2677">
        <f>IFERROR(INDEX($O$4:$O$3183,MATCH(SMALL($V$4:$V$3183,2674),$V$4:$V$3183,0)),"")</f>
        <v/>
      </c>
      <c r="C2677">
        <f>IFERROR(INDEX($P$4:$P$3183,MATCH(SMALL($V$4:$V$3183,2674),$V$4:$V$3183,0)),"")</f>
        <v/>
      </c>
      <c r="D2677" s="29">
        <f>IFERROR(INDEX($Q$4:$Q$3183,MATCH(SMALL($V$4:$V$3183,2674),$V$4:$V$3183,0)),"")</f>
        <v/>
      </c>
      <c r="E2677" s="29">
        <f>IFERROR(INDEX($R$4:$R$3183,MATCH(SMALL($V$4:$V$3183,2674),$V$4:$V$3183,0)),"")</f>
        <v/>
      </c>
      <c r="F2677">
        <f>IFERROR(INDEX($S$4:$S$3183,MATCH(SMALL($V$4:$V$3183,2674),$V$4:$V$3183,0)),"")</f>
        <v/>
      </c>
      <c r="I2677" s="29">
        <f>IF($B2677="","",IFERROR(INDEX($U$4:$U$3183,MATCH(SMALL($V$4:$V$3183,2674),$V$4:$V$3183,0)),""))</f>
        <v/>
      </c>
      <c r="J2677">
        <f>IF($B2677="","",IF($D2677&gt;$F$2,"À venir",IF($E2677&lt;$D$2,"Passé","Dans la période")))</f>
        <v/>
      </c>
      <c r="K2677">
        <f>IF(OR($B2677="",NOT(ISNUMBER($D2677))),"",IF(AND($E2677&lt;$D$2,$G2677&lt;&gt;"X",$F2677&lt;&gt;"Réalisé",$F2677&lt;&gt;"Clôturé"),"RETARD",""))</f>
        <v/>
      </c>
      <c r="L2677">
        <f>IF(OR($B2677="",NOT(ISNUMBER($D2677))),"",IF(AND($D2677&gt;=$D$2,$D2677&lt;=$H$2,$G2677&lt;&gt;"X",$F2677&lt;&gt;"Réalisé",$F2677&lt;&gt;"Clôturé"),"≤ 7 j",""))</f>
        <v/>
      </c>
      <c r="M2677" s="29">
        <f>IF($B2677="","",IFERROR(INDEX($T$4:$T$3183,MATCH(SMALL($V$4:$V$3183,2674),$V$4:$V$3183,0)),""))</f>
        <v/>
      </c>
      <c r="O2677">
        <f>IF(INDEX(Suivi!$B:$B,2728)="","",INDEX(Suivi!$B:$B,2728))</f>
        <v/>
      </c>
      <c r="P2677">
        <f>IF($O2677="","",IF(INDEX(Suivi!$D:$D,2728)="",INDEX(Suivi!$C:$C,2728),INDEX(Suivi!$D:$D,2728)))</f>
        <v/>
      </c>
      <c r="Q2677">
        <f>IF($O2677="","",INDEX(Suivi!$E:$E,2728))</f>
        <v/>
      </c>
      <c r="R2677">
        <f>IF($O2677="","",INDEX(Suivi!$F:$F,2728))</f>
        <v/>
      </c>
      <c r="S2677">
        <f>IF($O2677="","",INDEX(Suivi!$G:$G,2728))</f>
        <v/>
      </c>
      <c r="T2677">
        <f>IF($O2677="","",IF(INDEX(Dossiers!$F$4:$F$63,51)="","",INDEX(Dossiers!$F$4:$F$63,51)))</f>
        <v/>
      </c>
      <c r="U2677">
        <f>IF($O2677="","",IF(INDEX(Dossiers!$G$4:$G$63,51)="","",INDEX(Dossiers!$G$4:$G$63,51)))</f>
        <v/>
      </c>
      <c r="V2677">
        <f>IF(OR($O2677="",NOT(ISNUMBER($Q2677))),"",$Q2677*1000000+2677)</f>
        <v/>
      </c>
      <c r="W2677" s="29">
        <f>IF($B2677="","",IFERROR(INDEX($U$4:$U$3183,MATCH(SMALL($V$4:$V$3183,2674),$V$4:$V$3183,0)),""))</f>
        <v/>
      </c>
    </row>
    <row r="2678">
      <c r="A2678">
        <f>IFERROR(INDEX($N$4:$N$3183,MATCH(SMALL($V$4:$V$3183,2675),$V$4:$V$3183,0)),"")</f>
        <v/>
      </c>
      <c r="B2678">
        <f>IFERROR(INDEX($O$4:$O$3183,MATCH(SMALL($V$4:$V$3183,2675),$V$4:$V$3183,0)),"")</f>
        <v/>
      </c>
      <c r="C2678">
        <f>IFERROR(INDEX($P$4:$P$3183,MATCH(SMALL($V$4:$V$3183,2675),$V$4:$V$3183,0)),"")</f>
        <v/>
      </c>
      <c r="D2678" s="29">
        <f>IFERROR(INDEX($Q$4:$Q$3183,MATCH(SMALL($V$4:$V$3183,2675),$V$4:$V$3183,0)),"")</f>
        <v/>
      </c>
      <c r="E2678" s="29">
        <f>IFERROR(INDEX($R$4:$R$3183,MATCH(SMALL($V$4:$V$3183,2675),$V$4:$V$3183,0)),"")</f>
        <v/>
      </c>
      <c r="F2678">
        <f>IFERROR(INDEX($S$4:$S$3183,MATCH(SMALL($V$4:$V$3183,2675),$V$4:$V$3183,0)),"")</f>
        <v/>
      </c>
      <c r="I2678" s="29">
        <f>IF($B2678="","",IFERROR(INDEX($U$4:$U$3183,MATCH(SMALL($V$4:$V$3183,2675),$V$4:$V$3183,0)),""))</f>
        <v/>
      </c>
      <c r="J2678">
        <f>IF($B2678="","",IF($D2678&gt;$F$2,"À venir",IF($E2678&lt;$D$2,"Passé","Dans la période")))</f>
        <v/>
      </c>
      <c r="K2678">
        <f>IF(OR($B2678="",NOT(ISNUMBER($D2678))),"",IF(AND($E2678&lt;$D$2,$G2678&lt;&gt;"X",$F2678&lt;&gt;"Réalisé",$F2678&lt;&gt;"Clôturé"),"RETARD",""))</f>
        <v/>
      </c>
      <c r="L2678">
        <f>IF(OR($B2678="",NOT(ISNUMBER($D2678))),"",IF(AND($D2678&gt;=$D$2,$D2678&lt;=$H$2,$G2678&lt;&gt;"X",$F2678&lt;&gt;"Réalisé",$F2678&lt;&gt;"Clôturé"),"≤ 7 j",""))</f>
        <v/>
      </c>
      <c r="M2678" s="29">
        <f>IF($B2678="","",IFERROR(INDEX($T$4:$T$3183,MATCH(SMALL($V$4:$V$3183,2675),$V$4:$V$3183,0)),""))</f>
        <v/>
      </c>
      <c r="O2678">
        <f>IF(INDEX(Suivi!$B:$B,2729)="","",INDEX(Suivi!$B:$B,2729))</f>
        <v/>
      </c>
      <c r="P2678">
        <f>IF($O2678="","",IF(INDEX(Suivi!$D:$D,2729)="",INDEX(Suivi!$C:$C,2729),INDEX(Suivi!$D:$D,2729)))</f>
        <v/>
      </c>
      <c r="Q2678">
        <f>IF($O2678="","",INDEX(Suivi!$E:$E,2729))</f>
        <v/>
      </c>
      <c r="R2678">
        <f>IF($O2678="","",INDEX(Suivi!$F:$F,2729))</f>
        <v/>
      </c>
      <c r="S2678">
        <f>IF($O2678="","",INDEX(Suivi!$G:$G,2729))</f>
        <v/>
      </c>
      <c r="T2678">
        <f>IF($O2678="","",IF(INDEX(Dossiers!$F$4:$F$63,51)="","",INDEX(Dossiers!$F$4:$F$63,51)))</f>
        <v/>
      </c>
      <c r="U2678">
        <f>IF($O2678="","",IF(INDEX(Dossiers!$G$4:$G$63,51)="","",INDEX(Dossiers!$G$4:$G$63,51)))</f>
        <v/>
      </c>
      <c r="V2678">
        <f>IF(OR($O2678="",NOT(ISNUMBER($Q2678))),"",$Q2678*1000000+2678)</f>
        <v/>
      </c>
      <c r="W2678" s="29">
        <f>IF($B2678="","",IFERROR(INDEX($U$4:$U$3183,MATCH(SMALL($V$4:$V$3183,2675),$V$4:$V$3183,0)),""))</f>
        <v/>
      </c>
    </row>
    <row r="2679">
      <c r="A2679">
        <f>IFERROR(INDEX($N$4:$N$3183,MATCH(SMALL($V$4:$V$3183,2676),$V$4:$V$3183,0)),"")</f>
        <v/>
      </c>
      <c r="B2679">
        <f>IFERROR(INDEX($O$4:$O$3183,MATCH(SMALL($V$4:$V$3183,2676),$V$4:$V$3183,0)),"")</f>
        <v/>
      </c>
      <c r="C2679">
        <f>IFERROR(INDEX($P$4:$P$3183,MATCH(SMALL($V$4:$V$3183,2676),$V$4:$V$3183,0)),"")</f>
        <v/>
      </c>
      <c r="D2679" s="29">
        <f>IFERROR(INDEX($Q$4:$Q$3183,MATCH(SMALL($V$4:$V$3183,2676),$V$4:$V$3183,0)),"")</f>
        <v/>
      </c>
      <c r="E2679" s="29">
        <f>IFERROR(INDEX($R$4:$R$3183,MATCH(SMALL($V$4:$V$3183,2676),$V$4:$V$3183,0)),"")</f>
        <v/>
      </c>
      <c r="F2679">
        <f>IFERROR(INDEX($S$4:$S$3183,MATCH(SMALL($V$4:$V$3183,2676),$V$4:$V$3183,0)),"")</f>
        <v/>
      </c>
      <c r="I2679" s="29">
        <f>IF($B2679="","",IFERROR(INDEX($U$4:$U$3183,MATCH(SMALL($V$4:$V$3183,2676),$V$4:$V$3183,0)),""))</f>
        <v/>
      </c>
      <c r="J2679">
        <f>IF($B2679="","",IF($D2679&gt;$F$2,"À venir",IF($E2679&lt;$D$2,"Passé","Dans la période")))</f>
        <v/>
      </c>
      <c r="K2679">
        <f>IF(OR($B2679="",NOT(ISNUMBER($D2679))),"",IF(AND($E2679&lt;$D$2,$G2679&lt;&gt;"X",$F2679&lt;&gt;"Réalisé",$F2679&lt;&gt;"Clôturé"),"RETARD",""))</f>
        <v/>
      </c>
      <c r="L2679">
        <f>IF(OR($B2679="",NOT(ISNUMBER($D2679))),"",IF(AND($D2679&gt;=$D$2,$D2679&lt;=$H$2,$G2679&lt;&gt;"X",$F2679&lt;&gt;"Réalisé",$F2679&lt;&gt;"Clôturé"),"≤ 7 j",""))</f>
        <v/>
      </c>
      <c r="M2679" s="29">
        <f>IF($B2679="","",IFERROR(INDEX($T$4:$T$3183,MATCH(SMALL($V$4:$V$3183,2676),$V$4:$V$3183,0)),""))</f>
        <v/>
      </c>
      <c r="O2679">
        <f>IF(INDEX(Suivi!$B:$B,2730)="","",INDEX(Suivi!$B:$B,2730))</f>
        <v/>
      </c>
      <c r="P2679">
        <f>IF($O2679="","",IF(INDEX(Suivi!$D:$D,2730)="",INDEX(Suivi!$C:$C,2730),INDEX(Suivi!$D:$D,2730)))</f>
        <v/>
      </c>
      <c r="Q2679">
        <f>IF($O2679="","",INDEX(Suivi!$E:$E,2730))</f>
        <v/>
      </c>
      <c r="R2679">
        <f>IF($O2679="","",INDEX(Suivi!$F:$F,2730))</f>
        <v/>
      </c>
      <c r="S2679">
        <f>IF($O2679="","",INDEX(Suivi!$G:$G,2730))</f>
        <v/>
      </c>
      <c r="T2679">
        <f>IF($O2679="","",IF(INDEX(Dossiers!$F$4:$F$63,51)="","",INDEX(Dossiers!$F$4:$F$63,51)))</f>
        <v/>
      </c>
      <c r="U2679">
        <f>IF($O2679="","",IF(INDEX(Dossiers!$G$4:$G$63,51)="","",INDEX(Dossiers!$G$4:$G$63,51)))</f>
        <v/>
      </c>
      <c r="V2679">
        <f>IF(OR($O2679="",NOT(ISNUMBER($Q2679))),"",$Q2679*1000000+2679)</f>
        <v/>
      </c>
      <c r="W2679" s="29">
        <f>IF($B2679="","",IFERROR(INDEX($U$4:$U$3183,MATCH(SMALL($V$4:$V$3183,2676),$V$4:$V$3183,0)),""))</f>
        <v/>
      </c>
    </row>
    <row r="2680">
      <c r="A2680">
        <f>IFERROR(INDEX($N$4:$N$3183,MATCH(SMALL($V$4:$V$3183,2677),$V$4:$V$3183,0)),"")</f>
        <v/>
      </c>
      <c r="B2680">
        <f>IFERROR(INDEX($O$4:$O$3183,MATCH(SMALL($V$4:$V$3183,2677),$V$4:$V$3183,0)),"")</f>
        <v/>
      </c>
      <c r="C2680">
        <f>IFERROR(INDEX($P$4:$P$3183,MATCH(SMALL($V$4:$V$3183,2677),$V$4:$V$3183,0)),"")</f>
        <v/>
      </c>
      <c r="D2680" s="29">
        <f>IFERROR(INDEX($Q$4:$Q$3183,MATCH(SMALL($V$4:$V$3183,2677),$V$4:$V$3183,0)),"")</f>
        <v/>
      </c>
      <c r="E2680" s="29">
        <f>IFERROR(INDEX($R$4:$R$3183,MATCH(SMALL($V$4:$V$3183,2677),$V$4:$V$3183,0)),"")</f>
        <v/>
      </c>
      <c r="F2680">
        <f>IFERROR(INDEX($S$4:$S$3183,MATCH(SMALL($V$4:$V$3183,2677),$V$4:$V$3183,0)),"")</f>
        <v/>
      </c>
      <c r="I2680" s="29">
        <f>IF($B2680="","",IFERROR(INDEX($U$4:$U$3183,MATCH(SMALL($V$4:$V$3183,2677),$V$4:$V$3183,0)),""))</f>
        <v/>
      </c>
      <c r="J2680">
        <f>IF($B2680="","",IF($D2680&gt;$F$2,"À venir",IF($E2680&lt;$D$2,"Passé","Dans la période")))</f>
        <v/>
      </c>
      <c r="K2680">
        <f>IF(OR($B2680="",NOT(ISNUMBER($D2680))),"",IF(AND($E2680&lt;$D$2,$G2680&lt;&gt;"X",$F2680&lt;&gt;"Réalisé",$F2680&lt;&gt;"Clôturé"),"RETARD",""))</f>
        <v/>
      </c>
      <c r="L2680">
        <f>IF(OR($B2680="",NOT(ISNUMBER($D2680))),"",IF(AND($D2680&gt;=$D$2,$D2680&lt;=$H$2,$G2680&lt;&gt;"X",$F2680&lt;&gt;"Réalisé",$F2680&lt;&gt;"Clôturé"),"≤ 7 j",""))</f>
        <v/>
      </c>
      <c r="M2680" s="29">
        <f>IF($B2680="","",IFERROR(INDEX($T$4:$T$3183,MATCH(SMALL($V$4:$V$3183,2677),$V$4:$V$3183,0)),""))</f>
        <v/>
      </c>
      <c r="O2680">
        <f>IF(INDEX(Suivi!$B:$B,2731)="","",INDEX(Suivi!$B:$B,2731))</f>
        <v/>
      </c>
      <c r="P2680">
        <f>IF($O2680="","",IF(INDEX(Suivi!$D:$D,2731)="",INDEX(Suivi!$C:$C,2731),INDEX(Suivi!$D:$D,2731)))</f>
        <v/>
      </c>
      <c r="Q2680">
        <f>IF($O2680="","",INDEX(Suivi!$E:$E,2731))</f>
        <v/>
      </c>
      <c r="R2680">
        <f>IF($O2680="","",INDEX(Suivi!$F:$F,2731))</f>
        <v/>
      </c>
      <c r="S2680">
        <f>IF($O2680="","",INDEX(Suivi!$G:$G,2731))</f>
        <v/>
      </c>
      <c r="T2680">
        <f>IF($O2680="","",IF(INDEX(Dossiers!$F$4:$F$63,51)="","",INDEX(Dossiers!$F$4:$F$63,51)))</f>
        <v/>
      </c>
      <c r="U2680">
        <f>IF($O2680="","",IF(INDEX(Dossiers!$G$4:$G$63,51)="","",INDEX(Dossiers!$G$4:$G$63,51)))</f>
        <v/>
      </c>
      <c r="V2680">
        <f>IF(OR($O2680="",NOT(ISNUMBER($Q2680))),"",$Q2680*1000000+2680)</f>
        <v/>
      </c>
      <c r="W2680" s="29">
        <f>IF($B2680="","",IFERROR(INDEX($U$4:$U$3183,MATCH(SMALL($V$4:$V$3183,2677),$V$4:$V$3183,0)),""))</f>
        <v/>
      </c>
    </row>
    <row r="2681">
      <c r="A2681">
        <f>IFERROR(INDEX($N$4:$N$3183,MATCH(SMALL($V$4:$V$3183,2678),$V$4:$V$3183,0)),"")</f>
        <v/>
      </c>
      <c r="B2681">
        <f>IFERROR(INDEX($O$4:$O$3183,MATCH(SMALL($V$4:$V$3183,2678),$V$4:$V$3183,0)),"")</f>
        <v/>
      </c>
      <c r="C2681">
        <f>IFERROR(INDEX($P$4:$P$3183,MATCH(SMALL($V$4:$V$3183,2678),$V$4:$V$3183,0)),"")</f>
        <v/>
      </c>
      <c r="D2681" s="29">
        <f>IFERROR(INDEX($Q$4:$Q$3183,MATCH(SMALL($V$4:$V$3183,2678),$V$4:$V$3183,0)),"")</f>
        <v/>
      </c>
      <c r="E2681" s="29">
        <f>IFERROR(INDEX($R$4:$R$3183,MATCH(SMALL($V$4:$V$3183,2678),$V$4:$V$3183,0)),"")</f>
        <v/>
      </c>
      <c r="F2681">
        <f>IFERROR(INDEX($S$4:$S$3183,MATCH(SMALL($V$4:$V$3183,2678),$V$4:$V$3183,0)),"")</f>
        <v/>
      </c>
      <c r="I2681" s="29">
        <f>IF($B2681="","",IFERROR(INDEX($U$4:$U$3183,MATCH(SMALL($V$4:$V$3183,2678),$V$4:$V$3183,0)),""))</f>
        <v/>
      </c>
      <c r="J2681">
        <f>IF($B2681="","",IF($D2681&gt;$F$2,"À venir",IF($E2681&lt;$D$2,"Passé","Dans la période")))</f>
        <v/>
      </c>
      <c r="K2681">
        <f>IF(OR($B2681="",NOT(ISNUMBER($D2681))),"",IF(AND($E2681&lt;$D$2,$G2681&lt;&gt;"X",$F2681&lt;&gt;"Réalisé",$F2681&lt;&gt;"Clôturé"),"RETARD",""))</f>
        <v/>
      </c>
      <c r="L2681">
        <f>IF(OR($B2681="",NOT(ISNUMBER($D2681))),"",IF(AND($D2681&gt;=$D$2,$D2681&lt;=$H$2,$G2681&lt;&gt;"X",$F2681&lt;&gt;"Réalisé",$F2681&lt;&gt;"Clôturé"),"≤ 7 j",""))</f>
        <v/>
      </c>
      <c r="M2681" s="29">
        <f>IF($B2681="","",IFERROR(INDEX($T$4:$T$3183,MATCH(SMALL($V$4:$V$3183,2678),$V$4:$V$3183,0)),""))</f>
        <v/>
      </c>
      <c r="O2681">
        <f>IF(INDEX(Suivi!$B:$B,2732)="","",INDEX(Suivi!$B:$B,2732))</f>
        <v/>
      </c>
      <c r="P2681">
        <f>IF($O2681="","",IF(INDEX(Suivi!$D:$D,2732)="",INDEX(Suivi!$C:$C,2732),INDEX(Suivi!$D:$D,2732)))</f>
        <v/>
      </c>
      <c r="Q2681">
        <f>IF($O2681="","",INDEX(Suivi!$E:$E,2732))</f>
        <v/>
      </c>
      <c r="R2681">
        <f>IF($O2681="","",INDEX(Suivi!$F:$F,2732))</f>
        <v/>
      </c>
      <c r="S2681">
        <f>IF($O2681="","",INDEX(Suivi!$G:$G,2732))</f>
        <v/>
      </c>
      <c r="T2681">
        <f>IF($O2681="","",IF(INDEX(Dossiers!$F$4:$F$63,51)="","",INDEX(Dossiers!$F$4:$F$63,51)))</f>
        <v/>
      </c>
      <c r="U2681">
        <f>IF($O2681="","",IF(INDEX(Dossiers!$G$4:$G$63,51)="","",INDEX(Dossiers!$G$4:$G$63,51)))</f>
        <v/>
      </c>
      <c r="V2681">
        <f>IF(OR($O2681="",NOT(ISNUMBER($Q2681))),"",$Q2681*1000000+2681)</f>
        <v/>
      </c>
      <c r="W2681" s="29">
        <f>IF($B2681="","",IFERROR(INDEX($U$4:$U$3183,MATCH(SMALL($V$4:$V$3183,2678),$V$4:$V$3183,0)),""))</f>
        <v/>
      </c>
    </row>
    <row r="2682">
      <c r="A2682">
        <f>IFERROR(INDEX($N$4:$N$3183,MATCH(SMALL($V$4:$V$3183,2679),$V$4:$V$3183,0)),"")</f>
        <v/>
      </c>
      <c r="B2682">
        <f>IFERROR(INDEX($O$4:$O$3183,MATCH(SMALL($V$4:$V$3183,2679),$V$4:$V$3183,0)),"")</f>
        <v/>
      </c>
      <c r="C2682">
        <f>IFERROR(INDEX($P$4:$P$3183,MATCH(SMALL($V$4:$V$3183,2679),$V$4:$V$3183,0)),"")</f>
        <v/>
      </c>
      <c r="D2682" s="29">
        <f>IFERROR(INDEX($Q$4:$Q$3183,MATCH(SMALL($V$4:$V$3183,2679),$V$4:$V$3183,0)),"")</f>
        <v/>
      </c>
      <c r="E2682" s="29">
        <f>IFERROR(INDEX($R$4:$R$3183,MATCH(SMALL($V$4:$V$3183,2679),$V$4:$V$3183,0)),"")</f>
        <v/>
      </c>
      <c r="F2682">
        <f>IFERROR(INDEX($S$4:$S$3183,MATCH(SMALL($V$4:$V$3183,2679),$V$4:$V$3183,0)),"")</f>
        <v/>
      </c>
      <c r="I2682" s="29">
        <f>IF($B2682="","",IFERROR(INDEX($U$4:$U$3183,MATCH(SMALL($V$4:$V$3183,2679),$V$4:$V$3183,0)),""))</f>
        <v/>
      </c>
      <c r="J2682">
        <f>IF($B2682="","",IF($D2682&gt;$F$2,"À venir",IF($E2682&lt;$D$2,"Passé","Dans la période")))</f>
        <v/>
      </c>
      <c r="K2682">
        <f>IF(OR($B2682="",NOT(ISNUMBER($D2682))),"",IF(AND($E2682&lt;$D$2,$G2682&lt;&gt;"X",$F2682&lt;&gt;"Réalisé",$F2682&lt;&gt;"Clôturé"),"RETARD",""))</f>
        <v/>
      </c>
      <c r="L2682">
        <f>IF(OR($B2682="",NOT(ISNUMBER($D2682))),"",IF(AND($D2682&gt;=$D$2,$D2682&lt;=$H$2,$G2682&lt;&gt;"X",$F2682&lt;&gt;"Réalisé",$F2682&lt;&gt;"Clôturé"),"≤ 7 j",""))</f>
        <v/>
      </c>
      <c r="M2682" s="29">
        <f>IF($B2682="","",IFERROR(INDEX($T$4:$T$3183,MATCH(SMALL($V$4:$V$3183,2679),$V$4:$V$3183,0)),""))</f>
        <v/>
      </c>
      <c r="O2682">
        <f>IF(INDEX(Suivi!$B:$B,2733)="","",INDEX(Suivi!$B:$B,2733))</f>
        <v/>
      </c>
      <c r="P2682">
        <f>IF($O2682="","",IF(INDEX(Suivi!$D:$D,2733)="",INDEX(Suivi!$C:$C,2733),INDEX(Suivi!$D:$D,2733)))</f>
        <v/>
      </c>
      <c r="Q2682">
        <f>IF($O2682="","",INDEX(Suivi!$E:$E,2733))</f>
        <v/>
      </c>
      <c r="R2682">
        <f>IF($O2682="","",INDEX(Suivi!$F:$F,2733))</f>
        <v/>
      </c>
      <c r="S2682">
        <f>IF($O2682="","",INDEX(Suivi!$G:$G,2733))</f>
        <v/>
      </c>
      <c r="T2682">
        <f>IF($O2682="","",IF(INDEX(Dossiers!$F$4:$F$63,51)="","",INDEX(Dossiers!$F$4:$F$63,51)))</f>
        <v/>
      </c>
      <c r="U2682">
        <f>IF($O2682="","",IF(INDEX(Dossiers!$G$4:$G$63,51)="","",INDEX(Dossiers!$G$4:$G$63,51)))</f>
        <v/>
      </c>
      <c r="V2682">
        <f>IF(OR($O2682="",NOT(ISNUMBER($Q2682))),"",$Q2682*1000000+2682)</f>
        <v/>
      </c>
      <c r="W2682" s="29">
        <f>IF($B2682="","",IFERROR(INDEX($U$4:$U$3183,MATCH(SMALL($V$4:$V$3183,2679),$V$4:$V$3183,0)),""))</f>
        <v/>
      </c>
    </row>
    <row r="2683">
      <c r="A2683">
        <f>IFERROR(INDEX($N$4:$N$3183,MATCH(SMALL($V$4:$V$3183,2680),$V$4:$V$3183,0)),"")</f>
        <v/>
      </c>
      <c r="B2683">
        <f>IFERROR(INDEX($O$4:$O$3183,MATCH(SMALL($V$4:$V$3183,2680),$V$4:$V$3183,0)),"")</f>
        <v/>
      </c>
      <c r="C2683">
        <f>IFERROR(INDEX($P$4:$P$3183,MATCH(SMALL($V$4:$V$3183,2680),$V$4:$V$3183,0)),"")</f>
        <v/>
      </c>
      <c r="D2683" s="29">
        <f>IFERROR(INDEX($Q$4:$Q$3183,MATCH(SMALL($V$4:$V$3183,2680),$V$4:$V$3183,0)),"")</f>
        <v/>
      </c>
      <c r="E2683" s="29">
        <f>IFERROR(INDEX($R$4:$R$3183,MATCH(SMALL($V$4:$V$3183,2680),$V$4:$V$3183,0)),"")</f>
        <v/>
      </c>
      <c r="F2683">
        <f>IFERROR(INDEX($S$4:$S$3183,MATCH(SMALL($V$4:$V$3183,2680),$V$4:$V$3183,0)),"")</f>
        <v/>
      </c>
      <c r="I2683" s="29">
        <f>IF($B2683="","",IFERROR(INDEX($U$4:$U$3183,MATCH(SMALL($V$4:$V$3183,2680),$V$4:$V$3183,0)),""))</f>
        <v/>
      </c>
      <c r="J2683">
        <f>IF($B2683="","",IF($D2683&gt;$F$2,"À venir",IF($E2683&lt;$D$2,"Passé","Dans la période")))</f>
        <v/>
      </c>
      <c r="K2683">
        <f>IF(OR($B2683="",NOT(ISNUMBER($D2683))),"",IF(AND($E2683&lt;$D$2,$G2683&lt;&gt;"X",$F2683&lt;&gt;"Réalisé",$F2683&lt;&gt;"Clôturé"),"RETARD",""))</f>
        <v/>
      </c>
      <c r="L2683">
        <f>IF(OR($B2683="",NOT(ISNUMBER($D2683))),"",IF(AND($D2683&gt;=$D$2,$D2683&lt;=$H$2,$G2683&lt;&gt;"X",$F2683&lt;&gt;"Réalisé",$F2683&lt;&gt;"Clôturé"),"≤ 7 j",""))</f>
        <v/>
      </c>
      <c r="M2683" s="29">
        <f>IF($B2683="","",IFERROR(INDEX($T$4:$T$3183,MATCH(SMALL($V$4:$V$3183,2680),$V$4:$V$3183,0)),""))</f>
        <v/>
      </c>
      <c r="O2683">
        <f>IF(INDEX(Suivi!$B:$B,2734)="","",INDEX(Suivi!$B:$B,2734))</f>
        <v/>
      </c>
      <c r="P2683">
        <f>IF($O2683="","",IF(INDEX(Suivi!$D:$D,2734)="",INDEX(Suivi!$C:$C,2734),INDEX(Suivi!$D:$D,2734)))</f>
        <v/>
      </c>
      <c r="Q2683">
        <f>IF($O2683="","",INDEX(Suivi!$E:$E,2734))</f>
        <v/>
      </c>
      <c r="R2683">
        <f>IF($O2683="","",INDEX(Suivi!$F:$F,2734))</f>
        <v/>
      </c>
      <c r="S2683">
        <f>IF($O2683="","",INDEX(Suivi!$G:$G,2734))</f>
        <v/>
      </c>
      <c r="T2683">
        <f>IF($O2683="","",IF(INDEX(Dossiers!$F$4:$F$63,51)="","",INDEX(Dossiers!$F$4:$F$63,51)))</f>
        <v/>
      </c>
      <c r="U2683">
        <f>IF($O2683="","",IF(INDEX(Dossiers!$G$4:$G$63,51)="","",INDEX(Dossiers!$G$4:$G$63,51)))</f>
        <v/>
      </c>
      <c r="V2683">
        <f>IF(OR($O2683="",NOT(ISNUMBER($Q2683))),"",$Q2683*1000000+2683)</f>
        <v/>
      </c>
      <c r="W2683" s="29">
        <f>IF($B2683="","",IFERROR(INDEX($U$4:$U$3183,MATCH(SMALL($V$4:$V$3183,2680),$V$4:$V$3183,0)),""))</f>
        <v/>
      </c>
    </row>
    <row r="2684">
      <c r="A2684">
        <f>IFERROR(INDEX($N$4:$N$3183,MATCH(SMALL($V$4:$V$3183,2681),$V$4:$V$3183,0)),"")</f>
        <v/>
      </c>
      <c r="B2684">
        <f>IFERROR(INDEX($O$4:$O$3183,MATCH(SMALL($V$4:$V$3183,2681),$V$4:$V$3183,0)),"")</f>
        <v/>
      </c>
      <c r="C2684">
        <f>IFERROR(INDEX($P$4:$P$3183,MATCH(SMALL($V$4:$V$3183,2681),$V$4:$V$3183,0)),"")</f>
        <v/>
      </c>
      <c r="D2684" s="29">
        <f>IFERROR(INDEX($Q$4:$Q$3183,MATCH(SMALL($V$4:$V$3183,2681),$V$4:$V$3183,0)),"")</f>
        <v/>
      </c>
      <c r="E2684" s="29">
        <f>IFERROR(INDEX($R$4:$R$3183,MATCH(SMALL($V$4:$V$3183,2681),$V$4:$V$3183,0)),"")</f>
        <v/>
      </c>
      <c r="F2684">
        <f>IFERROR(INDEX($S$4:$S$3183,MATCH(SMALL($V$4:$V$3183,2681),$V$4:$V$3183,0)),"")</f>
        <v/>
      </c>
      <c r="I2684" s="29">
        <f>IF($B2684="","",IFERROR(INDEX($U$4:$U$3183,MATCH(SMALL($V$4:$V$3183,2681),$V$4:$V$3183,0)),""))</f>
        <v/>
      </c>
      <c r="J2684">
        <f>IF($B2684="","",IF($D2684&gt;$F$2,"À venir",IF($E2684&lt;$D$2,"Passé","Dans la période")))</f>
        <v/>
      </c>
      <c r="K2684">
        <f>IF(OR($B2684="",NOT(ISNUMBER($D2684))),"",IF(AND($E2684&lt;$D$2,$G2684&lt;&gt;"X",$F2684&lt;&gt;"Réalisé",$F2684&lt;&gt;"Clôturé"),"RETARD",""))</f>
        <v/>
      </c>
      <c r="L2684">
        <f>IF(OR($B2684="",NOT(ISNUMBER($D2684))),"",IF(AND($D2684&gt;=$D$2,$D2684&lt;=$H$2,$G2684&lt;&gt;"X",$F2684&lt;&gt;"Réalisé",$F2684&lt;&gt;"Clôturé"),"≤ 7 j",""))</f>
        <v/>
      </c>
      <c r="M2684" s="29">
        <f>IF($B2684="","",IFERROR(INDEX($T$4:$T$3183,MATCH(SMALL($V$4:$V$3183,2681),$V$4:$V$3183,0)),""))</f>
        <v/>
      </c>
      <c r="O2684">
        <f>IF(INDEX(Suivi!$B:$B,2735)="","",INDEX(Suivi!$B:$B,2735))</f>
        <v/>
      </c>
      <c r="P2684">
        <f>IF($O2684="","",IF(INDEX(Suivi!$D:$D,2735)="",INDEX(Suivi!$C:$C,2735),INDEX(Suivi!$D:$D,2735)))</f>
        <v/>
      </c>
      <c r="Q2684">
        <f>IF($O2684="","",INDEX(Suivi!$E:$E,2735))</f>
        <v/>
      </c>
      <c r="R2684">
        <f>IF($O2684="","",INDEX(Suivi!$F:$F,2735))</f>
        <v/>
      </c>
      <c r="S2684">
        <f>IF($O2684="","",INDEX(Suivi!$G:$G,2735))</f>
        <v/>
      </c>
      <c r="T2684">
        <f>IF($O2684="","",IF(INDEX(Dossiers!$F$4:$F$63,51)="","",INDEX(Dossiers!$F$4:$F$63,51)))</f>
        <v/>
      </c>
      <c r="U2684">
        <f>IF($O2684="","",IF(INDEX(Dossiers!$G$4:$G$63,51)="","",INDEX(Dossiers!$G$4:$G$63,51)))</f>
        <v/>
      </c>
      <c r="V2684">
        <f>IF(OR($O2684="",NOT(ISNUMBER($Q2684))),"",$Q2684*1000000+2684)</f>
        <v/>
      </c>
      <c r="W2684" s="29">
        <f>IF($B2684="","",IFERROR(INDEX($U$4:$U$3183,MATCH(SMALL($V$4:$V$3183,2681),$V$4:$V$3183,0)),""))</f>
        <v/>
      </c>
    </row>
    <row r="2685">
      <c r="A2685">
        <f>IFERROR(INDEX($N$4:$N$3183,MATCH(SMALL($V$4:$V$3183,2682),$V$4:$V$3183,0)),"")</f>
        <v/>
      </c>
      <c r="B2685">
        <f>IFERROR(INDEX($O$4:$O$3183,MATCH(SMALL($V$4:$V$3183,2682),$V$4:$V$3183,0)),"")</f>
        <v/>
      </c>
      <c r="C2685">
        <f>IFERROR(INDEX($P$4:$P$3183,MATCH(SMALL($V$4:$V$3183,2682),$V$4:$V$3183,0)),"")</f>
        <v/>
      </c>
      <c r="D2685" s="29">
        <f>IFERROR(INDEX($Q$4:$Q$3183,MATCH(SMALL($V$4:$V$3183,2682),$V$4:$V$3183,0)),"")</f>
        <v/>
      </c>
      <c r="E2685" s="29">
        <f>IFERROR(INDEX($R$4:$R$3183,MATCH(SMALL($V$4:$V$3183,2682),$V$4:$V$3183,0)),"")</f>
        <v/>
      </c>
      <c r="F2685">
        <f>IFERROR(INDEX($S$4:$S$3183,MATCH(SMALL($V$4:$V$3183,2682),$V$4:$V$3183,0)),"")</f>
        <v/>
      </c>
      <c r="I2685" s="29">
        <f>IF($B2685="","",IFERROR(INDEX($U$4:$U$3183,MATCH(SMALL($V$4:$V$3183,2682),$V$4:$V$3183,0)),""))</f>
        <v/>
      </c>
      <c r="J2685">
        <f>IF($B2685="","",IF($D2685&gt;$F$2,"À venir",IF($E2685&lt;$D$2,"Passé","Dans la période")))</f>
        <v/>
      </c>
      <c r="K2685">
        <f>IF(OR($B2685="",NOT(ISNUMBER($D2685))),"",IF(AND($E2685&lt;$D$2,$G2685&lt;&gt;"X",$F2685&lt;&gt;"Réalisé",$F2685&lt;&gt;"Clôturé"),"RETARD",""))</f>
        <v/>
      </c>
      <c r="L2685">
        <f>IF(OR($B2685="",NOT(ISNUMBER($D2685))),"",IF(AND($D2685&gt;=$D$2,$D2685&lt;=$H$2,$G2685&lt;&gt;"X",$F2685&lt;&gt;"Réalisé",$F2685&lt;&gt;"Clôturé"),"≤ 7 j",""))</f>
        <v/>
      </c>
      <c r="M2685" s="29">
        <f>IF($B2685="","",IFERROR(INDEX($T$4:$T$3183,MATCH(SMALL($V$4:$V$3183,2682),$V$4:$V$3183,0)),""))</f>
        <v/>
      </c>
      <c r="O2685">
        <f>IF(INDEX(Suivi!$B:$B,2736)="","",INDEX(Suivi!$B:$B,2736))</f>
        <v/>
      </c>
      <c r="P2685">
        <f>IF($O2685="","",IF(INDEX(Suivi!$D:$D,2736)="",INDEX(Suivi!$C:$C,2736),INDEX(Suivi!$D:$D,2736)))</f>
        <v/>
      </c>
      <c r="Q2685">
        <f>IF($O2685="","",INDEX(Suivi!$E:$E,2736))</f>
        <v/>
      </c>
      <c r="R2685">
        <f>IF($O2685="","",INDEX(Suivi!$F:$F,2736))</f>
        <v/>
      </c>
      <c r="S2685">
        <f>IF($O2685="","",INDEX(Suivi!$G:$G,2736))</f>
        <v/>
      </c>
      <c r="T2685">
        <f>IF($O2685="","",IF(INDEX(Dossiers!$F$4:$F$63,51)="","",INDEX(Dossiers!$F$4:$F$63,51)))</f>
        <v/>
      </c>
      <c r="U2685">
        <f>IF($O2685="","",IF(INDEX(Dossiers!$G$4:$G$63,51)="","",INDEX(Dossiers!$G$4:$G$63,51)))</f>
        <v/>
      </c>
      <c r="V2685">
        <f>IF(OR($O2685="",NOT(ISNUMBER($Q2685))),"",$Q2685*1000000+2685)</f>
        <v/>
      </c>
      <c r="W2685" s="29">
        <f>IF($B2685="","",IFERROR(INDEX($U$4:$U$3183,MATCH(SMALL($V$4:$V$3183,2682),$V$4:$V$3183,0)),""))</f>
        <v/>
      </c>
    </row>
    <row r="2686">
      <c r="A2686">
        <f>IFERROR(INDEX($N$4:$N$3183,MATCH(SMALL($V$4:$V$3183,2683),$V$4:$V$3183,0)),"")</f>
        <v/>
      </c>
      <c r="B2686">
        <f>IFERROR(INDEX($O$4:$O$3183,MATCH(SMALL($V$4:$V$3183,2683),$V$4:$V$3183,0)),"")</f>
        <v/>
      </c>
      <c r="C2686">
        <f>IFERROR(INDEX($P$4:$P$3183,MATCH(SMALL($V$4:$V$3183,2683),$V$4:$V$3183,0)),"")</f>
        <v/>
      </c>
      <c r="D2686" s="29">
        <f>IFERROR(INDEX($Q$4:$Q$3183,MATCH(SMALL($V$4:$V$3183,2683),$V$4:$V$3183,0)),"")</f>
        <v/>
      </c>
      <c r="E2686" s="29">
        <f>IFERROR(INDEX($R$4:$R$3183,MATCH(SMALL($V$4:$V$3183,2683),$V$4:$V$3183,0)),"")</f>
        <v/>
      </c>
      <c r="F2686">
        <f>IFERROR(INDEX($S$4:$S$3183,MATCH(SMALL($V$4:$V$3183,2683),$V$4:$V$3183,0)),"")</f>
        <v/>
      </c>
      <c r="I2686" s="29">
        <f>IF($B2686="","",IFERROR(INDEX($U$4:$U$3183,MATCH(SMALL($V$4:$V$3183,2683),$V$4:$V$3183,0)),""))</f>
        <v/>
      </c>
      <c r="J2686">
        <f>IF($B2686="","",IF($D2686&gt;$F$2,"À venir",IF($E2686&lt;$D$2,"Passé","Dans la période")))</f>
        <v/>
      </c>
      <c r="K2686">
        <f>IF(OR($B2686="",NOT(ISNUMBER($D2686))),"",IF(AND($E2686&lt;$D$2,$G2686&lt;&gt;"X",$F2686&lt;&gt;"Réalisé",$F2686&lt;&gt;"Clôturé"),"RETARD",""))</f>
        <v/>
      </c>
      <c r="L2686">
        <f>IF(OR($B2686="",NOT(ISNUMBER($D2686))),"",IF(AND($D2686&gt;=$D$2,$D2686&lt;=$H$2,$G2686&lt;&gt;"X",$F2686&lt;&gt;"Réalisé",$F2686&lt;&gt;"Clôturé"),"≤ 7 j",""))</f>
        <v/>
      </c>
      <c r="M2686" s="29">
        <f>IF($B2686="","",IFERROR(INDEX($T$4:$T$3183,MATCH(SMALL($V$4:$V$3183,2683),$V$4:$V$3183,0)),""))</f>
        <v/>
      </c>
      <c r="O2686">
        <f>IF(INDEX(Suivi!$B:$B,2737)="","",INDEX(Suivi!$B:$B,2737))</f>
        <v/>
      </c>
      <c r="P2686">
        <f>IF($O2686="","",IF(INDEX(Suivi!$D:$D,2737)="",INDEX(Suivi!$C:$C,2737),INDEX(Suivi!$D:$D,2737)))</f>
        <v/>
      </c>
      <c r="Q2686">
        <f>IF($O2686="","",INDEX(Suivi!$E:$E,2737))</f>
        <v/>
      </c>
      <c r="R2686">
        <f>IF($O2686="","",INDEX(Suivi!$F:$F,2737))</f>
        <v/>
      </c>
      <c r="S2686">
        <f>IF($O2686="","",INDEX(Suivi!$G:$G,2737))</f>
        <v/>
      </c>
      <c r="T2686">
        <f>IF($O2686="","",IF(INDEX(Dossiers!$F$4:$F$63,51)="","",INDEX(Dossiers!$F$4:$F$63,51)))</f>
        <v/>
      </c>
      <c r="U2686">
        <f>IF($O2686="","",IF(INDEX(Dossiers!$G$4:$G$63,51)="","",INDEX(Dossiers!$G$4:$G$63,51)))</f>
        <v/>
      </c>
      <c r="V2686">
        <f>IF(OR($O2686="",NOT(ISNUMBER($Q2686))),"",$Q2686*1000000+2686)</f>
        <v/>
      </c>
      <c r="W2686" s="29">
        <f>IF($B2686="","",IFERROR(INDEX($U$4:$U$3183,MATCH(SMALL($V$4:$V$3183,2683),$V$4:$V$3183,0)),""))</f>
        <v/>
      </c>
    </row>
    <row r="2687">
      <c r="A2687">
        <f>IFERROR(INDEX($N$4:$N$3183,MATCH(SMALL($V$4:$V$3183,2684),$V$4:$V$3183,0)),"")</f>
        <v/>
      </c>
      <c r="B2687">
        <f>IFERROR(INDEX($O$4:$O$3183,MATCH(SMALL($V$4:$V$3183,2684),$V$4:$V$3183,0)),"")</f>
        <v/>
      </c>
      <c r="C2687">
        <f>IFERROR(INDEX($P$4:$P$3183,MATCH(SMALL($V$4:$V$3183,2684),$V$4:$V$3183,0)),"")</f>
        <v/>
      </c>
      <c r="D2687" s="29">
        <f>IFERROR(INDEX($Q$4:$Q$3183,MATCH(SMALL($V$4:$V$3183,2684),$V$4:$V$3183,0)),"")</f>
        <v/>
      </c>
      <c r="E2687" s="29">
        <f>IFERROR(INDEX($R$4:$R$3183,MATCH(SMALL($V$4:$V$3183,2684),$V$4:$V$3183,0)),"")</f>
        <v/>
      </c>
      <c r="F2687">
        <f>IFERROR(INDEX($S$4:$S$3183,MATCH(SMALL($V$4:$V$3183,2684),$V$4:$V$3183,0)),"")</f>
        <v/>
      </c>
      <c r="I2687" s="29">
        <f>IF($B2687="","",IFERROR(INDEX($U$4:$U$3183,MATCH(SMALL($V$4:$V$3183,2684),$V$4:$V$3183,0)),""))</f>
        <v/>
      </c>
      <c r="J2687">
        <f>IF($B2687="","",IF($D2687&gt;$F$2,"À venir",IF($E2687&lt;$D$2,"Passé","Dans la période")))</f>
        <v/>
      </c>
      <c r="K2687">
        <f>IF(OR($B2687="",NOT(ISNUMBER($D2687))),"",IF(AND($E2687&lt;$D$2,$G2687&lt;&gt;"X",$F2687&lt;&gt;"Réalisé",$F2687&lt;&gt;"Clôturé"),"RETARD",""))</f>
        <v/>
      </c>
      <c r="L2687">
        <f>IF(OR($B2687="",NOT(ISNUMBER($D2687))),"",IF(AND($D2687&gt;=$D$2,$D2687&lt;=$H$2,$G2687&lt;&gt;"X",$F2687&lt;&gt;"Réalisé",$F2687&lt;&gt;"Clôturé"),"≤ 7 j",""))</f>
        <v/>
      </c>
      <c r="M2687" s="29">
        <f>IF($B2687="","",IFERROR(INDEX($T$4:$T$3183,MATCH(SMALL($V$4:$V$3183,2684),$V$4:$V$3183,0)),""))</f>
        <v/>
      </c>
      <c r="O2687">
        <f>IF(INDEX(Suivi!$B:$B,2738)="","",INDEX(Suivi!$B:$B,2738))</f>
        <v/>
      </c>
      <c r="P2687">
        <f>IF($O2687="","",IF(INDEX(Suivi!$D:$D,2738)="",INDEX(Suivi!$C:$C,2738),INDEX(Suivi!$D:$D,2738)))</f>
        <v/>
      </c>
      <c r="Q2687">
        <f>IF($O2687="","",INDEX(Suivi!$E:$E,2738))</f>
        <v/>
      </c>
      <c r="R2687">
        <f>IF($O2687="","",INDEX(Suivi!$F:$F,2738))</f>
        <v/>
      </c>
      <c r="S2687">
        <f>IF($O2687="","",INDEX(Suivi!$G:$G,2738))</f>
        <v/>
      </c>
      <c r="T2687">
        <f>IF($O2687="","",IF(INDEX(Dossiers!$F$4:$F$63,51)="","",INDEX(Dossiers!$F$4:$F$63,51)))</f>
        <v/>
      </c>
      <c r="U2687">
        <f>IF($O2687="","",IF(INDEX(Dossiers!$G$4:$G$63,51)="","",INDEX(Dossiers!$G$4:$G$63,51)))</f>
        <v/>
      </c>
      <c r="V2687">
        <f>IF(OR($O2687="",NOT(ISNUMBER($Q2687))),"",$Q2687*1000000+2687)</f>
        <v/>
      </c>
      <c r="W2687" s="29">
        <f>IF($B2687="","",IFERROR(INDEX($U$4:$U$3183,MATCH(SMALL($V$4:$V$3183,2684),$V$4:$V$3183,0)),""))</f>
        <v/>
      </c>
    </row>
    <row r="2688">
      <c r="A2688">
        <f>IFERROR(INDEX($N$4:$N$3183,MATCH(SMALL($V$4:$V$3183,2685),$V$4:$V$3183,0)),"")</f>
        <v/>
      </c>
      <c r="B2688">
        <f>IFERROR(INDEX($O$4:$O$3183,MATCH(SMALL($V$4:$V$3183,2685),$V$4:$V$3183,0)),"")</f>
        <v/>
      </c>
      <c r="C2688">
        <f>IFERROR(INDEX($P$4:$P$3183,MATCH(SMALL($V$4:$V$3183,2685),$V$4:$V$3183,0)),"")</f>
        <v/>
      </c>
      <c r="D2688" s="29">
        <f>IFERROR(INDEX($Q$4:$Q$3183,MATCH(SMALL($V$4:$V$3183,2685),$V$4:$V$3183,0)),"")</f>
        <v/>
      </c>
      <c r="E2688" s="29">
        <f>IFERROR(INDEX($R$4:$R$3183,MATCH(SMALL($V$4:$V$3183,2685),$V$4:$V$3183,0)),"")</f>
        <v/>
      </c>
      <c r="F2688">
        <f>IFERROR(INDEX($S$4:$S$3183,MATCH(SMALL($V$4:$V$3183,2685),$V$4:$V$3183,0)),"")</f>
        <v/>
      </c>
      <c r="I2688" s="29">
        <f>IF($B2688="","",IFERROR(INDEX($U$4:$U$3183,MATCH(SMALL($V$4:$V$3183,2685),$V$4:$V$3183,0)),""))</f>
        <v/>
      </c>
      <c r="J2688">
        <f>IF($B2688="","",IF($D2688&gt;$F$2,"À venir",IF($E2688&lt;$D$2,"Passé","Dans la période")))</f>
        <v/>
      </c>
      <c r="K2688">
        <f>IF(OR($B2688="",NOT(ISNUMBER($D2688))),"",IF(AND($E2688&lt;$D$2,$G2688&lt;&gt;"X",$F2688&lt;&gt;"Réalisé",$F2688&lt;&gt;"Clôturé"),"RETARD",""))</f>
        <v/>
      </c>
      <c r="L2688">
        <f>IF(OR($B2688="",NOT(ISNUMBER($D2688))),"",IF(AND($D2688&gt;=$D$2,$D2688&lt;=$H$2,$G2688&lt;&gt;"X",$F2688&lt;&gt;"Réalisé",$F2688&lt;&gt;"Clôturé"),"≤ 7 j",""))</f>
        <v/>
      </c>
      <c r="M2688" s="29">
        <f>IF($B2688="","",IFERROR(INDEX($T$4:$T$3183,MATCH(SMALL($V$4:$V$3183,2685),$V$4:$V$3183,0)),""))</f>
        <v/>
      </c>
      <c r="O2688">
        <f>IF(INDEX(Suivi!$B:$B,2739)="","",INDEX(Suivi!$B:$B,2739))</f>
        <v/>
      </c>
      <c r="P2688">
        <f>IF($O2688="","",IF(INDEX(Suivi!$D:$D,2739)="",INDEX(Suivi!$C:$C,2739),INDEX(Suivi!$D:$D,2739)))</f>
        <v/>
      </c>
      <c r="Q2688">
        <f>IF($O2688="","",INDEX(Suivi!$E:$E,2739))</f>
        <v/>
      </c>
      <c r="R2688">
        <f>IF($O2688="","",INDEX(Suivi!$F:$F,2739))</f>
        <v/>
      </c>
      <c r="S2688">
        <f>IF($O2688="","",INDEX(Suivi!$G:$G,2739))</f>
        <v/>
      </c>
      <c r="T2688">
        <f>IF($O2688="","",IF(INDEX(Dossiers!$F$4:$F$63,51)="","",INDEX(Dossiers!$F$4:$F$63,51)))</f>
        <v/>
      </c>
      <c r="U2688">
        <f>IF($O2688="","",IF(INDEX(Dossiers!$G$4:$G$63,51)="","",INDEX(Dossiers!$G$4:$G$63,51)))</f>
        <v/>
      </c>
      <c r="V2688">
        <f>IF(OR($O2688="",NOT(ISNUMBER($Q2688))),"",$Q2688*1000000+2688)</f>
        <v/>
      </c>
      <c r="W2688" s="29">
        <f>IF($B2688="","",IFERROR(INDEX($U$4:$U$3183,MATCH(SMALL($V$4:$V$3183,2685),$V$4:$V$3183,0)),""))</f>
        <v/>
      </c>
    </row>
    <row r="2689">
      <c r="A2689">
        <f>IFERROR(INDEX($N$4:$N$3183,MATCH(SMALL($V$4:$V$3183,2686),$V$4:$V$3183,0)),"")</f>
        <v/>
      </c>
      <c r="B2689">
        <f>IFERROR(INDEX($O$4:$O$3183,MATCH(SMALL($V$4:$V$3183,2686),$V$4:$V$3183,0)),"")</f>
        <v/>
      </c>
      <c r="C2689">
        <f>IFERROR(INDEX($P$4:$P$3183,MATCH(SMALL($V$4:$V$3183,2686),$V$4:$V$3183,0)),"")</f>
        <v/>
      </c>
      <c r="D2689" s="29">
        <f>IFERROR(INDEX($Q$4:$Q$3183,MATCH(SMALL($V$4:$V$3183,2686),$V$4:$V$3183,0)),"")</f>
        <v/>
      </c>
      <c r="E2689" s="29">
        <f>IFERROR(INDEX($R$4:$R$3183,MATCH(SMALL($V$4:$V$3183,2686),$V$4:$V$3183,0)),"")</f>
        <v/>
      </c>
      <c r="F2689">
        <f>IFERROR(INDEX($S$4:$S$3183,MATCH(SMALL($V$4:$V$3183,2686),$V$4:$V$3183,0)),"")</f>
        <v/>
      </c>
      <c r="I2689" s="29">
        <f>IF($B2689="","",IFERROR(INDEX($U$4:$U$3183,MATCH(SMALL($V$4:$V$3183,2686),$V$4:$V$3183,0)),""))</f>
        <v/>
      </c>
      <c r="J2689">
        <f>IF($B2689="","",IF($D2689&gt;$F$2,"À venir",IF($E2689&lt;$D$2,"Passé","Dans la période")))</f>
        <v/>
      </c>
      <c r="K2689">
        <f>IF(OR($B2689="",NOT(ISNUMBER($D2689))),"",IF(AND($E2689&lt;$D$2,$G2689&lt;&gt;"X",$F2689&lt;&gt;"Réalisé",$F2689&lt;&gt;"Clôturé"),"RETARD",""))</f>
        <v/>
      </c>
      <c r="L2689">
        <f>IF(OR($B2689="",NOT(ISNUMBER($D2689))),"",IF(AND($D2689&gt;=$D$2,$D2689&lt;=$H$2,$G2689&lt;&gt;"X",$F2689&lt;&gt;"Réalisé",$F2689&lt;&gt;"Clôturé"),"≤ 7 j",""))</f>
        <v/>
      </c>
      <c r="M2689" s="29">
        <f>IF($B2689="","",IFERROR(INDEX($T$4:$T$3183,MATCH(SMALL($V$4:$V$3183,2686),$V$4:$V$3183,0)),""))</f>
        <v/>
      </c>
      <c r="O2689">
        <f>IF(INDEX(Suivi!$B:$B,2740)="","",INDEX(Suivi!$B:$B,2740))</f>
        <v/>
      </c>
      <c r="P2689">
        <f>IF($O2689="","",IF(INDEX(Suivi!$D:$D,2740)="",INDEX(Suivi!$C:$C,2740),INDEX(Suivi!$D:$D,2740)))</f>
        <v/>
      </c>
      <c r="Q2689">
        <f>IF($O2689="","",INDEX(Suivi!$E:$E,2740))</f>
        <v/>
      </c>
      <c r="R2689">
        <f>IF($O2689="","",INDEX(Suivi!$F:$F,2740))</f>
        <v/>
      </c>
      <c r="S2689">
        <f>IF($O2689="","",INDEX(Suivi!$G:$G,2740))</f>
        <v/>
      </c>
      <c r="T2689">
        <f>IF($O2689="","",IF(INDEX(Dossiers!$F$4:$F$63,51)="","",INDEX(Dossiers!$F$4:$F$63,51)))</f>
        <v/>
      </c>
      <c r="U2689">
        <f>IF($O2689="","",IF(INDEX(Dossiers!$G$4:$G$63,51)="","",INDEX(Dossiers!$G$4:$G$63,51)))</f>
        <v/>
      </c>
      <c r="V2689">
        <f>IF(OR($O2689="",NOT(ISNUMBER($Q2689))),"",$Q2689*1000000+2689)</f>
        <v/>
      </c>
      <c r="W2689" s="29">
        <f>IF($B2689="","",IFERROR(INDEX($U$4:$U$3183,MATCH(SMALL($V$4:$V$3183,2686),$V$4:$V$3183,0)),""))</f>
        <v/>
      </c>
    </row>
    <row r="2690">
      <c r="A2690">
        <f>IFERROR(INDEX($N$4:$N$3183,MATCH(SMALL($V$4:$V$3183,2687),$V$4:$V$3183,0)),"")</f>
        <v/>
      </c>
      <c r="B2690">
        <f>IFERROR(INDEX($O$4:$O$3183,MATCH(SMALL($V$4:$V$3183,2687),$V$4:$V$3183,0)),"")</f>
        <v/>
      </c>
      <c r="C2690">
        <f>IFERROR(INDEX($P$4:$P$3183,MATCH(SMALL($V$4:$V$3183,2687),$V$4:$V$3183,0)),"")</f>
        <v/>
      </c>
      <c r="D2690" s="29">
        <f>IFERROR(INDEX($Q$4:$Q$3183,MATCH(SMALL($V$4:$V$3183,2687),$V$4:$V$3183,0)),"")</f>
        <v/>
      </c>
      <c r="E2690" s="29">
        <f>IFERROR(INDEX($R$4:$R$3183,MATCH(SMALL($V$4:$V$3183,2687),$V$4:$V$3183,0)),"")</f>
        <v/>
      </c>
      <c r="F2690">
        <f>IFERROR(INDEX($S$4:$S$3183,MATCH(SMALL($V$4:$V$3183,2687),$V$4:$V$3183,0)),"")</f>
        <v/>
      </c>
      <c r="I2690" s="29">
        <f>IF($B2690="","",IFERROR(INDEX($U$4:$U$3183,MATCH(SMALL($V$4:$V$3183,2687),$V$4:$V$3183,0)),""))</f>
        <v/>
      </c>
      <c r="J2690">
        <f>IF($B2690="","",IF($D2690&gt;$F$2,"À venir",IF($E2690&lt;$D$2,"Passé","Dans la période")))</f>
        <v/>
      </c>
      <c r="K2690">
        <f>IF(OR($B2690="",NOT(ISNUMBER($D2690))),"",IF(AND($E2690&lt;$D$2,$G2690&lt;&gt;"X",$F2690&lt;&gt;"Réalisé",$F2690&lt;&gt;"Clôturé"),"RETARD",""))</f>
        <v/>
      </c>
      <c r="L2690">
        <f>IF(OR($B2690="",NOT(ISNUMBER($D2690))),"",IF(AND($D2690&gt;=$D$2,$D2690&lt;=$H$2,$G2690&lt;&gt;"X",$F2690&lt;&gt;"Réalisé",$F2690&lt;&gt;"Clôturé"),"≤ 7 j",""))</f>
        <v/>
      </c>
      <c r="M2690" s="29">
        <f>IF($B2690="","",IFERROR(INDEX($T$4:$T$3183,MATCH(SMALL($V$4:$V$3183,2687),$V$4:$V$3183,0)),""))</f>
        <v/>
      </c>
      <c r="O2690">
        <f>IF(INDEX(Suivi!$B:$B,2741)="","",INDEX(Suivi!$B:$B,2741))</f>
        <v/>
      </c>
      <c r="P2690">
        <f>IF($O2690="","",IF(INDEX(Suivi!$D:$D,2741)="",INDEX(Suivi!$C:$C,2741),INDEX(Suivi!$D:$D,2741)))</f>
        <v/>
      </c>
      <c r="Q2690">
        <f>IF($O2690="","",INDEX(Suivi!$E:$E,2741))</f>
        <v/>
      </c>
      <c r="R2690">
        <f>IF($O2690="","",INDEX(Suivi!$F:$F,2741))</f>
        <v/>
      </c>
      <c r="S2690">
        <f>IF($O2690="","",INDEX(Suivi!$G:$G,2741))</f>
        <v/>
      </c>
      <c r="T2690">
        <f>IF($O2690="","",IF(INDEX(Dossiers!$F$4:$F$63,51)="","",INDEX(Dossiers!$F$4:$F$63,51)))</f>
        <v/>
      </c>
      <c r="U2690">
        <f>IF($O2690="","",IF(INDEX(Dossiers!$G$4:$G$63,51)="","",INDEX(Dossiers!$G$4:$G$63,51)))</f>
        <v/>
      </c>
      <c r="V2690">
        <f>IF(OR($O2690="",NOT(ISNUMBER($Q2690))),"",$Q2690*1000000+2690)</f>
        <v/>
      </c>
      <c r="W2690" s="29">
        <f>IF($B2690="","",IFERROR(INDEX($U$4:$U$3183,MATCH(SMALL($V$4:$V$3183,2687),$V$4:$V$3183,0)),""))</f>
        <v/>
      </c>
    </row>
    <row r="2691">
      <c r="A2691">
        <f>IFERROR(INDEX($N$4:$N$3183,MATCH(SMALL($V$4:$V$3183,2688),$V$4:$V$3183,0)),"")</f>
        <v/>
      </c>
      <c r="B2691">
        <f>IFERROR(INDEX($O$4:$O$3183,MATCH(SMALL($V$4:$V$3183,2688),$V$4:$V$3183,0)),"")</f>
        <v/>
      </c>
      <c r="C2691">
        <f>IFERROR(INDEX($P$4:$P$3183,MATCH(SMALL($V$4:$V$3183,2688),$V$4:$V$3183,0)),"")</f>
        <v/>
      </c>
      <c r="D2691" s="29">
        <f>IFERROR(INDEX($Q$4:$Q$3183,MATCH(SMALL($V$4:$V$3183,2688),$V$4:$V$3183,0)),"")</f>
        <v/>
      </c>
      <c r="E2691" s="29">
        <f>IFERROR(INDEX($R$4:$R$3183,MATCH(SMALL($V$4:$V$3183,2688),$V$4:$V$3183,0)),"")</f>
        <v/>
      </c>
      <c r="F2691">
        <f>IFERROR(INDEX($S$4:$S$3183,MATCH(SMALL($V$4:$V$3183,2688),$V$4:$V$3183,0)),"")</f>
        <v/>
      </c>
      <c r="I2691" s="29">
        <f>IF($B2691="","",IFERROR(INDEX($U$4:$U$3183,MATCH(SMALL($V$4:$V$3183,2688),$V$4:$V$3183,0)),""))</f>
        <v/>
      </c>
      <c r="J2691">
        <f>IF($B2691="","",IF($D2691&gt;$F$2,"À venir",IF($E2691&lt;$D$2,"Passé","Dans la période")))</f>
        <v/>
      </c>
      <c r="K2691">
        <f>IF(OR($B2691="",NOT(ISNUMBER($D2691))),"",IF(AND($E2691&lt;$D$2,$G2691&lt;&gt;"X",$F2691&lt;&gt;"Réalisé",$F2691&lt;&gt;"Clôturé"),"RETARD",""))</f>
        <v/>
      </c>
      <c r="L2691">
        <f>IF(OR($B2691="",NOT(ISNUMBER($D2691))),"",IF(AND($D2691&gt;=$D$2,$D2691&lt;=$H$2,$G2691&lt;&gt;"X",$F2691&lt;&gt;"Réalisé",$F2691&lt;&gt;"Clôturé"),"≤ 7 j",""))</f>
        <v/>
      </c>
      <c r="M2691" s="29">
        <f>IF($B2691="","",IFERROR(INDEX($T$4:$T$3183,MATCH(SMALL($V$4:$V$3183,2688),$V$4:$V$3183,0)),""))</f>
        <v/>
      </c>
      <c r="O2691">
        <f>IF(INDEX(Suivi!$B:$B,2742)="","",INDEX(Suivi!$B:$B,2742))</f>
        <v/>
      </c>
      <c r="P2691">
        <f>IF($O2691="","",IF(INDEX(Suivi!$D:$D,2742)="",INDEX(Suivi!$C:$C,2742),INDEX(Suivi!$D:$D,2742)))</f>
        <v/>
      </c>
      <c r="Q2691">
        <f>IF($O2691="","",INDEX(Suivi!$E:$E,2742))</f>
        <v/>
      </c>
      <c r="R2691">
        <f>IF($O2691="","",INDEX(Suivi!$F:$F,2742))</f>
        <v/>
      </c>
      <c r="S2691">
        <f>IF($O2691="","",INDEX(Suivi!$G:$G,2742))</f>
        <v/>
      </c>
      <c r="T2691">
        <f>IF($O2691="","",IF(INDEX(Dossiers!$F$4:$F$63,51)="","",INDEX(Dossiers!$F$4:$F$63,51)))</f>
        <v/>
      </c>
      <c r="U2691">
        <f>IF($O2691="","",IF(INDEX(Dossiers!$G$4:$G$63,51)="","",INDEX(Dossiers!$G$4:$G$63,51)))</f>
        <v/>
      </c>
      <c r="V2691">
        <f>IF(OR($O2691="",NOT(ISNUMBER($Q2691))),"",$Q2691*1000000+2691)</f>
        <v/>
      </c>
      <c r="W2691" s="29">
        <f>IF($B2691="","",IFERROR(INDEX($U$4:$U$3183,MATCH(SMALL($V$4:$V$3183,2688),$V$4:$V$3183,0)),""))</f>
        <v/>
      </c>
    </row>
    <row r="2692">
      <c r="A2692">
        <f>IFERROR(INDEX($N$4:$N$3183,MATCH(SMALL($V$4:$V$3183,2689),$V$4:$V$3183,0)),"")</f>
        <v/>
      </c>
      <c r="B2692">
        <f>IFERROR(INDEX($O$4:$O$3183,MATCH(SMALL($V$4:$V$3183,2689),$V$4:$V$3183,0)),"")</f>
        <v/>
      </c>
      <c r="C2692">
        <f>IFERROR(INDEX($P$4:$P$3183,MATCH(SMALL($V$4:$V$3183,2689),$V$4:$V$3183,0)),"")</f>
        <v/>
      </c>
      <c r="D2692" s="29">
        <f>IFERROR(INDEX($Q$4:$Q$3183,MATCH(SMALL($V$4:$V$3183,2689),$V$4:$V$3183,0)),"")</f>
        <v/>
      </c>
      <c r="E2692" s="29">
        <f>IFERROR(INDEX($R$4:$R$3183,MATCH(SMALL($V$4:$V$3183,2689),$V$4:$V$3183,0)),"")</f>
        <v/>
      </c>
      <c r="F2692">
        <f>IFERROR(INDEX($S$4:$S$3183,MATCH(SMALL($V$4:$V$3183,2689),$V$4:$V$3183,0)),"")</f>
        <v/>
      </c>
      <c r="I2692" s="29">
        <f>IF($B2692="","",IFERROR(INDEX($U$4:$U$3183,MATCH(SMALL($V$4:$V$3183,2689),$V$4:$V$3183,0)),""))</f>
        <v/>
      </c>
      <c r="J2692">
        <f>IF($B2692="","",IF($D2692&gt;$F$2,"À venir",IF($E2692&lt;$D$2,"Passé","Dans la période")))</f>
        <v/>
      </c>
      <c r="K2692">
        <f>IF(OR($B2692="",NOT(ISNUMBER($D2692))),"",IF(AND($E2692&lt;$D$2,$G2692&lt;&gt;"X",$F2692&lt;&gt;"Réalisé",$F2692&lt;&gt;"Clôturé"),"RETARD",""))</f>
        <v/>
      </c>
      <c r="L2692">
        <f>IF(OR($B2692="",NOT(ISNUMBER($D2692))),"",IF(AND($D2692&gt;=$D$2,$D2692&lt;=$H$2,$G2692&lt;&gt;"X",$F2692&lt;&gt;"Réalisé",$F2692&lt;&gt;"Clôturé"),"≤ 7 j",""))</f>
        <v/>
      </c>
      <c r="M2692" s="29">
        <f>IF($B2692="","",IFERROR(INDEX($T$4:$T$3183,MATCH(SMALL($V$4:$V$3183,2689),$V$4:$V$3183,0)),""))</f>
        <v/>
      </c>
      <c r="O2692">
        <f>IF(INDEX(Suivi!$B:$B,2743)="","",INDEX(Suivi!$B:$B,2743))</f>
        <v/>
      </c>
      <c r="P2692">
        <f>IF($O2692="","",IF(INDEX(Suivi!$D:$D,2743)="",INDEX(Suivi!$C:$C,2743),INDEX(Suivi!$D:$D,2743)))</f>
        <v/>
      </c>
      <c r="Q2692">
        <f>IF($O2692="","",INDEX(Suivi!$E:$E,2743))</f>
        <v/>
      </c>
      <c r="R2692">
        <f>IF($O2692="","",INDEX(Suivi!$F:$F,2743))</f>
        <v/>
      </c>
      <c r="S2692">
        <f>IF($O2692="","",INDEX(Suivi!$G:$G,2743))</f>
        <v/>
      </c>
      <c r="T2692">
        <f>IF($O2692="","",IF(INDEX(Dossiers!$F$4:$F$63,51)="","",INDEX(Dossiers!$F$4:$F$63,51)))</f>
        <v/>
      </c>
      <c r="U2692">
        <f>IF($O2692="","",IF(INDEX(Dossiers!$G$4:$G$63,51)="","",INDEX(Dossiers!$G$4:$G$63,51)))</f>
        <v/>
      </c>
      <c r="V2692">
        <f>IF(OR($O2692="",NOT(ISNUMBER($Q2692))),"",$Q2692*1000000+2692)</f>
        <v/>
      </c>
      <c r="W2692" s="29">
        <f>IF($B2692="","",IFERROR(INDEX($U$4:$U$3183,MATCH(SMALL($V$4:$V$3183,2689),$V$4:$V$3183,0)),""))</f>
        <v/>
      </c>
    </row>
    <row r="2693">
      <c r="A2693">
        <f>IFERROR(INDEX($N$4:$N$3183,MATCH(SMALL($V$4:$V$3183,2690),$V$4:$V$3183,0)),"")</f>
        <v/>
      </c>
      <c r="B2693">
        <f>IFERROR(INDEX($O$4:$O$3183,MATCH(SMALL($V$4:$V$3183,2690),$V$4:$V$3183,0)),"")</f>
        <v/>
      </c>
      <c r="C2693">
        <f>IFERROR(INDEX($P$4:$P$3183,MATCH(SMALL($V$4:$V$3183,2690),$V$4:$V$3183,0)),"")</f>
        <v/>
      </c>
      <c r="D2693" s="29">
        <f>IFERROR(INDEX($Q$4:$Q$3183,MATCH(SMALL($V$4:$V$3183,2690),$V$4:$V$3183,0)),"")</f>
        <v/>
      </c>
      <c r="E2693" s="29">
        <f>IFERROR(INDEX($R$4:$R$3183,MATCH(SMALL($V$4:$V$3183,2690),$V$4:$V$3183,0)),"")</f>
        <v/>
      </c>
      <c r="F2693">
        <f>IFERROR(INDEX($S$4:$S$3183,MATCH(SMALL($V$4:$V$3183,2690),$V$4:$V$3183,0)),"")</f>
        <v/>
      </c>
      <c r="I2693" s="29">
        <f>IF($B2693="","",IFERROR(INDEX($U$4:$U$3183,MATCH(SMALL($V$4:$V$3183,2690),$V$4:$V$3183,0)),""))</f>
        <v/>
      </c>
      <c r="J2693">
        <f>IF($B2693="","",IF($D2693&gt;$F$2,"À venir",IF($E2693&lt;$D$2,"Passé","Dans la période")))</f>
        <v/>
      </c>
      <c r="K2693">
        <f>IF(OR($B2693="",NOT(ISNUMBER($D2693))),"",IF(AND($E2693&lt;$D$2,$G2693&lt;&gt;"X",$F2693&lt;&gt;"Réalisé",$F2693&lt;&gt;"Clôturé"),"RETARD",""))</f>
        <v/>
      </c>
      <c r="L2693">
        <f>IF(OR($B2693="",NOT(ISNUMBER($D2693))),"",IF(AND($D2693&gt;=$D$2,$D2693&lt;=$H$2,$G2693&lt;&gt;"X",$F2693&lt;&gt;"Réalisé",$F2693&lt;&gt;"Clôturé"),"≤ 7 j",""))</f>
        <v/>
      </c>
      <c r="M2693" s="29">
        <f>IF($B2693="","",IFERROR(INDEX($T$4:$T$3183,MATCH(SMALL($V$4:$V$3183,2690),$V$4:$V$3183,0)),""))</f>
        <v/>
      </c>
      <c r="O2693">
        <f>IF(INDEX(Suivi!$B:$B,2744)="","",INDEX(Suivi!$B:$B,2744))</f>
        <v/>
      </c>
      <c r="P2693">
        <f>IF($O2693="","",IF(INDEX(Suivi!$D:$D,2744)="",INDEX(Suivi!$C:$C,2744),INDEX(Suivi!$D:$D,2744)))</f>
        <v/>
      </c>
      <c r="Q2693">
        <f>IF($O2693="","",INDEX(Suivi!$E:$E,2744))</f>
        <v/>
      </c>
      <c r="R2693">
        <f>IF($O2693="","",INDEX(Suivi!$F:$F,2744))</f>
        <v/>
      </c>
      <c r="S2693">
        <f>IF($O2693="","",INDEX(Suivi!$G:$G,2744))</f>
        <v/>
      </c>
      <c r="T2693">
        <f>IF($O2693="","",IF(INDEX(Dossiers!$F$4:$F$63,51)="","",INDEX(Dossiers!$F$4:$F$63,51)))</f>
        <v/>
      </c>
      <c r="U2693">
        <f>IF($O2693="","",IF(INDEX(Dossiers!$G$4:$G$63,51)="","",INDEX(Dossiers!$G$4:$G$63,51)))</f>
        <v/>
      </c>
      <c r="V2693">
        <f>IF(OR($O2693="",NOT(ISNUMBER($Q2693))),"",$Q2693*1000000+2693)</f>
        <v/>
      </c>
      <c r="W2693" s="29">
        <f>IF($B2693="","",IFERROR(INDEX($U$4:$U$3183,MATCH(SMALL($V$4:$V$3183,2690),$V$4:$V$3183,0)),""))</f>
        <v/>
      </c>
    </row>
    <row r="2694">
      <c r="A2694">
        <f>IFERROR(INDEX($N$4:$N$3183,MATCH(SMALL($V$4:$V$3183,2691),$V$4:$V$3183,0)),"")</f>
        <v/>
      </c>
      <c r="B2694">
        <f>IFERROR(INDEX($O$4:$O$3183,MATCH(SMALL($V$4:$V$3183,2691),$V$4:$V$3183,0)),"")</f>
        <v/>
      </c>
      <c r="C2694">
        <f>IFERROR(INDEX($P$4:$P$3183,MATCH(SMALL($V$4:$V$3183,2691),$V$4:$V$3183,0)),"")</f>
        <v/>
      </c>
      <c r="D2694" s="29">
        <f>IFERROR(INDEX($Q$4:$Q$3183,MATCH(SMALL($V$4:$V$3183,2691),$V$4:$V$3183,0)),"")</f>
        <v/>
      </c>
      <c r="E2694" s="29">
        <f>IFERROR(INDEX($R$4:$R$3183,MATCH(SMALL($V$4:$V$3183,2691),$V$4:$V$3183,0)),"")</f>
        <v/>
      </c>
      <c r="F2694">
        <f>IFERROR(INDEX($S$4:$S$3183,MATCH(SMALL($V$4:$V$3183,2691),$V$4:$V$3183,0)),"")</f>
        <v/>
      </c>
      <c r="I2694" s="29">
        <f>IF($B2694="","",IFERROR(INDEX($U$4:$U$3183,MATCH(SMALL($V$4:$V$3183,2691),$V$4:$V$3183,0)),""))</f>
        <v/>
      </c>
      <c r="J2694">
        <f>IF($B2694="","",IF($D2694&gt;$F$2,"À venir",IF($E2694&lt;$D$2,"Passé","Dans la période")))</f>
        <v/>
      </c>
      <c r="K2694">
        <f>IF(OR($B2694="",NOT(ISNUMBER($D2694))),"",IF(AND($E2694&lt;$D$2,$G2694&lt;&gt;"X",$F2694&lt;&gt;"Réalisé",$F2694&lt;&gt;"Clôturé"),"RETARD",""))</f>
        <v/>
      </c>
      <c r="L2694">
        <f>IF(OR($B2694="",NOT(ISNUMBER($D2694))),"",IF(AND($D2694&gt;=$D$2,$D2694&lt;=$H$2,$G2694&lt;&gt;"X",$F2694&lt;&gt;"Réalisé",$F2694&lt;&gt;"Clôturé"),"≤ 7 j",""))</f>
        <v/>
      </c>
      <c r="M2694" s="29">
        <f>IF($B2694="","",IFERROR(INDEX($T$4:$T$3183,MATCH(SMALL($V$4:$V$3183,2691),$V$4:$V$3183,0)),""))</f>
        <v/>
      </c>
      <c r="O2694">
        <f>IF(INDEX(Suivi!$B:$B,2745)="","",INDEX(Suivi!$B:$B,2745))</f>
        <v/>
      </c>
      <c r="P2694">
        <f>IF($O2694="","",IF(INDEX(Suivi!$D:$D,2745)="",INDEX(Suivi!$C:$C,2745),INDEX(Suivi!$D:$D,2745)))</f>
        <v/>
      </c>
      <c r="Q2694">
        <f>IF($O2694="","",INDEX(Suivi!$E:$E,2745))</f>
        <v/>
      </c>
      <c r="R2694">
        <f>IF($O2694="","",INDEX(Suivi!$F:$F,2745))</f>
        <v/>
      </c>
      <c r="S2694">
        <f>IF($O2694="","",INDEX(Suivi!$G:$G,2745))</f>
        <v/>
      </c>
      <c r="T2694">
        <f>IF($O2694="","",IF(INDEX(Dossiers!$F$4:$F$63,51)="","",INDEX(Dossiers!$F$4:$F$63,51)))</f>
        <v/>
      </c>
      <c r="U2694">
        <f>IF($O2694="","",IF(INDEX(Dossiers!$G$4:$G$63,51)="","",INDEX(Dossiers!$G$4:$G$63,51)))</f>
        <v/>
      </c>
      <c r="V2694">
        <f>IF(OR($O2694="",NOT(ISNUMBER($Q2694))),"",$Q2694*1000000+2694)</f>
        <v/>
      </c>
      <c r="W2694" s="29">
        <f>IF($B2694="","",IFERROR(INDEX($U$4:$U$3183,MATCH(SMALL($V$4:$V$3183,2691),$V$4:$V$3183,0)),""))</f>
        <v/>
      </c>
    </row>
    <row r="2695">
      <c r="A2695">
        <f>IFERROR(INDEX($N$4:$N$3183,MATCH(SMALL($V$4:$V$3183,2692),$V$4:$V$3183,0)),"")</f>
        <v/>
      </c>
      <c r="B2695">
        <f>IFERROR(INDEX($O$4:$O$3183,MATCH(SMALL($V$4:$V$3183,2692),$V$4:$V$3183,0)),"")</f>
        <v/>
      </c>
      <c r="C2695">
        <f>IFERROR(INDEX($P$4:$P$3183,MATCH(SMALL($V$4:$V$3183,2692),$V$4:$V$3183,0)),"")</f>
        <v/>
      </c>
      <c r="D2695" s="29">
        <f>IFERROR(INDEX($Q$4:$Q$3183,MATCH(SMALL($V$4:$V$3183,2692),$V$4:$V$3183,0)),"")</f>
        <v/>
      </c>
      <c r="E2695" s="29">
        <f>IFERROR(INDEX($R$4:$R$3183,MATCH(SMALL($V$4:$V$3183,2692),$V$4:$V$3183,0)),"")</f>
        <v/>
      </c>
      <c r="F2695">
        <f>IFERROR(INDEX($S$4:$S$3183,MATCH(SMALL($V$4:$V$3183,2692),$V$4:$V$3183,0)),"")</f>
        <v/>
      </c>
      <c r="I2695" s="29">
        <f>IF($B2695="","",IFERROR(INDEX($U$4:$U$3183,MATCH(SMALL($V$4:$V$3183,2692),$V$4:$V$3183,0)),""))</f>
        <v/>
      </c>
      <c r="J2695">
        <f>IF($B2695="","",IF($D2695&gt;$F$2,"À venir",IF($E2695&lt;$D$2,"Passé","Dans la période")))</f>
        <v/>
      </c>
      <c r="K2695">
        <f>IF(OR($B2695="",NOT(ISNUMBER($D2695))),"",IF(AND($E2695&lt;$D$2,$G2695&lt;&gt;"X",$F2695&lt;&gt;"Réalisé",$F2695&lt;&gt;"Clôturé"),"RETARD",""))</f>
        <v/>
      </c>
      <c r="L2695">
        <f>IF(OR($B2695="",NOT(ISNUMBER($D2695))),"",IF(AND($D2695&gt;=$D$2,$D2695&lt;=$H$2,$G2695&lt;&gt;"X",$F2695&lt;&gt;"Réalisé",$F2695&lt;&gt;"Clôturé"),"≤ 7 j",""))</f>
        <v/>
      </c>
      <c r="M2695" s="29">
        <f>IF($B2695="","",IFERROR(INDEX($T$4:$T$3183,MATCH(SMALL($V$4:$V$3183,2692),$V$4:$V$3183,0)),""))</f>
        <v/>
      </c>
      <c r="O2695">
        <f>IF(INDEX(Suivi!$B:$B,2746)="","",INDEX(Suivi!$B:$B,2746))</f>
        <v/>
      </c>
      <c r="P2695">
        <f>IF($O2695="","",IF(INDEX(Suivi!$D:$D,2746)="",INDEX(Suivi!$C:$C,2746),INDEX(Suivi!$D:$D,2746)))</f>
        <v/>
      </c>
      <c r="Q2695">
        <f>IF($O2695="","",INDEX(Suivi!$E:$E,2746))</f>
        <v/>
      </c>
      <c r="R2695">
        <f>IF($O2695="","",INDEX(Suivi!$F:$F,2746))</f>
        <v/>
      </c>
      <c r="S2695">
        <f>IF($O2695="","",INDEX(Suivi!$G:$G,2746))</f>
        <v/>
      </c>
      <c r="T2695">
        <f>IF($O2695="","",IF(INDEX(Dossiers!$F$4:$F$63,51)="","",INDEX(Dossiers!$F$4:$F$63,51)))</f>
        <v/>
      </c>
      <c r="U2695">
        <f>IF($O2695="","",IF(INDEX(Dossiers!$G$4:$G$63,51)="","",INDEX(Dossiers!$G$4:$G$63,51)))</f>
        <v/>
      </c>
      <c r="V2695">
        <f>IF(OR($O2695="",NOT(ISNUMBER($Q2695))),"",$Q2695*1000000+2695)</f>
        <v/>
      </c>
      <c r="W2695" s="29">
        <f>IF($B2695="","",IFERROR(INDEX($U$4:$U$3183,MATCH(SMALL($V$4:$V$3183,2692),$V$4:$V$3183,0)),""))</f>
        <v/>
      </c>
    </row>
    <row r="2696">
      <c r="A2696">
        <f>IFERROR(INDEX($N$4:$N$3183,MATCH(SMALL($V$4:$V$3183,2693),$V$4:$V$3183,0)),"")</f>
        <v/>
      </c>
      <c r="B2696">
        <f>IFERROR(INDEX($O$4:$O$3183,MATCH(SMALL($V$4:$V$3183,2693),$V$4:$V$3183,0)),"")</f>
        <v/>
      </c>
      <c r="C2696">
        <f>IFERROR(INDEX($P$4:$P$3183,MATCH(SMALL($V$4:$V$3183,2693),$V$4:$V$3183,0)),"")</f>
        <v/>
      </c>
      <c r="D2696" s="29">
        <f>IFERROR(INDEX($Q$4:$Q$3183,MATCH(SMALL($V$4:$V$3183,2693),$V$4:$V$3183,0)),"")</f>
        <v/>
      </c>
      <c r="E2696" s="29">
        <f>IFERROR(INDEX($R$4:$R$3183,MATCH(SMALL($V$4:$V$3183,2693),$V$4:$V$3183,0)),"")</f>
        <v/>
      </c>
      <c r="F2696">
        <f>IFERROR(INDEX($S$4:$S$3183,MATCH(SMALL($V$4:$V$3183,2693),$V$4:$V$3183,0)),"")</f>
        <v/>
      </c>
      <c r="I2696" s="29">
        <f>IF($B2696="","",IFERROR(INDEX($U$4:$U$3183,MATCH(SMALL($V$4:$V$3183,2693),$V$4:$V$3183,0)),""))</f>
        <v/>
      </c>
      <c r="J2696">
        <f>IF($B2696="","",IF($D2696&gt;$F$2,"À venir",IF($E2696&lt;$D$2,"Passé","Dans la période")))</f>
        <v/>
      </c>
      <c r="K2696">
        <f>IF(OR($B2696="",NOT(ISNUMBER($D2696))),"",IF(AND($E2696&lt;$D$2,$G2696&lt;&gt;"X",$F2696&lt;&gt;"Réalisé",$F2696&lt;&gt;"Clôturé"),"RETARD",""))</f>
        <v/>
      </c>
      <c r="L2696">
        <f>IF(OR($B2696="",NOT(ISNUMBER($D2696))),"",IF(AND($D2696&gt;=$D$2,$D2696&lt;=$H$2,$G2696&lt;&gt;"X",$F2696&lt;&gt;"Réalisé",$F2696&lt;&gt;"Clôturé"),"≤ 7 j",""))</f>
        <v/>
      </c>
      <c r="M2696" s="29">
        <f>IF($B2696="","",IFERROR(INDEX($T$4:$T$3183,MATCH(SMALL($V$4:$V$3183,2693),$V$4:$V$3183,0)),""))</f>
        <v/>
      </c>
      <c r="O2696">
        <f>IF(INDEX(Suivi!$B:$B,2747)="","",INDEX(Suivi!$B:$B,2747))</f>
        <v/>
      </c>
      <c r="P2696">
        <f>IF($O2696="","",IF(INDEX(Suivi!$D:$D,2747)="",INDEX(Suivi!$C:$C,2747),INDEX(Suivi!$D:$D,2747)))</f>
        <v/>
      </c>
      <c r="Q2696">
        <f>IF($O2696="","",INDEX(Suivi!$E:$E,2747))</f>
        <v/>
      </c>
      <c r="R2696">
        <f>IF($O2696="","",INDEX(Suivi!$F:$F,2747))</f>
        <v/>
      </c>
      <c r="S2696">
        <f>IF($O2696="","",INDEX(Suivi!$G:$G,2747))</f>
        <v/>
      </c>
      <c r="T2696">
        <f>IF($O2696="","",IF(INDEX(Dossiers!$F$4:$F$63,51)="","",INDEX(Dossiers!$F$4:$F$63,51)))</f>
        <v/>
      </c>
      <c r="U2696">
        <f>IF($O2696="","",IF(INDEX(Dossiers!$G$4:$G$63,51)="","",INDEX(Dossiers!$G$4:$G$63,51)))</f>
        <v/>
      </c>
      <c r="V2696">
        <f>IF(OR($O2696="",NOT(ISNUMBER($Q2696))),"",$Q2696*1000000+2696)</f>
        <v/>
      </c>
      <c r="W2696" s="29">
        <f>IF($B2696="","",IFERROR(INDEX($U$4:$U$3183,MATCH(SMALL($V$4:$V$3183,2693),$V$4:$V$3183,0)),""))</f>
        <v/>
      </c>
    </row>
    <row r="2697">
      <c r="A2697">
        <f>IFERROR(INDEX($N$4:$N$3183,MATCH(SMALL($V$4:$V$3183,2694),$V$4:$V$3183,0)),"")</f>
        <v/>
      </c>
      <c r="B2697">
        <f>IFERROR(INDEX($O$4:$O$3183,MATCH(SMALL($V$4:$V$3183,2694),$V$4:$V$3183,0)),"")</f>
        <v/>
      </c>
      <c r="C2697">
        <f>IFERROR(INDEX($P$4:$P$3183,MATCH(SMALL($V$4:$V$3183,2694),$V$4:$V$3183,0)),"")</f>
        <v/>
      </c>
      <c r="D2697" s="29">
        <f>IFERROR(INDEX($Q$4:$Q$3183,MATCH(SMALL($V$4:$V$3183,2694),$V$4:$V$3183,0)),"")</f>
        <v/>
      </c>
      <c r="E2697" s="29">
        <f>IFERROR(INDEX($R$4:$R$3183,MATCH(SMALL($V$4:$V$3183,2694),$V$4:$V$3183,0)),"")</f>
        <v/>
      </c>
      <c r="F2697">
        <f>IFERROR(INDEX($S$4:$S$3183,MATCH(SMALL($V$4:$V$3183,2694),$V$4:$V$3183,0)),"")</f>
        <v/>
      </c>
      <c r="I2697" s="29">
        <f>IF($B2697="","",IFERROR(INDEX($U$4:$U$3183,MATCH(SMALL($V$4:$V$3183,2694),$V$4:$V$3183,0)),""))</f>
        <v/>
      </c>
      <c r="J2697">
        <f>IF($B2697="","",IF($D2697&gt;$F$2,"À venir",IF($E2697&lt;$D$2,"Passé","Dans la période")))</f>
        <v/>
      </c>
      <c r="K2697">
        <f>IF(OR($B2697="",NOT(ISNUMBER($D2697))),"",IF(AND($E2697&lt;$D$2,$G2697&lt;&gt;"X",$F2697&lt;&gt;"Réalisé",$F2697&lt;&gt;"Clôturé"),"RETARD",""))</f>
        <v/>
      </c>
      <c r="L2697">
        <f>IF(OR($B2697="",NOT(ISNUMBER($D2697))),"",IF(AND($D2697&gt;=$D$2,$D2697&lt;=$H$2,$G2697&lt;&gt;"X",$F2697&lt;&gt;"Réalisé",$F2697&lt;&gt;"Clôturé"),"≤ 7 j",""))</f>
        <v/>
      </c>
      <c r="M2697" s="29">
        <f>IF($B2697="","",IFERROR(INDEX($T$4:$T$3183,MATCH(SMALL($V$4:$V$3183,2694),$V$4:$V$3183,0)),""))</f>
        <v/>
      </c>
      <c r="O2697">
        <f>IF(INDEX(Suivi!$B:$B,2748)="","",INDEX(Suivi!$B:$B,2748))</f>
        <v/>
      </c>
      <c r="P2697">
        <f>IF($O2697="","",IF(INDEX(Suivi!$D:$D,2748)="",INDEX(Suivi!$C:$C,2748),INDEX(Suivi!$D:$D,2748)))</f>
        <v/>
      </c>
      <c r="Q2697">
        <f>IF($O2697="","",INDEX(Suivi!$E:$E,2748))</f>
        <v/>
      </c>
      <c r="R2697">
        <f>IF($O2697="","",INDEX(Suivi!$F:$F,2748))</f>
        <v/>
      </c>
      <c r="S2697">
        <f>IF($O2697="","",INDEX(Suivi!$G:$G,2748))</f>
        <v/>
      </c>
      <c r="T2697">
        <f>IF($O2697="","",IF(INDEX(Dossiers!$F$4:$F$63,51)="","",INDEX(Dossiers!$F$4:$F$63,51)))</f>
        <v/>
      </c>
      <c r="U2697">
        <f>IF($O2697="","",IF(INDEX(Dossiers!$G$4:$G$63,51)="","",INDEX(Dossiers!$G$4:$G$63,51)))</f>
        <v/>
      </c>
      <c r="V2697">
        <f>IF(OR($O2697="",NOT(ISNUMBER($Q2697))),"",$Q2697*1000000+2697)</f>
        <v/>
      </c>
      <c r="W2697" s="29">
        <f>IF($B2697="","",IFERROR(INDEX($U$4:$U$3183,MATCH(SMALL($V$4:$V$3183,2694),$V$4:$V$3183,0)),""))</f>
        <v/>
      </c>
    </row>
    <row r="2698">
      <c r="A2698">
        <f>IFERROR(INDEX($N$4:$N$3183,MATCH(SMALL($V$4:$V$3183,2695),$V$4:$V$3183,0)),"")</f>
        <v/>
      </c>
      <c r="B2698">
        <f>IFERROR(INDEX($O$4:$O$3183,MATCH(SMALL($V$4:$V$3183,2695),$V$4:$V$3183,0)),"")</f>
        <v/>
      </c>
      <c r="C2698">
        <f>IFERROR(INDEX($P$4:$P$3183,MATCH(SMALL($V$4:$V$3183,2695),$V$4:$V$3183,0)),"")</f>
        <v/>
      </c>
      <c r="D2698" s="29">
        <f>IFERROR(INDEX($Q$4:$Q$3183,MATCH(SMALL($V$4:$V$3183,2695),$V$4:$V$3183,0)),"")</f>
        <v/>
      </c>
      <c r="E2698" s="29">
        <f>IFERROR(INDEX($R$4:$R$3183,MATCH(SMALL($V$4:$V$3183,2695),$V$4:$V$3183,0)),"")</f>
        <v/>
      </c>
      <c r="F2698">
        <f>IFERROR(INDEX($S$4:$S$3183,MATCH(SMALL($V$4:$V$3183,2695),$V$4:$V$3183,0)),"")</f>
        <v/>
      </c>
      <c r="I2698" s="29">
        <f>IF($B2698="","",IFERROR(INDEX($U$4:$U$3183,MATCH(SMALL($V$4:$V$3183,2695),$V$4:$V$3183,0)),""))</f>
        <v/>
      </c>
      <c r="J2698">
        <f>IF($B2698="","",IF($D2698&gt;$F$2,"À venir",IF($E2698&lt;$D$2,"Passé","Dans la période")))</f>
        <v/>
      </c>
      <c r="K2698">
        <f>IF(OR($B2698="",NOT(ISNUMBER($D2698))),"",IF(AND($E2698&lt;$D$2,$G2698&lt;&gt;"X",$F2698&lt;&gt;"Réalisé",$F2698&lt;&gt;"Clôturé"),"RETARD",""))</f>
        <v/>
      </c>
      <c r="L2698">
        <f>IF(OR($B2698="",NOT(ISNUMBER($D2698))),"",IF(AND($D2698&gt;=$D$2,$D2698&lt;=$H$2,$G2698&lt;&gt;"X",$F2698&lt;&gt;"Réalisé",$F2698&lt;&gt;"Clôturé"),"≤ 7 j",""))</f>
        <v/>
      </c>
      <c r="M2698" s="29">
        <f>IF($B2698="","",IFERROR(INDEX($T$4:$T$3183,MATCH(SMALL($V$4:$V$3183,2695),$V$4:$V$3183,0)),""))</f>
        <v/>
      </c>
      <c r="O2698">
        <f>IF(INDEX(Suivi!$B:$B,2749)="","",INDEX(Suivi!$B:$B,2749))</f>
        <v/>
      </c>
      <c r="P2698">
        <f>IF($O2698="","",IF(INDEX(Suivi!$D:$D,2749)="",INDEX(Suivi!$C:$C,2749),INDEX(Suivi!$D:$D,2749)))</f>
        <v/>
      </c>
      <c r="Q2698">
        <f>IF($O2698="","",INDEX(Suivi!$E:$E,2749))</f>
        <v/>
      </c>
      <c r="R2698">
        <f>IF($O2698="","",INDEX(Suivi!$F:$F,2749))</f>
        <v/>
      </c>
      <c r="S2698">
        <f>IF($O2698="","",INDEX(Suivi!$G:$G,2749))</f>
        <v/>
      </c>
      <c r="T2698">
        <f>IF($O2698="","",IF(INDEX(Dossiers!$F$4:$F$63,51)="","",INDEX(Dossiers!$F$4:$F$63,51)))</f>
        <v/>
      </c>
      <c r="U2698">
        <f>IF($O2698="","",IF(INDEX(Dossiers!$G$4:$G$63,51)="","",INDEX(Dossiers!$G$4:$G$63,51)))</f>
        <v/>
      </c>
      <c r="V2698">
        <f>IF(OR($O2698="",NOT(ISNUMBER($Q2698))),"",$Q2698*1000000+2698)</f>
        <v/>
      </c>
      <c r="W2698" s="29">
        <f>IF($B2698="","",IFERROR(INDEX($U$4:$U$3183,MATCH(SMALL($V$4:$V$3183,2695),$V$4:$V$3183,0)),""))</f>
        <v/>
      </c>
    </row>
    <row r="2699">
      <c r="A2699">
        <f>IFERROR(INDEX($N$4:$N$3183,MATCH(SMALL($V$4:$V$3183,2696),$V$4:$V$3183,0)),"")</f>
        <v/>
      </c>
      <c r="B2699">
        <f>IFERROR(INDEX($O$4:$O$3183,MATCH(SMALL($V$4:$V$3183,2696),$V$4:$V$3183,0)),"")</f>
        <v/>
      </c>
      <c r="C2699">
        <f>IFERROR(INDEX($P$4:$P$3183,MATCH(SMALL($V$4:$V$3183,2696),$V$4:$V$3183,0)),"")</f>
        <v/>
      </c>
      <c r="D2699" s="29">
        <f>IFERROR(INDEX($Q$4:$Q$3183,MATCH(SMALL($V$4:$V$3183,2696),$V$4:$V$3183,0)),"")</f>
        <v/>
      </c>
      <c r="E2699" s="29">
        <f>IFERROR(INDEX($R$4:$R$3183,MATCH(SMALL($V$4:$V$3183,2696),$V$4:$V$3183,0)),"")</f>
        <v/>
      </c>
      <c r="F2699">
        <f>IFERROR(INDEX($S$4:$S$3183,MATCH(SMALL($V$4:$V$3183,2696),$V$4:$V$3183,0)),"")</f>
        <v/>
      </c>
      <c r="I2699" s="29">
        <f>IF($B2699="","",IFERROR(INDEX($U$4:$U$3183,MATCH(SMALL($V$4:$V$3183,2696),$V$4:$V$3183,0)),""))</f>
        <v/>
      </c>
      <c r="J2699">
        <f>IF($B2699="","",IF($D2699&gt;$F$2,"À venir",IF($E2699&lt;$D$2,"Passé","Dans la période")))</f>
        <v/>
      </c>
      <c r="K2699">
        <f>IF(OR($B2699="",NOT(ISNUMBER($D2699))),"",IF(AND($E2699&lt;$D$2,$G2699&lt;&gt;"X",$F2699&lt;&gt;"Réalisé",$F2699&lt;&gt;"Clôturé"),"RETARD",""))</f>
        <v/>
      </c>
      <c r="L2699">
        <f>IF(OR($B2699="",NOT(ISNUMBER($D2699))),"",IF(AND($D2699&gt;=$D$2,$D2699&lt;=$H$2,$G2699&lt;&gt;"X",$F2699&lt;&gt;"Réalisé",$F2699&lt;&gt;"Clôturé"),"≤ 7 j",""))</f>
        <v/>
      </c>
      <c r="M2699" s="29">
        <f>IF($B2699="","",IFERROR(INDEX($T$4:$T$3183,MATCH(SMALL($V$4:$V$3183,2696),$V$4:$V$3183,0)),""))</f>
        <v/>
      </c>
      <c r="O2699">
        <f>IF(INDEX(Suivi!$B:$B,2750)="","",INDEX(Suivi!$B:$B,2750))</f>
        <v/>
      </c>
      <c r="P2699">
        <f>IF($O2699="","",IF(INDEX(Suivi!$D:$D,2750)="",INDEX(Suivi!$C:$C,2750),INDEX(Suivi!$D:$D,2750)))</f>
        <v/>
      </c>
      <c r="Q2699">
        <f>IF($O2699="","",INDEX(Suivi!$E:$E,2750))</f>
        <v/>
      </c>
      <c r="R2699">
        <f>IF($O2699="","",INDEX(Suivi!$F:$F,2750))</f>
        <v/>
      </c>
      <c r="S2699">
        <f>IF($O2699="","",INDEX(Suivi!$G:$G,2750))</f>
        <v/>
      </c>
      <c r="T2699">
        <f>IF($O2699="","",IF(INDEX(Dossiers!$F$4:$F$63,51)="","",INDEX(Dossiers!$F$4:$F$63,51)))</f>
        <v/>
      </c>
      <c r="U2699">
        <f>IF($O2699="","",IF(INDEX(Dossiers!$G$4:$G$63,51)="","",INDEX(Dossiers!$G$4:$G$63,51)))</f>
        <v/>
      </c>
      <c r="V2699">
        <f>IF(OR($O2699="",NOT(ISNUMBER($Q2699))),"",$Q2699*1000000+2699)</f>
        <v/>
      </c>
      <c r="W2699" s="29">
        <f>IF($B2699="","",IFERROR(INDEX($U$4:$U$3183,MATCH(SMALL($V$4:$V$3183,2696),$V$4:$V$3183,0)),""))</f>
        <v/>
      </c>
    </row>
    <row r="2700">
      <c r="A2700">
        <f>IFERROR(INDEX($N$4:$N$3183,MATCH(SMALL($V$4:$V$3183,2697),$V$4:$V$3183,0)),"")</f>
        <v/>
      </c>
      <c r="B2700">
        <f>IFERROR(INDEX($O$4:$O$3183,MATCH(SMALL($V$4:$V$3183,2697),$V$4:$V$3183,0)),"")</f>
        <v/>
      </c>
      <c r="C2700">
        <f>IFERROR(INDEX($P$4:$P$3183,MATCH(SMALL($V$4:$V$3183,2697),$V$4:$V$3183,0)),"")</f>
        <v/>
      </c>
      <c r="D2700" s="29">
        <f>IFERROR(INDEX($Q$4:$Q$3183,MATCH(SMALL($V$4:$V$3183,2697),$V$4:$V$3183,0)),"")</f>
        <v/>
      </c>
      <c r="E2700" s="29">
        <f>IFERROR(INDEX($R$4:$R$3183,MATCH(SMALL($V$4:$V$3183,2697),$V$4:$V$3183,0)),"")</f>
        <v/>
      </c>
      <c r="F2700">
        <f>IFERROR(INDEX($S$4:$S$3183,MATCH(SMALL($V$4:$V$3183,2697),$V$4:$V$3183,0)),"")</f>
        <v/>
      </c>
      <c r="I2700" s="29">
        <f>IF($B2700="","",IFERROR(INDEX($U$4:$U$3183,MATCH(SMALL($V$4:$V$3183,2697),$V$4:$V$3183,0)),""))</f>
        <v/>
      </c>
      <c r="J2700">
        <f>IF($B2700="","",IF($D2700&gt;$F$2,"À venir",IF($E2700&lt;$D$2,"Passé","Dans la période")))</f>
        <v/>
      </c>
      <c r="K2700">
        <f>IF(OR($B2700="",NOT(ISNUMBER($D2700))),"",IF(AND($E2700&lt;$D$2,$G2700&lt;&gt;"X",$F2700&lt;&gt;"Réalisé",$F2700&lt;&gt;"Clôturé"),"RETARD",""))</f>
        <v/>
      </c>
      <c r="L2700">
        <f>IF(OR($B2700="",NOT(ISNUMBER($D2700))),"",IF(AND($D2700&gt;=$D$2,$D2700&lt;=$H$2,$G2700&lt;&gt;"X",$F2700&lt;&gt;"Réalisé",$F2700&lt;&gt;"Clôturé"),"≤ 7 j",""))</f>
        <v/>
      </c>
      <c r="M2700" s="29">
        <f>IF($B2700="","",IFERROR(INDEX($T$4:$T$3183,MATCH(SMALL($V$4:$V$3183,2697),$V$4:$V$3183,0)),""))</f>
        <v/>
      </c>
      <c r="O2700">
        <f>IF(INDEX(Suivi!$B:$B,2751)="","",INDEX(Suivi!$B:$B,2751))</f>
        <v/>
      </c>
      <c r="P2700">
        <f>IF($O2700="","",IF(INDEX(Suivi!$D:$D,2751)="",INDEX(Suivi!$C:$C,2751),INDEX(Suivi!$D:$D,2751)))</f>
        <v/>
      </c>
      <c r="Q2700">
        <f>IF($O2700="","",INDEX(Suivi!$E:$E,2751))</f>
        <v/>
      </c>
      <c r="R2700">
        <f>IF($O2700="","",INDEX(Suivi!$F:$F,2751))</f>
        <v/>
      </c>
      <c r="S2700">
        <f>IF($O2700="","",INDEX(Suivi!$G:$G,2751))</f>
        <v/>
      </c>
      <c r="T2700">
        <f>IF($O2700="","",IF(INDEX(Dossiers!$F$4:$F$63,51)="","",INDEX(Dossiers!$F$4:$F$63,51)))</f>
        <v/>
      </c>
      <c r="U2700">
        <f>IF($O2700="","",IF(INDEX(Dossiers!$G$4:$G$63,51)="","",INDEX(Dossiers!$G$4:$G$63,51)))</f>
        <v/>
      </c>
      <c r="V2700">
        <f>IF(OR($O2700="",NOT(ISNUMBER($Q2700))),"",$Q2700*1000000+2700)</f>
        <v/>
      </c>
      <c r="W2700" s="29">
        <f>IF($B2700="","",IFERROR(INDEX($U$4:$U$3183,MATCH(SMALL($V$4:$V$3183,2697),$V$4:$V$3183,0)),""))</f>
        <v/>
      </c>
    </row>
    <row r="2701">
      <c r="A2701">
        <f>IFERROR(INDEX($N$4:$N$3183,MATCH(SMALL($V$4:$V$3183,2698),$V$4:$V$3183,0)),"")</f>
        <v/>
      </c>
      <c r="B2701">
        <f>IFERROR(INDEX($O$4:$O$3183,MATCH(SMALL($V$4:$V$3183,2698),$V$4:$V$3183,0)),"")</f>
        <v/>
      </c>
      <c r="C2701">
        <f>IFERROR(INDEX($P$4:$P$3183,MATCH(SMALL($V$4:$V$3183,2698),$V$4:$V$3183,0)),"")</f>
        <v/>
      </c>
      <c r="D2701" s="29">
        <f>IFERROR(INDEX($Q$4:$Q$3183,MATCH(SMALL($V$4:$V$3183,2698),$V$4:$V$3183,0)),"")</f>
        <v/>
      </c>
      <c r="E2701" s="29">
        <f>IFERROR(INDEX($R$4:$R$3183,MATCH(SMALL($V$4:$V$3183,2698),$V$4:$V$3183,0)),"")</f>
        <v/>
      </c>
      <c r="F2701">
        <f>IFERROR(INDEX($S$4:$S$3183,MATCH(SMALL($V$4:$V$3183,2698),$V$4:$V$3183,0)),"")</f>
        <v/>
      </c>
      <c r="I2701" s="29">
        <f>IF($B2701="","",IFERROR(INDEX($U$4:$U$3183,MATCH(SMALL($V$4:$V$3183,2698),$V$4:$V$3183,0)),""))</f>
        <v/>
      </c>
      <c r="J2701">
        <f>IF($B2701="","",IF($D2701&gt;$F$2,"À venir",IF($E2701&lt;$D$2,"Passé","Dans la période")))</f>
        <v/>
      </c>
      <c r="K2701">
        <f>IF(OR($B2701="",NOT(ISNUMBER($D2701))),"",IF(AND($E2701&lt;$D$2,$G2701&lt;&gt;"X",$F2701&lt;&gt;"Réalisé",$F2701&lt;&gt;"Clôturé"),"RETARD",""))</f>
        <v/>
      </c>
      <c r="L2701">
        <f>IF(OR($B2701="",NOT(ISNUMBER($D2701))),"",IF(AND($D2701&gt;=$D$2,$D2701&lt;=$H$2,$G2701&lt;&gt;"X",$F2701&lt;&gt;"Réalisé",$F2701&lt;&gt;"Clôturé"),"≤ 7 j",""))</f>
        <v/>
      </c>
      <c r="M2701" s="29">
        <f>IF($B2701="","",IFERROR(INDEX($T$4:$T$3183,MATCH(SMALL($V$4:$V$3183,2698),$V$4:$V$3183,0)),""))</f>
        <v/>
      </c>
      <c r="O2701">
        <f>IF(INDEX(Suivi!$B:$B,2752)="","",INDEX(Suivi!$B:$B,2752))</f>
        <v/>
      </c>
      <c r="P2701">
        <f>IF($O2701="","",IF(INDEX(Suivi!$D:$D,2752)="",INDEX(Suivi!$C:$C,2752),INDEX(Suivi!$D:$D,2752)))</f>
        <v/>
      </c>
      <c r="Q2701">
        <f>IF($O2701="","",INDEX(Suivi!$E:$E,2752))</f>
        <v/>
      </c>
      <c r="R2701">
        <f>IF($O2701="","",INDEX(Suivi!$F:$F,2752))</f>
        <v/>
      </c>
      <c r="S2701">
        <f>IF($O2701="","",INDEX(Suivi!$G:$G,2752))</f>
        <v/>
      </c>
      <c r="T2701">
        <f>IF($O2701="","",IF(INDEX(Dossiers!$F$4:$F$63,51)="","",INDEX(Dossiers!$F$4:$F$63,51)))</f>
        <v/>
      </c>
      <c r="U2701">
        <f>IF($O2701="","",IF(INDEX(Dossiers!$G$4:$G$63,51)="","",INDEX(Dossiers!$G$4:$G$63,51)))</f>
        <v/>
      </c>
      <c r="V2701">
        <f>IF(OR($O2701="",NOT(ISNUMBER($Q2701))),"",$Q2701*1000000+2701)</f>
        <v/>
      </c>
      <c r="W2701" s="29">
        <f>IF($B2701="","",IFERROR(INDEX($U$4:$U$3183,MATCH(SMALL($V$4:$V$3183,2698),$V$4:$V$3183,0)),""))</f>
        <v/>
      </c>
    </row>
    <row r="2702">
      <c r="A2702">
        <f>IFERROR(INDEX($N$4:$N$3183,MATCH(SMALL($V$4:$V$3183,2699),$V$4:$V$3183,0)),"")</f>
        <v/>
      </c>
      <c r="B2702">
        <f>IFERROR(INDEX($O$4:$O$3183,MATCH(SMALL($V$4:$V$3183,2699),$V$4:$V$3183,0)),"")</f>
        <v/>
      </c>
      <c r="C2702">
        <f>IFERROR(INDEX($P$4:$P$3183,MATCH(SMALL($V$4:$V$3183,2699),$V$4:$V$3183,0)),"")</f>
        <v/>
      </c>
      <c r="D2702" s="29">
        <f>IFERROR(INDEX($Q$4:$Q$3183,MATCH(SMALL($V$4:$V$3183,2699),$V$4:$V$3183,0)),"")</f>
        <v/>
      </c>
      <c r="E2702" s="29">
        <f>IFERROR(INDEX($R$4:$R$3183,MATCH(SMALL($V$4:$V$3183,2699),$V$4:$V$3183,0)),"")</f>
        <v/>
      </c>
      <c r="F2702">
        <f>IFERROR(INDEX($S$4:$S$3183,MATCH(SMALL($V$4:$V$3183,2699),$V$4:$V$3183,0)),"")</f>
        <v/>
      </c>
      <c r="I2702" s="29">
        <f>IF($B2702="","",IFERROR(INDEX($U$4:$U$3183,MATCH(SMALL($V$4:$V$3183,2699),$V$4:$V$3183,0)),""))</f>
        <v/>
      </c>
      <c r="J2702">
        <f>IF($B2702="","",IF($D2702&gt;$F$2,"À venir",IF($E2702&lt;$D$2,"Passé","Dans la période")))</f>
        <v/>
      </c>
      <c r="K2702">
        <f>IF(OR($B2702="",NOT(ISNUMBER($D2702))),"",IF(AND($E2702&lt;$D$2,$G2702&lt;&gt;"X",$F2702&lt;&gt;"Réalisé",$F2702&lt;&gt;"Clôturé"),"RETARD",""))</f>
        <v/>
      </c>
      <c r="L2702">
        <f>IF(OR($B2702="",NOT(ISNUMBER($D2702))),"",IF(AND($D2702&gt;=$D$2,$D2702&lt;=$H$2,$G2702&lt;&gt;"X",$F2702&lt;&gt;"Réalisé",$F2702&lt;&gt;"Clôturé"),"≤ 7 j",""))</f>
        <v/>
      </c>
      <c r="M2702" s="29">
        <f>IF($B2702="","",IFERROR(INDEX($T$4:$T$3183,MATCH(SMALL($V$4:$V$3183,2699),$V$4:$V$3183,0)),""))</f>
        <v/>
      </c>
      <c r="O2702">
        <f>IF(INDEX(Suivi!$B:$B,2753)="","",INDEX(Suivi!$B:$B,2753))</f>
        <v/>
      </c>
      <c r="P2702">
        <f>IF($O2702="","",IF(INDEX(Suivi!$D:$D,2753)="",INDEX(Suivi!$C:$C,2753),INDEX(Suivi!$D:$D,2753)))</f>
        <v/>
      </c>
      <c r="Q2702">
        <f>IF($O2702="","",INDEX(Suivi!$E:$E,2753))</f>
        <v/>
      </c>
      <c r="R2702">
        <f>IF($O2702="","",INDEX(Suivi!$F:$F,2753))</f>
        <v/>
      </c>
      <c r="S2702">
        <f>IF($O2702="","",INDEX(Suivi!$G:$G,2753))</f>
        <v/>
      </c>
      <c r="T2702">
        <f>IF($O2702="","",IF(INDEX(Dossiers!$F$4:$F$63,51)="","",INDEX(Dossiers!$F$4:$F$63,51)))</f>
        <v/>
      </c>
      <c r="U2702">
        <f>IF($O2702="","",IF(INDEX(Dossiers!$G$4:$G$63,51)="","",INDEX(Dossiers!$G$4:$G$63,51)))</f>
        <v/>
      </c>
      <c r="V2702">
        <f>IF(OR($O2702="",NOT(ISNUMBER($Q2702))),"",$Q2702*1000000+2702)</f>
        <v/>
      </c>
      <c r="W2702" s="29">
        <f>IF($B2702="","",IFERROR(INDEX($U$4:$U$3183,MATCH(SMALL($V$4:$V$3183,2699),$V$4:$V$3183,0)),""))</f>
        <v/>
      </c>
    </row>
    <row r="2703">
      <c r="A2703">
        <f>IFERROR(INDEX($N$4:$N$3183,MATCH(SMALL($V$4:$V$3183,2700),$V$4:$V$3183,0)),"")</f>
        <v/>
      </c>
      <c r="B2703">
        <f>IFERROR(INDEX($O$4:$O$3183,MATCH(SMALL($V$4:$V$3183,2700),$V$4:$V$3183,0)),"")</f>
        <v/>
      </c>
      <c r="C2703">
        <f>IFERROR(INDEX($P$4:$P$3183,MATCH(SMALL($V$4:$V$3183,2700),$V$4:$V$3183,0)),"")</f>
        <v/>
      </c>
      <c r="D2703" s="29">
        <f>IFERROR(INDEX($Q$4:$Q$3183,MATCH(SMALL($V$4:$V$3183,2700),$V$4:$V$3183,0)),"")</f>
        <v/>
      </c>
      <c r="E2703" s="29">
        <f>IFERROR(INDEX($R$4:$R$3183,MATCH(SMALL($V$4:$V$3183,2700),$V$4:$V$3183,0)),"")</f>
        <v/>
      </c>
      <c r="F2703">
        <f>IFERROR(INDEX($S$4:$S$3183,MATCH(SMALL($V$4:$V$3183,2700),$V$4:$V$3183,0)),"")</f>
        <v/>
      </c>
      <c r="I2703" s="29">
        <f>IF($B2703="","",IFERROR(INDEX($U$4:$U$3183,MATCH(SMALL($V$4:$V$3183,2700),$V$4:$V$3183,0)),""))</f>
        <v/>
      </c>
      <c r="J2703">
        <f>IF($B2703="","",IF($D2703&gt;$F$2,"À venir",IF($E2703&lt;$D$2,"Passé","Dans la période")))</f>
        <v/>
      </c>
      <c r="K2703">
        <f>IF(OR($B2703="",NOT(ISNUMBER($D2703))),"",IF(AND($E2703&lt;$D$2,$G2703&lt;&gt;"X",$F2703&lt;&gt;"Réalisé",$F2703&lt;&gt;"Clôturé"),"RETARD",""))</f>
        <v/>
      </c>
      <c r="L2703">
        <f>IF(OR($B2703="",NOT(ISNUMBER($D2703))),"",IF(AND($D2703&gt;=$D$2,$D2703&lt;=$H$2,$G2703&lt;&gt;"X",$F2703&lt;&gt;"Réalisé",$F2703&lt;&gt;"Clôturé"),"≤ 7 j",""))</f>
        <v/>
      </c>
      <c r="M2703" s="29">
        <f>IF($B2703="","",IFERROR(INDEX($T$4:$T$3183,MATCH(SMALL($V$4:$V$3183,2700),$V$4:$V$3183,0)),""))</f>
        <v/>
      </c>
      <c r="O2703">
        <f>IF(INDEX(Suivi!$B:$B,2754)="","",INDEX(Suivi!$B:$B,2754))</f>
        <v/>
      </c>
      <c r="P2703">
        <f>IF($O2703="","",IF(INDEX(Suivi!$D:$D,2754)="",INDEX(Suivi!$C:$C,2754),INDEX(Suivi!$D:$D,2754)))</f>
        <v/>
      </c>
      <c r="Q2703">
        <f>IF($O2703="","",INDEX(Suivi!$E:$E,2754))</f>
        <v/>
      </c>
      <c r="R2703">
        <f>IF($O2703="","",INDEX(Suivi!$F:$F,2754))</f>
        <v/>
      </c>
      <c r="S2703">
        <f>IF($O2703="","",INDEX(Suivi!$G:$G,2754))</f>
        <v/>
      </c>
      <c r="T2703">
        <f>IF($O2703="","",IF(INDEX(Dossiers!$F$4:$F$63,51)="","",INDEX(Dossiers!$F$4:$F$63,51)))</f>
        <v/>
      </c>
      <c r="U2703">
        <f>IF($O2703="","",IF(INDEX(Dossiers!$G$4:$G$63,51)="","",INDEX(Dossiers!$G$4:$G$63,51)))</f>
        <v/>
      </c>
      <c r="V2703">
        <f>IF(OR($O2703="",NOT(ISNUMBER($Q2703))),"",$Q2703*1000000+2703)</f>
        <v/>
      </c>
      <c r="W2703" s="29">
        <f>IF($B2703="","",IFERROR(INDEX($U$4:$U$3183,MATCH(SMALL($V$4:$V$3183,2700),$V$4:$V$3183,0)),""))</f>
        <v/>
      </c>
    </row>
    <row r="2704">
      <c r="A2704">
        <f>IFERROR(INDEX($N$4:$N$3183,MATCH(SMALL($V$4:$V$3183,2701),$V$4:$V$3183,0)),"")</f>
        <v/>
      </c>
      <c r="B2704">
        <f>IFERROR(INDEX($O$4:$O$3183,MATCH(SMALL($V$4:$V$3183,2701),$V$4:$V$3183,0)),"")</f>
        <v/>
      </c>
      <c r="C2704">
        <f>IFERROR(INDEX($P$4:$P$3183,MATCH(SMALL($V$4:$V$3183,2701),$V$4:$V$3183,0)),"")</f>
        <v/>
      </c>
      <c r="D2704" s="29">
        <f>IFERROR(INDEX($Q$4:$Q$3183,MATCH(SMALL($V$4:$V$3183,2701),$V$4:$V$3183,0)),"")</f>
        <v/>
      </c>
      <c r="E2704" s="29">
        <f>IFERROR(INDEX($R$4:$R$3183,MATCH(SMALL($V$4:$V$3183,2701),$V$4:$V$3183,0)),"")</f>
        <v/>
      </c>
      <c r="F2704">
        <f>IFERROR(INDEX($S$4:$S$3183,MATCH(SMALL($V$4:$V$3183,2701),$V$4:$V$3183,0)),"")</f>
        <v/>
      </c>
      <c r="I2704" s="29">
        <f>IF($B2704="","",IFERROR(INDEX($U$4:$U$3183,MATCH(SMALL($V$4:$V$3183,2701),$V$4:$V$3183,0)),""))</f>
        <v/>
      </c>
      <c r="J2704">
        <f>IF($B2704="","",IF($D2704&gt;$F$2,"À venir",IF($E2704&lt;$D$2,"Passé","Dans la période")))</f>
        <v/>
      </c>
      <c r="K2704">
        <f>IF(OR($B2704="",NOT(ISNUMBER($D2704))),"",IF(AND($E2704&lt;$D$2,$G2704&lt;&gt;"X",$F2704&lt;&gt;"Réalisé",$F2704&lt;&gt;"Clôturé"),"RETARD",""))</f>
        <v/>
      </c>
      <c r="L2704">
        <f>IF(OR($B2704="",NOT(ISNUMBER($D2704))),"",IF(AND($D2704&gt;=$D$2,$D2704&lt;=$H$2,$G2704&lt;&gt;"X",$F2704&lt;&gt;"Réalisé",$F2704&lt;&gt;"Clôturé"),"≤ 7 j",""))</f>
        <v/>
      </c>
      <c r="M2704" s="29">
        <f>IF($B2704="","",IFERROR(INDEX($T$4:$T$3183,MATCH(SMALL($V$4:$V$3183,2701),$V$4:$V$3183,0)),""))</f>
        <v/>
      </c>
      <c r="O2704">
        <f>IF(INDEX(Suivi!$B:$B,2755)="","",INDEX(Suivi!$B:$B,2755))</f>
        <v/>
      </c>
      <c r="P2704">
        <f>IF($O2704="","",IF(INDEX(Suivi!$D:$D,2755)="",INDEX(Suivi!$C:$C,2755),INDEX(Suivi!$D:$D,2755)))</f>
        <v/>
      </c>
      <c r="Q2704">
        <f>IF($O2704="","",INDEX(Suivi!$E:$E,2755))</f>
        <v/>
      </c>
      <c r="R2704">
        <f>IF($O2704="","",INDEX(Suivi!$F:$F,2755))</f>
        <v/>
      </c>
      <c r="S2704">
        <f>IF($O2704="","",INDEX(Suivi!$G:$G,2755))</f>
        <v/>
      </c>
      <c r="T2704">
        <f>IF($O2704="","",IF(INDEX(Dossiers!$F$4:$F$63,51)="","",INDEX(Dossiers!$F$4:$F$63,51)))</f>
        <v/>
      </c>
      <c r="U2704">
        <f>IF($O2704="","",IF(INDEX(Dossiers!$G$4:$G$63,51)="","",INDEX(Dossiers!$G$4:$G$63,51)))</f>
        <v/>
      </c>
      <c r="V2704">
        <f>IF(OR($O2704="",NOT(ISNUMBER($Q2704))),"",$Q2704*1000000+2704)</f>
        <v/>
      </c>
      <c r="W2704" s="29">
        <f>IF($B2704="","",IFERROR(INDEX($U$4:$U$3183,MATCH(SMALL($V$4:$V$3183,2701),$V$4:$V$3183,0)),""))</f>
        <v/>
      </c>
    </row>
    <row r="2705">
      <c r="A2705">
        <f>IFERROR(INDEX($N$4:$N$3183,MATCH(SMALL($V$4:$V$3183,2702),$V$4:$V$3183,0)),"")</f>
        <v/>
      </c>
      <c r="B2705">
        <f>IFERROR(INDEX($O$4:$O$3183,MATCH(SMALL($V$4:$V$3183,2702),$V$4:$V$3183,0)),"")</f>
        <v/>
      </c>
      <c r="C2705">
        <f>IFERROR(INDEX($P$4:$P$3183,MATCH(SMALL($V$4:$V$3183,2702),$V$4:$V$3183,0)),"")</f>
        <v/>
      </c>
      <c r="D2705" s="29">
        <f>IFERROR(INDEX($Q$4:$Q$3183,MATCH(SMALL($V$4:$V$3183,2702),$V$4:$V$3183,0)),"")</f>
        <v/>
      </c>
      <c r="E2705" s="29">
        <f>IFERROR(INDEX($R$4:$R$3183,MATCH(SMALL($V$4:$V$3183,2702),$V$4:$V$3183,0)),"")</f>
        <v/>
      </c>
      <c r="F2705">
        <f>IFERROR(INDEX($S$4:$S$3183,MATCH(SMALL($V$4:$V$3183,2702),$V$4:$V$3183,0)),"")</f>
        <v/>
      </c>
      <c r="I2705" s="29">
        <f>IF($B2705="","",IFERROR(INDEX($U$4:$U$3183,MATCH(SMALL($V$4:$V$3183,2702),$V$4:$V$3183,0)),""))</f>
        <v/>
      </c>
      <c r="J2705">
        <f>IF($B2705="","",IF($D2705&gt;$F$2,"À venir",IF($E2705&lt;$D$2,"Passé","Dans la période")))</f>
        <v/>
      </c>
      <c r="K2705">
        <f>IF(OR($B2705="",NOT(ISNUMBER($D2705))),"",IF(AND($E2705&lt;$D$2,$G2705&lt;&gt;"X",$F2705&lt;&gt;"Réalisé",$F2705&lt;&gt;"Clôturé"),"RETARD",""))</f>
        <v/>
      </c>
      <c r="L2705">
        <f>IF(OR($B2705="",NOT(ISNUMBER($D2705))),"",IF(AND($D2705&gt;=$D$2,$D2705&lt;=$H$2,$G2705&lt;&gt;"X",$F2705&lt;&gt;"Réalisé",$F2705&lt;&gt;"Clôturé"),"≤ 7 j",""))</f>
        <v/>
      </c>
      <c r="M2705" s="29">
        <f>IF($B2705="","",IFERROR(INDEX($T$4:$T$3183,MATCH(SMALL($V$4:$V$3183,2702),$V$4:$V$3183,0)),""))</f>
        <v/>
      </c>
      <c r="O2705">
        <f>IF(INDEX(Suivi!$B:$B,2756)="","",INDEX(Suivi!$B:$B,2756))</f>
        <v/>
      </c>
      <c r="P2705">
        <f>IF($O2705="","",IF(INDEX(Suivi!$D:$D,2756)="",INDEX(Suivi!$C:$C,2756),INDEX(Suivi!$D:$D,2756)))</f>
        <v/>
      </c>
      <c r="Q2705">
        <f>IF($O2705="","",INDEX(Suivi!$E:$E,2756))</f>
        <v/>
      </c>
      <c r="R2705">
        <f>IF($O2705="","",INDEX(Suivi!$F:$F,2756))</f>
        <v/>
      </c>
      <c r="S2705">
        <f>IF($O2705="","",INDEX(Suivi!$G:$G,2756))</f>
        <v/>
      </c>
      <c r="T2705">
        <f>IF($O2705="","",IF(INDEX(Dossiers!$F$4:$F$63,51)="","",INDEX(Dossiers!$F$4:$F$63,51)))</f>
        <v/>
      </c>
      <c r="U2705">
        <f>IF($O2705="","",IF(INDEX(Dossiers!$G$4:$G$63,51)="","",INDEX(Dossiers!$G$4:$G$63,51)))</f>
        <v/>
      </c>
      <c r="V2705">
        <f>IF(OR($O2705="",NOT(ISNUMBER($Q2705))),"",$Q2705*1000000+2705)</f>
        <v/>
      </c>
      <c r="W2705" s="29">
        <f>IF($B2705="","",IFERROR(INDEX($U$4:$U$3183,MATCH(SMALL($V$4:$V$3183,2702),$V$4:$V$3183,0)),""))</f>
        <v/>
      </c>
    </row>
    <row r="2706">
      <c r="A2706">
        <f>IFERROR(INDEX($N$4:$N$3183,MATCH(SMALL($V$4:$V$3183,2703),$V$4:$V$3183,0)),"")</f>
        <v/>
      </c>
      <c r="B2706">
        <f>IFERROR(INDEX($O$4:$O$3183,MATCH(SMALL($V$4:$V$3183,2703),$V$4:$V$3183,0)),"")</f>
        <v/>
      </c>
      <c r="C2706">
        <f>IFERROR(INDEX($P$4:$P$3183,MATCH(SMALL($V$4:$V$3183,2703),$V$4:$V$3183,0)),"")</f>
        <v/>
      </c>
      <c r="D2706" s="29">
        <f>IFERROR(INDEX($Q$4:$Q$3183,MATCH(SMALL($V$4:$V$3183,2703),$V$4:$V$3183,0)),"")</f>
        <v/>
      </c>
      <c r="E2706" s="29">
        <f>IFERROR(INDEX($R$4:$R$3183,MATCH(SMALL($V$4:$V$3183,2703),$V$4:$V$3183,0)),"")</f>
        <v/>
      </c>
      <c r="F2706">
        <f>IFERROR(INDEX($S$4:$S$3183,MATCH(SMALL($V$4:$V$3183,2703),$V$4:$V$3183,0)),"")</f>
        <v/>
      </c>
      <c r="I2706" s="29">
        <f>IF($B2706="","",IFERROR(INDEX($U$4:$U$3183,MATCH(SMALL($V$4:$V$3183,2703),$V$4:$V$3183,0)),""))</f>
        <v/>
      </c>
      <c r="J2706">
        <f>IF($B2706="","",IF($D2706&gt;$F$2,"À venir",IF($E2706&lt;$D$2,"Passé","Dans la période")))</f>
        <v/>
      </c>
      <c r="K2706">
        <f>IF(OR($B2706="",NOT(ISNUMBER($D2706))),"",IF(AND($E2706&lt;$D$2,$G2706&lt;&gt;"X",$F2706&lt;&gt;"Réalisé",$F2706&lt;&gt;"Clôturé"),"RETARD",""))</f>
        <v/>
      </c>
      <c r="L2706">
        <f>IF(OR($B2706="",NOT(ISNUMBER($D2706))),"",IF(AND($D2706&gt;=$D$2,$D2706&lt;=$H$2,$G2706&lt;&gt;"X",$F2706&lt;&gt;"Réalisé",$F2706&lt;&gt;"Clôturé"),"≤ 7 j",""))</f>
        <v/>
      </c>
      <c r="M2706" s="29">
        <f>IF($B2706="","",IFERROR(INDEX($T$4:$T$3183,MATCH(SMALL($V$4:$V$3183,2703),$V$4:$V$3183,0)),""))</f>
        <v/>
      </c>
      <c r="O2706">
        <f>IF(INDEX(Suivi!$B:$B,2757)="","",INDEX(Suivi!$B:$B,2757))</f>
        <v/>
      </c>
      <c r="P2706">
        <f>IF($O2706="","",IF(INDEX(Suivi!$D:$D,2757)="",INDEX(Suivi!$C:$C,2757),INDEX(Suivi!$D:$D,2757)))</f>
        <v/>
      </c>
      <c r="Q2706">
        <f>IF($O2706="","",INDEX(Suivi!$E:$E,2757))</f>
        <v/>
      </c>
      <c r="R2706">
        <f>IF($O2706="","",INDEX(Suivi!$F:$F,2757))</f>
        <v/>
      </c>
      <c r="S2706">
        <f>IF($O2706="","",INDEX(Suivi!$G:$G,2757))</f>
        <v/>
      </c>
      <c r="T2706">
        <f>IF($O2706="","",IF(INDEX(Dossiers!$F$4:$F$63,51)="","",INDEX(Dossiers!$F$4:$F$63,51)))</f>
        <v/>
      </c>
      <c r="U2706">
        <f>IF($O2706="","",IF(INDEX(Dossiers!$G$4:$G$63,51)="","",INDEX(Dossiers!$G$4:$G$63,51)))</f>
        <v/>
      </c>
      <c r="V2706">
        <f>IF(OR($O2706="",NOT(ISNUMBER($Q2706))),"",$Q2706*1000000+2706)</f>
        <v/>
      </c>
      <c r="W2706" s="29">
        <f>IF($B2706="","",IFERROR(INDEX($U$4:$U$3183,MATCH(SMALL($V$4:$V$3183,2703),$V$4:$V$3183,0)),""))</f>
        <v/>
      </c>
    </row>
    <row r="2707">
      <c r="A2707">
        <f>IFERROR(INDEX($N$4:$N$3183,MATCH(SMALL($V$4:$V$3183,2704),$V$4:$V$3183,0)),"")</f>
        <v/>
      </c>
      <c r="B2707">
        <f>IFERROR(INDEX($O$4:$O$3183,MATCH(SMALL($V$4:$V$3183,2704),$V$4:$V$3183,0)),"")</f>
        <v/>
      </c>
      <c r="C2707">
        <f>IFERROR(INDEX($P$4:$P$3183,MATCH(SMALL($V$4:$V$3183,2704),$V$4:$V$3183,0)),"")</f>
        <v/>
      </c>
      <c r="D2707" s="29">
        <f>IFERROR(INDEX($Q$4:$Q$3183,MATCH(SMALL($V$4:$V$3183,2704),$V$4:$V$3183,0)),"")</f>
        <v/>
      </c>
      <c r="E2707" s="29">
        <f>IFERROR(INDEX($R$4:$R$3183,MATCH(SMALL($V$4:$V$3183,2704),$V$4:$V$3183,0)),"")</f>
        <v/>
      </c>
      <c r="F2707">
        <f>IFERROR(INDEX($S$4:$S$3183,MATCH(SMALL($V$4:$V$3183,2704),$V$4:$V$3183,0)),"")</f>
        <v/>
      </c>
      <c r="I2707" s="29">
        <f>IF($B2707="","",IFERROR(INDEX($U$4:$U$3183,MATCH(SMALL($V$4:$V$3183,2704),$V$4:$V$3183,0)),""))</f>
        <v/>
      </c>
      <c r="J2707">
        <f>IF($B2707="","",IF($D2707&gt;$F$2,"À venir",IF($E2707&lt;$D$2,"Passé","Dans la période")))</f>
        <v/>
      </c>
      <c r="K2707">
        <f>IF(OR($B2707="",NOT(ISNUMBER($D2707))),"",IF(AND($E2707&lt;$D$2,$G2707&lt;&gt;"X",$F2707&lt;&gt;"Réalisé",$F2707&lt;&gt;"Clôturé"),"RETARD",""))</f>
        <v/>
      </c>
      <c r="L2707">
        <f>IF(OR($B2707="",NOT(ISNUMBER($D2707))),"",IF(AND($D2707&gt;=$D$2,$D2707&lt;=$H$2,$G2707&lt;&gt;"X",$F2707&lt;&gt;"Réalisé",$F2707&lt;&gt;"Clôturé"),"≤ 7 j",""))</f>
        <v/>
      </c>
      <c r="M2707" s="29">
        <f>IF($B2707="","",IFERROR(INDEX($T$4:$T$3183,MATCH(SMALL($V$4:$V$3183,2704),$V$4:$V$3183,0)),""))</f>
        <v/>
      </c>
      <c r="O2707">
        <f>IF(INDEX(Suivi!$B:$B,2759)="","",INDEX(Suivi!$B:$B,2759))</f>
        <v/>
      </c>
      <c r="P2707">
        <f>IF($O2707="","",IF(INDEX(Suivi!$D:$D,2759)="",INDEX(Suivi!$C:$C,2759),INDEX(Suivi!$D:$D,2759)))</f>
        <v/>
      </c>
      <c r="Q2707">
        <f>IF($O2707="","",INDEX(Suivi!$E:$E,2759))</f>
        <v/>
      </c>
      <c r="R2707">
        <f>IF($O2707="","",INDEX(Suivi!$F:$F,2759))</f>
        <v/>
      </c>
      <c r="S2707">
        <f>IF($O2707="","",INDEX(Suivi!$G:$G,2759))</f>
        <v/>
      </c>
      <c r="T2707">
        <f>IF($O2707="","",IF(INDEX(Dossiers!$F$4:$F$63,52)="","",INDEX(Dossiers!$F$4:$F$63,52)))</f>
        <v/>
      </c>
      <c r="U2707">
        <f>IF($O2707="","",IF(INDEX(Dossiers!$G$4:$G$63,52)="","",INDEX(Dossiers!$G$4:$G$63,52)))</f>
        <v/>
      </c>
      <c r="V2707">
        <f>IF(OR($O2707="",NOT(ISNUMBER($Q2707))),"",$Q2707*1000000+2707)</f>
        <v/>
      </c>
      <c r="W2707" s="29">
        <f>IF($B2707="","",IFERROR(INDEX($U$4:$U$3183,MATCH(SMALL($V$4:$V$3183,2704),$V$4:$V$3183,0)),""))</f>
        <v/>
      </c>
    </row>
    <row r="2708">
      <c r="A2708">
        <f>IFERROR(INDEX($N$4:$N$3183,MATCH(SMALL($V$4:$V$3183,2705),$V$4:$V$3183,0)),"")</f>
        <v/>
      </c>
      <c r="B2708">
        <f>IFERROR(INDEX($O$4:$O$3183,MATCH(SMALL($V$4:$V$3183,2705),$V$4:$V$3183,0)),"")</f>
        <v/>
      </c>
      <c r="C2708">
        <f>IFERROR(INDEX($P$4:$P$3183,MATCH(SMALL($V$4:$V$3183,2705),$V$4:$V$3183,0)),"")</f>
        <v/>
      </c>
      <c r="D2708" s="29">
        <f>IFERROR(INDEX($Q$4:$Q$3183,MATCH(SMALL($V$4:$V$3183,2705),$V$4:$V$3183,0)),"")</f>
        <v/>
      </c>
      <c r="E2708" s="29">
        <f>IFERROR(INDEX($R$4:$R$3183,MATCH(SMALL($V$4:$V$3183,2705),$V$4:$V$3183,0)),"")</f>
        <v/>
      </c>
      <c r="F2708">
        <f>IFERROR(INDEX($S$4:$S$3183,MATCH(SMALL($V$4:$V$3183,2705),$V$4:$V$3183,0)),"")</f>
        <v/>
      </c>
      <c r="I2708" s="29">
        <f>IF($B2708="","",IFERROR(INDEX($U$4:$U$3183,MATCH(SMALL($V$4:$V$3183,2705),$V$4:$V$3183,0)),""))</f>
        <v/>
      </c>
      <c r="J2708">
        <f>IF($B2708="","",IF($D2708&gt;$F$2,"À venir",IF($E2708&lt;$D$2,"Passé","Dans la période")))</f>
        <v/>
      </c>
      <c r="K2708">
        <f>IF(OR($B2708="",NOT(ISNUMBER($D2708))),"",IF(AND($E2708&lt;$D$2,$G2708&lt;&gt;"X",$F2708&lt;&gt;"Réalisé",$F2708&lt;&gt;"Clôturé"),"RETARD",""))</f>
        <v/>
      </c>
      <c r="L2708">
        <f>IF(OR($B2708="",NOT(ISNUMBER($D2708))),"",IF(AND($D2708&gt;=$D$2,$D2708&lt;=$H$2,$G2708&lt;&gt;"X",$F2708&lt;&gt;"Réalisé",$F2708&lt;&gt;"Clôturé"),"≤ 7 j",""))</f>
        <v/>
      </c>
      <c r="M2708" s="29">
        <f>IF($B2708="","",IFERROR(INDEX($T$4:$T$3183,MATCH(SMALL($V$4:$V$3183,2705),$V$4:$V$3183,0)),""))</f>
        <v/>
      </c>
      <c r="O2708">
        <f>IF(INDEX(Suivi!$B:$B,2760)="","",INDEX(Suivi!$B:$B,2760))</f>
        <v/>
      </c>
      <c r="P2708">
        <f>IF($O2708="","",IF(INDEX(Suivi!$D:$D,2760)="",INDEX(Suivi!$C:$C,2760),INDEX(Suivi!$D:$D,2760)))</f>
        <v/>
      </c>
      <c r="Q2708">
        <f>IF($O2708="","",INDEX(Suivi!$E:$E,2760))</f>
        <v/>
      </c>
      <c r="R2708">
        <f>IF($O2708="","",INDEX(Suivi!$F:$F,2760))</f>
        <v/>
      </c>
      <c r="S2708">
        <f>IF($O2708="","",INDEX(Suivi!$G:$G,2760))</f>
        <v/>
      </c>
      <c r="T2708">
        <f>IF($O2708="","",IF(INDEX(Dossiers!$F$4:$F$63,52)="","",INDEX(Dossiers!$F$4:$F$63,52)))</f>
        <v/>
      </c>
      <c r="U2708">
        <f>IF($O2708="","",IF(INDEX(Dossiers!$G$4:$G$63,52)="","",INDEX(Dossiers!$G$4:$G$63,52)))</f>
        <v/>
      </c>
      <c r="V2708">
        <f>IF(OR($O2708="",NOT(ISNUMBER($Q2708))),"",$Q2708*1000000+2708)</f>
        <v/>
      </c>
      <c r="W2708" s="29">
        <f>IF($B2708="","",IFERROR(INDEX($U$4:$U$3183,MATCH(SMALL($V$4:$V$3183,2705),$V$4:$V$3183,0)),""))</f>
        <v/>
      </c>
    </row>
    <row r="2709">
      <c r="A2709">
        <f>IFERROR(INDEX($N$4:$N$3183,MATCH(SMALL($V$4:$V$3183,2706),$V$4:$V$3183,0)),"")</f>
        <v/>
      </c>
      <c r="B2709">
        <f>IFERROR(INDEX($O$4:$O$3183,MATCH(SMALL($V$4:$V$3183,2706),$V$4:$V$3183,0)),"")</f>
        <v/>
      </c>
      <c r="C2709">
        <f>IFERROR(INDEX($P$4:$P$3183,MATCH(SMALL($V$4:$V$3183,2706),$V$4:$V$3183,0)),"")</f>
        <v/>
      </c>
      <c r="D2709" s="29">
        <f>IFERROR(INDEX($Q$4:$Q$3183,MATCH(SMALL($V$4:$V$3183,2706),$V$4:$V$3183,0)),"")</f>
        <v/>
      </c>
      <c r="E2709" s="29">
        <f>IFERROR(INDEX($R$4:$R$3183,MATCH(SMALL($V$4:$V$3183,2706),$V$4:$V$3183,0)),"")</f>
        <v/>
      </c>
      <c r="F2709">
        <f>IFERROR(INDEX($S$4:$S$3183,MATCH(SMALL($V$4:$V$3183,2706),$V$4:$V$3183,0)),"")</f>
        <v/>
      </c>
      <c r="I2709" s="29">
        <f>IF($B2709="","",IFERROR(INDEX($U$4:$U$3183,MATCH(SMALL($V$4:$V$3183,2706),$V$4:$V$3183,0)),""))</f>
        <v/>
      </c>
      <c r="J2709">
        <f>IF($B2709="","",IF($D2709&gt;$F$2,"À venir",IF($E2709&lt;$D$2,"Passé","Dans la période")))</f>
        <v/>
      </c>
      <c r="K2709">
        <f>IF(OR($B2709="",NOT(ISNUMBER($D2709))),"",IF(AND($E2709&lt;$D$2,$G2709&lt;&gt;"X",$F2709&lt;&gt;"Réalisé",$F2709&lt;&gt;"Clôturé"),"RETARD",""))</f>
        <v/>
      </c>
      <c r="L2709">
        <f>IF(OR($B2709="",NOT(ISNUMBER($D2709))),"",IF(AND($D2709&gt;=$D$2,$D2709&lt;=$H$2,$G2709&lt;&gt;"X",$F2709&lt;&gt;"Réalisé",$F2709&lt;&gt;"Clôturé"),"≤ 7 j",""))</f>
        <v/>
      </c>
      <c r="M2709" s="29">
        <f>IF($B2709="","",IFERROR(INDEX($T$4:$T$3183,MATCH(SMALL($V$4:$V$3183,2706),$V$4:$V$3183,0)),""))</f>
        <v/>
      </c>
      <c r="O2709">
        <f>IF(INDEX(Suivi!$B:$B,2761)="","",INDEX(Suivi!$B:$B,2761))</f>
        <v/>
      </c>
      <c r="P2709">
        <f>IF($O2709="","",IF(INDEX(Suivi!$D:$D,2761)="",INDEX(Suivi!$C:$C,2761),INDEX(Suivi!$D:$D,2761)))</f>
        <v/>
      </c>
      <c r="Q2709">
        <f>IF($O2709="","",INDEX(Suivi!$E:$E,2761))</f>
        <v/>
      </c>
      <c r="R2709">
        <f>IF($O2709="","",INDEX(Suivi!$F:$F,2761))</f>
        <v/>
      </c>
      <c r="S2709">
        <f>IF($O2709="","",INDEX(Suivi!$G:$G,2761))</f>
        <v/>
      </c>
      <c r="T2709">
        <f>IF($O2709="","",IF(INDEX(Dossiers!$F$4:$F$63,52)="","",INDEX(Dossiers!$F$4:$F$63,52)))</f>
        <v/>
      </c>
      <c r="U2709">
        <f>IF($O2709="","",IF(INDEX(Dossiers!$G$4:$G$63,52)="","",INDEX(Dossiers!$G$4:$G$63,52)))</f>
        <v/>
      </c>
      <c r="V2709">
        <f>IF(OR($O2709="",NOT(ISNUMBER($Q2709))),"",$Q2709*1000000+2709)</f>
        <v/>
      </c>
      <c r="W2709" s="29">
        <f>IF($B2709="","",IFERROR(INDEX($U$4:$U$3183,MATCH(SMALL($V$4:$V$3183,2706),$V$4:$V$3183,0)),""))</f>
        <v/>
      </c>
    </row>
    <row r="2710">
      <c r="A2710">
        <f>IFERROR(INDEX($N$4:$N$3183,MATCH(SMALL($V$4:$V$3183,2707),$V$4:$V$3183,0)),"")</f>
        <v/>
      </c>
      <c r="B2710">
        <f>IFERROR(INDEX($O$4:$O$3183,MATCH(SMALL($V$4:$V$3183,2707),$V$4:$V$3183,0)),"")</f>
        <v/>
      </c>
      <c r="C2710">
        <f>IFERROR(INDEX($P$4:$P$3183,MATCH(SMALL($V$4:$V$3183,2707),$V$4:$V$3183,0)),"")</f>
        <v/>
      </c>
      <c r="D2710" s="29">
        <f>IFERROR(INDEX($Q$4:$Q$3183,MATCH(SMALL($V$4:$V$3183,2707),$V$4:$V$3183,0)),"")</f>
        <v/>
      </c>
      <c r="E2710" s="29">
        <f>IFERROR(INDEX($R$4:$R$3183,MATCH(SMALL($V$4:$V$3183,2707),$V$4:$V$3183,0)),"")</f>
        <v/>
      </c>
      <c r="F2710">
        <f>IFERROR(INDEX($S$4:$S$3183,MATCH(SMALL($V$4:$V$3183,2707),$V$4:$V$3183,0)),"")</f>
        <v/>
      </c>
      <c r="I2710" s="29">
        <f>IF($B2710="","",IFERROR(INDEX($U$4:$U$3183,MATCH(SMALL($V$4:$V$3183,2707),$V$4:$V$3183,0)),""))</f>
        <v/>
      </c>
      <c r="J2710">
        <f>IF($B2710="","",IF($D2710&gt;$F$2,"À venir",IF($E2710&lt;$D$2,"Passé","Dans la période")))</f>
        <v/>
      </c>
      <c r="K2710">
        <f>IF(OR($B2710="",NOT(ISNUMBER($D2710))),"",IF(AND($E2710&lt;$D$2,$G2710&lt;&gt;"X",$F2710&lt;&gt;"Réalisé",$F2710&lt;&gt;"Clôturé"),"RETARD",""))</f>
        <v/>
      </c>
      <c r="L2710">
        <f>IF(OR($B2710="",NOT(ISNUMBER($D2710))),"",IF(AND($D2710&gt;=$D$2,$D2710&lt;=$H$2,$G2710&lt;&gt;"X",$F2710&lt;&gt;"Réalisé",$F2710&lt;&gt;"Clôturé"),"≤ 7 j",""))</f>
        <v/>
      </c>
      <c r="M2710" s="29">
        <f>IF($B2710="","",IFERROR(INDEX($T$4:$T$3183,MATCH(SMALL($V$4:$V$3183,2707),$V$4:$V$3183,0)),""))</f>
        <v/>
      </c>
      <c r="O2710">
        <f>IF(INDEX(Suivi!$B:$B,2762)="","",INDEX(Suivi!$B:$B,2762))</f>
        <v/>
      </c>
      <c r="P2710">
        <f>IF($O2710="","",IF(INDEX(Suivi!$D:$D,2762)="",INDEX(Suivi!$C:$C,2762),INDEX(Suivi!$D:$D,2762)))</f>
        <v/>
      </c>
      <c r="Q2710">
        <f>IF($O2710="","",INDEX(Suivi!$E:$E,2762))</f>
        <v/>
      </c>
      <c r="R2710">
        <f>IF($O2710="","",INDEX(Suivi!$F:$F,2762))</f>
        <v/>
      </c>
      <c r="S2710">
        <f>IF($O2710="","",INDEX(Suivi!$G:$G,2762))</f>
        <v/>
      </c>
      <c r="T2710">
        <f>IF($O2710="","",IF(INDEX(Dossiers!$F$4:$F$63,52)="","",INDEX(Dossiers!$F$4:$F$63,52)))</f>
        <v/>
      </c>
      <c r="U2710">
        <f>IF($O2710="","",IF(INDEX(Dossiers!$G$4:$G$63,52)="","",INDEX(Dossiers!$G$4:$G$63,52)))</f>
        <v/>
      </c>
      <c r="V2710">
        <f>IF(OR($O2710="",NOT(ISNUMBER($Q2710))),"",$Q2710*1000000+2710)</f>
        <v/>
      </c>
      <c r="W2710" s="29">
        <f>IF($B2710="","",IFERROR(INDEX($U$4:$U$3183,MATCH(SMALL($V$4:$V$3183,2707),$V$4:$V$3183,0)),""))</f>
        <v/>
      </c>
    </row>
    <row r="2711">
      <c r="A2711">
        <f>IFERROR(INDEX($N$4:$N$3183,MATCH(SMALL($V$4:$V$3183,2708),$V$4:$V$3183,0)),"")</f>
        <v/>
      </c>
      <c r="B2711">
        <f>IFERROR(INDEX($O$4:$O$3183,MATCH(SMALL($V$4:$V$3183,2708),$V$4:$V$3183,0)),"")</f>
        <v/>
      </c>
      <c r="C2711">
        <f>IFERROR(INDEX($P$4:$P$3183,MATCH(SMALL($V$4:$V$3183,2708),$V$4:$V$3183,0)),"")</f>
        <v/>
      </c>
      <c r="D2711" s="29">
        <f>IFERROR(INDEX($Q$4:$Q$3183,MATCH(SMALL($V$4:$V$3183,2708),$V$4:$V$3183,0)),"")</f>
        <v/>
      </c>
      <c r="E2711" s="29">
        <f>IFERROR(INDEX($R$4:$R$3183,MATCH(SMALL($V$4:$V$3183,2708),$V$4:$V$3183,0)),"")</f>
        <v/>
      </c>
      <c r="F2711">
        <f>IFERROR(INDEX($S$4:$S$3183,MATCH(SMALL($V$4:$V$3183,2708),$V$4:$V$3183,0)),"")</f>
        <v/>
      </c>
      <c r="I2711" s="29">
        <f>IF($B2711="","",IFERROR(INDEX($U$4:$U$3183,MATCH(SMALL($V$4:$V$3183,2708),$V$4:$V$3183,0)),""))</f>
        <v/>
      </c>
      <c r="J2711">
        <f>IF($B2711="","",IF($D2711&gt;$F$2,"À venir",IF($E2711&lt;$D$2,"Passé","Dans la période")))</f>
        <v/>
      </c>
      <c r="K2711">
        <f>IF(OR($B2711="",NOT(ISNUMBER($D2711))),"",IF(AND($E2711&lt;$D$2,$G2711&lt;&gt;"X",$F2711&lt;&gt;"Réalisé",$F2711&lt;&gt;"Clôturé"),"RETARD",""))</f>
        <v/>
      </c>
      <c r="L2711">
        <f>IF(OR($B2711="",NOT(ISNUMBER($D2711))),"",IF(AND($D2711&gt;=$D$2,$D2711&lt;=$H$2,$G2711&lt;&gt;"X",$F2711&lt;&gt;"Réalisé",$F2711&lt;&gt;"Clôturé"),"≤ 7 j",""))</f>
        <v/>
      </c>
      <c r="M2711" s="29">
        <f>IF($B2711="","",IFERROR(INDEX($T$4:$T$3183,MATCH(SMALL($V$4:$V$3183,2708),$V$4:$V$3183,0)),""))</f>
        <v/>
      </c>
      <c r="O2711">
        <f>IF(INDEX(Suivi!$B:$B,2763)="","",INDEX(Suivi!$B:$B,2763))</f>
        <v/>
      </c>
      <c r="P2711">
        <f>IF($O2711="","",IF(INDEX(Suivi!$D:$D,2763)="",INDEX(Suivi!$C:$C,2763),INDEX(Suivi!$D:$D,2763)))</f>
        <v/>
      </c>
      <c r="Q2711">
        <f>IF($O2711="","",INDEX(Suivi!$E:$E,2763))</f>
        <v/>
      </c>
      <c r="R2711">
        <f>IF($O2711="","",INDEX(Suivi!$F:$F,2763))</f>
        <v/>
      </c>
      <c r="S2711">
        <f>IF($O2711="","",INDEX(Suivi!$G:$G,2763))</f>
        <v/>
      </c>
      <c r="T2711">
        <f>IF($O2711="","",IF(INDEX(Dossiers!$F$4:$F$63,52)="","",INDEX(Dossiers!$F$4:$F$63,52)))</f>
        <v/>
      </c>
      <c r="U2711">
        <f>IF($O2711="","",IF(INDEX(Dossiers!$G$4:$G$63,52)="","",INDEX(Dossiers!$G$4:$G$63,52)))</f>
        <v/>
      </c>
      <c r="V2711">
        <f>IF(OR($O2711="",NOT(ISNUMBER($Q2711))),"",$Q2711*1000000+2711)</f>
        <v/>
      </c>
      <c r="W2711" s="29">
        <f>IF($B2711="","",IFERROR(INDEX($U$4:$U$3183,MATCH(SMALL($V$4:$V$3183,2708),$V$4:$V$3183,0)),""))</f>
        <v/>
      </c>
    </row>
    <row r="2712">
      <c r="A2712">
        <f>IFERROR(INDEX($N$4:$N$3183,MATCH(SMALL($V$4:$V$3183,2709),$V$4:$V$3183,0)),"")</f>
        <v/>
      </c>
      <c r="B2712">
        <f>IFERROR(INDEX($O$4:$O$3183,MATCH(SMALL($V$4:$V$3183,2709),$V$4:$V$3183,0)),"")</f>
        <v/>
      </c>
      <c r="C2712">
        <f>IFERROR(INDEX($P$4:$P$3183,MATCH(SMALL($V$4:$V$3183,2709),$V$4:$V$3183,0)),"")</f>
        <v/>
      </c>
      <c r="D2712" s="29">
        <f>IFERROR(INDEX($Q$4:$Q$3183,MATCH(SMALL($V$4:$V$3183,2709),$V$4:$V$3183,0)),"")</f>
        <v/>
      </c>
      <c r="E2712" s="29">
        <f>IFERROR(INDEX($R$4:$R$3183,MATCH(SMALL($V$4:$V$3183,2709),$V$4:$V$3183,0)),"")</f>
        <v/>
      </c>
      <c r="F2712">
        <f>IFERROR(INDEX($S$4:$S$3183,MATCH(SMALL($V$4:$V$3183,2709),$V$4:$V$3183,0)),"")</f>
        <v/>
      </c>
      <c r="I2712" s="29">
        <f>IF($B2712="","",IFERROR(INDEX($U$4:$U$3183,MATCH(SMALL($V$4:$V$3183,2709),$V$4:$V$3183,0)),""))</f>
        <v/>
      </c>
      <c r="J2712">
        <f>IF($B2712="","",IF($D2712&gt;$F$2,"À venir",IF($E2712&lt;$D$2,"Passé","Dans la période")))</f>
        <v/>
      </c>
      <c r="K2712">
        <f>IF(OR($B2712="",NOT(ISNUMBER($D2712))),"",IF(AND($E2712&lt;$D$2,$G2712&lt;&gt;"X",$F2712&lt;&gt;"Réalisé",$F2712&lt;&gt;"Clôturé"),"RETARD",""))</f>
        <v/>
      </c>
      <c r="L2712">
        <f>IF(OR($B2712="",NOT(ISNUMBER($D2712))),"",IF(AND($D2712&gt;=$D$2,$D2712&lt;=$H$2,$G2712&lt;&gt;"X",$F2712&lt;&gt;"Réalisé",$F2712&lt;&gt;"Clôturé"),"≤ 7 j",""))</f>
        <v/>
      </c>
      <c r="M2712" s="29">
        <f>IF($B2712="","",IFERROR(INDEX($T$4:$T$3183,MATCH(SMALL($V$4:$V$3183,2709),$V$4:$V$3183,0)),""))</f>
        <v/>
      </c>
      <c r="O2712">
        <f>IF(INDEX(Suivi!$B:$B,2764)="","",INDEX(Suivi!$B:$B,2764))</f>
        <v/>
      </c>
      <c r="P2712">
        <f>IF($O2712="","",IF(INDEX(Suivi!$D:$D,2764)="",INDEX(Suivi!$C:$C,2764),INDEX(Suivi!$D:$D,2764)))</f>
        <v/>
      </c>
      <c r="Q2712">
        <f>IF($O2712="","",INDEX(Suivi!$E:$E,2764))</f>
        <v/>
      </c>
      <c r="R2712">
        <f>IF($O2712="","",INDEX(Suivi!$F:$F,2764))</f>
        <v/>
      </c>
      <c r="S2712">
        <f>IF($O2712="","",INDEX(Suivi!$G:$G,2764))</f>
        <v/>
      </c>
      <c r="T2712">
        <f>IF($O2712="","",IF(INDEX(Dossiers!$F$4:$F$63,52)="","",INDEX(Dossiers!$F$4:$F$63,52)))</f>
        <v/>
      </c>
      <c r="U2712">
        <f>IF($O2712="","",IF(INDEX(Dossiers!$G$4:$G$63,52)="","",INDEX(Dossiers!$G$4:$G$63,52)))</f>
        <v/>
      </c>
      <c r="V2712">
        <f>IF(OR($O2712="",NOT(ISNUMBER($Q2712))),"",$Q2712*1000000+2712)</f>
        <v/>
      </c>
      <c r="W2712" s="29">
        <f>IF($B2712="","",IFERROR(INDEX($U$4:$U$3183,MATCH(SMALL($V$4:$V$3183,2709),$V$4:$V$3183,0)),""))</f>
        <v/>
      </c>
    </row>
    <row r="2713">
      <c r="A2713">
        <f>IFERROR(INDEX($N$4:$N$3183,MATCH(SMALL($V$4:$V$3183,2710),$V$4:$V$3183,0)),"")</f>
        <v/>
      </c>
      <c r="B2713">
        <f>IFERROR(INDEX($O$4:$O$3183,MATCH(SMALL($V$4:$V$3183,2710),$V$4:$V$3183,0)),"")</f>
        <v/>
      </c>
      <c r="C2713">
        <f>IFERROR(INDEX($P$4:$P$3183,MATCH(SMALL($V$4:$V$3183,2710),$V$4:$V$3183,0)),"")</f>
        <v/>
      </c>
      <c r="D2713" s="29">
        <f>IFERROR(INDEX($Q$4:$Q$3183,MATCH(SMALL($V$4:$V$3183,2710),$V$4:$V$3183,0)),"")</f>
        <v/>
      </c>
      <c r="E2713" s="29">
        <f>IFERROR(INDEX($R$4:$R$3183,MATCH(SMALL($V$4:$V$3183,2710),$V$4:$V$3183,0)),"")</f>
        <v/>
      </c>
      <c r="F2713">
        <f>IFERROR(INDEX($S$4:$S$3183,MATCH(SMALL($V$4:$V$3183,2710),$V$4:$V$3183,0)),"")</f>
        <v/>
      </c>
      <c r="I2713" s="29">
        <f>IF($B2713="","",IFERROR(INDEX($U$4:$U$3183,MATCH(SMALL($V$4:$V$3183,2710),$V$4:$V$3183,0)),""))</f>
        <v/>
      </c>
      <c r="J2713">
        <f>IF($B2713="","",IF($D2713&gt;$F$2,"À venir",IF($E2713&lt;$D$2,"Passé","Dans la période")))</f>
        <v/>
      </c>
      <c r="K2713">
        <f>IF(OR($B2713="",NOT(ISNUMBER($D2713))),"",IF(AND($E2713&lt;$D$2,$G2713&lt;&gt;"X",$F2713&lt;&gt;"Réalisé",$F2713&lt;&gt;"Clôturé"),"RETARD",""))</f>
        <v/>
      </c>
      <c r="L2713">
        <f>IF(OR($B2713="",NOT(ISNUMBER($D2713))),"",IF(AND($D2713&gt;=$D$2,$D2713&lt;=$H$2,$G2713&lt;&gt;"X",$F2713&lt;&gt;"Réalisé",$F2713&lt;&gt;"Clôturé"),"≤ 7 j",""))</f>
        <v/>
      </c>
      <c r="M2713" s="29">
        <f>IF($B2713="","",IFERROR(INDEX($T$4:$T$3183,MATCH(SMALL($V$4:$V$3183,2710),$V$4:$V$3183,0)),""))</f>
        <v/>
      </c>
      <c r="O2713">
        <f>IF(INDEX(Suivi!$B:$B,2765)="","",INDEX(Suivi!$B:$B,2765))</f>
        <v/>
      </c>
      <c r="P2713">
        <f>IF($O2713="","",IF(INDEX(Suivi!$D:$D,2765)="",INDEX(Suivi!$C:$C,2765),INDEX(Suivi!$D:$D,2765)))</f>
        <v/>
      </c>
      <c r="Q2713">
        <f>IF($O2713="","",INDEX(Suivi!$E:$E,2765))</f>
        <v/>
      </c>
      <c r="R2713">
        <f>IF($O2713="","",INDEX(Suivi!$F:$F,2765))</f>
        <v/>
      </c>
      <c r="S2713">
        <f>IF($O2713="","",INDEX(Suivi!$G:$G,2765))</f>
        <v/>
      </c>
      <c r="T2713">
        <f>IF($O2713="","",IF(INDEX(Dossiers!$F$4:$F$63,52)="","",INDEX(Dossiers!$F$4:$F$63,52)))</f>
        <v/>
      </c>
      <c r="U2713">
        <f>IF($O2713="","",IF(INDEX(Dossiers!$G$4:$G$63,52)="","",INDEX(Dossiers!$G$4:$G$63,52)))</f>
        <v/>
      </c>
      <c r="V2713">
        <f>IF(OR($O2713="",NOT(ISNUMBER($Q2713))),"",$Q2713*1000000+2713)</f>
        <v/>
      </c>
      <c r="W2713" s="29">
        <f>IF($B2713="","",IFERROR(INDEX($U$4:$U$3183,MATCH(SMALL($V$4:$V$3183,2710),$V$4:$V$3183,0)),""))</f>
        <v/>
      </c>
    </row>
    <row r="2714">
      <c r="A2714">
        <f>IFERROR(INDEX($N$4:$N$3183,MATCH(SMALL($V$4:$V$3183,2711),$V$4:$V$3183,0)),"")</f>
        <v/>
      </c>
      <c r="B2714">
        <f>IFERROR(INDEX($O$4:$O$3183,MATCH(SMALL($V$4:$V$3183,2711),$V$4:$V$3183,0)),"")</f>
        <v/>
      </c>
      <c r="C2714">
        <f>IFERROR(INDEX($P$4:$P$3183,MATCH(SMALL($V$4:$V$3183,2711),$V$4:$V$3183,0)),"")</f>
        <v/>
      </c>
      <c r="D2714" s="29">
        <f>IFERROR(INDEX($Q$4:$Q$3183,MATCH(SMALL($V$4:$V$3183,2711),$V$4:$V$3183,0)),"")</f>
        <v/>
      </c>
      <c r="E2714" s="29">
        <f>IFERROR(INDEX($R$4:$R$3183,MATCH(SMALL($V$4:$V$3183,2711),$V$4:$V$3183,0)),"")</f>
        <v/>
      </c>
      <c r="F2714">
        <f>IFERROR(INDEX($S$4:$S$3183,MATCH(SMALL($V$4:$V$3183,2711),$V$4:$V$3183,0)),"")</f>
        <v/>
      </c>
      <c r="I2714" s="29">
        <f>IF($B2714="","",IFERROR(INDEX($U$4:$U$3183,MATCH(SMALL($V$4:$V$3183,2711),$V$4:$V$3183,0)),""))</f>
        <v/>
      </c>
      <c r="J2714">
        <f>IF($B2714="","",IF($D2714&gt;$F$2,"À venir",IF($E2714&lt;$D$2,"Passé","Dans la période")))</f>
        <v/>
      </c>
      <c r="K2714">
        <f>IF(OR($B2714="",NOT(ISNUMBER($D2714))),"",IF(AND($E2714&lt;$D$2,$G2714&lt;&gt;"X",$F2714&lt;&gt;"Réalisé",$F2714&lt;&gt;"Clôturé"),"RETARD",""))</f>
        <v/>
      </c>
      <c r="L2714">
        <f>IF(OR($B2714="",NOT(ISNUMBER($D2714))),"",IF(AND($D2714&gt;=$D$2,$D2714&lt;=$H$2,$G2714&lt;&gt;"X",$F2714&lt;&gt;"Réalisé",$F2714&lt;&gt;"Clôturé"),"≤ 7 j",""))</f>
        <v/>
      </c>
      <c r="M2714" s="29">
        <f>IF($B2714="","",IFERROR(INDEX($T$4:$T$3183,MATCH(SMALL($V$4:$V$3183,2711),$V$4:$V$3183,0)),""))</f>
        <v/>
      </c>
      <c r="O2714">
        <f>IF(INDEX(Suivi!$B:$B,2766)="","",INDEX(Suivi!$B:$B,2766))</f>
        <v/>
      </c>
      <c r="P2714">
        <f>IF($O2714="","",IF(INDEX(Suivi!$D:$D,2766)="",INDEX(Suivi!$C:$C,2766),INDEX(Suivi!$D:$D,2766)))</f>
        <v/>
      </c>
      <c r="Q2714">
        <f>IF($O2714="","",INDEX(Suivi!$E:$E,2766))</f>
        <v/>
      </c>
      <c r="R2714">
        <f>IF($O2714="","",INDEX(Suivi!$F:$F,2766))</f>
        <v/>
      </c>
      <c r="S2714">
        <f>IF($O2714="","",INDEX(Suivi!$G:$G,2766))</f>
        <v/>
      </c>
      <c r="T2714">
        <f>IF($O2714="","",IF(INDEX(Dossiers!$F$4:$F$63,52)="","",INDEX(Dossiers!$F$4:$F$63,52)))</f>
        <v/>
      </c>
      <c r="U2714">
        <f>IF($O2714="","",IF(INDEX(Dossiers!$G$4:$G$63,52)="","",INDEX(Dossiers!$G$4:$G$63,52)))</f>
        <v/>
      </c>
      <c r="V2714">
        <f>IF(OR($O2714="",NOT(ISNUMBER($Q2714))),"",$Q2714*1000000+2714)</f>
        <v/>
      </c>
      <c r="W2714" s="29">
        <f>IF($B2714="","",IFERROR(INDEX($U$4:$U$3183,MATCH(SMALL($V$4:$V$3183,2711),$V$4:$V$3183,0)),""))</f>
        <v/>
      </c>
    </row>
    <row r="2715">
      <c r="A2715">
        <f>IFERROR(INDEX($N$4:$N$3183,MATCH(SMALL($V$4:$V$3183,2712),$V$4:$V$3183,0)),"")</f>
        <v/>
      </c>
      <c r="B2715">
        <f>IFERROR(INDEX($O$4:$O$3183,MATCH(SMALL($V$4:$V$3183,2712),$V$4:$V$3183,0)),"")</f>
        <v/>
      </c>
      <c r="C2715">
        <f>IFERROR(INDEX($P$4:$P$3183,MATCH(SMALL($V$4:$V$3183,2712),$V$4:$V$3183,0)),"")</f>
        <v/>
      </c>
      <c r="D2715" s="29">
        <f>IFERROR(INDEX($Q$4:$Q$3183,MATCH(SMALL($V$4:$V$3183,2712),$V$4:$V$3183,0)),"")</f>
        <v/>
      </c>
      <c r="E2715" s="29">
        <f>IFERROR(INDEX($R$4:$R$3183,MATCH(SMALL($V$4:$V$3183,2712),$V$4:$V$3183,0)),"")</f>
        <v/>
      </c>
      <c r="F2715">
        <f>IFERROR(INDEX($S$4:$S$3183,MATCH(SMALL($V$4:$V$3183,2712),$V$4:$V$3183,0)),"")</f>
        <v/>
      </c>
      <c r="I2715" s="29">
        <f>IF($B2715="","",IFERROR(INDEX($U$4:$U$3183,MATCH(SMALL($V$4:$V$3183,2712),$V$4:$V$3183,0)),""))</f>
        <v/>
      </c>
      <c r="J2715">
        <f>IF($B2715="","",IF($D2715&gt;$F$2,"À venir",IF($E2715&lt;$D$2,"Passé","Dans la période")))</f>
        <v/>
      </c>
      <c r="K2715">
        <f>IF(OR($B2715="",NOT(ISNUMBER($D2715))),"",IF(AND($E2715&lt;$D$2,$G2715&lt;&gt;"X",$F2715&lt;&gt;"Réalisé",$F2715&lt;&gt;"Clôturé"),"RETARD",""))</f>
        <v/>
      </c>
      <c r="L2715">
        <f>IF(OR($B2715="",NOT(ISNUMBER($D2715))),"",IF(AND($D2715&gt;=$D$2,$D2715&lt;=$H$2,$G2715&lt;&gt;"X",$F2715&lt;&gt;"Réalisé",$F2715&lt;&gt;"Clôturé"),"≤ 7 j",""))</f>
        <v/>
      </c>
      <c r="M2715" s="29">
        <f>IF($B2715="","",IFERROR(INDEX($T$4:$T$3183,MATCH(SMALL($V$4:$V$3183,2712),$V$4:$V$3183,0)),""))</f>
        <v/>
      </c>
      <c r="O2715">
        <f>IF(INDEX(Suivi!$B:$B,2767)="","",INDEX(Suivi!$B:$B,2767))</f>
        <v/>
      </c>
      <c r="P2715">
        <f>IF($O2715="","",IF(INDEX(Suivi!$D:$D,2767)="",INDEX(Suivi!$C:$C,2767),INDEX(Suivi!$D:$D,2767)))</f>
        <v/>
      </c>
      <c r="Q2715">
        <f>IF($O2715="","",INDEX(Suivi!$E:$E,2767))</f>
        <v/>
      </c>
      <c r="R2715">
        <f>IF($O2715="","",INDEX(Suivi!$F:$F,2767))</f>
        <v/>
      </c>
      <c r="S2715">
        <f>IF($O2715="","",INDEX(Suivi!$G:$G,2767))</f>
        <v/>
      </c>
      <c r="T2715">
        <f>IF($O2715="","",IF(INDEX(Dossiers!$F$4:$F$63,52)="","",INDEX(Dossiers!$F$4:$F$63,52)))</f>
        <v/>
      </c>
      <c r="U2715">
        <f>IF($O2715="","",IF(INDEX(Dossiers!$G$4:$G$63,52)="","",INDEX(Dossiers!$G$4:$G$63,52)))</f>
        <v/>
      </c>
      <c r="V2715">
        <f>IF(OR($O2715="",NOT(ISNUMBER($Q2715))),"",$Q2715*1000000+2715)</f>
        <v/>
      </c>
      <c r="W2715" s="29">
        <f>IF($B2715="","",IFERROR(INDEX($U$4:$U$3183,MATCH(SMALL($V$4:$V$3183,2712),$V$4:$V$3183,0)),""))</f>
        <v/>
      </c>
    </row>
    <row r="2716">
      <c r="A2716">
        <f>IFERROR(INDEX($N$4:$N$3183,MATCH(SMALL($V$4:$V$3183,2713),$V$4:$V$3183,0)),"")</f>
        <v/>
      </c>
      <c r="B2716">
        <f>IFERROR(INDEX($O$4:$O$3183,MATCH(SMALL($V$4:$V$3183,2713),$V$4:$V$3183,0)),"")</f>
        <v/>
      </c>
      <c r="C2716">
        <f>IFERROR(INDEX($P$4:$P$3183,MATCH(SMALL($V$4:$V$3183,2713),$V$4:$V$3183,0)),"")</f>
        <v/>
      </c>
      <c r="D2716" s="29">
        <f>IFERROR(INDEX($Q$4:$Q$3183,MATCH(SMALL($V$4:$V$3183,2713),$V$4:$V$3183,0)),"")</f>
        <v/>
      </c>
      <c r="E2716" s="29">
        <f>IFERROR(INDEX($R$4:$R$3183,MATCH(SMALL($V$4:$V$3183,2713),$V$4:$V$3183,0)),"")</f>
        <v/>
      </c>
      <c r="F2716">
        <f>IFERROR(INDEX($S$4:$S$3183,MATCH(SMALL($V$4:$V$3183,2713),$V$4:$V$3183,0)),"")</f>
        <v/>
      </c>
      <c r="I2716" s="29">
        <f>IF($B2716="","",IFERROR(INDEX($U$4:$U$3183,MATCH(SMALL($V$4:$V$3183,2713),$V$4:$V$3183,0)),""))</f>
        <v/>
      </c>
      <c r="J2716">
        <f>IF($B2716="","",IF($D2716&gt;$F$2,"À venir",IF($E2716&lt;$D$2,"Passé","Dans la période")))</f>
        <v/>
      </c>
      <c r="K2716">
        <f>IF(OR($B2716="",NOT(ISNUMBER($D2716))),"",IF(AND($E2716&lt;$D$2,$G2716&lt;&gt;"X",$F2716&lt;&gt;"Réalisé",$F2716&lt;&gt;"Clôturé"),"RETARD",""))</f>
        <v/>
      </c>
      <c r="L2716">
        <f>IF(OR($B2716="",NOT(ISNUMBER($D2716))),"",IF(AND($D2716&gt;=$D$2,$D2716&lt;=$H$2,$G2716&lt;&gt;"X",$F2716&lt;&gt;"Réalisé",$F2716&lt;&gt;"Clôturé"),"≤ 7 j",""))</f>
        <v/>
      </c>
      <c r="M2716" s="29">
        <f>IF($B2716="","",IFERROR(INDEX($T$4:$T$3183,MATCH(SMALL($V$4:$V$3183,2713),$V$4:$V$3183,0)),""))</f>
        <v/>
      </c>
      <c r="O2716">
        <f>IF(INDEX(Suivi!$B:$B,2768)="","",INDEX(Suivi!$B:$B,2768))</f>
        <v/>
      </c>
      <c r="P2716">
        <f>IF($O2716="","",IF(INDEX(Suivi!$D:$D,2768)="",INDEX(Suivi!$C:$C,2768),INDEX(Suivi!$D:$D,2768)))</f>
        <v/>
      </c>
      <c r="Q2716">
        <f>IF($O2716="","",INDEX(Suivi!$E:$E,2768))</f>
        <v/>
      </c>
      <c r="R2716">
        <f>IF($O2716="","",INDEX(Suivi!$F:$F,2768))</f>
        <v/>
      </c>
      <c r="S2716">
        <f>IF($O2716="","",INDEX(Suivi!$G:$G,2768))</f>
        <v/>
      </c>
      <c r="T2716">
        <f>IF($O2716="","",IF(INDEX(Dossiers!$F$4:$F$63,52)="","",INDEX(Dossiers!$F$4:$F$63,52)))</f>
        <v/>
      </c>
      <c r="U2716">
        <f>IF($O2716="","",IF(INDEX(Dossiers!$G$4:$G$63,52)="","",INDEX(Dossiers!$G$4:$G$63,52)))</f>
        <v/>
      </c>
      <c r="V2716">
        <f>IF(OR($O2716="",NOT(ISNUMBER($Q2716))),"",$Q2716*1000000+2716)</f>
        <v/>
      </c>
      <c r="W2716" s="29">
        <f>IF($B2716="","",IFERROR(INDEX($U$4:$U$3183,MATCH(SMALL($V$4:$V$3183,2713),$V$4:$V$3183,0)),""))</f>
        <v/>
      </c>
    </row>
    <row r="2717">
      <c r="A2717">
        <f>IFERROR(INDEX($N$4:$N$3183,MATCH(SMALL($V$4:$V$3183,2714),$V$4:$V$3183,0)),"")</f>
        <v/>
      </c>
      <c r="B2717">
        <f>IFERROR(INDEX($O$4:$O$3183,MATCH(SMALL($V$4:$V$3183,2714),$V$4:$V$3183,0)),"")</f>
        <v/>
      </c>
      <c r="C2717">
        <f>IFERROR(INDEX($P$4:$P$3183,MATCH(SMALL($V$4:$V$3183,2714),$V$4:$V$3183,0)),"")</f>
        <v/>
      </c>
      <c r="D2717" s="29">
        <f>IFERROR(INDEX($Q$4:$Q$3183,MATCH(SMALL($V$4:$V$3183,2714),$V$4:$V$3183,0)),"")</f>
        <v/>
      </c>
      <c r="E2717" s="29">
        <f>IFERROR(INDEX($R$4:$R$3183,MATCH(SMALL($V$4:$V$3183,2714),$V$4:$V$3183,0)),"")</f>
        <v/>
      </c>
      <c r="F2717">
        <f>IFERROR(INDEX($S$4:$S$3183,MATCH(SMALL($V$4:$V$3183,2714),$V$4:$V$3183,0)),"")</f>
        <v/>
      </c>
      <c r="I2717" s="29">
        <f>IF($B2717="","",IFERROR(INDEX($U$4:$U$3183,MATCH(SMALL($V$4:$V$3183,2714),$V$4:$V$3183,0)),""))</f>
        <v/>
      </c>
      <c r="J2717">
        <f>IF($B2717="","",IF($D2717&gt;$F$2,"À venir",IF($E2717&lt;$D$2,"Passé","Dans la période")))</f>
        <v/>
      </c>
      <c r="K2717">
        <f>IF(OR($B2717="",NOT(ISNUMBER($D2717))),"",IF(AND($E2717&lt;$D$2,$G2717&lt;&gt;"X",$F2717&lt;&gt;"Réalisé",$F2717&lt;&gt;"Clôturé"),"RETARD",""))</f>
        <v/>
      </c>
      <c r="L2717">
        <f>IF(OR($B2717="",NOT(ISNUMBER($D2717))),"",IF(AND($D2717&gt;=$D$2,$D2717&lt;=$H$2,$G2717&lt;&gt;"X",$F2717&lt;&gt;"Réalisé",$F2717&lt;&gt;"Clôturé"),"≤ 7 j",""))</f>
        <v/>
      </c>
      <c r="M2717" s="29">
        <f>IF($B2717="","",IFERROR(INDEX($T$4:$T$3183,MATCH(SMALL($V$4:$V$3183,2714),$V$4:$V$3183,0)),""))</f>
        <v/>
      </c>
      <c r="O2717">
        <f>IF(INDEX(Suivi!$B:$B,2769)="","",INDEX(Suivi!$B:$B,2769))</f>
        <v/>
      </c>
      <c r="P2717">
        <f>IF($O2717="","",IF(INDEX(Suivi!$D:$D,2769)="",INDEX(Suivi!$C:$C,2769),INDEX(Suivi!$D:$D,2769)))</f>
        <v/>
      </c>
      <c r="Q2717">
        <f>IF($O2717="","",INDEX(Suivi!$E:$E,2769))</f>
        <v/>
      </c>
      <c r="R2717">
        <f>IF($O2717="","",INDEX(Suivi!$F:$F,2769))</f>
        <v/>
      </c>
      <c r="S2717">
        <f>IF($O2717="","",INDEX(Suivi!$G:$G,2769))</f>
        <v/>
      </c>
      <c r="T2717">
        <f>IF($O2717="","",IF(INDEX(Dossiers!$F$4:$F$63,52)="","",INDEX(Dossiers!$F$4:$F$63,52)))</f>
        <v/>
      </c>
      <c r="U2717">
        <f>IF($O2717="","",IF(INDEX(Dossiers!$G$4:$G$63,52)="","",INDEX(Dossiers!$G$4:$G$63,52)))</f>
        <v/>
      </c>
      <c r="V2717">
        <f>IF(OR($O2717="",NOT(ISNUMBER($Q2717))),"",$Q2717*1000000+2717)</f>
        <v/>
      </c>
      <c r="W2717" s="29">
        <f>IF($B2717="","",IFERROR(INDEX($U$4:$U$3183,MATCH(SMALL($V$4:$V$3183,2714),$V$4:$V$3183,0)),""))</f>
        <v/>
      </c>
    </row>
    <row r="2718">
      <c r="A2718">
        <f>IFERROR(INDEX($N$4:$N$3183,MATCH(SMALL($V$4:$V$3183,2715),$V$4:$V$3183,0)),"")</f>
        <v/>
      </c>
      <c r="B2718">
        <f>IFERROR(INDEX($O$4:$O$3183,MATCH(SMALL($V$4:$V$3183,2715),$V$4:$V$3183,0)),"")</f>
        <v/>
      </c>
      <c r="C2718">
        <f>IFERROR(INDEX($P$4:$P$3183,MATCH(SMALL($V$4:$V$3183,2715),$V$4:$V$3183,0)),"")</f>
        <v/>
      </c>
      <c r="D2718" s="29">
        <f>IFERROR(INDEX($Q$4:$Q$3183,MATCH(SMALL($V$4:$V$3183,2715),$V$4:$V$3183,0)),"")</f>
        <v/>
      </c>
      <c r="E2718" s="29">
        <f>IFERROR(INDEX($R$4:$R$3183,MATCH(SMALL($V$4:$V$3183,2715),$V$4:$V$3183,0)),"")</f>
        <v/>
      </c>
      <c r="F2718">
        <f>IFERROR(INDEX($S$4:$S$3183,MATCH(SMALL($V$4:$V$3183,2715),$V$4:$V$3183,0)),"")</f>
        <v/>
      </c>
      <c r="I2718" s="29">
        <f>IF($B2718="","",IFERROR(INDEX($U$4:$U$3183,MATCH(SMALL($V$4:$V$3183,2715),$V$4:$V$3183,0)),""))</f>
        <v/>
      </c>
      <c r="J2718">
        <f>IF($B2718="","",IF($D2718&gt;$F$2,"À venir",IF($E2718&lt;$D$2,"Passé","Dans la période")))</f>
        <v/>
      </c>
      <c r="K2718">
        <f>IF(OR($B2718="",NOT(ISNUMBER($D2718))),"",IF(AND($E2718&lt;$D$2,$G2718&lt;&gt;"X",$F2718&lt;&gt;"Réalisé",$F2718&lt;&gt;"Clôturé"),"RETARD",""))</f>
        <v/>
      </c>
      <c r="L2718">
        <f>IF(OR($B2718="",NOT(ISNUMBER($D2718))),"",IF(AND($D2718&gt;=$D$2,$D2718&lt;=$H$2,$G2718&lt;&gt;"X",$F2718&lt;&gt;"Réalisé",$F2718&lt;&gt;"Clôturé"),"≤ 7 j",""))</f>
        <v/>
      </c>
      <c r="M2718" s="29">
        <f>IF($B2718="","",IFERROR(INDEX($T$4:$T$3183,MATCH(SMALL($V$4:$V$3183,2715),$V$4:$V$3183,0)),""))</f>
        <v/>
      </c>
      <c r="O2718">
        <f>IF(INDEX(Suivi!$B:$B,2770)="","",INDEX(Suivi!$B:$B,2770))</f>
        <v/>
      </c>
      <c r="P2718">
        <f>IF($O2718="","",IF(INDEX(Suivi!$D:$D,2770)="",INDEX(Suivi!$C:$C,2770),INDEX(Suivi!$D:$D,2770)))</f>
        <v/>
      </c>
      <c r="Q2718">
        <f>IF($O2718="","",INDEX(Suivi!$E:$E,2770))</f>
        <v/>
      </c>
      <c r="R2718">
        <f>IF($O2718="","",INDEX(Suivi!$F:$F,2770))</f>
        <v/>
      </c>
      <c r="S2718">
        <f>IF($O2718="","",INDEX(Suivi!$G:$G,2770))</f>
        <v/>
      </c>
      <c r="T2718">
        <f>IF($O2718="","",IF(INDEX(Dossiers!$F$4:$F$63,52)="","",INDEX(Dossiers!$F$4:$F$63,52)))</f>
        <v/>
      </c>
      <c r="U2718">
        <f>IF($O2718="","",IF(INDEX(Dossiers!$G$4:$G$63,52)="","",INDEX(Dossiers!$G$4:$G$63,52)))</f>
        <v/>
      </c>
      <c r="V2718">
        <f>IF(OR($O2718="",NOT(ISNUMBER($Q2718))),"",$Q2718*1000000+2718)</f>
        <v/>
      </c>
      <c r="W2718" s="29">
        <f>IF($B2718="","",IFERROR(INDEX($U$4:$U$3183,MATCH(SMALL($V$4:$V$3183,2715),$V$4:$V$3183,0)),""))</f>
        <v/>
      </c>
    </row>
    <row r="2719">
      <c r="A2719">
        <f>IFERROR(INDEX($N$4:$N$3183,MATCH(SMALL($V$4:$V$3183,2716),$V$4:$V$3183,0)),"")</f>
        <v/>
      </c>
      <c r="B2719">
        <f>IFERROR(INDEX($O$4:$O$3183,MATCH(SMALL($V$4:$V$3183,2716),$V$4:$V$3183,0)),"")</f>
        <v/>
      </c>
      <c r="C2719">
        <f>IFERROR(INDEX($P$4:$P$3183,MATCH(SMALL($V$4:$V$3183,2716),$V$4:$V$3183,0)),"")</f>
        <v/>
      </c>
      <c r="D2719" s="29">
        <f>IFERROR(INDEX($Q$4:$Q$3183,MATCH(SMALL($V$4:$V$3183,2716),$V$4:$V$3183,0)),"")</f>
        <v/>
      </c>
      <c r="E2719" s="29">
        <f>IFERROR(INDEX($R$4:$R$3183,MATCH(SMALL($V$4:$V$3183,2716),$V$4:$V$3183,0)),"")</f>
        <v/>
      </c>
      <c r="F2719">
        <f>IFERROR(INDEX($S$4:$S$3183,MATCH(SMALL($V$4:$V$3183,2716),$V$4:$V$3183,0)),"")</f>
        <v/>
      </c>
      <c r="I2719" s="29">
        <f>IF($B2719="","",IFERROR(INDEX($U$4:$U$3183,MATCH(SMALL($V$4:$V$3183,2716),$V$4:$V$3183,0)),""))</f>
        <v/>
      </c>
      <c r="J2719">
        <f>IF($B2719="","",IF($D2719&gt;$F$2,"À venir",IF($E2719&lt;$D$2,"Passé","Dans la période")))</f>
        <v/>
      </c>
      <c r="K2719">
        <f>IF(OR($B2719="",NOT(ISNUMBER($D2719))),"",IF(AND($E2719&lt;$D$2,$G2719&lt;&gt;"X",$F2719&lt;&gt;"Réalisé",$F2719&lt;&gt;"Clôturé"),"RETARD",""))</f>
        <v/>
      </c>
      <c r="L2719">
        <f>IF(OR($B2719="",NOT(ISNUMBER($D2719))),"",IF(AND($D2719&gt;=$D$2,$D2719&lt;=$H$2,$G2719&lt;&gt;"X",$F2719&lt;&gt;"Réalisé",$F2719&lt;&gt;"Clôturé"),"≤ 7 j",""))</f>
        <v/>
      </c>
      <c r="M2719" s="29">
        <f>IF($B2719="","",IFERROR(INDEX($T$4:$T$3183,MATCH(SMALL($V$4:$V$3183,2716),$V$4:$V$3183,0)),""))</f>
        <v/>
      </c>
      <c r="O2719">
        <f>IF(INDEX(Suivi!$B:$B,2771)="","",INDEX(Suivi!$B:$B,2771))</f>
        <v/>
      </c>
      <c r="P2719">
        <f>IF($O2719="","",IF(INDEX(Suivi!$D:$D,2771)="",INDEX(Suivi!$C:$C,2771),INDEX(Suivi!$D:$D,2771)))</f>
        <v/>
      </c>
      <c r="Q2719">
        <f>IF($O2719="","",INDEX(Suivi!$E:$E,2771))</f>
        <v/>
      </c>
      <c r="R2719">
        <f>IF($O2719="","",INDEX(Suivi!$F:$F,2771))</f>
        <v/>
      </c>
      <c r="S2719">
        <f>IF($O2719="","",INDEX(Suivi!$G:$G,2771))</f>
        <v/>
      </c>
      <c r="T2719">
        <f>IF($O2719="","",IF(INDEX(Dossiers!$F$4:$F$63,52)="","",INDEX(Dossiers!$F$4:$F$63,52)))</f>
        <v/>
      </c>
      <c r="U2719">
        <f>IF($O2719="","",IF(INDEX(Dossiers!$G$4:$G$63,52)="","",INDEX(Dossiers!$G$4:$G$63,52)))</f>
        <v/>
      </c>
      <c r="V2719">
        <f>IF(OR($O2719="",NOT(ISNUMBER($Q2719))),"",$Q2719*1000000+2719)</f>
        <v/>
      </c>
      <c r="W2719" s="29">
        <f>IF($B2719="","",IFERROR(INDEX($U$4:$U$3183,MATCH(SMALL($V$4:$V$3183,2716),$V$4:$V$3183,0)),""))</f>
        <v/>
      </c>
    </row>
    <row r="2720">
      <c r="A2720">
        <f>IFERROR(INDEX($N$4:$N$3183,MATCH(SMALL($V$4:$V$3183,2717),$V$4:$V$3183,0)),"")</f>
        <v/>
      </c>
      <c r="B2720">
        <f>IFERROR(INDEX($O$4:$O$3183,MATCH(SMALL($V$4:$V$3183,2717),$V$4:$V$3183,0)),"")</f>
        <v/>
      </c>
      <c r="C2720">
        <f>IFERROR(INDEX($P$4:$P$3183,MATCH(SMALL($V$4:$V$3183,2717),$V$4:$V$3183,0)),"")</f>
        <v/>
      </c>
      <c r="D2720" s="29">
        <f>IFERROR(INDEX($Q$4:$Q$3183,MATCH(SMALL($V$4:$V$3183,2717),$V$4:$V$3183,0)),"")</f>
        <v/>
      </c>
      <c r="E2720" s="29">
        <f>IFERROR(INDEX($R$4:$R$3183,MATCH(SMALL($V$4:$V$3183,2717),$V$4:$V$3183,0)),"")</f>
        <v/>
      </c>
      <c r="F2720">
        <f>IFERROR(INDEX($S$4:$S$3183,MATCH(SMALL($V$4:$V$3183,2717),$V$4:$V$3183,0)),"")</f>
        <v/>
      </c>
      <c r="I2720" s="29">
        <f>IF($B2720="","",IFERROR(INDEX($U$4:$U$3183,MATCH(SMALL($V$4:$V$3183,2717),$V$4:$V$3183,0)),""))</f>
        <v/>
      </c>
      <c r="J2720">
        <f>IF($B2720="","",IF($D2720&gt;$F$2,"À venir",IF($E2720&lt;$D$2,"Passé","Dans la période")))</f>
        <v/>
      </c>
      <c r="K2720">
        <f>IF(OR($B2720="",NOT(ISNUMBER($D2720))),"",IF(AND($E2720&lt;$D$2,$G2720&lt;&gt;"X",$F2720&lt;&gt;"Réalisé",$F2720&lt;&gt;"Clôturé"),"RETARD",""))</f>
        <v/>
      </c>
      <c r="L2720">
        <f>IF(OR($B2720="",NOT(ISNUMBER($D2720))),"",IF(AND($D2720&gt;=$D$2,$D2720&lt;=$H$2,$G2720&lt;&gt;"X",$F2720&lt;&gt;"Réalisé",$F2720&lt;&gt;"Clôturé"),"≤ 7 j",""))</f>
        <v/>
      </c>
      <c r="M2720" s="29">
        <f>IF($B2720="","",IFERROR(INDEX($T$4:$T$3183,MATCH(SMALL($V$4:$V$3183,2717),$V$4:$V$3183,0)),""))</f>
        <v/>
      </c>
      <c r="O2720">
        <f>IF(INDEX(Suivi!$B:$B,2772)="","",INDEX(Suivi!$B:$B,2772))</f>
        <v/>
      </c>
      <c r="P2720">
        <f>IF($O2720="","",IF(INDEX(Suivi!$D:$D,2772)="",INDEX(Suivi!$C:$C,2772),INDEX(Suivi!$D:$D,2772)))</f>
        <v/>
      </c>
      <c r="Q2720">
        <f>IF($O2720="","",INDEX(Suivi!$E:$E,2772))</f>
        <v/>
      </c>
      <c r="R2720">
        <f>IF($O2720="","",INDEX(Suivi!$F:$F,2772))</f>
        <v/>
      </c>
      <c r="S2720">
        <f>IF($O2720="","",INDEX(Suivi!$G:$G,2772))</f>
        <v/>
      </c>
      <c r="T2720">
        <f>IF($O2720="","",IF(INDEX(Dossiers!$F$4:$F$63,52)="","",INDEX(Dossiers!$F$4:$F$63,52)))</f>
        <v/>
      </c>
      <c r="U2720">
        <f>IF($O2720="","",IF(INDEX(Dossiers!$G$4:$G$63,52)="","",INDEX(Dossiers!$G$4:$G$63,52)))</f>
        <v/>
      </c>
      <c r="V2720">
        <f>IF(OR($O2720="",NOT(ISNUMBER($Q2720))),"",$Q2720*1000000+2720)</f>
        <v/>
      </c>
      <c r="W2720" s="29">
        <f>IF($B2720="","",IFERROR(INDEX($U$4:$U$3183,MATCH(SMALL($V$4:$V$3183,2717),$V$4:$V$3183,0)),""))</f>
        <v/>
      </c>
    </row>
    <row r="2721">
      <c r="A2721">
        <f>IFERROR(INDEX($N$4:$N$3183,MATCH(SMALL($V$4:$V$3183,2718),$V$4:$V$3183,0)),"")</f>
        <v/>
      </c>
      <c r="B2721">
        <f>IFERROR(INDEX($O$4:$O$3183,MATCH(SMALL($V$4:$V$3183,2718),$V$4:$V$3183,0)),"")</f>
        <v/>
      </c>
      <c r="C2721">
        <f>IFERROR(INDEX($P$4:$P$3183,MATCH(SMALL($V$4:$V$3183,2718),$V$4:$V$3183,0)),"")</f>
        <v/>
      </c>
      <c r="D2721" s="29">
        <f>IFERROR(INDEX($Q$4:$Q$3183,MATCH(SMALL($V$4:$V$3183,2718),$V$4:$V$3183,0)),"")</f>
        <v/>
      </c>
      <c r="E2721" s="29">
        <f>IFERROR(INDEX($R$4:$R$3183,MATCH(SMALL($V$4:$V$3183,2718),$V$4:$V$3183,0)),"")</f>
        <v/>
      </c>
      <c r="F2721">
        <f>IFERROR(INDEX($S$4:$S$3183,MATCH(SMALL($V$4:$V$3183,2718),$V$4:$V$3183,0)),"")</f>
        <v/>
      </c>
      <c r="I2721" s="29">
        <f>IF($B2721="","",IFERROR(INDEX($U$4:$U$3183,MATCH(SMALL($V$4:$V$3183,2718),$V$4:$V$3183,0)),""))</f>
        <v/>
      </c>
      <c r="J2721">
        <f>IF($B2721="","",IF($D2721&gt;$F$2,"À venir",IF($E2721&lt;$D$2,"Passé","Dans la période")))</f>
        <v/>
      </c>
      <c r="K2721">
        <f>IF(OR($B2721="",NOT(ISNUMBER($D2721))),"",IF(AND($E2721&lt;$D$2,$G2721&lt;&gt;"X",$F2721&lt;&gt;"Réalisé",$F2721&lt;&gt;"Clôturé"),"RETARD",""))</f>
        <v/>
      </c>
      <c r="L2721">
        <f>IF(OR($B2721="",NOT(ISNUMBER($D2721))),"",IF(AND($D2721&gt;=$D$2,$D2721&lt;=$H$2,$G2721&lt;&gt;"X",$F2721&lt;&gt;"Réalisé",$F2721&lt;&gt;"Clôturé"),"≤ 7 j",""))</f>
        <v/>
      </c>
      <c r="M2721" s="29">
        <f>IF($B2721="","",IFERROR(INDEX($T$4:$T$3183,MATCH(SMALL($V$4:$V$3183,2718),$V$4:$V$3183,0)),""))</f>
        <v/>
      </c>
      <c r="O2721">
        <f>IF(INDEX(Suivi!$B:$B,2773)="","",INDEX(Suivi!$B:$B,2773))</f>
        <v/>
      </c>
      <c r="P2721">
        <f>IF($O2721="","",IF(INDEX(Suivi!$D:$D,2773)="",INDEX(Suivi!$C:$C,2773),INDEX(Suivi!$D:$D,2773)))</f>
        <v/>
      </c>
      <c r="Q2721">
        <f>IF($O2721="","",INDEX(Suivi!$E:$E,2773))</f>
        <v/>
      </c>
      <c r="R2721">
        <f>IF($O2721="","",INDEX(Suivi!$F:$F,2773))</f>
        <v/>
      </c>
      <c r="S2721">
        <f>IF($O2721="","",INDEX(Suivi!$G:$G,2773))</f>
        <v/>
      </c>
      <c r="T2721">
        <f>IF($O2721="","",IF(INDEX(Dossiers!$F$4:$F$63,52)="","",INDEX(Dossiers!$F$4:$F$63,52)))</f>
        <v/>
      </c>
      <c r="U2721">
        <f>IF($O2721="","",IF(INDEX(Dossiers!$G$4:$G$63,52)="","",INDEX(Dossiers!$G$4:$G$63,52)))</f>
        <v/>
      </c>
      <c r="V2721">
        <f>IF(OR($O2721="",NOT(ISNUMBER($Q2721))),"",$Q2721*1000000+2721)</f>
        <v/>
      </c>
      <c r="W2721" s="29">
        <f>IF($B2721="","",IFERROR(INDEX($U$4:$U$3183,MATCH(SMALL($V$4:$V$3183,2718),$V$4:$V$3183,0)),""))</f>
        <v/>
      </c>
    </row>
    <row r="2722">
      <c r="A2722">
        <f>IFERROR(INDEX($N$4:$N$3183,MATCH(SMALL($V$4:$V$3183,2719),$V$4:$V$3183,0)),"")</f>
        <v/>
      </c>
      <c r="B2722">
        <f>IFERROR(INDEX($O$4:$O$3183,MATCH(SMALL($V$4:$V$3183,2719),$V$4:$V$3183,0)),"")</f>
        <v/>
      </c>
      <c r="C2722">
        <f>IFERROR(INDEX($P$4:$P$3183,MATCH(SMALL($V$4:$V$3183,2719),$V$4:$V$3183,0)),"")</f>
        <v/>
      </c>
      <c r="D2722" s="29">
        <f>IFERROR(INDEX($Q$4:$Q$3183,MATCH(SMALL($V$4:$V$3183,2719),$V$4:$V$3183,0)),"")</f>
        <v/>
      </c>
      <c r="E2722" s="29">
        <f>IFERROR(INDEX($R$4:$R$3183,MATCH(SMALL($V$4:$V$3183,2719),$V$4:$V$3183,0)),"")</f>
        <v/>
      </c>
      <c r="F2722">
        <f>IFERROR(INDEX($S$4:$S$3183,MATCH(SMALL($V$4:$V$3183,2719),$V$4:$V$3183,0)),"")</f>
        <v/>
      </c>
      <c r="I2722" s="29">
        <f>IF($B2722="","",IFERROR(INDEX($U$4:$U$3183,MATCH(SMALL($V$4:$V$3183,2719),$V$4:$V$3183,0)),""))</f>
        <v/>
      </c>
      <c r="J2722">
        <f>IF($B2722="","",IF($D2722&gt;$F$2,"À venir",IF($E2722&lt;$D$2,"Passé","Dans la période")))</f>
        <v/>
      </c>
      <c r="K2722">
        <f>IF(OR($B2722="",NOT(ISNUMBER($D2722))),"",IF(AND($E2722&lt;$D$2,$G2722&lt;&gt;"X",$F2722&lt;&gt;"Réalisé",$F2722&lt;&gt;"Clôturé"),"RETARD",""))</f>
        <v/>
      </c>
      <c r="L2722">
        <f>IF(OR($B2722="",NOT(ISNUMBER($D2722))),"",IF(AND($D2722&gt;=$D$2,$D2722&lt;=$H$2,$G2722&lt;&gt;"X",$F2722&lt;&gt;"Réalisé",$F2722&lt;&gt;"Clôturé"),"≤ 7 j",""))</f>
        <v/>
      </c>
      <c r="M2722" s="29">
        <f>IF($B2722="","",IFERROR(INDEX($T$4:$T$3183,MATCH(SMALL($V$4:$V$3183,2719),$V$4:$V$3183,0)),""))</f>
        <v/>
      </c>
      <c r="O2722">
        <f>IF(INDEX(Suivi!$B:$B,2774)="","",INDEX(Suivi!$B:$B,2774))</f>
        <v/>
      </c>
      <c r="P2722">
        <f>IF($O2722="","",IF(INDEX(Suivi!$D:$D,2774)="",INDEX(Suivi!$C:$C,2774),INDEX(Suivi!$D:$D,2774)))</f>
        <v/>
      </c>
      <c r="Q2722">
        <f>IF($O2722="","",INDEX(Suivi!$E:$E,2774))</f>
        <v/>
      </c>
      <c r="R2722">
        <f>IF($O2722="","",INDEX(Suivi!$F:$F,2774))</f>
        <v/>
      </c>
      <c r="S2722">
        <f>IF($O2722="","",INDEX(Suivi!$G:$G,2774))</f>
        <v/>
      </c>
      <c r="T2722">
        <f>IF($O2722="","",IF(INDEX(Dossiers!$F$4:$F$63,52)="","",INDEX(Dossiers!$F$4:$F$63,52)))</f>
        <v/>
      </c>
      <c r="U2722">
        <f>IF($O2722="","",IF(INDEX(Dossiers!$G$4:$G$63,52)="","",INDEX(Dossiers!$G$4:$G$63,52)))</f>
        <v/>
      </c>
      <c r="V2722">
        <f>IF(OR($O2722="",NOT(ISNUMBER($Q2722))),"",$Q2722*1000000+2722)</f>
        <v/>
      </c>
      <c r="W2722" s="29">
        <f>IF($B2722="","",IFERROR(INDEX($U$4:$U$3183,MATCH(SMALL($V$4:$V$3183,2719),$V$4:$V$3183,0)),""))</f>
        <v/>
      </c>
    </row>
    <row r="2723">
      <c r="A2723">
        <f>IFERROR(INDEX($N$4:$N$3183,MATCH(SMALL($V$4:$V$3183,2720),$V$4:$V$3183,0)),"")</f>
        <v/>
      </c>
      <c r="B2723">
        <f>IFERROR(INDEX($O$4:$O$3183,MATCH(SMALL($V$4:$V$3183,2720),$V$4:$V$3183,0)),"")</f>
        <v/>
      </c>
      <c r="C2723">
        <f>IFERROR(INDEX($P$4:$P$3183,MATCH(SMALL($V$4:$V$3183,2720),$V$4:$V$3183,0)),"")</f>
        <v/>
      </c>
      <c r="D2723" s="29">
        <f>IFERROR(INDEX($Q$4:$Q$3183,MATCH(SMALL($V$4:$V$3183,2720),$V$4:$V$3183,0)),"")</f>
        <v/>
      </c>
      <c r="E2723" s="29">
        <f>IFERROR(INDEX($R$4:$R$3183,MATCH(SMALL($V$4:$V$3183,2720),$V$4:$V$3183,0)),"")</f>
        <v/>
      </c>
      <c r="F2723">
        <f>IFERROR(INDEX($S$4:$S$3183,MATCH(SMALL($V$4:$V$3183,2720),$V$4:$V$3183,0)),"")</f>
        <v/>
      </c>
      <c r="I2723" s="29">
        <f>IF($B2723="","",IFERROR(INDEX($U$4:$U$3183,MATCH(SMALL($V$4:$V$3183,2720),$V$4:$V$3183,0)),""))</f>
        <v/>
      </c>
      <c r="J2723">
        <f>IF($B2723="","",IF($D2723&gt;$F$2,"À venir",IF($E2723&lt;$D$2,"Passé","Dans la période")))</f>
        <v/>
      </c>
      <c r="K2723">
        <f>IF(OR($B2723="",NOT(ISNUMBER($D2723))),"",IF(AND($E2723&lt;$D$2,$G2723&lt;&gt;"X",$F2723&lt;&gt;"Réalisé",$F2723&lt;&gt;"Clôturé"),"RETARD",""))</f>
        <v/>
      </c>
      <c r="L2723">
        <f>IF(OR($B2723="",NOT(ISNUMBER($D2723))),"",IF(AND($D2723&gt;=$D$2,$D2723&lt;=$H$2,$G2723&lt;&gt;"X",$F2723&lt;&gt;"Réalisé",$F2723&lt;&gt;"Clôturé"),"≤ 7 j",""))</f>
        <v/>
      </c>
      <c r="M2723" s="29">
        <f>IF($B2723="","",IFERROR(INDEX($T$4:$T$3183,MATCH(SMALL($V$4:$V$3183,2720),$V$4:$V$3183,0)),""))</f>
        <v/>
      </c>
      <c r="O2723">
        <f>IF(INDEX(Suivi!$B:$B,2775)="","",INDEX(Suivi!$B:$B,2775))</f>
        <v/>
      </c>
      <c r="P2723">
        <f>IF($O2723="","",IF(INDEX(Suivi!$D:$D,2775)="",INDEX(Suivi!$C:$C,2775),INDEX(Suivi!$D:$D,2775)))</f>
        <v/>
      </c>
      <c r="Q2723">
        <f>IF($O2723="","",INDEX(Suivi!$E:$E,2775))</f>
        <v/>
      </c>
      <c r="R2723">
        <f>IF($O2723="","",INDEX(Suivi!$F:$F,2775))</f>
        <v/>
      </c>
      <c r="S2723">
        <f>IF($O2723="","",INDEX(Suivi!$G:$G,2775))</f>
        <v/>
      </c>
      <c r="T2723">
        <f>IF($O2723="","",IF(INDEX(Dossiers!$F$4:$F$63,52)="","",INDEX(Dossiers!$F$4:$F$63,52)))</f>
        <v/>
      </c>
      <c r="U2723">
        <f>IF($O2723="","",IF(INDEX(Dossiers!$G$4:$G$63,52)="","",INDEX(Dossiers!$G$4:$G$63,52)))</f>
        <v/>
      </c>
      <c r="V2723">
        <f>IF(OR($O2723="",NOT(ISNUMBER($Q2723))),"",$Q2723*1000000+2723)</f>
        <v/>
      </c>
      <c r="W2723" s="29">
        <f>IF($B2723="","",IFERROR(INDEX($U$4:$U$3183,MATCH(SMALL($V$4:$V$3183,2720),$V$4:$V$3183,0)),""))</f>
        <v/>
      </c>
    </row>
    <row r="2724">
      <c r="A2724">
        <f>IFERROR(INDEX($N$4:$N$3183,MATCH(SMALL($V$4:$V$3183,2721),$V$4:$V$3183,0)),"")</f>
        <v/>
      </c>
      <c r="B2724">
        <f>IFERROR(INDEX($O$4:$O$3183,MATCH(SMALL($V$4:$V$3183,2721),$V$4:$V$3183,0)),"")</f>
        <v/>
      </c>
      <c r="C2724">
        <f>IFERROR(INDEX($P$4:$P$3183,MATCH(SMALL($V$4:$V$3183,2721),$V$4:$V$3183,0)),"")</f>
        <v/>
      </c>
      <c r="D2724" s="29">
        <f>IFERROR(INDEX($Q$4:$Q$3183,MATCH(SMALL($V$4:$V$3183,2721),$V$4:$V$3183,0)),"")</f>
        <v/>
      </c>
      <c r="E2724" s="29">
        <f>IFERROR(INDEX($R$4:$R$3183,MATCH(SMALL($V$4:$V$3183,2721),$V$4:$V$3183,0)),"")</f>
        <v/>
      </c>
      <c r="F2724">
        <f>IFERROR(INDEX($S$4:$S$3183,MATCH(SMALL($V$4:$V$3183,2721),$V$4:$V$3183,0)),"")</f>
        <v/>
      </c>
      <c r="I2724" s="29">
        <f>IF($B2724="","",IFERROR(INDEX($U$4:$U$3183,MATCH(SMALL($V$4:$V$3183,2721),$V$4:$V$3183,0)),""))</f>
        <v/>
      </c>
      <c r="J2724">
        <f>IF($B2724="","",IF($D2724&gt;$F$2,"À venir",IF($E2724&lt;$D$2,"Passé","Dans la période")))</f>
        <v/>
      </c>
      <c r="K2724">
        <f>IF(OR($B2724="",NOT(ISNUMBER($D2724))),"",IF(AND($E2724&lt;$D$2,$G2724&lt;&gt;"X",$F2724&lt;&gt;"Réalisé",$F2724&lt;&gt;"Clôturé"),"RETARD",""))</f>
        <v/>
      </c>
      <c r="L2724">
        <f>IF(OR($B2724="",NOT(ISNUMBER($D2724))),"",IF(AND($D2724&gt;=$D$2,$D2724&lt;=$H$2,$G2724&lt;&gt;"X",$F2724&lt;&gt;"Réalisé",$F2724&lt;&gt;"Clôturé"),"≤ 7 j",""))</f>
        <v/>
      </c>
      <c r="M2724" s="29">
        <f>IF($B2724="","",IFERROR(INDEX($T$4:$T$3183,MATCH(SMALL($V$4:$V$3183,2721),$V$4:$V$3183,0)),""))</f>
        <v/>
      </c>
      <c r="O2724">
        <f>IF(INDEX(Suivi!$B:$B,2776)="","",INDEX(Suivi!$B:$B,2776))</f>
        <v/>
      </c>
      <c r="P2724">
        <f>IF($O2724="","",IF(INDEX(Suivi!$D:$D,2776)="",INDEX(Suivi!$C:$C,2776),INDEX(Suivi!$D:$D,2776)))</f>
        <v/>
      </c>
      <c r="Q2724">
        <f>IF($O2724="","",INDEX(Suivi!$E:$E,2776))</f>
        <v/>
      </c>
      <c r="R2724">
        <f>IF($O2724="","",INDEX(Suivi!$F:$F,2776))</f>
        <v/>
      </c>
      <c r="S2724">
        <f>IF($O2724="","",INDEX(Suivi!$G:$G,2776))</f>
        <v/>
      </c>
      <c r="T2724">
        <f>IF($O2724="","",IF(INDEX(Dossiers!$F$4:$F$63,52)="","",INDEX(Dossiers!$F$4:$F$63,52)))</f>
        <v/>
      </c>
      <c r="U2724">
        <f>IF($O2724="","",IF(INDEX(Dossiers!$G$4:$G$63,52)="","",INDEX(Dossiers!$G$4:$G$63,52)))</f>
        <v/>
      </c>
      <c r="V2724">
        <f>IF(OR($O2724="",NOT(ISNUMBER($Q2724))),"",$Q2724*1000000+2724)</f>
        <v/>
      </c>
      <c r="W2724" s="29">
        <f>IF($B2724="","",IFERROR(INDEX($U$4:$U$3183,MATCH(SMALL($V$4:$V$3183,2721),$V$4:$V$3183,0)),""))</f>
        <v/>
      </c>
    </row>
    <row r="2725">
      <c r="A2725">
        <f>IFERROR(INDEX($N$4:$N$3183,MATCH(SMALL($V$4:$V$3183,2722),$V$4:$V$3183,0)),"")</f>
        <v/>
      </c>
      <c r="B2725">
        <f>IFERROR(INDEX($O$4:$O$3183,MATCH(SMALL($V$4:$V$3183,2722),$V$4:$V$3183,0)),"")</f>
        <v/>
      </c>
      <c r="C2725">
        <f>IFERROR(INDEX($P$4:$P$3183,MATCH(SMALL($V$4:$V$3183,2722),$V$4:$V$3183,0)),"")</f>
        <v/>
      </c>
      <c r="D2725" s="29">
        <f>IFERROR(INDEX($Q$4:$Q$3183,MATCH(SMALL($V$4:$V$3183,2722),$V$4:$V$3183,0)),"")</f>
        <v/>
      </c>
      <c r="E2725" s="29">
        <f>IFERROR(INDEX($R$4:$R$3183,MATCH(SMALL($V$4:$V$3183,2722),$V$4:$V$3183,0)),"")</f>
        <v/>
      </c>
      <c r="F2725">
        <f>IFERROR(INDEX($S$4:$S$3183,MATCH(SMALL($V$4:$V$3183,2722),$V$4:$V$3183,0)),"")</f>
        <v/>
      </c>
      <c r="I2725" s="29">
        <f>IF($B2725="","",IFERROR(INDEX($U$4:$U$3183,MATCH(SMALL($V$4:$V$3183,2722),$V$4:$V$3183,0)),""))</f>
        <v/>
      </c>
      <c r="J2725">
        <f>IF($B2725="","",IF($D2725&gt;$F$2,"À venir",IF($E2725&lt;$D$2,"Passé","Dans la période")))</f>
        <v/>
      </c>
      <c r="K2725">
        <f>IF(OR($B2725="",NOT(ISNUMBER($D2725))),"",IF(AND($E2725&lt;$D$2,$G2725&lt;&gt;"X",$F2725&lt;&gt;"Réalisé",$F2725&lt;&gt;"Clôturé"),"RETARD",""))</f>
        <v/>
      </c>
      <c r="L2725">
        <f>IF(OR($B2725="",NOT(ISNUMBER($D2725))),"",IF(AND($D2725&gt;=$D$2,$D2725&lt;=$H$2,$G2725&lt;&gt;"X",$F2725&lt;&gt;"Réalisé",$F2725&lt;&gt;"Clôturé"),"≤ 7 j",""))</f>
        <v/>
      </c>
      <c r="M2725" s="29">
        <f>IF($B2725="","",IFERROR(INDEX($T$4:$T$3183,MATCH(SMALL($V$4:$V$3183,2722),$V$4:$V$3183,0)),""))</f>
        <v/>
      </c>
      <c r="O2725">
        <f>IF(INDEX(Suivi!$B:$B,2777)="","",INDEX(Suivi!$B:$B,2777))</f>
        <v/>
      </c>
      <c r="P2725">
        <f>IF($O2725="","",IF(INDEX(Suivi!$D:$D,2777)="",INDEX(Suivi!$C:$C,2777),INDEX(Suivi!$D:$D,2777)))</f>
        <v/>
      </c>
      <c r="Q2725">
        <f>IF($O2725="","",INDEX(Suivi!$E:$E,2777))</f>
        <v/>
      </c>
      <c r="R2725">
        <f>IF($O2725="","",INDEX(Suivi!$F:$F,2777))</f>
        <v/>
      </c>
      <c r="S2725">
        <f>IF($O2725="","",INDEX(Suivi!$G:$G,2777))</f>
        <v/>
      </c>
      <c r="T2725">
        <f>IF($O2725="","",IF(INDEX(Dossiers!$F$4:$F$63,52)="","",INDEX(Dossiers!$F$4:$F$63,52)))</f>
        <v/>
      </c>
      <c r="U2725">
        <f>IF($O2725="","",IF(INDEX(Dossiers!$G$4:$G$63,52)="","",INDEX(Dossiers!$G$4:$G$63,52)))</f>
        <v/>
      </c>
      <c r="V2725">
        <f>IF(OR($O2725="",NOT(ISNUMBER($Q2725))),"",$Q2725*1000000+2725)</f>
        <v/>
      </c>
      <c r="W2725" s="29">
        <f>IF($B2725="","",IFERROR(INDEX($U$4:$U$3183,MATCH(SMALL($V$4:$V$3183,2722),$V$4:$V$3183,0)),""))</f>
        <v/>
      </c>
    </row>
    <row r="2726">
      <c r="A2726">
        <f>IFERROR(INDEX($N$4:$N$3183,MATCH(SMALL($V$4:$V$3183,2723),$V$4:$V$3183,0)),"")</f>
        <v/>
      </c>
      <c r="B2726">
        <f>IFERROR(INDEX($O$4:$O$3183,MATCH(SMALL($V$4:$V$3183,2723),$V$4:$V$3183,0)),"")</f>
        <v/>
      </c>
      <c r="C2726">
        <f>IFERROR(INDEX($P$4:$P$3183,MATCH(SMALL($V$4:$V$3183,2723),$V$4:$V$3183,0)),"")</f>
        <v/>
      </c>
      <c r="D2726" s="29">
        <f>IFERROR(INDEX($Q$4:$Q$3183,MATCH(SMALL($V$4:$V$3183,2723),$V$4:$V$3183,0)),"")</f>
        <v/>
      </c>
      <c r="E2726" s="29">
        <f>IFERROR(INDEX($R$4:$R$3183,MATCH(SMALL($V$4:$V$3183,2723),$V$4:$V$3183,0)),"")</f>
        <v/>
      </c>
      <c r="F2726">
        <f>IFERROR(INDEX($S$4:$S$3183,MATCH(SMALL($V$4:$V$3183,2723),$V$4:$V$3183,0)),"")</f>
        <v/>
      </c>
      <c r="I2726" s="29">
        <f>IF($B2726="","",IFERROR(INDEX($U$4:$U$3183,MATCH(SMALL($V$4:$V$3183,2723),$V$4:$V$3183,0)),""))</f>
        <v/>
      </c>
      <c r="J2726">
        <f>IF($B2726="","",IF($D2726&gt;$F$2,"À venir",IF($E2726&lt;$D$2,"Passé","Dans la période")))</f>
        <v/>
      </c>
      <c r="K2726">
        <f>IF(OR($B2726="",NOT(ISNUMBER($D2726))),"",IF(AND($E2726&lt;$D$2,$G2726&lt;&gt;"X",$F2726&lt;&gt;"Réalisé",$F2726&lt;&gt;"Clôturé"),"RETARD",""))</f>
        <v/>
      </c>
      <c r="L2726">
        <f>IF(OR($B2726="",NOT(ISNUMBER($D2726))),"",IF(AND($D2726&gt;=$D$2,$D2726&lt;=$H$2,$G2726&lt;&gt;"X",$F2726&lt;&gt;"Réalisé",$F2726&lt;&gt;"Clôturé"),"≤ 7 j",""))</f>
        <v/>
      </c>
      <c r="M2726" s="29">
        <f>IF($B2726="","",IFERROR(INDEX($T$4:$T$3183,MATCH(SMALL($V$4:$V$3183,2723),$V$4:$V$3183,0)),""))</f>
        <v/>
      </c>
      <c r="O2726">
        <f>IF(INDEX(Suivi!$B:$B,2778)="","",INDEX(Suivi!$B:$B,2778))</f>
        <v/>
      </c>
      <c r="P2726">
        <f>IF($O2726="","",IF(INDEX(Suivi!$D:$D,2778)="",INDEX(Suivi!$C:$C,2778),INDEX(Suivi!$D:$D,2778)))</f>
        <v/>
      </c>
      <c r="Q2726">
        <f>IF($O2726="","",INDEX(Suivi!$E:$E,2778))</f>
        <v/>
      </c>
      <c r="R2726">
        <f>IF($O2726="","",INDEX(Suivi!$F:$F,2778))</f>
        <v/>
      </c>
      <c r="S2726">
        <f>IF($O2726="","",INDEX(Suivi!$G:$G,2778))</f>
        <v/>
      </c>
      <c r="T2726">
        <f>IF($O2726="","",IF(INDEX(Dossiers!$F$4:$F$63,52)="","",INDEX(Dossiers!$F$4:$F$63,52)))</f>
        <v/>
      </c>
      <c r="U2726">
        <f>IF($O2726="","",IF(INDEX(Dossiers!$G$4:$G$63,52)="","",INDEX(Dossiers!$G$4:$G$63,52)))</f>
        <v/>
      </c>
      <c r="V2726">
        <f>IF(OR($O2726="",NOT(ISNUMBER($Q2726))),"",$Q2726*1000000+2726)</f>
        <v/>
      </c>
      <c r="W2726" s="29">
        <f>IF($B2726="","",IFERROR(INDEX($U$4:$U$3183,MATCH(SMALL($V$4:$V$3183,2723),$V$4:$V$3183,0)),""))</f>
        <v/>
      </c>
    </row>
    <row r="2727">
      <c r="A2727">
        <f>IFERROR(INDEX($N$4:$N$3183,MATCH(SMALL($V$4:$V$3183,2724),$V$4:$V$3183,0)),"")</f>
        <v/>
      </c>
      <c r="B2727">
        <f>IFERROR(INDEX($O$4:$O$3183,MATCH(SMALL($V$4:$V$3183,2724),$V$4:$V$3183,0)),"")</f>
        <v/>
      </c>
      <c r="C2727">
        <f>IFERROR(INDEX($P$4:$P$3183,MATCH(SMALL($V$4:$V$3183,2724),$V$4:$V$3183,0)),"")</f>
        <v/>
      </c>
      <c r="D2727" s="29">
        <f>IFERROR(INDEX($Q$4:$Q$3183,MATCH(SMALL($V$4:$V$3183,2724),$V$4:$V$3183,0)),"")</f>
        <v/>
      </c>
      <c r="E2727" s="29">
        <f>IFERROR(INDEX($R$4:$R$3183,MATCH(SMALL($V$4:$V$3183,2724),$V$4:$V$3183,0)),"")</f>
        <v/>
      </c>
      <c r="F2727">
        <f>IFERROR(INDEX($S$4:$S$3183,MATCH(SMALL($V$4:$V$3183,2724),$V$4:$V$3183,0)),"")</f>
        <v/>
      </c>
      <c r="I2727" s="29">
        <f>IF($B2727="","",IFERROR(INDEX($U$4:$U$3183,MATCH(SMALL($V$4:$V$3183,2724),$V$4:$V$3183,0)),""))</f>
        <v/>
      </c>
      <c r="J2727">
        <f>IF($B2727="","",IF($D2727&gt;$F$2,"À venir",IF($E2727&lt;$D$2,"Passé","Dans la période")))</f>
        <v/>
      </c>
      <c r="K2727">
        <f>IF(OR($B2727="",NOT(ISNUMBER($D2727))),"",IF(AND($E2727&lt;$D$2,$G2727&lt;&gt;"X",$F2727&lt;&gt;"Réalisé",$F2727&lt;&gt;"Clôturé"),"RETARD",""))</f>
        <v/>
      </c>
      <c r="L2727">
        <f>IF(OR($B2727="",NOT(ISNUMBER($D2727))),"",IF(AND($D2727&gt;=$D$2,$D2727&lt;=$H$2,$G2727&lt;&gt;"X",$F2727&lt;&gt;"Réalisé",$F2727&lt;&gt;"Clôturé"),"≤ 7 j",""))</f>
        <v/>
      </c>
      <c r="M2727" s="29">
        <f>IF($B2727="","",IFERROR(INDEX($T$4:$T$3183,MATCH(SMALL($V$4:$V$3183,2724),$V$4:$V$3183,0)),""))</f>
        <v/>
      </c>
      <c r="O2727">
        <f>IF(INDEX(Suivi!$B:$B,2779)="","",INDEX(Suivi!$B:$B,2779))</f>
        <v/>
      </c>
      <c r="P2727">
        <f>IF($O2727="","",IF(INDEX(Suivi!$D:$D,2779)="",INDEX(Suivi!$C:$C,2779),INDEX(Suivi!$D:$D,2779)))</f>
        <v/>
      </c>
      <c r="Q2727">
        <f>IF($O2727="","",INDEX(Suivi!$E:$E,2779))</f>
        <v/>
      </c>
      <c r="R2727">
        <f>IF($O2727="","",INDEX(Suivi!$F:$F,2779))</f>
        <v/>
      </c>
      <c r="S2727">
        <f>IF($O2727="","",INDEX(Suivi!$G:$G,2779))</f>
        <v/>
      </c>
      <c r="T2727">
        <f>IF($O2727="","",IF(INDEX(Dossiers!$F$4:$F$63,52)="","",INDEX(Dossiers!$F$4:$F$63,52)))</f>
        <v/>
      </c>
      <c r="U2727">
        <f>IF($O2727="","",IF(INDEX(Dossiers!$G$4:$G$63,52)="","",INDEX(Dossiers!$G$4:$G$63,52)))</f>
        <v/>
      </c>
      <c r="V2727">
        <f>IF(OR($O2727="",NOT(ISNUMBER($Q2727))),"",$Q2727*1000000+2727)</f>
        <v/>
      </c>
      <c r="W2727" s="29">
        <f>IF($B2727="","",IFERROR(INDEX($U$4:$U$3183,MATCH(SMALL($V$4:$V$3183,2724),$V$4:$V$3183,0)),""))</f>
        <v/>
      </c>
    </row>
    <row r="2728">
      <c r="A2728">
        <f>IFERROR(INDEX($N$4:$N$3183,MATCH(SMALL($V$4:$V$3183,2725),$V$4:$V$3183,0)),"")</f>
        <v/>
      </c>
      <c r="B2728">
        <f>IFERROR(INDEX($O$4:$O$3183,MATCH(SMALL($V$4:$V$3183,2725),$V$4:$V$3183,0)),"")</f>
        <v/>
      </c>
      <c r="C2728">
        <f>IFERROR(INDEX($P$4:$P$3183,MATCH(SMALL($V$4:$V$3183,2725),$V$4:$V$3183,0)),"")</f>
        <v/>
      </c>
      <c r="D2728" s="29">
        <f>IFERROR(INDEX($Q$4:$Q$3183,MATCH(SMALL($V$4:$V$3183,2725),$V$4:$V$3183,0)),"")</f>
        <v/>
      </c>
      <c r="E2728" s="29">
        <f>IFERROR(INDEX($R$4:$R$3183,MATCH(SMALL($V$4:$V$3183,2725),$V$4:$V$3183,0)),"")</f>
        <v/>
      </c>
      <c r="F2728">
        <f>IFERROR(INDEX($S$4:$S$3183,MATCH(SMALL($V$4:$V$3183,2725),$V$4:$V$3183,0)),"")</f>
        <v/>
      </c>
      <c r="I2728" s="29">
        <f>IF($B2728="","",IFERROR(INDEX($U$4:$U$3183,MATCH(SMALL($V$4:$V$3183,2725),$V$4:$V$3183,0)),""))</f>
        <v/>
      </c>
      <c r="J2728">
        <f>IF($B2728="","",IF($D2728&gt;$F$2,"À venir",IF($E2728&lt;$D$2,"Passé","Dans la période")))</f>
        <v/>
      </c>
      <c r="K2728">
        <f>IF(OR($B2728="",NOT(ISNUMBER($D2728))),"",IF(AND($E2728&lt;$D$2,$G2728&lt;&gt;"X",$F2728&lt;&gt;"Réalisé",$F2728&lt;&gt;"Clôturé"),"RETARD",""))</f>
        <v/>
      </c>
      <c r="L2728">
        <f>IF(OR($B2728="",NOT(ISNUMBER($D2728))),"",IF(AND($D2728&gt;=$D$2,$D2728&lt;=$H$2,$G2728&lt;&gt;"X",$F2728&lt;&gt;"Réalisé",$F2728&lt;&gt;"Clôturé"),"≤ 7 j",""))</f>
        <v/>
      </c>
      <c r="M2728" s="29">
        <f>IF($B2728="","",IFERROR(INDEX($T$4:$T$3183,MATCH(SMALL($V$4:$V$3183,2725),$V$4:$V$3183,0)),""))</f>
        <v/>
      </c>
      <c r="O2728">
        <f>IF(INDEX(Suivi!$B:$B,2780)="","",INDEX(Suivi!$B:$B,2780))</f>
        <v/>
      </c>
      <c r="P2728">
        <f>IF($O2728="","",IF(INDEX(Suivi!$D:$D,2780)="",INDEX(Suivi!$C:$C,2780),INDEX(Suivi!$D:$D,2780)))</f>
        <v/>
      </c>
      <c r="Q2728">
        <f>IF($O2728="","",INDEX(Suivi!$E:$E,2780))</f>
        <v/>
      </c>
      <c r="R2728">
        <f>IF($O2728="","",INDEX(Suivi!$F:$F,2780))</f>
        <v/>
      </c>
      <c r="S2728">
        <f>IF($O2728="","",INDEX(Suivi!$G:$G,2780))</f>
        <v/>
      </c>
      <c r="T2728">
        <f>IF($O2728="","",IF(INDEX(Dossiers!$F$4:$F$63,52)="","",INDEX(Dossiers!$F$4:$F$63,52)))</f>
        <v/>
      </c>
      <c r="U2728">
        <f>IF($O2728="","",IF(INDEX(Dossiers!$G$4:$G$63,52)="","",INDEX(Dossiers!$G$4:$G$63,52)))</f>
        <v/>
      </c>
      <c r="V2728">
        <f>IF(OR($O2728="",NOT(ISNUMBER($Q2728))),"",$Q2728*1000000+2728)</f>
        <v/>
      </c>
      <c r="W2728" s="29">
        <f>IF($B2728="","",IFERROR(INDEX($U$4:$U$3183,MATCH(SMALL($V$4:$V$3183,2725),$V$4:$V$3183,0)),""))</f>
        <v/>
      </c>
    </row>
    <row r="2729">
      <c r="A2729">
        <f>IFERROR(INDEX($N$4:$N$3183,MATCH(SMALL($V$4:$V$3183,2726),$V$4:$V$3183,0)),"")</f>
        <v/>
      </c>
      <c r="B2729">
        <f>IFERROR(INDEX($O$4:$O$3183,MATCH(SMALL($V$4:$V$3183,2726),$V$4:$V$3183,0)),"")</f>
        <v/>
      </c>
      <c r="C2729">
        <f>IFERROR(INDEX($P$4:$P$3183,MATCH(SMALL($V$4:$V$3183,2726),$V$4:$V$3183,0)),"")</f>
        <v/>
      </c>
      <c r="D2729" s="29">
        <f>IFERROR(INDEX($Q$4:$Q$3183,MATCH(SMALL($V$4:$V$3183,2726),$V$4:$V$3183,0)),"")</f>
        <v/>
      </c>
      <c r="E2729" s="29">
        <f>IFERROR(INDEX($R$4:$R$3183,MATCH(SMALL($V$4:$V$3183,2726),$V$4:$V$3183,0)),"")</f>
        <v/>
      </c>
      <c r="F2729">
        <f>IFERROR(INDEX($S$4:$S$3183,MATCH(SMALL($V$4:$V$3183,2726),$V$4:$V$3183,0)),"")</f>
        <v/>
      </c>
      <c r="I2729" s="29">
        <f>IF($B2729="","",IFERROR(INDEX($U$4:$U$3183,MATCH(SMALL($V$4:$V$3183,2726),$V$4:$V$3183,0)),""))</f>
        <v/>
      </c>
      <c r="J2729">
        <f>IF($B2729="","",IF($D2729&gt;$F$2,"À venir",IF($E2729&lt;$D$2,"Passé","Dans la période")))</f>
        <v/>
      </c>
      <c r="K2729">
        <f>IF(OR($B2729="",NOT(ISNUMBER($D2729))),"",IF(AND($E2729&lt;$D$2,$G2729&lt;&gt;"X",$F2729&lt;&gt;"Réalisé",$F2729&lt;&gt;"Clôturé"),"RETARD",""))</f>
        <v/>
      </c>
      <c r="L2729">
        <f>IF(OR($B2729="",NOT(ISNUMBER($D2729))),"",IF(AND($D2729&gt;=$D$2,$D2729&lt;=$H$2,$G2729&lt;&gt;"X",$F2729&lt;&gt;"Réalisé",$F2729&lt;&gt;"Clôturé"),"≤ 7 j",""))</f>
        <v/>
      </c>
      <c r="M2729" s="29">
        <f>IF($B2729="","",IFERROR(INDEX($T$4:$T$3183,MATCH(SMALL($V$4:$V$3183,2726),$V$4:$V$3183,0)),""))</f>
        <v/>
      </c>
      <c r="O2729">
        <f>IF(INDEX(Suivi!$B:$B,2781)="","",INDEX(Suivi!$B:$B,2781))</f>
        <v/>
      </c>
      <c r="P2729">
        <f>IF($O2729="","",IF(INDEX(Suivi!$D:$D,2781)="",INDEX(Suivi!$C:$C,2781),INDEX(Suivi!$D:$D,2781)))</f>
        <v/>
      </c>
      <c r="Q2729">
        <f>IF($O2729="","",INDEX(Suivi!$E:$E,2781))</f>
        <v/>
      </c>
      <c r="R2729">
        <f>IF($O2729="","",INDEX(Suivi!$F:$F,2781))</f>
        <v/>
      </c>
      <c r="S2729">
        <f>IF($O2729="","",INDEX(Suivi!$G:$G,2781))</f>
        <v/>
      </c>
      <c r="T2729">
        <f>IF($O2729="","",IF(INDEX(Dossiers!$F$4:$F$63,52)="","",INDEX(Dossiers!$F$4:$F$63,52)))</f>
        <v/>
      </c>
      <c r="U2729">
        <f>IF($O2729="","",IF(INDEX(Dossiers!$G$4:$G$63,52)="","",INDEX(Dossiers!$G$4:$G$63,52)))</f>
        <v/>
      </c>
      <c r="V2729">
        <f>IF(OR($O2729="",NOT(ISNUMBER($Q2729))),"",$Q2729*1000000+2729)</f>
        <v/>
      </c>
      <c r="W2729" s="29">
        <f>IF($B2729="","",IFERROR(INDEX($U$4:$U$3183,MATCH(SMALL($V$4:$V$3183,2726),$V$4:$V$3183,0)),""))</f>
        <v/>
      </c>
    </row>
    <row r="2730">
      <c r="A2730">
        <f>IFERROR(INDEX($N$4:$N$3183,MATCH(SMALL($V$4:$V$3183,2727),$V$4:$V$3183,0)),"")</f>
        <v/>
      </c>
      <c r="B2730">
        <f>IFERROR(INDEX($O$4:$O$3183,MATCH(SMALL($V$4:$V$3183,2727),$V$4:$V$3183,0)),"")</f>
        <v/>
      </c>
      <c r="C2730">
        <f>IFERROR(INDEX($P$4:$P$3183,MATCH(SMALL($V$4:$V$3183,2727),$V$4:$V$3183,0)),"")</f>
        <v/>
      </c>
      <c r="D2730" s="29">
        <f>IFERROR(INDEX($Q$4:$Q$3183,MATCH(SMALL($V$4:$V$3183,2727),$V$4:$V$3183,0)),"")</f>
        <v/>
      </c>
      <c r="E2730" s="29">
        <f>IFERROR(INDEX($R$4:$R$3183,MATCH(SMALL($V$4:$V$3183,2727),$V$4:$V$3183,0)),"")</f>
        <v/>
      </c>
      <c r="F2730">
        <f>IFERROR(INDEX($S$4:$S$3183,MATCH(SMALL($V$4:$V$3183,2727),$V$4:$V$3183,0)),"")</f>
        <v/>
      </c>
      <c r="I2730" s="29">
        <f>IF($B2730="","",IFERROR(INDEX($U$4:$U$3183,MATCH(SMALL($V$4:$V$3183,2727),$V$4:$V$3183,0)),""))</f>
        <v/>
      </c>
      <c r="J2730">
        <f>IF($B2730="","",IF($D2730&gt;$F$2,"À venir",IF($E2730&lt;$D$2,"Passé","Dans la période")))</f>
        <v/>
      </c>
      <c r="K2730">
        <f>IF(OR($B2730="",NOT(ISNUMBER($D2730))),"",IF(AND($E2730&lt;$D$2,$G2730&lt;&gt;"X",$F2730&lt;&gt;"Réalisé",$F2730&lt;&gt;"Clôturé"),"RETARD",""))</f>
        <v/>
      </c>
      <c r="L2730">
        <f>IF(OR($B2730="",NOT(ISNUMBER($D2730))),"",IF(AND($D2730&gt;=$D$2,$D2730&lt;=$H$2,$G2730&lt;&gt;"X",$F2730&lt;&gt;"Réalisé",$F2730&lt;&gt;"Clôturé"),"≤ 7 j",""))</f>
        <v/>
      </c>
      <c r="M2730" s="29">
        <f>IF($B2730="","",IFERROR(INDEX($T$4:$T$3183,MATCH(SMALL($V$4:$V$3183,2727),$V$4:$V$3183,0)),""))</f>
        <v/>
      </c>
      <c r="O2730">
        <f>IF(INDEX(Suivi!$B:$B,2782)="","",INDEX(Suivi!$B:$B,2782))</f>
        <v/>
      </c>
      <c r="P2730">
        <f>IF($O2730="","",IF(INDEX(Suivi!$D:$D,2782)="",INDEX(Suivi!$C:$C,2782),INDEX(Suivi!$D:$D,2782)))</f>
        <v/>
      </c>
      <c r="Q2730">
        <f>IF($O2730="","",INDEX(Suivi!$E:$E,2782))</f>
        <v/>
      </c>
      <c r="R2730">
        <f>IF($O2730="","",INDEX(Suivi!$F:$F,2782))</f>
        <v/>
      </c>
      <c r="S2730">
        <f>IF($O2730="","",INDEX(Suivi!$G:$G,2782))</f>
        <v/>
      </c>
      <c r="T2730">
        <f>IF($O2730="","",IF(INDEX(Dossiers!$F$4:$F$63,52)="","",INDEX(Dossiers!$F$4:$F$63,52)))</f>
        <v/>
      </c>
      <c r="U2730">
        <f>IF($O2730="","",IF(INDEX(Dossiers!$G$4:$G$63,52)="","",INDEX(Dossiers!$G$4:$G$63,52)))</f>
        <v/>
      </c>
      <c r="V2730">
        <f>IF(OR($O2730="",NOT(ISNUMBER($Q2730))),"",$Q2730*1000000+2730)</f>
        <v/>
      </c>
      <c r="W2730" s="29">
        <f>IF($B2730="","",IFERROR(INDEX($U$4:$U$3183,MATCH(SMALL($V$4:$V$3183,2727),$V$4:$V$3183,0)),""))</f>
        <v/>
      </c>
    </row>
    <row r="2731">
      <c r="A2731">
        <f>IFERROR(INDEX($N$4:$N$3183,MATCH(SMALL($V$4:$V$3183,2728),$V$4:$V$3183,0)),"")</f>
        <v/>
      </c>
      <c r="B2731">
        <f>IFERROR(INDEX($O$4:$O$3183,MATCH(SMALL($V$4:$V$3183,2728),$V$4:$V$3183,0)),"")</f>
        <v/>
      </c>
      <c r="C2731">
        <f>IFERROR(INDEX($P$4:$P$3183,MATCH(SMALL($V$4:$V$3183,2728),$V$4:$V$3183,0)),"")</f>
        <v/>
      </c>
      <c r="D2731" s="29">
        <f>IFERROR(INDEX($Q$4:$Q$3183,MATCH(SMALL($V$4:$V$3183,2728),$V$4:$V$3183,0)),"")</f>
        <v/>
      </c>
      <c r="E2731" s="29">
        <f>IFERROR(INDEX($R$4:$R$3183,MATCH(SMALL($V$4:$V$3183,2728),$V$4:$V$3183,0)),"")</f>
        <v/>
      </c>
      <c r="F2731">
        <f>IFERROR(INDEX($S$4:$S$3183,MATCH(SMALL($V$4:$V$3183,2728),$V$4:$V$3183,0)),"")</f>
        <v/>
      </c>
      <c r="I2731" s="29">
        <f>IF($B2731="","",IFERROR(INDEX($U$4:$U$3183,MATCH(SMALL($V$4:$V$3183,2728),$V$4:$V$3183,0)),""))</f>
        <v/>
      </c>
      <c r="J2731">
        <f>IF($B2731="","",IF($D2731&gt;$F$2,"À venir",IF($E2731&lt;$D$2,"Passé","Dans la période")))</f>
        <v/>
      </c>
      <c r="K2731">
        <f>IF(OR($B2731="",NOT(ISNUMBER($D2731))),"",IF(AND($E2731&lt;$D$2,$G2731&lt;&gt;"X",$F2731&lt;&gt;"Réalisé",$F2731&lt;&gt;"Clôturé"),"RETARD",""))</f>
        <v/>
      </c>
      <c r="L2731">
        <f>IF(OR($B2731="",NOT(ISNUMBER($D2731))),"",IF(AND($D2731&gt;=$D$2,$D2731&lt;=$H$2,$G2731&lt;&gt;"X",$F2731&lt;&gt;"Réalisé",$F2731&lt;&gt;"Clôturé"),"≤ 7 j",""))</f>
        <v/>
      </c>
      <c r="M2731" s="29">
        <f>IF($B2731="","",IFERROR(INDEX($T$4:$T$3183,MATCH(SMALL($V$4:$V$3183,2728),$V$4:$V$3183,0)),""))</f>
        <v/>
      </c>
      <c r="O2731">
        <f>IF(INDEX(Suivi!$B:$B,2783)="","",INDEX(Suivi!$B:$B,2783))</f>
        <v/>
      </c>
      <c r="P2731">
        <f>IF($O2731="","",IF(INDEX(Suivi!$D:$D,2783)="",INDEX(Suivi!$C:$C,2783),INDEX(Suivi!$D:$D,2783)))</f>
        <v/>
      </c>
      <c r="Q2731">
        <f>IF($O2731="","",INDEX(Suivi!$E:$E,2783))</f>
        <v/>
      </c>
      <c r="R2731">
        <f>IF($O2731="","",INDEX(Suivi!$F:$F,2783))</f>
        <v/>
      </c>
      <c r="S2731">
        <f>IF($O2731="","",INDEX(Suivi!$G:$G,2783))</f>
        <v/>
      </c>
      <c r="T2731">
        <f>IF($O2731="","",IF(INDEX(Dossiers!$F$4:$F$63,52)="","",INDEX(Dossiers!$F$4:$F$63,52)))</f>
        <v/>
      </c>
      <c r="U2731">
        <f>IF($O2731="","",IF(INDEX(Dossiers!$G$4:$G$63,52)="","",INDEX(Dossiers!$G$4:$G$63,52)))</f>
        <v/>
      </c>
      <c r="V2731">
        <f>IF(OR($O2731="",NOT(ISNUMBER($Q2731))),"",$Q2731*1000000+2731)</f>
        <v/>
      </c>
      <c r="W2731" s="29">
        <f>IF($B2731="","",IFERROR(INDEX($U$4:$U$3183,MATCH(SMALL($V$4:$V$3183,2728),$V$4:$V$3183,0)),""))</f>
        <v/>
      </c>
    </row>
    <row r="2732">
      <c r="A2732">
        <f>IFERROR(INDEX($N$4:$N$3183,MATCH(SMALL($V$4:$V$3183,2729),$V$4:$V$3183,0)),"")</f>
        <v/>
      </c>
      <c r="B2732">
        <f>IFERROR(INDEX($O$4:$O$3183,MATCH(SMALL($V$4:$V$3183,2729),$V$4:$V$3183,0)),"")</f>
        <v/>
      </c>
      <c r="C2732">
        <f>IFERROR(INDEX($P$4:$P$3183,MATCH(SMALL($V$4:$V$3183,2729),$V$4:$V$3183,0)),"")</f>
        <v/>
      </c>
      <c r="D2732" s="29">
        <f>IFERROR(INDEX($Q$4:$Q$3183,MATCH(SMALL($V$4:$V$3183,2729),$V$4:$V$3183,0)),"")</f>
        <v/>
      </c>
      <c r="E2732" s="29">
        <f>IFERROR(INDEX($R$4:$R$3183,MATCH(SMALL($V$4:$V$3183,2729),$V$4:$V$3183,0)),"")</f>
        <v/>
      </c>
      <c r="F2732">
        <f>IFERROR(INDEX($S$4:$S$3183,MATCH(SMALL($V$4:$V$3183,2729),$V$4:$V$3183,0)),"")</f>
        <v/>
      </c>
      <c r="I2732" s="29">
        <f>IF($B2732="","",IFERROR(INDEX($U$4:$U$3183,MATCH(SMALL($V$4:$V$3183,2729),$V$4:$V$3183,0)),""))</f>
        <v/>
      </c>
      <c r="J2732">
        <f>IF($B2732="","",IF($D2732&gt;$F$2,"À venir",IF($E2732&lt;$D$2,"Passé","Dans la période")))</f>
        <v/>
      </c>
      <c r="K2732">
        <f>IF(OR($B2732="",NOT(ISNUMBER($D2732))),"",IF(AND($E2732&lt;$D$2,$G2732&lt;&gt;"X",$F2732&lt;&gt;"Réalisé",$F2732&lt;&gt;"Clôturé"),"RETARD",""))</f>
        <v/>
      </c>
      <c r="L2732">
        <f>IF(OR($B2732="",NOT(ISNUMBER($D2732))),"",IF(AND($D2732&gt;=$D$2,$D2732&lt;=$H$2,$G2732&lt;&gt;"X",$F2732&lt;&gt;"Réalisé",$F2732&lt;&gt;"Clôturé"),"≤ 7 j",""))</f>
        <v/>
      </c>
      <c r="M2732" s="29">
        <f>IF($B2732="","",IFERROR(INDEX($T$4:$T$3183,MATCH(SMALL($V$4:$V$3183,2729),$V$4:$V$3183,0)),""))</f>
        <v/>
      </c>
      <c r="O2732">
        <f>IF(INDEX(Suivi!$B:$B,2784)="","",INDEX(Suivi!$B:$B,2784))</f>
        <v/>
      </c>
      <c r="P2732">
        <f>IF($O2732="","",IF(INDEX(Suivi!$D:$D,2784)="",INDEX(Suivi!$C:$C,2784),INDEX(Suivi!$D:$D,2784)))</f>
        <v/>
      </c>
      <c r="Q2732">
        <f>IF($O2732="","",INDEX(Suivi!$E:$E,2784))</f>
        <v/>
      </c>
      <c r="R2732">
        <f>IF($O2732="","",INDEX(Suivi!$F:$F,2784))</f>
        <v/>
      </c>
      <c r="S2732">
        <f>IF($O2732="","",INDEX(Suivi!$G:$G,2784))</f>
        <v/>
      </c>
      <c r="T2732">
        <f>IF($O2732="","",IF(INDEX(Dossiers!$F$4:$F$63,52)="","",INDEX(Dossiers!$F$4:$F$63,52)))</f>
        <v/>
      </c>
      <c r="U2732">
        <f>IF($O2732="","",IF(INDEX(Dossiers!$G$4:$G$63,52)="","",INDEX(Dossiers!$G$4:$G$63,52)))</f>
        <v/>
      </c>
      <c r="V2732">
        <f>IF(OR($O2732="",NOT(ISNUMBER($Q2732))),"",$Q2732*1000000+2732)</f>
        <v/>
      </c>
      <c r="W2732" s="29">
        <f>IF($B2732="","",IFERROR(INDEX($U$4:$U$3183,MATCH(SMALL($V$4:$V$3183,2729),$V$4:$V$3183,0)),""))</f>
        <v/>
      </c>
    </row>
    <row r="2733">
      <c r="A2733">
        <f>IFERROR(INDEX($N$4:$N$3183,MATCH(SMALL($V$4:$V$3183,2730),$V$4:$V$3183,0)),"")</f>
        <v/>
      </c>
      <c r="B2733">
        <f>IFERROR(INDEX($O$4:$O$3183,MATCH(SMALL($V$4:$V$3183,2730),$V$4:$V$3183,0)),"")</f>
        <v/>
      </c>
      <c r="C2733">
        <f>IFERROR(INDEX($P$4:$P$3183,MATCH(SMALL($V$4:$V$3183,2730),$V$4:$V$3183,0)),"")</f>
        <v/>
      </c>
      <c r="D2733" s="29">
        <f>IFERROR(INDEX($Q$4:$Q$3183,MATCH(SMALL($V$4:$V$3183,2730),$V$4:$V$3183,0)),"")</f>
        <v/>
      </c>
      <c r="E2733" s="29">
        <f>IFERROR(INDEX($R$4:$R$3183,MATCH(SMALL($V$4:$V$3183,2730),$V$4:$V$3183,0)),"")</f>
        <v/>
      </c>
      <c r="F2733">
        <f>IFERROR(INDEX($S$4:$S$3183,MATCH(SMALL($V$4:$V$3183,2730),$V$4:$V$3183,0)),"")</f>
        <v/>
      </c>
      <c r="I2733" s="29">
        <f>IF($B2733="","",IFERROR(INDEX($U$4:$U$3183,MATCH(SMALL($V$4:$V$3183,2730),$V$4:$V$3183,0)),""))</f>
        <v/>
      </c>
      <c r="J2733">
        <f>IF($B2733="","",IF($D2733&gt;$F$2,"À venir",IF($E2733&lt;$D$2,"Passé","Dans la période")))</f>
        <v/>
      </c>
      <c r="K2733">
        <f>IF(OR($B2733="",NOT(ISNUMBER($D2733))),"",IF(AND($E2733&lt;$D$2,$G2733&lt;&gt;"X",$F2733&lt;&gt;"Réalisé",$F2733&lt;&gt;"Clôturé"),"RETARD",""))</f>
        <v/>
      </c>
      <c r="L2733">
        <f>IF(OR($B2733="",NOT(ISNUMBER($D2733))),"",IF(AND($D2733&gt;=$D$2,$D2733&lt;=$H$2,$G2733&lt;&gt;"X",$F2733&lt;&gt;"Réalisé",$F2733&lt;&gt;"Clôturé"),"≤ 7 j",""))</f>
        <v/>
      </c>
      <c r="M2733" s="29">
        <f>IF($B2733="","",IFERROR(INDEX($T$4:$T$3183,MATCH(SMALL($V$4:$V$3183,2730),$V$4:$V$3183,0)),""))</f>
        <v/>
      </c>
      <c r="O2733">
        <f>IF(INDEX(Suivi!$B:$B,2785)="","",INDEX(Suivi!$B:$B,2785))</f>
        <v/>
      </c>
      <c r="P2733">
        <f>IF($O2733="","",IF(INDEX(Suivi!$D:$D,2785)="",INDEX(Suivi!$C:$C,2785),INDEX(Suivi!$D:$D,2785)))</f>
        <v/>
      </c>
      <c r="Q2733">
        <f>IF($O2733="","",INDEX(Suivi!$E:$E,2785))</f>
        <v/>
      </c>
      <c r="R2733">
        <f>IF($O2733="","",INDEX(Suivi!$F:$F,2785))</f>
        <v/>
      </c>
      <c r="S2733">
        <f>IF($O2733="","",INDEX(Suivi!$G:$G,2785))</f>
        <v/>
      </c>
      <c r="T2733">
        <f>IF($O2733="","",IF(INDEX(Dossiers!$F$4:$F$63,52)="","",INDEX(Dossiers!$F$4:$F$63,52)))</f>
        <v/>
      </c>
      <c r="U2733">
        <f>IF($O2733="","",IF(INDEX(Dossiers!$G$4:$G$63,52)="","",INDEX(Dossiers!$G$4:$G$63,52)))</f>
        <v/>
      </c>
      <c r="V2733">
        <f>IF(OR($O2733="",NOT(ISNUMBER($Q2733))),"",$Q2733*1000000+2733)</f>
        <v/>
      </c>
      <c r="W2733" s="29">
        <f>IF($B2733="","",IFERROR(INDEX($U$4:$U$3183,MATCH(SMALL($V$4:$V$3183,2730),$V$4:$V$3183,0)),""))</f>
        <v/>
      </c>
    </row>
    <row r="2734">
      <c r="A2734">
        <f>IFERROR(INDEX($N$4:$N$3183,MATCH(SMALL($V$4:$V$3183,2731),$V$4:$V$3183,0)),"")</f>
        <v/>
      </c>
      <c r="B2734">
        <f>IFERROR(INDEX($O$4:$O$3183,MATCH(SMALL($V$4:$V$3183,2731),$V$4:$V$3183,0)),"")</f>
        <v/>
      </c>
      <c r="C2734">
        <f>IFERROR(INDEX($P$4:$P$3183,MATCH(SMALL($V$4:$V$3183,2731),$V$4:$V$3183,0)),"")</f>
        <v/>
      </c>
      <c r="D2734" s="29">
        <f>IFERROR(INDEX($Q$4:$Q$3183,MATCH(SMALL($V$4:$V$3183,2731),$V$4:$V$3183,0)),"")</f>
        <v/>
      </c>
      <c r="E2734" s="29">
        <f>IFERROR(INDEX($R$4:$R$3183,MATCH(SMALL($V$4:$V$3183,2731),$V$4:$V$3183,0)),"")</f>
        <v/>
      </c>
      <c r="F2734">
        <f>IFERROR(INDEX($S$4:$S$3183,MATCH(SMALL($V$4:$V$3183,2731),$V$4:$V$3183,0)),"")</f>
        <v/>
      </c>
      <c r="I2734" s="29">
        <f>IF($B2734="","",IFERROR(INDEX($U$4:$U$3183,MATCH(SMALL($V$4:$V$3183,2731),$V$4:$V$3183,0)),""))</f>
        <v/>
      </c>
      <c r="J2734">
        <f>IF($B2734="","",IF($D2734&gt;$F$2,"À venir",IF($E2734&lt;$D$2,"Passé","Dans la période")))</f>
        <v/>
      </c>
      <c r="K2734">
        <f>IF(OR($B2734="",NOT(ISNUMBER($D2734))),"",IF(AND($E2734&lt;$D$2,$G2734&lt;&gt;"X",$F2734&lt;&gt;"Réalisé",$F2734&lt;&gt;"Clôturé"),"RETARD",""))</f>
        <v/>
      </c>
      <c r="L2734">
        <f>IF(OR($B2734="",NOT(ISNUMBER($D2734))),"",IF(AND($D2734&gt;=$D$2,$D2734&lt;=$H$2,$G2734&lt;&gt;"X",$F2734&lt;&gt;"Réalisé",$F2734&lt;&gt;"Clôturé"),"≤ 7 j",""))</f>
        <v/>
      </c>
      <c r="M2734" s="29">
        <f>IF($B2734="","",IFERROR(INDEX($T$4:$T$3183,MATCH(SMALL($V$4:$V$3183,2731),$V$4:$V$3183,0)),""))</f>
        <v/>
      </c>
      <c r="O2734">
        <f>IF(INDEX(Suivi!$B:$B,2786)="","",INDEX(Suivi!$B:$B,2786))</f>
        <v/>
      </c>
      <c r="P2734">
        <f>IF($O2734="","",IF(INDEX(Suivi!$D:$D,2786)="",INDEX(Suivi!$C:$C,2786),INDEX(Suivi!$D:$D,2786)))</f>
        <v/>
      </c>
      <c r="Q2734">
        <f>IF($O2734="","",INDEX(Suivi!$E:$E,2786))</f>
        <v/>
      </c>
      <c r="R2734">
        <f>IF($O2734="","",INDEX(Suivi!$F:$F,2786))</f>
        <v/>
      </c>
      <c r="S2734">
        <f>IF($O2734="","",INDEX(Suivi!$G:$G,2786))</f>
        <v/>
      </c>
      <c r="T2734">
        <f>IF($O2734="","",IF(INDEX(Dossiers!$F$4:$F$63,52)="","",INDEX(Dossiers!$F$4:$F$63,52)))</f>
        <v/>
      </c>
      <c r="U2734">
        <f>IF($O2734="","",IF(INDEX(Dossiers!$G$4:$G$63,52)="","",INDEX(Dossiers!$G$4:$G$63,52)))</f>
        <v/>
      </c>
      <c r="V2734">
        <f>IF(OR($O2734="",NOT(ISNUMBER($Q2734))),"",$Q2734*1000000+2734)</f>
        <v/>
      </c>
      <c r="W2734" s="29">
        <f>IF($B2734="","",IFERROR(INDEX($U$4:$U$3183,MATCH(SMALL($V$4:$V$3183,2731),$V$4:$V$3183,0)),""))</f>
        <v/>
      </c>
    </row>
    <row r="2735">
      <c r="A2735">
        <f>IFERROR(INDEX($N$4:$N$3183,MATCH(SMALL($V$4:$V$3183,2732),$V$4:$V$3183,0)),"")</f>
        <v/>
      </c>
      <c r="B2735">
        <f>IFERROR(INDEX($O$4:$O$3183,MATCH(SMALL($V$4:$V$3183,2732),$V$4:$V$3183,0)),"")</f>
        <v/>
      </c>
      <c r="C2735">
        <f>IFERROR(INDEX($P$4:$P$3183,MATCH(SMALL($V$4:$V$3183,2732),$V$4:$V$3183,0)),"")</f>
        <v/>
      </c>
      <c r="D2735" s="29">
        <f>IFERROR(INDEX($Q$4:$Q$3183,MATCH(SMALL($V$4:$V$3183,2732),$V$4:$V$3183,0)),"")</f>
        <v/>
      </c>
      <c r="E2735" s="29">
        <f>IFERROR(INDEX($R$4:$R$3183,MATCH(SMALL($V$4:$V$3183,2732),$V$4:$V$3183,0)),"")</f>
        <v/>
      </c>
      <c r="F2735">
        <f>IFERROR(INDEX($S$4:$S$3183,MATCH(SMALL($V$4:$V$3183,2732),$V$4:$V$3183,0)),"")</f>
        <v/>
      </c>
      <c r="I2735" s="29">
        <f>IF($B2735="","",IFERROR(INDEX($U$4:$U$3183,MATCH(SMALL($V$4:$V$3183,2732),$V$4:$V$3183,0)),""))</f>
        <v/>
      </c>
      <c r="J2735">
        <f>IF($B2735="","",IF($D2735&gt;$F$2,"À venir",IF($E2735&lt;$D$2,"Passé","Dans la période")))</f>
        <v/>
      </c>
      <c r="K2735">
        <f>IF(OR($B2735="",NOT(ISNUMBER($D2735))),"",IF(AND($E2735&lt;$D$2,$G2735&lt;&gt;"X",$F2735&lt;&gt;"Réalisé",$F2735&lt;&gt;"Clôturé"),"RETARD",""))</f>
        <v/>
      </c>
      <c r="L2735">
        <f>IF(OR($B2735="",NOT(ISNUMBER($D2735))),"",IF(AND($D2735&gt;=$D$2,$D2735&lt;=$H$2,$G2735&lt;&gt;"X",$F2735&lt;&gt;"Réalisé",$F2735&lt;&gt;"Clôturé"),"≤ 7 j",""))</f>
        <v/>
      </c>
      <c r="M2735" s="29">
        <f>IF($B2735="","",IFERROR(INDEX($T$4:$T$3183,MATCH(SMALL($V$4:$V$3183,2732),$V$4:$V$3183,0)),""))</f>
        <v/>
      </c>
      <c r="O2735">
        <f>IF(INDEX(Suivi!$B:$B,2787)="","",INDEX(Suivi!$B:$B,2787))</f>
        <v/>
      </c>
      <c r="P2735">
        <f>IF($O2735="","",IF(INDEX(Suivi!$D:$D,2787)="",INDEX(Suivi!$C:$C,2787),INDEX(Suivi!$D:$D,2787)))</f>
        <v/>
      </c>
      <c r="Q2735">
        <f>IF($O2735="","",INDEX(Suivi!$E:$E,2787))</f>
        <v/>
      </c>
      <c r="R2735">
        <f>IF($O2735="","",INDEX(Suivi!$F:$F,2787))</f>
        <v/>
      </c>
      <c r="S2735">
        <f>IF($O2735="","",INDEX(Suivi!$G:$G,2787))</f>
        <v/>
      </c>
      <c r="T2735">
        <f>IF($O2735="","",IF(INDEX(Dossiers!$F$4:$F$63,52)="","",INDEX(Dossiers!$F$4:$F$63,52)))</f>
        <v/>
      </c>
      <c r="U2735">
        <f>IF($O2735="","",IF(INDEX(Dossiers!$G$4:$G$63,52)="","",INDEX(Dossiers!$G$4:$G$63,52)))</f>
        <v/>
      </c>
      <c r="V2735">
        <f>IF(OR($O2735="",NOT(ISNUMBER($Q2735))),"",$Q2735*1000000+2735)</f>
        <v/>
      </c>
      <c r="W2735" s="29">
        <f>IF($B2735="","",IFERROR(INDEX($U$4:$U$3183,MATCH(SMALL($V$4:$V$3183,2732),$V$4:$V$3183,0)),""))</f>
        <v/>
      </c>
    </row>
    <row r="2736">
      <c r="A2736">
        <f>IFERROR(INDEX($N$4:$N$3183,MATCH(SMALL($V$4:$V$3183,2733),$V$4:$V$3183,0)),"")</f>
        <v/>
      </c>
      <c r="B2736">
        <f>IFERROR(INDEX($O$4:$O$3183,MATCH(SMALL($V$4:$V$3183,2733),$V$4:$V$3183,0)),"")</f>
        <v/>
      </c>
      <c r="C2736">
        <f>IFERROR(INDEX($P$4:$P$3183,MATCH(SMALL($V$4:$V$3183,2733),$V$4:$V$3183,0)),"")</f>
        <v/>
      </c>
      <c r="D2736" s="29">
        <f>IFERROR(INDEX($Q$4:$Q$3183,MATCH(SMALL($V$4:$V$3183,2733),$V$4:$V$3183,0)),"")</f>
        <v/>
      </c>
      <c r="E2736" s="29">
        <f>IFERROR(INDEX($R$4:$R$3183,MATCH(SMALL($V$4:$V$3183,2733),$V$4:$V$3183,0)),"")</f>
        <v/>
      </c>
      <c r="F2736">
        <f>IFERROR(INDEX($S$4:$S$3183,MATCH(SMALL($V$4:$V$3183,2733),$V$4:$V$3183,0)),"")</f>
        <v/>
      </c>
      <c r="I2736" s="29">
        <f>IF($B2736="","",IFERROR(INDEX($U$4:$U$3183,MATCH(SMALL($V$4:$V$3183,2733),$V$4:$V$3183,0)),""))</f>
        <v/>
      </c>
      <c r="J2736">
        <f>IF($B2736="","",IF($D2736&gt;$F$2,"À venir",IF($E2736&lt;$D$2,"Passé","Dans la période")))</f>
        <v/>
      </c>
      <c r="K2736">
        <f>IF(OR($B2736="",NOT(ISNUMBER($D2736))),"",IF(AND($E2736&lt;$D$2,$G2736&lt;&gt;"X",$F2736&lt;&gt;"Réalisé",$F2736&lt;&gt;"Clôturé"),"RETARD",""))</f>
        <v/>
      </c>
      <c r="L2736">
        <f>IF(OR($B2736="",NOT(ISNUMBER($D2736))),"",IF(AND($D2736&gt;=$D$2,$D2736&lt;=$H$2,$G2736&lt;&gt;"X",$F2736&lt;&gt;"Réalisé",$F2736&lt;&gt;"Clôturé"),"≤ 7 j",""))</f>
        <v/>
      </c>
      <c r="M2736" s="29">
        <f>IF($B2736="","",IFERROR(INDEX($T$4:$T$3183,MATCH(SMALL($V$4:$V$3183,2733),$V$4:$V$3183,0)),""))</f>
        <v/>
      </c>
      <c r="O2736">
        <f>IF(INDEX(Suivi!$B:$B,2788)="","",INDEX(Suivi!$B:$B,2788))</f>
        <v/>
      </c>
      <c r="P2736">
        <f>IF($O2736="","",IF(INDEX(Suivi!$D:$D,2788)="",INDEX(Suivi!$C:$C,2788),INDEX(Suivi!$D:$D,2788)))</f>
        <v/>
      </c>
      <c r="Q2736">
        <f>IF($O2736="","",INDEX(Suivi!$E:$E,2788))</f>
        <v/>
      </c>
      <c r="R2736">
        <f>IF($O2736="","",INDEX(Suivi!$F:$F,2788))</f>
        <v/>
      </c>
      <c r="S2736">
        <f>IF($O2736="","",INDEX(Suivi!$G:$G,2788))</f>
        <v/>
      </c>
      <c r="T2736">
        <f>IF($O2736="","",IF(INDEX(Dossiers!$F$4:$F$63,52)="","",INDEX(Dossiers!$F$4:$F$63,52)))</f>
        <v/>
      </c>
      <c r="U2736">
        <f>IF($O2736="","",IF(INDEX(Dossiers!$G$4:$G$63,52)="","",INDEX(Dossiers!$G$4:$G$63,52)))</f>
        <v/>
      </c>
      <c r="V2736">
        <f>IF(OR($O2736="",NOT(ISNUMBER($Q2736))),"",$Q2736*1000000+2736)</f>
        <v/>
      </c>
      <c r="W2736" s="29">
        <f>IF($B2736="","",IFERROR(INDEX($U$4:$U$3183,MATCH(SMALL($V$4:$V$3183,2733),$V$4:$V$3183,0)),""))</f>
        <v/>
      </c>
    </row>
    <row r="2737">
      <c r="A2737">
        <f>IFERROR(INDEX($N$4:$N$3183,MATCH(SMALL($V$4:$V$3183,2734),$V$4:$V$3183,0)),"")</f>
        <v/>
      </c>
      <c r="B2737">
        <f>IFERROR(INDEX($O$4:$O$3183,MATCH(SMALL($V$4:$V$3183,2734),$V$4:$V$3183,0)),"")</f>
        <v/>
      </c>
      <c r="C2737">
        <f>IFERROR(INDEX($P$4:$P$3183,MATCH(SMALL($V$4:$V$3183,2734),$V$4:$V$3183,0)),"")</f>
        <v/>
      </c>
      <c r="D2737" s="29">
        <f>IFERROR(INDEX($Q$4:$Q$3183,MATCH(SMALL($V$4:$V$3183,2734),$V$4:$V$3183,0)),"")</f>
        <v/>
      </c>
      <c r="E2737" s="29">
        <f>IFERROR(INDEX($R$4:$R$3183,MATCH(SMALL($V$4:$V$3183,2734),$V$4:$V$3183,0)),"")</f>
        <v/>
      </c>
      <c r="F2737">
        <f>IFERROR(INDEX($S$4:$S$3183,MATCH(SMALL($V$4:$V$3183,2734),$V$4:$V$3183,0)),"")</f>
        <v/>
      </c>
      <c r="I2737" s="29">
        <f>IF($B2737="","",IFERROR(INDEX($U$4:$U$3183,MATCH(SMALL($V$4:$V$3183,2734),$V$4:$V$3183,0)),""))</f>
        <v/>
      </c>
      <c r="J2737">
        <f>IF($B2737="","",IF($D2737&gt;$F$2,"À venir",IF($E2737&lt;$D$2,"Passé","Dans la période")))</f>
        <v/>
      </c>
      <c r="K2737">
        <f>IF(OR($B2737="",NOT(ISNUMBER($D2737))),"",IF(AND($E2737&lt;$D$2,$G2737&lt;&gt;"X",$F2737&lt;&gt;"Réalisé",$F2737&lt;&gt;"Clôturé"),"RETARD",""))</f>
        <v/>
      </c>
      <c r="L2737">
        <f>IF(OR($B2737="",NOT(ISNUMBER($D2737))),"",IF(AND($D2737&gt;=$D$2,$D2737&lt;=$H$2,$G2737&lt;&gt;"X",$F2737&lt;&gt;"Réalisé",$F2737&lt;&gt;"Clôturé"),"≤ 7 j",""))</f>
        <v/>
      </c>
      <c r="M2737" s="29">
        <f>IF($B2737="","",IFERROR(INDEX($T$4:$T$3183,MATCH(SMALL($V$4:$V$3183,2734),$V$4:$V$3183,0)),""))</f>
        <v/>
      </c>
      <c r="O2737">
        <f>IF(INDEX(Suivi!$B:$B,2789)="","",INDEX(Suivi!$B:$B,2789))</f>
        <v/>
      </c>
      <c r="P2737">
        <f>IF($O2737="","",IF(INDEX(Suivi!$D:$D,2789)="",INDEX(Suivi!$C:$C,2789),INDEX(Suivi!$D:$D,2789)))</f>
        <v/>
      </c>
      <c r="Q2737">
        <f>IF($O2737="","",INDEX(Suivi!$E:$E,2789))</f>
        <v/>
      </c>
      <c r="R2737">
        <f>IF($O2737="","",INDEX(Suivi!$F:$F,2789))</f>
        <v/>
      </c>
      <c r="S2737">
        <f>IF($O2737="","",INDEX(Suivi!$G:$G,2789))</f>
        <v/>
      </c>
      <c r="T2737">
        <f>IF($O2737="","",IF(INDEX(Dossiers!$F$4:$F$63,52)="","",INDEX(Dossiers!$F$4:$F$63,52)))</f>
        <v/>
      </c>
      <c r="U2737">
        <f>IF($O2737="","",IF(INDEX(Dossiers!$G$4:$G$63,52)="","",INDEX(Dossiers!$G$4:$G$63,52)))</f>
        <v/>
      </c>
      <c r="V2737">
        <f>IF(OR($O2737="",NOT(ISNUMBER($Q2737))),"",$Q2737*1000000+2737)</f>
        <v/>
      </c>
      <c r="W2737" s="29">
        <f>IF($B2737="","",IFERROR(INDEX($U$4:$U$3183,MATCH(SMALL($V$4:$V$3183,2734),$V$4:$V$3183,0)),""))</f>
        <v/>
      </c>
    </row>
    <row r="2738">
      <c r="A2738">
        <f>IFERROR(INDEX($N$4:$N$3183,MATCH(SMALL($V$4:$V$3183,2735),$V$4:$V$3183,0)),"")</f>
        <v/>
      </c>
      <c r="B2738">
        <f>IFERROR(INDEX($O$4:$O$3183,MATCH(SMALL($V$4:$V$3183,2735),$V$4:$V$3183,0)),"")</f>
        <v/>
      </c>
      <c r="C2738">
        <f>IFERROR(INDEX($P$4:$P$3183,MATCH(SMALL($V$4:$V$3183,2735),$V$4:$V$3183,0)),"")</f>
        <v/>
      </c>
      <c r="D2738" s="29">
        <f>IFERROR(INDEX($Q$4:$Q$3183,MATCH(SMALL($V$4:$V$3183,2735),$V$4:$V$3183,0)),"")</f>
        <v/>
      </c>
      <c r="E2738" s="29">
        <f>IFERROR(INDEX($R$4:$R$3183,MATCH(SMALL($V$4:$V$3183,2735),$V$4:$V$3183,0)),"")</f>
        <v/>
      </c>
      <c r="F2738">
        <f>IFERROR(INDEX($S$4:$S$3183,MATCH(SMALL($V$4:$V$3183,2735),$V$4:$V$3183,0)),"")</f>
        <v/>
      </c>
      <c r="I2738" s="29">
        <f>IF($B2738="","",IFERROR(INDEX($U$4:$U$3183,MATCH(SMALL($V$4:$V$3183,2735),$V$4:$V$3183,0)),""))</f>
        <v/>
      </c>
      <c r="J2738">
        <f>IF($B2738="","",IF($D2738&gt;$F$2,"À venir",IF($E2738&lt;$D$2,"Passé","Dans la période")))</f>
        <v/>
      </c>
      <c r="K2738">
        <f>IF(OR($B2738="",NOT(ISNUMBER($D2738))),"",IF(AND($E2738&lt;$D$2,$G2738&lt;&gt;"X",$F2738&lt;&gt;"Réalisé",$F2738&lt;&gt;"Clôturé"),"RETARD",""))</f>
        <v/>
      </c>
      <c r="L2738">
        <f>IF(OR($B2738="",NOT(ISNUMBER($D2738))),"",IF(AND($D2738&gt;=$D$2,$D2738&lt;=$H$2,$G2738&lt;&gt;"X",$F2738&lt;&gt;"Réalisé",$F2738&lt;&gt;"Clôturé"),"≤ 7 j",""))</f>
        <v/>
      </c>
      <c r="M2738" s="29">
        <f>IF($B2738="","",IFERROR(INDEX($T$4:$T$3183,MATCH(SMALL($V$4:$V$3183,2735),$V$4:$V$3183,0)),""))</f>
        <v/>
      </c>
      <c r="O2738">
        <f>IF(INDEX(Suivi!$B:$B,2790)="","",INDEX(Suivi!$B:$B,2790))</f>
        <v/>
      </c>
      <c r="P2738">
        <f>IF($O2738="","",IF(INDEX(Suivi!$D:$D,2790)="",INDEX(Suivi!$C:$C,2790),INDEX(Suivi!$D:$D,2790)))</f>
        <v/>
      </c>
      <c r="Q2738">
        <f>IF($O2738="","",INDEX(Suivi!$E:$E,2790))</f>
        <v/>
      </c>
      <c r="R2738">
        <f>IF($O2738="","",INDEX(Suivi!$F:$F,2790))</f>
        <v/>
      </c>
      <c r="S2738">
        <f>IF($O2738="","",INDEX(Suivi!$G:$G,2790))</f>
        <v/>
      </c>
      <c r="T2738">
        <f>IF($O2738="","",IF(INDEX(Dossiers!$F$4:$F$63,52)="","",INDEX(Dossiers!$F$4:$F$63,52)))</f>
        <v/>
      </c>
      <c r="U2738">
        <f>IF($O2738="","",IF(INDEX(Dossiers!$G$4:$G$63,52)="","",INDEX(Dossiers!$G$4:$G$63,52)))</f>
        <v/>
      </c>
      <c r="V2738">
        <f>IF(OR($O2738="",NOT(ISNUMBER($Q2738))),"",$Q2738*1000000+2738)</f>
        <v/>
      </c>
      <c r="W2738" s="29">
        <f>IF($B2738="","",IFERROR(INDEX($U$4:$U$3183,MATCH(SMALL($V$4:$V$3183,2735),$V$4:$V$3183,0)),""))</f>
        <v/>
      </c>
    </row>
    <row r="2739">
      <c r="A2739">
        <f>IFERROR(INDEX($N$4:$N$3183,MATCH(SMALL($V$4:$V$3183,2736),$V$4:$V$3183,0)),"")</f>
        <v/>
      </c>
      <c r="B2739">
        <f>IFERROR(INDEX($O$4:$O$3183,MATCH(SMALL($V$4:$V$3183,2736),$V$4:$V$3183,0)),"")</f>
        <v/>
      </c>
      <c r="C2739">
        <f>IFERROR(INDEX($P$4:$P$3183,MATCH(SMALL($V$4:$V$3183,2736),$V$4:$V$3183,0)),"")</f>
        <v/>
      </c>
      <c r="D2739" s="29">
        <f>IFERROR(INDEX($Q$4:$Q$3183,MATCH(SMALL($V$4:$V$3183,2736),$V$4:$V$3183,0)),"")</f>
        <v/>
      </c>
      <c r="E2739" s="29">
        <f>IFERROR(INDEX($R$4:$R$3183,MATCH(SMALL($V$4:$V$3183,2736),$V$4:$V$3183,0)),"")</f>
        <v/>
      </c>
      <c r="F2739">
        <f>IFERROR(INDEX($S$4:$S$3183,MATCH(SMALL($V$4:$V$3183,2736),$V$4:$V$3183,0)),"")</f>
        <v/>
      </c>
      <c r="I2739" s="29">
        <f>IF($B2739="","",IFERROR(INDEX($U$4:$U$3183,MATCH(SMALL($V$4:$V$3183,2736),$V$4:$V$3183,0)),""))</f>
        <v/>
      </c>
      <c r="J2739">
        <f>IF($B2739="","",IF($D2739&gt;$F$2,"À venir",IF($E2739&lt;$D$2,"Passé","Dans la période")))</f>
        <v/>
      </c>
      <c r="K2739">
        <f>IF(OR($B2739="",NOT(ISNUMBER($D2739))),"",IF(AND($E2739&lt;$D$2,$G2739&lt;&gt;"X",$F2739&lt;&gt;"Réalisé",$F2739&lt;&gt;"Clôturé"),"RETARD",""))</f>
        <v/>
      </c>
      <c r="L2739">
        <f>IF(OR($B2739="",NOT(ISNUMBER($D2739))),"",IF(AND($D2739&gt;=$D$2,$D2739&lt;=$H$2,$G2739&lt;&gt;"X",$F2739&lt;&gt;"Réalisé",$F2739&lt;&gt;"Clôturé"),"≤ 7 j",""))</f>
        <v/>
      </c>
      <c r="M2739" s="29">
        <f>IF($B2739="","",IFERROR(INDEX($T$4:$T$3183,MATCH(SMALL($V$4:$V$3183,2736),$V$4:$V$3183,0)),""))</f>
        <v/>
      </c>
      <c r="O2739">
        <f>IF(INDEX(Suivi!$B:$B,2791)="","",INDEX(Suivi!$B:$B,2791))</f>
        <v/>
      </c>
      <c r="P2739">
        <f>IF($O2739="","",IF(INDEX(Suivi!$D:$D,2791)="",INDEX(Suivi!$C:$C,2791),INDEX(Suivi!$D:$D,2791)))</f>
        <v/>
      </c>
      <c r="Q2739">
        <f>IF($O2739="","",INDEX(Suivi!$E:$E,2791))</f>
        <v/>
      </c>
      <c r="R2739">
        <f>IF($O2739="","",INDEX(Suivi!$F:$F,2791))</f>
        <v/>
      </c>
      <c r="S2739">
        <f>IF($O2739="","",INDEX(Suivi!$G:$G,2791))</f>
        <v/>
      </c>
      <c r="T2739">
        <f>IF($O2739="","",IF(INDEX(Dossiers!$F$4:$F$63,52)="","",INDEX(Dossiers!$F$4:$F$63,52)))</f>
        <v/>
      </c>
      <c r="U2739">
        <f>IF($O2739="","",IF(INDEX(Dossiers!$G$4:$G$63,52)="","",INDEX(Dossiers!$G$4:$G$63,52)))</f>
        <v/>
      </c>
      <c r="V2739">
        <f>IF(OR($O2739="",NOT(ISNUMBER($Q2739))),"",$Q2739*1000000+2739)</f>
        <v/>
      </c>
      <c r="W2739" s="29">
        <f>IF($B2739="","",IFERROR(INDEX($U$4:$U$3183,MATCH(SMALL($V$4:$V$3183,2736),$V$4:$V$3183,0)),""))</f>
        <v/>
      </c>
    </row>
    <row r="2740">
      <c r="A2740">
        <f>IFERROR(INDEX($N$4:$N$3183,MATCH(SMALL($V$4:$V$3183,2737),$V$4:$V$3183,0)),"")</f>
        <v/>
      </c>
      <c r="B2740">
        <f>IFERROR(INDEX($O$4:$O$3183,MATCH(SMALL($V$4:$V$3183,2737),$V$4:$V$3183,0)),"")</f>
        <v/>
      </c>
      <c r="C2740">
        <f>IFERROR(INDEX($P$4:$P$3183,MATCH(SMALL($V$4:$V$3183,2737),$V$4:$V$3183,0)),"")</f>
        <v/>
      </c>
      <c r="D2740" s="29">
        <f>IFERROR(INDEX($Q$4:$Q$3183,MATCH(SMALL($V$4:$V$3183,2737),$V$4:$V$3183,0)),"")</f>
        <v/>
      </c>
      <c r="E2740" s="29">
        <f>IFERROR(INDEX($R$4:$R$3183,MATCH(SMALL($V$4:$V$3183,2737),$V$4:$V$3183,0)),"")</f>
        <v/>
      </c>
      <c r="F2740">
        <f>IFERROR(INDEX($S$4:$S$3183,MATCH(SMALL($V$4:$V$3183,2737),$V$4:$V$3183,0)),"")</f>
        <v/>
      </c>
      <c r="I2740" s="29">
        <f>IF($B2740="","",IFERROR(INDEX($U$4:$U$3183,MATCH(SMALL($V$4:$V$3183,2737),$V$4:$V$3183,0)),""))</f>
        <v/>
      </c>
      <c r="J2740">
        <f>IF($B2740="","",IF($D2740&gt;$F$2,"À venir",IF($E2740&lt;$D$2,"Passé","Dans la période")))</f>
        <v/>
      </c>
      <c r="K2740">
        <f>IF(OR($B2740="",NOT(ISNUMBER($D2740))),"",IF(AND($E2740&lt;$D$2,$G2740&lt;&gt;"X",$F2740&lt;&gt;"Réalisé",$F2740&lt;&gt;"Clôturé"),"RETARD",""))</f>
        <v/>
      </c>
      <c r="L2740">
        <f>IF(OR($B2740="",NOT(ISNUMBER($D2740))),"",IF(AND($D2740&gt;=$D$2,$D2740&lt;=$H$2,$G2740&lt;&gt;"X",$F2740&lt;&gt;"Réalisé",$F2740&lt;&gt;"Clôturé"),"≤ 7 j",""))</f>
        <v/>
      </c>
      <c r="M2740" s="29">
        <f>IF($B2740="","",IFERROR(INDEX($T$4:$T$3183,MATCH(SMALL($V$4:$V$3183,2737),$V$4:$V$3183,0)),""))</f>
        <v/>
      </c>
      <c r="O2740">
        <f>IF(INDEX(Suivi!$B:$B,2792)="","",INDEX(Suivi!$B:$B,2792))</f>
        <v/>
      </c>
      <c r="P2740">
        <f>IF($O2740="","",IF(INDEX(Suivi!$D:$D,2792)="",INDEX(Suivi!$C:$C,2792),INDEX(Suivi!$D:$D,2792)))</f>
        <v/>
      </c>
      <c r="Q2740">
        <f>IF($O2740="","",INDEX(Suivi!$E:$E,2792))</f>
        <v/>
      </c>
      <c r="R2740">
        <f>IF($O2740="","",INDEX(Suivi!$F:$F,2792))</f>
        <v/>
      </c>
      <c r="S2740">
        <f>IF($O2740="","",INDEX(Suivi!$G:$G,2792))</f>
        <v/>
      </c>
      <c r="T2740">
        <f>IF($O2740="","",IF(INDEX(Dossiers!$F$4:$F$63,52)="","",INDEX(Dossiers!$F$4:$F$63,52)))</f>
        <v/>
      </c>
      <c r="U2740">
        <f>IF($O2740="","",IF(INDEX(Dossiers!$G$4:$G$63,52)="","",INDEX(Dossiers!$G$4:$G$63,52)))</f>
        <v/>
      </c>
      <c r="V2740">
        <f>IF(OR($O2740="",NOT(ISNUMBER($Q2740))),"",$Q2740*1000000+2740)</f>
        <v/>
      </c>
      <c r="W2740" s="29">
        <f>IF($B2740="","",IFERROR(INDEX($U$4:$U$3183,MATCH(SMALL($V$4:$V$3183,2737),$V$4:$V$3183,0)),""))</f>
        <v/>
      </c>
    </row>
    <row r="2741">
      <c r="A2741">
        <f>IFERROR(INDEX($N$4:$N$3183,MATCH(SMALL($V$4:$V$3183,2738),$V$4:$V$3183,0)),"")</f>
        <v/>
      </c>
      <c r="B2741">
        <f>IFERROR(INDEX($O$4:$O$3183,MATCH(SMALL($V$4:$V$3183,2738),$V$4:$V$3183,0)),"")</f>
        <v/>
      </c>
      <c r="C2741">
        <f>IFERROR(INDEX($P$4:$P$3183,MATCH(SMALL($V$4:$V$3183,2738),$V$4:$V$3183,0)),"")</f>
        <v/>
      </c>
      <c r="D2741" s="29">
        <f>IFERROR(INDEX($Q$4:$Q$3183,MATCH(SMALL($V$4:$V$3183,2738),$V$4:$V$3183,0)),"")</f>
        <v/>
      </c>
      <c r="E2741" s="29">
        <f>IFERROR(INDEX($R$4:$R$3183,MATCH(SMALL($V$4:$V$3183,2738),$V$4:$V$3183,0)),"")</f>
        <v/>
      </c>
      <c r="F2741">
        <f>IFERROR(INDEX($S$4:$S$3183,MATCH(SMALL($V$4:$V$3183,2738),$V$4:$V$3183,0)),"")</f>
        <v/>
      </c>
      <c r="I2741" s="29">
        <f>IF($B2741="","",IFERROR(INDEX($U$4:$U$3183,MATCH(SMALL($V$4:$V$3183,2738),$V$4:$V$3183,0)),""))</f>
        <v/>
      </c>
      <c r="J2741">
        <f>IF($B2741="","",IF($D2741&gt;$F$2,"À venir",IF($E2741&lt;$D$2,"Passé","Dans la période")))</f>
        <v/>
      </c>
      <c r="K2741">
        <f>IF(OR($B2741="",NOT(ISNUMBER($D2741))),"",IF(AND($E2741&lt;$D$2,$G2741&lt;&gt;"X",$F2741&lt;&gt;"Réalisé",$F2741&lt;&gt;"Clôturé"),"RETARD",""))</f>
        <v/>
      </c>
      <c r="L2741">
        <f>IF(OR($B2741="",NOT(ISNUMBER($D2741))),"",IF(AND($D2741&gt;=$D$2,$D2741&lt;=$H$2,$G2741&lt;&gt;"X",$F2741&lt;&gt;"Réalisé",$F2741&lt;&gt;"Clôturé"),"≤ 7 j",""))</f>
        <v/>
      </c>
      <c r="M2741" s="29">
        <f>IF($B2741="","",IFERROR(INDEX($T$4:$T$3183,MATCH(SMALL($V$4:$V$3183,2738),$V$4:$V$3183,0)),""))</f>
        <v/>
      </c>
      <c r="O2741">
        <f>IF(INDEX(Suivi!$B:$B,2793)="","",INDEX(Suivi!$B:$B,2793))</f>
        <v/>
      </c>
      <c r="P2741">
        <f>IF($O2741="","",IF(INDEX(Suivi!$D:$D,2793)="",INDEX(Suivi!$C:$C,2793),INDEX(Suivi!$D:$D,2793)))</f>
        <v/>
      </c>
      <c r="Q2741">
        <f>IF($O2741="","",INDEX(Suivi!$E:$E,2793))</f>
        <v/>
      </c>
      <c r="R2741">
        <f>IF($O2741="","",INDEX(Suivi!$F:$F,2793))</f>
        <v/>
      </c>
      <c r="S2741">
        <f>IF($O2741="","",INDEX(Suivi!$G:$G,2793))</f>
        <v/>
      </c>
      <c r="T2741">
        <f>IF($O2741="","",IF(INDEX(Dossiers!$F$4:$F$63,52)="","",INDEX(Dossiers!$F$4:$F$63,52)))</f>
        <v/>
      </c>
      <c r="U2741">
        <f>IF($O2741="","",IF(INDEX(Dossiers!$G$4:$G$63,52)="","",INDEX(Dossiers!$G$4:$G$63,52)))</f>
        <v/>
      </c>
      <c r="V2741">
        <f>IF(OR($O2741="",NOT(ISNUMBER($Q2741))),"",$Q2741*1000000+2741)</f>
        <v/>
      </c>
      <c r="W2741" s="29">
        <f>IF($B2741="","",IFERROR(INDEX($U$4:$U$3183,MATCH(SMALL($V$4:$V$3183,2738),$V$4:$V$3183,0)),""))</f>
        <v/>
      </c>
    </row>
    <row r="2742">
      <c r="A2742">
        <f>IFERROR(INDEX($N$4:$N$3183,MATCH(SMALL($V$4:$V$3183,2739),$V$4:$V$3183,0)),"")</f>
        <v/>
      </c>
      <c r="B2742">
        <f>IFERROR(INDEX($O$4:$O$3183,MATCH(SMALL($V$4:$V$3183,2739),$V$4:$V$3183,0)),"")</f>
        <v/>
      </c>
      <c r="C2742">
        <f>IFERROR(INDEX($P$4:$P$3183,MATCH(SMALL($V$4:$V$3183,2739),$V$4:$V$3183,0)),"")</f>
        <v/>
      </c>
      <c r="D2742" s="29">
        <f>IFERROR(INDEX($Q$4:$Q$3183,MATCH(SMALL($V$4:$V$3183,2739),$V$4:$V$3183,0)),"")</f>
        <v/>
      </c>
      <c r="E2742" s="29">
        <f>IFERROR(INDEX($R$4:$R$3183,MATCH(SMALL($V$4:$V$3183,2739),$V$4:$V$3183,0)),"")</f>
        <v/>
      </c>
      <c r="F2742">
        <f>IFERROR(INDEX($S$4:$S$3183,MATCH(SMALL($V$4:$V$3183,2739),$V$4:$V$3183,0)),"")</f>
        <v/>
      </c>
      <c r="I2742" s="29">
        <f>IF($B2742="","",IFERROR(INDEX($U$4:$U$3183,MATCH(SMALL($V$4:$V$3183,2739),$V$4:$V$3183,0)),""))</f>
        <v/>
      </c>
      <c r="J2742">
        <f>IF($B2742="","",IF($D2742&gt;$F$2,"À venir",IF($E2742&lt;$D$2,"Passé","Dans la période")))</f>
        <v/>
      </c>
      <c r="K2742">
        <f>IF(OR($B2742="",NOT(ISNUMBER($D2742))),"",IF(AND($E2742&lt;$D$2,$G2742&lt;&gt;"X",$F2742&lt;&gt;"Réalisé",$F2742&lt;&gt;"Clôturé"),"RETARD",""))</f>
        <v/>
      </c>
      <c r="L2742">
        <f>IF(OR($B2742="",NOT(ISNUMBER($D2742))),"",IF(AND($D2742&gt;=$D$2,$D2742&lt;=$H$2,$G2742&lt;&gt;"X",$F2742&lt;&gt;"Réalisé",$F2742&lt;&gt;"Clôturé"),"≤ 7 j",""))</f>
        <v/>
      </c>
      <c r="M2742" s="29">
        <f>IF($B2742="","",IFERROR(INDEX($T$4:$T$3183,MATCH(SMALL($V$4:$V$3183,2739),$V$4:$V$3183,0)),""))</f>
        <v/>
      </c>
      <c r="O2742">
        <f>IF(INDEX(Suivi!$B:$B,2794)="","",INDEX(Suivi!$B:$B,2794))</f>
        <v/>
      </c>
      <c r="P2742">
        <f>IF($O2742="","",IF(INDEX(Suivi!$D:$D,2794)="",INDEX(Suivi!$C:$C,2794),INDEX(Suivi!$D:$D,2794)))</f>
        <v/>
      </c>
      <c r="Q2742">
        <f>IF($O2742="","",INDEX(Suivi!$E:$E,2794))</f>
        <v/>
      </c>
      <c r="R2742">
        <f>IF($O2742="","",INDEX(Suivi!$F:$F,2794))</f>
        <v/>
      </c>
      <c r="S2742">
        <f>IF($O2742="","",INDEX(Suivi!$G:$G,2794))</f>
        <v/>
      </c>
      <c r="T2742">
        <f>IF($O2742="","",IF(INDEX(Dossiers!$F$4:$F$63,52)="","",INDEX(Dossiers!$F$4:$F$63,52)))</f>
        <v/>
      </c>
      <c r="U2742">
        <f>IF($O2742="","",IF(INDEX(Dossiers!$G$4:$G$63,52)="","",INDEX(Dossiers!$G$4:$G$63,52)))</f>
        <v/>
      </c>
      <c r="V2742">
        <f>IF(OR($O2742="",NOT(ISNUMBER($Q2742))),"",$Q2742*1000000+2742)</f>
        <v/>
      </c>
      <c r="W2742" s="29">
        <f>IF($B2742="","",IFERROR(INDEX($U$4:$U$3183,MATCH(SMALL($V$4:$V$3183,2739),$V$4:$V$3183,0)),""))</f>
        <v/>
      </c>
    </row>
    <row r="2743">
      <c r="A2743">
        <f>IFERROR(INDEX($N$4:$N$3183,MATCH(SMALL($V$4:$V$3183,2740),$V$4:$V$3183,0)),"")</f>
        <v/>
      </c>
      <c r="B2743">
        <f>IFERROR(INDEX($O$4:$O$3183,MATCH(SMALL($V$4:$V$3183,2740),$V$4:$V$3183,0)),"")</f>
        <v/>
      </c>
      <c r="C2743">
        <f>IFERROR(INDEX($P$4:$P$3183,MATCH(SMALL($V$4:$V$3183,2740),$V$4:$V$3183,0)),"")</f>
        <v/>
      </c>
      <c r="D2743" s="29">
        <f>IFERROR(INDEX($Q$4:$Q$3183,MATCH(SMALL($V$4:$V$3183,2740),$V$4:$V$3183,0)),"")</f>
        <v/>
      </c>
      <c r="E2743" s="29">
        <f>IFERROR(INDEX($R$4:$R$3183,MATCH(SMALL($V$4:$V$3183,2740),$V$4:$V$3183,0)),"")</f>
        <v/>
      </c>
      <c r="F2743">
        <f>IFERROR(INDEX($S$4:$S$3183,MATCH(SMALL($V$4:$V$3183,2740),$V$4:$V$3183,0)),"")</f>
        <v/>
      </c>
      <c r="I2743" s="29">
        <f>IF($B2743="","",IFERROR(INDEX($U$4:$U$3183,MATCH(SMALL($V$4:$V$3183,2740),$V$4:$V$3183,0)),""))</f>
        <v/>
      </c>
      <c r="J2743">
        <f>IF($B2743="","",IF($D2743&gt;$F$2,"À venir",IF($E2743&lt;$D$2,"Passé","Dans la période")))</f>
        <v/>
      </c>
      <c r="K2743">
        <f>IF(OR($B2743="",NOT(ISNUMBER($D2743))),"",IF(AND($E2743&lt;$D$2,$G2743&lt;&gt;"X",$F2743&lt;&gt;"Réalisé",$F2743&lt;&gt;"Clôturé"),"RETARD",""))</f>
        <v/>
      </c>
      <c r="L2743">
        <f>IF(OR($B2743="",NOT(ISNUMBER($D2743))),"",IF(AND($D2743&gt;=$D$2,$D2743&lt;=$H$2,$G2743&lt;&gt;"X",$F2743&lt;&gt;"Réalisé",$F2743&lt;&gt;"Clôturé"),"≤ 7 j",""))</f>
        <v/>
      </c>
      <c r="M2743" s="29">
        <f>IF($B2743="","",IFERROR(INDEX($T$4:$T$3183,MATCH(SMALL($V$4:$V$3183,2740),$V$4:$V$3183,0)),""))</f>
        <v/>
      </c>
      <c r="O2743">
        <f>IF(INDEX(Suivi!$B:$B,2795)="","",INDEX(Suivi!$B:$B,2795))</f>
        <v/>
      </c>
      <c r="P2743">
        <f>IF($O2743="","",IF(INDEX(Suivi!$D:$D,2795)="",INDEX(Suivi!$C:$C,2795),INDEX(Suivi!$D:$D,2795)))</f>
        <v/>
      </c>
      <c r="Q2743">
        <f>IF($O2743="","",INDEX(Suivi!$E:$E,2795))</f>
        <v/>
      </c>
      <c r="R2743">
        <f>IF($O2743="","",INDEX(Suivi!$F:$F,2795))</f>
        <v/>
      </c>
      <c r="S2743">
        <f>IF($O2743="","",INDEX(Suivi!$G:$G,2795))</f>
        <v/>
      </c>
      <c r="T2743">
        <f>IF($O2743="","",IF(INDEX(Dossiers!$F$4:$F$63,52)="","",INDEX(Dossiers!$F$4:$F$63,52)))</f>
        <v/>
      </c>
      <c r="U2743">
        <f>IF($O2743="","",IF(INDEX(Dossiers!$G$4:$G$63,52)="","",INDEX(Dossiers!$G$4:$G$63,52)))</f>
        <v/>
      </c>
      <c r="V2743">
        <f>IF(OR($O2743="",NOT(ISNUMBER($Q2743))),"",$Q2743*1000000+2743)</f>
        <v/>
      </c>
      <c r="W2743" s="29">
        <f>IF($B2743="","",IFERROR(INDEX($U$4:$U$3183,MATCH(SMALL($V$4:$V$3183,2740),$V$4:$V$3183,0)),""))</f>
        <v/>
      </c>
    </row>
    <row r="2744">
      <c r="A2744">
        <f>IFERROR(INDEX($N$4:$N$3183,MATCH(SMALL($V$4:$V$3183,2741),$V$4:$V$3183,0)),"")</f>
        <v/>
      </c>
      <c r="B2744">
        <f>IFERROR(INDEX($O$4:$O$3183,MATCH(SMALL($V$4:$V$3183,2741),$V$4:$V$3183,0)),"")</f>
        <v/>
      </c>
      <c r="C2744">
        <f>IFERROR(INDEX($P$4:$P$3183,MATCH(SMALL($V$4:$V$3183,2741),$V$4:$V$3183,0)),"")</f>
        <v/>
      </c>
      <c r="D2744" s="29">
        <f>IFERROR(INDEX($Q$4:$Q$3183,MATCH(SMALL($V$4:$V$3183,2741),$V$4:$V$3183,0)),"")</f>
        <v/>
      </c>
      <c r="E2744" s="29">
        <f>IFERROR(INDEX($R$4:$R$3183,MATCH(SMALL($V$4:$V$3183,2741),$V$4:$V$3183,0)),"")</f>
        <v/>
      </c>
      <c r="F2744">
        <f>IFERROR(INDEX($S$4:$S$3183,MATCH(SMALL($V$4:$V$3183,2741),$V$4:$V$3183,0)),"")</f>
        <v/>
      </c>
      <c r="I2744" s="29">
        <f>IF($B2744="","",IFERROR(INDEX($U$4:$U$3183,MATCH(SMALL($V$4:$V$3183,2741),$V$4:$V$3183,0)),""))</f>
        <v/>
      </c>
      <c r="J2744">
        <f>IF($B2744="","",IF($D2744&gt;$F$2,"À venir",IF($E2744&lt;$D$2,"Passé","Dans la période")))</f>
        <v/>
      </c>
      <c r="K2744">
        <f>IF(OR($B2744="",NOT(ISNUMBER($D2744))),"",IF(AND($E2744&lt;$D$2,$G2744&lt;&gt;"X",$F2744&lt;&gt;"Réalisé",$F2744&lt;&gt;"Clôturé"),"RETARD",""))</f>
        <v/>
      </c>
      <c r="L2744">
        <f>IF(OR($B2744="",NOT(ISNUMBER($D2744))),"",IF(AND($D2744&gt;=$D$2,$D2744&lt;=$H$2,$G2744&lt;&gt;"X",$F2744&lt;&gt;"Réalisé",$F2744&lt;&gt;"Clôturé"),"≤ 7 j",""))</f>
        <v/>
      </c>
      <c r="M2744" s="29">
        <f>IF($B2744="","",IFERROR(INDEX($T$4:$T$3183,MATCH(SMALL($V$4:$V$3183,2741),$V$4:$V$3183,0)),""))</f>
        <v/>
      </c>
      <c r="O2744">
        <f>IF(INDEX(Suivi!$B:$B,2796)="","",INDEX(Suivi!$B:$B,2796))</f>
        <v/>
      </c>
      <c r="P2744">
        <f>IF($O2744="","",IF(INDEX(Suivi!$D:$D,2796)="",INDEX(Suivi!$C:$C,2796),INDEX(Suivi!$D:$D,2796)))</f>
        <v/>
      </c>
      <c r="Q2744">
        <f>IF($O2744="","",INDEX(Suivi!$E:$E,2796))</f>
        <v/>
      </c>
      <c r="R2744">
        <f>IF($O2744="","",INDEX(Suivi!$F:$F,2796))</f>
        <v/>
      </c>
      <c r="S2744">
        <f>IF($O2744="","",INDEX(Suivi!$G:$G,2796))</f>
        <v/>
      </c>
      <c r="T2744">
        <f>IF($O2744="","",IF(INDEX(Dossiers!$F$4:$F$63,52)="","",INDEX(Dossiers!$F$4:$F$63,52)))</f>
        <v/>
      </c>
      <c r="U2744">
        <f>IF($O2744="","",IF(INDEX(Dossiers!$G$4:$G$63,52)="","",INDEX(Dossiers!$G$4:$G$63,52)))</f>
        <v/>
      </c>
      <c r="V2744">
        <f>IF(OR($O2744="",NOT(ISNUMBER($Q2744))),"",$Q2744*1000000+2744)</f>
        <v/>
      </c>
      <c r="W2744" s="29">
        <f>IF($B2744="","",IFERROR(INDEX($U$4:$U$3183,MATCH(SMALL($V$4:$V$3183,2741),$V$4:$V$3183,0)),""))</f>
        <v/>
      </c>
    </row>
    <row r="2745">
      <c r="A2745">
        <f>IFERROR(INDEX($N$4:$N$3183,MATCH(SMALL($V$4:$V$3183,2742),$V$4:$V$3183,0)),"")</f>
        <v/>
      </c>
      <c r="B2745">
        <f>IFERROR(INDEX($O$4:$O$3183,MATCH(SMALL($V$4:$V$3183,2742),$V$4:$V$3183,0)),"")</f>
        <v/>
      </c>
      <c r="C2745">
        <f>IFERROR(INDEX($P$4:$P$3183,MATCH(SMALL($V$4:$V$3183,2742),$V$4:$V$3183,0)),"")</f>
        <v/>
      </c>
      <c r="D2745" s="29">
        <f>IFERROR(INDEX($Q$4:$Q$3183,MATCH(SMALL($V$4:$V$3183,2742),$V$4:$V$3183,0)),"")</f>
        <v/>
      </c>
      <c r="E2745" s="29">
        <f>IFERROR(INDEX($R$4:$R$3183,MATCH(SMALL($V$4:$V$3183,2742),$V$4:$V$3183,0)),"")</f>
        <v/>
      </c>
      <c r="F2745">
        <f>IFERROR(INDEX($S$4:$S$3183,MATCH(SMALL($V$4:$V$3183,2742),$V$4:$V$3183,0)),"")</f>
        <v/>
      </c>
      <c r="I2745" s="29">
        <f>IF($B2745="","",IFERROR(INDEX($U$4:$U$3183,MATCH(SMALL($V$4:$V$3183,2742),$V$4:$V$3183,0)),""))</f>
        <v/>
      </c>
      <c r="J2745">
        <f>IF($B2745="","",IF($D2745&gt;$F$2,"À venir",IF($E2745&lt;$D$2,"Passé","Dans la période")))</f>
        <v/>
      </c>
      <c r="K2745">
        <f>IF(OR($B2745="",NOT(ISNUMBER($D2745))),"",IF(AND($E2745&lt;$D$2,$G2745&lt;&gt;"X",$F2745&lt;&gt;"Réalisé",$F2745&lt;&gt;"Clôturé"),"RETARD",""))</f>
        <v/>
      </c>
      <c r="L2745">
        <f>IF(OR($B2745="",NOT(ISNUMBER($D2745))),"",IF(AND($D2745&gt;=$D$2,$D2745&lt;=$H$2,$G2745&lt;&gt;"X",$F2745&lt;&gt;"Réalisé",$F2745&lt;&gt;"Clôturé"),"≤ 7 j",""))</f>
        <v/>
      </c>
      <c r="M2745" s="29">
        <f>IF($B2745="","",IFERROR(INDEX($T$4:$T$3183,MATCH(SMALL($V$4:$V$3183,2742),$V$4:$V$3183,0)),""))</f>
        <v/>
      </c>
      <c r="O2745">
        <f>IF(INDEX(Suivi!$B:$B,2797)="","",INDEX(Suivi!$B:$B,2797))</f>
        <v/>
      </c>
      <c r="P2745">
        <f>IF($O2745="","",IF(INDEX(Suivi!$D:$D,2797)="",INDEX(Suivi!$C:$C,2797),INDEX(Suivi!$D:$D,2797)))</f>
        <v/>
      </c>
      <c r="Q2745">
        <f>IF($O2745="","",INDEX(Suivi!$E:$E,2797))</f>
        <v/>
      </c>
      <c r="R2745">
        <f>IF($O2745="","",INDEX(Suivi!$F:$F,2797))</f>
        <v/>
      </c>
      <c r="S2745">
        <f>IF($O2745="","",INDEX(Suivi!$G:$G,2797))</f>
        <v/>
      </c>
      <c r="T2745">
        <f>IF($O2745="","",IF(INDEX(Dossiers!$F$4:$F$63,52)="","",INDEX(Dossiers!$F$4:$F$63,52)))</f>
        <v/>
      </c>
      <c r="U2745">
        <f>IF($O2745="","",IF(INDEX(Dossiers!$G$4:$G$63,52)="","",INDEX(Dossiers!$G$4:$G$63,52)))</f>
        <v/>
      </c>
      <c r="V2745">
        <f>IF(OR($O2745="",NOT(ISNUMBER($Q2745))),"",$Q2745*1000000+2745)</f>
        <v/>
      </c>
      <c r="W2745" s="29">
        <f>IF($B2745="","",IFERROR(INDEX($U$4:$U$3183,MATCH(SMALL($V$4:$V$3183,2742),$V$4:$V$3183,0)),""))</f>
        <v/>
      </c>
    </row>
    <row r="2746">
      <c r="A2746">
        <f>IFERROR(INDEX($N$4:$N$3183,MATCH(SMALL($V$4:$V$3183,2743),$V$4:$V$3183,0)),"")</f>
        <v/>
      </c>
      <c r="B2746">
        <f>IFERROR(INDEX($O$4:$O$3183,MATCH(SMALL($V$4:$V$3183,2743),$V$4:$V$3183,0)),"")</f>
        <v/>
      </c>
      <c r="C2746">
        <f>IFERROR(INDEX($P$4:$P$3183,MATCH(SMALL($V$4:$V$3183,2743),$V$4:$V$3183,0)),"")</f>
        <v/>
      </c>
      <c r="D2746" s="29">
        <f>IFERROR(INDEX($Q$4:$Q$3183,MATCH(SMALL($V$4:$V$3183,2743),$V$4:$V$3183,0)),"")</f>
        <v/>
      </c>
      <c r="E2746" s="29">
        <f>IFERROR(INDEX($R$4:$R$3183,MATCH(SMALL($V$4:$V$3183,2743),$V$4:$V$3183,0)),"")</f>
        <v/>
      </c>
      <c r="F2746">
        <f>IFERROR(INDEX($S$4:$S$3183,MATCH(SMALL($V$4:$V$3183,2743),$V$4:$V$3183,0)),"")</f>
        <v/>
      </c>
      <c r="I2746" s="29">
        <f>IF($B2746="","",IFERROR(INDEX($U$4:$U$3183,MATCH(SMALL($V$4:$V$3183,2743),$V$4:$V$3183,0)),""))</f>
        <v/>
      </c>
      <c r="J2746">
        <f>IF($B2746="","",IF($D2746&gt;$F$2,"À venir",IF($E2746&lt;$D$2,"Passé","Dans la période")))</f>
        <v/>
      </c>
      <c r="K2746">
        <f>IF(OR($B2746="",NOT(ISNUMBER($D2746))),"",IF(AND($E2746&lt;$D$2,$G2746&lt;&gt;"X",$F2746&lt;&gt;"Réalisé",$F2746&lt;&gt;"Clôturé"),"RETARD",""))</f>
        <v/>
      </c>
      <c r="L2746">
        <f>IF(OR($B2746="",NOT(ISNUMBER($D2746))),"",IF(AND($D2746&gt;=$D$2,$D2746&lt;=$H$2,$G2746&lt;&gt;"X",$F2746&lt;&gt;"Réalisé",$F2746&lt;&gt;"Clôturé"),"≤ 7 j",""))</f>
        <v/>
      </c>
      <c r="M2746" s="29">
        <f>IF($B2746="","",IFERROR(INDEX($T$4:$T$3183,MATCH(SMALL($V$4:$V$3183,2743),$V$4:$V$3183,0)),""))</f>
        <v/>
      </c>
      <c r="O2746">
        <f>IF(INDEX(Suivi!$B:$B,2798)="","",INDEX(Suivi!$B:$B,2798))</f>
        <v/>
      </c>
      <c r="P2746">
        <f>IF($O2746="","",IF(INDEX(Suivi!$D:$D,2798)="",INDEX(Suivi!$C:$C,2798),INDEX(Suivi!$D:$D,2798)))</f>
        <v/>
      </c>
      <c r="Q2746">
        <f>IF($O2746="","",INDEX(Suivi!$E:$E,2798))</f>
        <v/>
      </c>
      <c r="R2746">
        <f>IF($O2746="","",INDEX(Suivi!$F:$F,2798))</f>
        <v/>
      </c>
      <c r="S2746">
        <f>IF($O2746="","",INDEX(Suivi!$G:$G,2798))</f>
        <v/>
      </c>
      <c r="T2746">
        <f>IF($O2746="","",IF(INDEX(Dossiers!$F$4:$F$63,52)="","",INDEX(Dossiers!$F$4:$F$63,52)))</f>
        <v/>
      </c>
      <c r="U2746">
        <f>IF($O2746="","",IF(INDEX(Dossiers!$G$4:$G$63,52)="","",INDEX(Dossiers!$G$4:$G$63,52)))</f>
        <v/>
      </c>
      <c r="V2746">
        <f>IF(OR($O2746="",NOT(ISNUMBER($Q2746))),"",$Q2746*1000000+2746)</f>
        <v/>
      </c>
      <c r="W2746" s="29">
        <f>IF($B2746="","",IFERROR(INDEX($U$4:$U$3183,MATCH(SMALL($V$4:$V$3183,2743),$V$4:$V$3183,0)),""))</f>
        <v/>
      </c>
    </row>
    <row r="2747">
      <c r="A2747">
        <f>IFERROR(INDEX($N$4:$N$3183,MATCH(SMALL($V$4:$V$3183,2744),$V$4:$V$3183,0)),"")</f>
        <v/>
      </c>
      <c r="B2747">
        <f>IFERROR(INDEX($O$4:$O$3183,MATCH(SMALL($V$4:$V$3183,2744),$V$4:$V$3183,0)),"")</f>
        <v/>
      </c>
      <c r="C2747">
        <f>IFERROR(INDEX($P$4:$P$3183,MATCH(SMALL($V$4:$V$3183,2744),$V$4:$V$3183,0)),"")</f>
        <v/>
      </c>
      <c r="D2747" s="29">
        <f>IFERROR(INDEX($Q$4:$Q$3183,MATCH(SMALL($V$4:$V$3183,2744),$V$4:$V$3183,0)),"")</f>
        <v/>
      </c>
      <c r="E2747" s="29">
        <f>IFERROR(INDEX($R$4:$R$3183,MATCH(SMALL($V$4:$V$3183,2744),$V$4:$V$3183,0)),"")</f>
        <v/>
      </c>
      <c r="F2747">
        <f>IFERROR(INDEX($S$4:$S$3183,MATCH(SMALL($V$4:$V$3183,2744),$V$4:$V$3183,0)),"")</f>
        <v/>
      </c>
      <c r="I2747" s="29">
        <f>IF($B2747="","",IFERROR(INDEX($U$4:$U$3183,MATCH(SMALL($V$4:$V$3183,2744),$V$4:$V$3183,0)),""))</f>
        <v/>
      </c>
      <c r="J2747">
        <f>IF($B2747="","",IF($D2747&gt;$F$2,"À venir",IF($E2747&lt;$D$2,"Passé","Dans la période")))</f>
        <v/>
      </c>
      <c r="K2747">
        <f>IF(OR($B2747="",NOT(ISNUMBER($D2747))),"",IF(AND($E2747&lt;$D$2,$G2747&lt;&gt;"X",$F2747&lt;&gt;"Réalisé",$F2747&lt;&gt;"Clôturé"),"RETARD",""))</f>
        <v/>
      </c>
      <c r="L2747">
        <f>IF(OR($B2747="",NOT(ISNUMBER($D2747))),"",IF(AND($D2747&gt;=$D$2,$D2747&lt;=$H$2,$G2747&lt;&gt;"X",$F2747&lt;&gt;"Réalisé",$F2747&lt;&gt;"Clôturé"),"≤ 7 j",""))</f>
        <v/>
      </c>
      <c r="M2747" s="29">
        <f>IF($B2747="","",IFERROR(INDEX($T$4:$T$3183,MATCH(SMALL($V$4:$V$3183,2744),$V$4:$V$3183,0)),""))</f>
        <v/>
      </c>
      <c r="O2747">
        <f>IF(INDEX(Suivi!$B:$B,2799)="","",INDEX(Suivi!$B:$B,2799))</f>
        <v/>
      </c>
      <c r="P2747">
        <f>IF($O2747="","",IF(INDEX(Suivi!$D:$D,2799)="",INDEX(Suivi!$C:$C,2799),INDEX(Suivi!$D:$D,2799)))</f>
        <v/>
      </c>
      <c r="Q2747">
        <f>IF($O2747="","",INDEX(Suivi!$E:$E,2799))</f>
        <v/>
      </c>
      <c r="R2747">
        <f>IF($O2747="","",INDEX(Suivi!$F:$F,2799))</f>
        <v/>
      </c>
      <c r="S2747">
        <f>IF($O2747="","",INDEX(Suivi!$G:$G,2799))</f>
        <v/>
      </c>
      <c r="T2747">
        <f>IF($O2747="","",IF(INDEX(Dossiers!$F$4:$F$63,52)="","",INDEX(Dossiers!$F$4:$F$63,52)))</f>
        <v/>
      </c>
      <c r="U2747">
        <f>IF($O2747="","",IF(INDEX(Dossiers!$G$4:$G$63,52)="","",INDEX(Dossiers!$G$4:$G$63,52)))</f>
        <v/>
      </c>
      <c r="V2747">
        <f>IF(OR($O2747="",NOT(ISNUMBER($Q2747))),"",$Q2747*1000000+2747)</f>
        <v/>
      </c>
      <c r="W2747" s="29">
        <f>IF($B2747="","",IFERROR(INDEX($U$4:$U$3183,MATCH(SMALL($V$4:$V$3183,2744),$V$4:$V$3183,0)),""))</f>
        <v/>
      </c>
    </row>
    <row r="2748">
      <c r="A2748">
        <f>IFERROR(INDEX($N$4:$N$3183,MATCH(SMALL($V$4:$V$3183,2745),$V$4:$V$3183,0)),"")</f>
        <v/>
      </c>
      <c r="B2748">
        <f>IFERROR(INDEX($O$4:$O$3183,MATCH(SMALL($V$4:$V$3183,2745),$V$4:$V$3183,0)),"")</f>
        <v/>
      </c>
      <c r="C2748">
        <f>IFERROR(INDEX($P$4:$P$3183,MATCH(SMALL($V$4:$V$3183,2745),$V$4:$V$3183,0)),"")</f>
        <v/>
      </c>
      <c r="D2748" s="29">
        <f>IFERROR(INDEX($Q$4:$Q$3183,MATCH(SMALL($V$4:$V$3183,2745),$V$4:$V$3183,0)),"")</f>
        <v/>
      </c>
      <c r="E2748" s="29">
        <f>IFERROR(INDEX($R$4:$R$3183,MATCH(SMALL($V$4:$V$3183,2745),$V$4:$V$3183,0)),"")</f>
        <v/>
      </c>
      <c r="F2748">
        <f>IFERROR(INDEX($S$4:$S$3183,MATCH(SMALL($V$4:$V$3183,2745),$V$4:$V$3183,0)),"")</f>
        <v/>
      </c>
      <c r="I2748" s="29">
        <f>IF($B2748="","",IFERROR(INDEX($U$4:$U$3183,MATCH(SMALL($V$4:$V$3183,2745),$V$4:$V$3183,0)),""))</f>
        <v/>
      </c>
      <c r="J2748">
        <f>IF($B2748="","",IF($D2748&gt;$F$2,"À venir",IF($E2748&lt;$D$2,"Passé","Dans la période")))</f>
        <v/>
      </c>
      <c r="K2748">
        <f>IF(OR($B2748="",NOT(ISNUMBER($D2748))),"",IF(AND($E2748&lt;$D$2,$G2748&lt;&gt;"X",$F2748&lt;&gt;"Réalisé",$F2748&lt;&gt;"Clôturé"),"RETARD",""))</f>
        <v/>
      </c>
      <c r="L2748">
        <f>IF(OR($B2748="",NOT(ISNUMBER($D2748))),"",IF(AND($D2748&gt;=$D$2,$D2748&lt;=$H$2,$G2748&lt;&gt;"X",$F2748&lt;&gt;"Réalisé",$F2748&lt;&gt;"Clôturé"),"≤ 7 j",""))</f>
        <v/>
      </c>
      <c r="M2748" s="29">
        <f>IF($B2748="","",IFERROR(INDEX($T$4:$T$3183,MATCH(SMALL($V$4:$V$3183,2745),$V$4:$V$3183,0)),""))</f>
        <v/>
      </c>
      <c r="O2748">
        <f>IF(INDEX(Suivi!$B:$B,2800)="","",INDEX(Suivi!$B:$B,2800))</f>
        <v/>
      </c>
      <c r="P2748">
        <f>IF($O2748="","",IF(INDEX(Suivi!$D:$D,2800)="",INDEX(Suivi!$C:$C,2800),INDEX(Suivi!$D:$D,2800)))</f>
        <v/>
      </c>
      <c r="Q2748">
        <f>IF($O2748="","",INDEX(Suivi!$E:$E,2800))</f>
        <v/>
      </c>
      <c r="R2748">
        <f>IF($O2748="","",INDEX(Suivi!$F:$F,2800))</f>
        <v/>
      </c>
      <c r="S2748">
        <f>IF($O2748="","",INDEX(Suivi!$G:$G,2800))</f>
        <v/>
      </c>
      <c r="T2748">
        <f>IF($O2748="","",IF(INDEX(Dossiers!$F$4:$F$63,52)="","",INDEX(Dossiers!$F$4:$F$63,52)))</f>
        <v/>
      </c>
      <c r="U2748">
        <f>IF($O2748="","",IF(INDEX(Dossiers!$G$4:$G$63,52)="","",INDEX(Dossiers!$G$4:$G$63,52)))</f>
        <v/>
      </c>
      <c r="V2748">
        <f>IF(OR($O2748="",NOT(ISNUMBER($Q2748))),"",$Q2748*1000000+2748)</f>
        <v/>
      </c>
      <c r="W2748" s="29">
        <f>IF($B2748="","",IFERROR(INDEX($U$4:$U$3183,MATCH(SMALL($V$4:$V$3183,2745),$V$4:$V$3183,0)),""))</f>
        <v/>
      </c>
    </row>
    <row r="2749">
      <c r="A2749">
        <f>IFERROR(INDEX($N$4:$N$3183,MATCH(SMALL($V$4:$V$3183,2746),$V$4:$V$3183,0)),"")</f>
        <v/>
      </c>
      <c r="B2749">
        <f>IFERROR(INDEX($O$4:$O$3183,MATCH(SMALL($V$4:$V$3183,2746),$V$4:$V$3183,0)),"")</f>
        <v/>
      </c>
      <c r="C2749">
        <f>IFERROR(INDEX($P$4:$P$3183,MATCH(SMALL($V$4:$V$3183,2746),$V$4:$V$3183,0)),"")</f>
        <v/>
      </c>
      <c r="D2749" s="29">
        <f>IFERROR(INDEX($Q$4:$Q$3183,MATCH(SMALL($V$4:$V$3183,2746),$V$4:$V$3183,0)),"")</f>
        <v/>
      </c>
      <c r="E2749" s="29">
        <f>IFERROR(INDEX($R$4:$R$3183,MATCH(SMALL($V$4:$V$3183,2746),$V$4:$V$3183,0)),"")</f>
        <v/>
      </c>
      <c r="F2749">
        <f>IFERROR(INDEX($S$4:$S$3183,MATCH(SMALL($V$4:$V$3183,2746),$V$4:$V$3183,0)),"")</f>
        <v/>
      </c>
      <c r="I2749" s="29">
        <f>IF($B2749="","",IFERROR(INDEX($U$4:$U$3183,MATCH(SMALL($V$4:$V$3183,2746),$V$4:$V$3183,0)),""))</f>
        <v/>
      </c>
      <c r="J2749">
        <f>IF($B2749="","",IF($D2749&gt;$F$2,"À venir",IF($E2749&lt;$D$2,"Passé","Dans la période")))</f>
        <v/>
      </c>
      <c r="K2749">
        <f>IF(OR($B2749="",NOT(ISNUMBER($D2749))),"",IF(AND($E2749&lt;$D$2,$G2749&lt;&gt;"X",$F2749&lt;&gt;"Réalisé",$F2749&lt;&gt;"Clôturé"),"RETARD",""))</f>
        <v/>
      </c>
      <c r="L2749">
        <f>IF(OR($B2749="",NOT(ISNUMBER($D2749))),"",IF(AND($D2749&gt;=$D$2,$D2749&lt;=$H$2,$G2749&lt;&gt;"X",$F2749&lt;&gt;"Réalisé",$F2749&lt;&gt;"Clôturé"),"≤ 7 j",""))</f>
        <v/>
      </c>
      <c r="M2749" s="29">
        <f>IF($B2749="","",IFERROR(INDEX($T$4:$T$3183,MATCH(SMALL($V$4:$V$3183,2746),$V$4:$V$3183,0)),""))</f>
        <v/>
      </c>
      <c r="O2749">
        <f>IF(INDEX(Suivi!$B:$B,2801)="","",INDEX(Suivi!$B:$B,2801))</f>
        <v/>
      </c>
      <c r="P2749">
        <f>IF($O2749="","",IF(INDEX(Suivi!$D:$D,2801)="",INDEX(Suivi!$C:$C,2801),INDEX(Suivi!$D:$D,2801)))</f>
        <v/>
      </c>
      <c r="Q2749">
        <f>IF($O2749="","",INDEX(Suivi!$E:$E,2801))</f>
        <v/>
      </c>
      <c r="R2749">
        <f>IF($O2749="","",INDEX(Suivi!$F:$F,2801))</f>
        <v/>
      </c>
      <c r="S2749">
        <f>IF($O2749="","",INDEX(Suivi!$G:$G,2801))</f>
        <v/>
      </c>
      <c r="T2749">
        <f>IF($O2749="","",IF(INDEX(Dossiers!$F$4:$F$63,52)="","",INDEX(Dossiers!$F$4:$F$63,52)))</f>
        <v/>
      </c>
      <c r="U2749">
        <f>IF($O2749="","",IF(INDEX(Dossiers!$G$4:$G$63,52)="","",INDEX(Dossiers!$G$4:$G$63,52)))</f>
        <v/>
      </c>
      <c r="V2749">
        <f>IF(OR($O2749="",NOT(ISNUMBER($Q2749))),"",$Q2749*1000000+2749)</f>
        <v/>
      </c>
      <c r="W2749" s="29">
        <f>IF($B2749="","",IFERROR(INDEX($U$4:$U$3183,MATCH(SMALL($V$4:$V$3183,2746),$V$4:$V$3183,0)),""))</f>
        <v/>
      </c>
    </row>
    <row r="2750">
      <c r="A2750">
        <f>IFERROR(INDEX($N$4:$N$3183,MATCH(SMALL($V$4:$V$3183,2747),$V$4:$V$3183,0)),"")</f>
        <v/>
      </c>
      <c r="B2750">
        <f>IFERROR(INDEX($O$4:$O$3183,MATCH(SMALL($V$4:$V$3183,2747),$V$4:$V$3183,0)),"")</f>
        <v/>
      </c>
      <c r="C2750">
        <f>IFERROR(INDEX($P$4:$P$3183,MATCH(SMALL($V$4:$V$3183,2747),$V$4:$V$3183,0)),"")</f>
        <v/>
      </c>
      <c r="D2750" s="29">
        <f>IFERROR(INDEX($Q$4:$Q$3183,MATCH(SMALL($V$4:$V$3183,2747),$V$4:$V$3183,0)),"")</f>
        <v/>
      </c>
      <c r="E2750" s="29">
        <f>IFERROR(INDEX($R$4:$R$3183,MATCH(SMALL($V$4:$V$3183,2747),$V$4:$V$3183,0)),"")</f>
        <v/>
      </c>
      <c r="F2750">
        <f>IFERROR(INDEX($S$4:$S$3183,MATCH(SMALL($V$4:$V$3183,2747),$V$4:$V$3183,0)),"")</f>
        <v/>
      </c>
      <c r="I2750" s="29">
        <f>IF($B2750="","",IFERROR(INDEX($U$4:$U$3183,MATCH(SMALL($V$4:$V$3183,2747),$V$4:$V$3183,0)),""))</f>
        <v/>
      </c>
      <c r="J2750">
        <f>IF($B2750="","",IF($D2750&gt;$F$2,"À venir",IF($E2750&lt;$D$2,"Passé","Dans la période")))</f>
        <v/>
      </c>
      <c r="K2750">
        <f>IF(OR($B2750="",NOT(ISNUMBER($D2750))),"",IF(AND($E2750&lt;$D$2,$G2750&lt;&gt;"X",$F2750&lt;&gt;"Réalisé",$F2750&lt;&gt;"Clôturé"),"RETARD",""))</f>
        <v/>
      </c>
      <c r="L2750">
        <f>IF(OR($B2750="",NOT(ISNUMBER($D2750))),"",IF(AND($D2750&gt;=$D$2,$D2750&lt;=$H$2,$G2750&lt;&gt;"X",$F2750&lt;&gt;"Réalisé",$F2750&lt;&gt;"Clôturé"),"≤ 7 j",""))</f>
        <v/>
      </c>
      <c r="M2750" s="29">
        <f>IF($B2750="","",IFERROR(INDEX($T$4:$T$3183,MATCH(SMALL($V$4:$V$3183,2747),$V$4:$V$3183,0)),""))</f>
        <v/>
      </c>
      <c r="O2750">
        <f>IF(INDEX(Suivi!$B:$B,2802)="","",INDEX(Suivi!$B:$B,2802))</f>
        <v/>
      </c>
      <c r="P2750">
        <f>IF($O2750="","",IF(INDEX(Suivi!$D:$D,2802)="",INDEX(Suivi!$C:$C,2802),INDEX(Suivi!$D:$D,2802)))</f>
        <v/>
      </c>
      <c r="Q2750">
        <f>IF($O2750="","",INDEX(Suivi!$E:$E,2802))</f>
        <v/>
      </c>
      <c r="R2750">
        <f>IF($O2750="","",INDEX(Suivi!$F:$F,2802))</f>
        <v/>
      </c>
      <c r="S2750">
        <f>IF($O2750="","",INDEX(Suivi!$G:$G,2802))</f>
        <v/>
      </c>
      <c r="T2750">
        <f>IF($O2750="","",IF(INDEX(Dossiers!$F$4:$F$63,52)="","",INDEX(Dossiers!$F$4:$F$63,52)))</f>
        <v/>
      </c>
      <c r="U2750">
        <f>IF($O2750="","",IF(INDEX(Dossiers!$G$4:$G$63,52)="","",INDEX(Dossiers!$G$4:$G$63,52)))</f>
        <v/>
      </c>
      <c r="V2750">
        <f>IF(OR($O2750="",NOT(ISNUMBER($Q2750))),"",$Q2750*1000000+2750)</f>
        <v/>
      </c>
      <c r="W2750" s="29">
        <f>IF($B2750="","",IFERROR(INDEX($U$4:$U$3183,MATCH(SMALL($V$4:$V$3183,2747),$V$4:$V$3183,0)),""))</f>
        <v/>
      </c>
    </row>
    <row r="2751">
      <c r="A2751">
        <f>IFERROR(INDEX($N$4:$N$3183,MATCH(SMALL($V$4:$V$3183,2748),$V$4:$V$3183,0)),"")</f>
        <v/>
      </c>
      <c r="B2751">
        <f>IFERROR(INDEX($O$4:$O$3183,MATCH(SMALL($V$4:$V$3183,2748),$V$4:$V$3183,0)),"")</f>
        <v/>
      </c>
      <c r="C2751">
        <f>IFERROR(INDEX($P$4:$P$3183,MATCH(SMALL($V$4:$V$3183,2748),$V$4:$V$3183,0)),"")</f>
        <v/>
      </c>
      <c r="D2751" s="29">
        <f>IFERROR(INDEX($Q$4:$Q$3183,MATCH(SMALL($V$4:$V$3183,2748),$V$4:$V$3183,0)),"")</f>
        <v/>
      </c>
      <c r="E2751" s="29">
        <f>IFERROR(INDEX($R$4:$R$3183,MATCH(SMALL($V$4:$V$3183,2748),$V$4:$V$3183,0)),"")</f>
        <v/>
      </c>
      <c r="F2751">
        <f>IFERROR(INDEX($S$4:$S$3183,MATCH(SMALL($V$4:$V$3183,2748),$V$4:$V$3183,0)),"")</f>
        <v/>
      </c>
      <c r="I2751" s="29">
        <f>IF($B2751="","",IFERROR(INDEX($U$4:$U$3183,MATCH(SMALL($V$4:$V$3183,2748),$V$4:$V$3183,0)),""))</f>
        <v/>
      </c>
      <c r="J2751">
        <f>IF($B2751="","",IF($D2751&gt;$F$2,"À venir",IF($E2751&lt;$D$2,"Passé","Dans la période")))</f>
        <v/>
      </c>
      <c r="K2751">
        <f>IF(OR($B2751="",NOT(ISNUMBER($D2751))),"",IF(AND($E2751&lt;$D$2,$G2751&lt;&gt;"X",$F2751&lt;&gt;"Réalisé",$F2751&lt;&gt;"Clôturé"),"RETARD",""))</f>
        <v/>
      </c>
      <c r="L2751">
        <f>IF(OR($B2751="",NOT(ISNUMBER($D2751))),"",IF(AND($D2751&gt;=$D$2,$D2751&lt;=$H$2,$G2751&lt;&gt;"X",$F2751&lt;&gt;"Réalisé",$F2751&lt;&gt;"Clôturé"),"≤ 7 j",""))</f>
        <v/>
      </c>
      <c r="M2751" s="29">
        <f>IF($B2751="","",IFERROR(INDEX($T$4:$T$3183,MATCH(SMALL($V$4:$V$3183,2748),$V$4:$V$3183,0)),""))</f>
        <v/>
      </c>
      <c r="O2751">
        <f>IF(INDEX(Suivi!$B:$B,2803)="","",INDEX(Suivi!$B:$B,2803))</f>
        <v/>
      </c>
      <c r="P2751">
        <f>IF($O2751="","",IF(INDEX(Suivi!$D:$D,2803)="",INDEX(Suivi!$C:$C,2803),INDEX(Suivi!$D:$D,2803)))</f>
        <v/>
      </c>
      <c r="Q2751">
        <f>IF($O2751="","",INDEX(Suivi!$E:$E,2803))</f>
        <v/>
      </c>
      <c r="R2751">
        <f>IF($O2751="","",INDEX(Suivi!$F:$F,2803))</f>
        <v/>
      </c>
      <c r="S2751">
        <f>IF($O2751="","",INDEX(Suivi!$G:$G,2803))</f>
        <v/>
      </c>
      <c r="T2751">
        <f>IF($O2751="","",IF(INDEX(Dossiers!$F$4:$F$63,52)="","",INDEX(Dossiers!$F$4:$F$63,52)))</f>
        <v/>
      </c>
      <c r="U2751">
        <f>IF($O2751="","",IF(INDEX(Dossiers!$G$4:$G$63,52)="","",INDEX(Dossiers!$G$4:$G$63,52)))</f>
        <v/>
      </c>
      <c r="V2751">
        <f>IF(OR($O2751="",NOT(ISNUMBER($Q2751))),"",$Q2751*1000000+2751)</f>
        <v/>
      </c>
      <c r="W2751" s="29">
        <f>IF($B2751="","",IFERROR(INDEX($U$4:$U$3183,MATCH(SMALL($V$4:$V$3183,2748),$V$4:$V$3183,0)),""))</f>
        <v/>
      </c>
    </row>
    <row r="2752">
      <c r="A2752">
        <f>IFERROR(INDEX($N$4:$N$3183,MATCH(SMALL($V$4:$V$3183,2749),$V$4:$V$3183,0)),"")</f>
        <v/>
      </c>
      <c r="B2752">
        <f>IFERROR(INDEX($O$4:$O$3183,MATCH(SMALL($V$4:$V$3183,2749),$V$4:$V$3183,0)),"")</f>
        <v/>
      </c>
      <c r="C2752">
        <f>IFERROR(INDEX($P$4:$P$3183,MATCH(SMALL($V$4:$V$3183,2749),$V$4:$V$3183,0)),"")</f>
        <v/>
      </c>
      <c r="D2752" s="29">
        <f>IFERROR(INDEX($Q$4:$Q$3183,MATCH(SMALL($V$4:$V$3183,2749),$V$4:$V$3183,0)),"")</f>
        <v/>
      </c>
      <c r="E2752" s="29">
        <f>IFERROR(INDEX($R$4:$R$3183,MATCH(SMALL($V$4:$V$3183,2749),$V$4:$V$3183,0)),"")</f>
        <v/>
      </c>
      <c r="F2752">
        <f>IFERROR(INDEX($S$4:$S$3183,MATCH(SMALL($V$4:$V$3183,2749),$V$4:$V$3183,0)),"")</f>
        <v/>
      </c>
      <c r="I2752" s="29">
        <f>IF($B2752="","",IFERROR(INDEX($U$4:$U$3183,MATCH(SMALL($V$4:$V$3183,2749),$V$4:$V$3183,0)),""))</f>
        <v/>
      </c>
      <c r="J2752">
        <f>IF($B2752="","",IF($D2752&gt;$F$2,"À venir",IF($E2752&lt;$D$2,"Passé","Dans la période")))</f>
        <v/>
      </c>
      <c r="K2752">
        <f>IF(OR($B2752="",NOT(ISNUMBER($D2752))),"",IF(AND($E2752&lt;$D$2,$G2752&lt;&gt;"X",$F2752&lt;&gt;"Réalisé",$F2752&lt;&gt;"Clôturé"),"RETARD",""))</f>
        <v/>
      </c>
      <c r="L2752">
        <f>IF(OR($B2752="",NOT(ISNUMBER($D2752))),"",IF(AND($D2752&gt;=$D$2,$D2752&lt;=$H$2,$G2752&lt;&gt;"X",$F2752&lt;&gt;"Réalisé",$F2752&lt;&gt;"Clôturé"),"≤ 7 j",""))</f>
        <v/>
      </c>
      <c r="M2752" s="29">
        <f>IF($B2752="","",IFERROR(INDEX($T$4:$T$3183,MATCH(SMALL($V$4:$V$3183,2749),$V$4:$V$3183,0)),""))</f>
        <v/>
      </c>
      <c r="O2752">
        <f>IF(INDEX(Suivi!$B:$B,2804)="","",INDEX(Suivi!$B:$B,2804))</f>
        <v/>
      </c>
      <c r="P2752">
        <f>IF($O2752="","",IF(INDEX(Suivi!$D:$D,2804)="",INDEX(Suivi!$C:$C,2804),INDEX(Suivi!$D:$D,2804)))</f>
        <v/>
      </c>
      <c r="Q2752">
        <f>IF($O2752="","",INDEX(Suivi!$E:$E,2804))</f>
        <v/>
      </c>
      <c r="R2752">
        <f>IF($O2752="","",INDEX(Suivi!$F:$F,2804))</f>
        <v/>
      </c>
      <c r="S2752">
        <f>IF($O2752="","",INDEX(Suivi!$G:$G,2804))</f>
        <v/>
      </c>
      <c r="T2752">
        <f>IF($O2752="","",IF(INDEX(Dossiers!$F$4:$F$63,52)="","",INDEX(Dossiers!$F$4:$F$63,52)))</f>
        <v/>
      </c>
      <c r="U2752">
        <f>IF($O2752="","",IF(INDEX(Dossiers!$G$4:$G$63,52)="","",INDEX(Dossiers!$G$4:$G$63,52)))</f>
        <v/>
      </c>
      <c r="V2752">
        <f>IF(OR($O2752="",NOT(ISNUMBER($Q2752))),"",$Q2752*1000000+2752)</f>
        <v/>
      </c>
      <c r="W2752" s="29">
        <f>IF($B2752="","",IFERROR(INDEX($U$4:$U$3183,MATCH(SMALL($V$4:$V$3183,2749),$V$4:$V$3183,0)),""))</f>
        <v/>
      </c>
    </row>
    <row r="2753">
      <c r="A2753">
        <f>IFERROR(INDEX($N$4:$N$3183,MATCH(SMALL($V$4:$V$3183,2750),$V$4:$V$3183,0)),"")</f>
        <v/>
      </c>
      <c r="B2753">
        <f>IFERROR(INDEX($O$4:$O$3183,MATCH(SMALL($V$4:$V$3183,2750),$V$4:$V$3183,0)),"")</f>
        <v/>
      </c>
      <c r="C2753">
        <f>IFERROR(INDEX($P$4:$P$3183,MATCH(SMALL($V$4:$V$3183,2750),$V$4:$V$3183,0)),"")</f>
        <v/>
      </c>
      <c r="D2753" s="29">
        <f>IFERROR(INDEX($Q$4:$Q$3183,MATCH(SMALL($V$4:$V$3183,2750),$V$4:$V$3183,0)),"")</f>
        <v/>
      </c>
      <c r="E2753" s="29">
        <f>IFERROR(INDEX($R$4:$R$3183,MATCH(SMALL($V$4:$V$3183,2750),$V$4:$V$3183,0)),"")</f>
        <v/>
      </c>
      <c r="F2753">
        <f>IFERROR(INDEX($S$4:$S$3183,MATCH(SMALL($V$4:$V$3183,2750),$V$4:$V$3183,0)),"")</f>
        <v/>
      </c>
      <c r="I2753" s="29">
        <f>IF($B2753="","",IFERROR(INDEX($U$4:$U$3183,MATCH(SMALL($V$4:$V$3183,2750),$V$4:$V$3183,0)),""))</f>
        <v/>
      </c>
      <c r="J2753">
        <f>IF($B2753="","",IF($D2753&gt;$F$2,"À venir",IF($E2753&lt;$D$2,"Passé","Dans la période")))</f>
        <v/>
      </c>
      <c r="K2753">
        <f>IF(OR($B2753="",NOT(ISNUMBER($D2753))),"",IF(AND($E2753&lt;$D$2,$G2753&lt;&gt;"X",$F2753&lt;&gt;"Réalisé",$F2753&lt;&gt;"Clôturé"),"RETARD",""))</f>
        <v/>
      </c>
      <c r="L2753">
        <f>IF(OR($B2753="",NOT(ISNUMBER($D2753))),"",IF(AND($D2753&gt;=$D$2,$D2753&lt;=$H$2,$G2753&lt;&gt;"X",$F2753&lt;&gt;"Réalisé",$F2753&lt;&gt;"Clôturé"),"≤ 7 j",""))</f>
        <v/>
      </c>
      <c r="M2753" s="29">
        <f>IF($B2753="","",IFERROR(INDEX($T$4:$T$3183,MATCH(SMALL($V$4:$V$3183,2750),$V$4:$V$3183,0)),""))</f>
        <v/>
      </c>
      <c r="O2753">
        <f>IF(INDEX(Suivi!$B:$B,2805)="","",INDEX(Suivi!$B:$B,2805))</f>
        <v/>
      </c>
      <c r="P2753">
        <f>IF($O2753="","",IF(INDEX(Suivi!$D:$D,2805)="",INDEX(Suivi!$C:$C,2805),INDEX(Suivi!$D:$D,2805)))</f>
        <v/>
      </c>
      <c r="Q2753">
        <f>IF($O2753="","",INDEX(Suivi!$E:$E,2805))</f>
        <v/>
      </c>
      <c r="R2753">
        <f>IF($O2753="","",INDEX(Suivi!$F:$F,2805))</f>
        <v/>
      </c>
      <c r="S2753">
        <f>IF($O2753="","",INDEX(Suivi!$G:$G,2805))</f>
        <v/>
      </c>
      <c r="T2753">
        <f>IF($O2753="","",IF(INDEX(Dossiers!$F$4:$F$63,52)="","",INDEX(Dossiers!$F$4:$F$63,52)))</f>
        <v/>
      </c>
      <c r="U2753">
        <f>IF($O2753="","",IF(INDEX(Dossiers!$G$4:$G$63,52)="","",INDEX(Dossiers!$G$4:$G$63,52)))</f>
        <v/>
      </c>
      <c r="V2753">
        <f>IF(OR($O2753="",NOT(ISNUMBER($Q2753))),"",$Q2753*1000000+2753)</f>
        <v/>
      </c>
      <c r="W2753" s="29">
        <f>IF($B2753="","",IFERROR(INDEX($U$4:$U$3183,MATCH(SMALL($V$4:$V$3183,2750),$V$4:$V$3183,0)),""))</f>
        <v/>
      </c>
    </row>
    <row r="2754">
      <c r="A2754">
        <f>IFERROR(INDEX($N$4:$N$3183,MATCH(SMALL($V$4:$V$3183,2751),$V$4:$V$3183,0)),"")</f>
        <v/>
      </c>
      <c r="B2754">
        <f>IFERROR(INDEX($O$4:$O$3183,MATCH(SMALL($V$4:$V$3183,2751),$V$4:$V$3183,0)),"")</f>
        <v/>
      </c>
      <c r="C2754">
        <f>IFERROR(INDEX($P$4:$P$3183,MATCH(SMALL($V$4:$V$3183,2751),$V$4:$V$3183,0)),"")</f>
        <v/>
      </c>
      <c r="D2754" s="29">
        <f>IFERROR(INDEX($Q$4:$Q$3183,MATCH(SMALL($V$4:$V$3183,2751),$V$4:$V$3183,0)),"")</f>
        <v/>
      </c>
      <c r="E2754" s="29">
        <f>IFERROR(INDEX($R$4:$R$3183,MATCH(SMALL($V$4:$V$3183,2751),$V$4:$V$3183,0)),"")</f>
        <v/>
      </c>
      <c r="F2754">
        <f>IFERROR(INDEX($S$4:$S$3183,MATCH(SMALL($V$4:$V$3183,2751),$V$4:$V$3183,0)),"")</f>
        <v/>
      </c>
      <c r="I2754" s="29">
        <f>IF($B2754="","",IFERROR(INDEX($U$4:$U$3183,MATCH(SMALL($V$4:$V$3183,2751),$V$4:$V$3183,0)),""))</f>
        <v/>
      </c>
      <c r="J2754">
        <f>IF($B2754="","",IF($D2754&gt;$F$2,"À venir",IF($E2754&lt;$D$2,"Passé","Dans la période")))</f>
        <v/>
      </c>
      <c r="K2754">
        <f>IF(OR($B2754="",NOT(ISNUMBER($D2754))),"",IF(AND($E2754&lt;$D$2,$G2754&lt;&gt;"X",$F2754&lt;&gt;"Réalisé",$F2754&lt;&gt;"Clôturé"),"RETARD",""))</f>
        <v/>
      </c>
      <c r="L2754">
        <f>IF(OR($B2754="",NOT(ISNUMBER($D2754))),"",IF(AND($D2754&gt;=$D$2,$D2754&lt;=$H$2,$G2754&lt;&gt;"X",$F2754&lt;&gt;"Réalisé",$F2754&lt;&gt;"Clôturé"),"≤ 7 j",""))</f>
        <v/>
      </c>
      <c r="M2754" s="29">
        <f>IF($B2754="","",IFERROR(INDEX($T$4:$T$3183,MATCH(SMALL($V$4:$V$3183,2751),$V$4:$V$3183,0)),""))</f>
        <v/>
      </c>
      <c r="O2754">
        <f>IF(INDEX(Suivi!$B:$B,2806)="","",INDEX(Suivi!$B:$B,2806))</f>
        <v/>
      </c>
      <c r="P2754">
        <f>IF($O2754="","",IF(INDEX(Suivi!$D:$D,2806)="",INDEX(Suivi!$C:$C,2806),INDEX(Suivi!$D:$D,2806)))</f>
        <v/>
      </c>
      <c r="Q2754">
        <f>IF($O2754="","",INDEX(Suivi!$E:$E,2806))</f>
        <v/>
      </c>
      <c r="R2754">
        <f>IF($O2754="","",INDEX(Suivi!$F:$F,2806))</f>
        <v/>
      </c>
      <c r="S2754">
        <f>IF($O2754="","",INDEX(Suivi!$G:$G,2806))</f>
        <v/>
      </c>
      <c r="T2754">
        <f>IF($O2754="","",IF(INDEX(Dossiers!$F$4:$F$63,52)="","",INDEX(Dossiers!$F$4:$F$63,52)))</f>
        <v/>
      </c>
      <c r="U2754">
        <f>IF($O2754="","",IF(INDEX(Dossiers!$G$4:$G$63,52)="","",INDEX(Dossiers!$G$4:$G$63,52)))</f>
        <v/>
      </c>
      <c r="V2754">
        <f>IF(OR($O2754="",NOT(ISNUMBER($Q2754))),"",$Q2754*1000000+2754)</f>
        <v/>
      </c>
      <c r="W2754" s="29">
        <f>IF($B2754="","",IFERROR(INDEX($U$4:$U$3183,MATCH(SMALL($V$4:$V$3183,2751),$V$4:$V$3183,0)),""))</f>
        <v/>
      </c>
    </row>
    <row r="2755">
      <c r="A2755">
        <f>IFERROR(INDEX($N$4:$N$3183,MATCH(SMALL($V$4:$V$3183,2752),$V$4:$V$3183,0)),"")</f>
        <v/>
      </c>
      <c r="B2755">
        <f>IFERROR(INDEX($O$4:$O$3183,MATCH(SMALL($V$4:$V$3183,2752),$V$4:$V$3183,0)),"")</f>
        <v/>
      </c>
      <c r="C2755">
        <f>IFERROR(INDEX($P$4:$P$3183,MATCH(SMALL($V$4:$V$3183,2752),$V$4:$V$3183,0)),"")</f>
        <v/>
      </c>
      <c r="D2755" s="29">
        <f>IFERROR(INDEX($Q$4:$Q$3183,MATCH(SMALL($V$4:$V$3183,2752),$V$4:$V$3183,0)),"")</f>
        <v/>
      </c>
      <c r="E2755" s="29">
        <f>IFERROR(INDEX($R$4:$R$3183,MATCH(SMALL($V$4:$V$3183,2752),$V$4:$V$3183,0)),"")</f>
        <v/>
      </c>
      <c r="F2755">
        <f>IFERROR(INDEX($S$4:$S$3183,MATCH(SMALL($V$4:$V$3183,2752),$V$4:$V$3183,0)),"")</f>
        <v/>
      </c>
      <c r="I2755" s="29">
        <f>IF($B2755="","",IFERROR(INDEX($U$4:$U$3183,MATCH(SMALL($V$4:$V$3183,2752),$V$4:$V$3183,0)),""))</f>
        <v/>
      </c>
      <c r="J2755">
        <f>IF($B2755="","",IF($D2755&gt;$F$2,"À venir",IF($E2755&lt;$D$2,"Passé","Dans la période")))</f>
        <v/>
      </c>
      <c r="K2755">
        <f>IF(OR($B2755="",NOT(ISNUMBER($D2755))),"",IF(AND($E2755&lt;$D$2,$G2755&lt;&gt;"X",$F2755&lt;&gt;"Réalisé",$F2755&lt;&gt;"Clôturé"),"RETARD",""))</f>
        <v/>
      </c>
      <c r="L2755">
        <f>IF(OR($B2755="",NOT(ISNUMBER($D2755))),"",IF(AND($D2755&gt;=$D$2,$D2755&lt;=$H$2,$G2755&lt;&gt;"X",$F2755&lt;&gt;"Réalisé",$F2755&lt;&gt;"Clôturé"),"≤ 7 j",""))</f>
        <v/>
      </c>
      <c r="M2755" s="29">
        <f>IF($B2755="","",IFERROR(INDEX($T$4:$T$3183,MATCH(SMALL($V$4:$V$3183,2752),$V$4:$V$3183,0)),""))</f>
        <v/>
      </c>
      <c r="O2755">
        <f>IF(INDEX(Suivi!$B:$B,2807)="","",INDEX(Suivi!$B:$B,2807))</f>
        <v/>
      </c>
      <c r="P2755">
        <f>IF($O2755="","",IF(INDEX(Suivi!$D:$D,2807)="",INDEX(Suivi!$C:$C,2807),INDEX(Suivi!$D:$D,2807)))</f>
        <v/>
      </c>
      <c r="Q2755">
        <f>IF($O2755="","",INDEX(Suivi!$E:$E,2807))</f>
        <v/>
      </c>
      <c r="R2755">
        <f>IF($O2755="","",INDEX(Suivi!$F:$F,2807))</f>
        <v/>
      </c>
      <c r="S2755">
        <f>IF($O2755="","",INDEX(Suivi!$G:$G,2807))</f>
        <v/>
      </c>
      <c r="T2755">
        <f>IF($O2755="","",IF(INDEX(Dossiers!$F$4:$F$63,52)="","",INDEX(Dossiers!$F$4:$F$63,52)))</f>
        <v/>
      </c>
      <c r="U2755">
        <f>IF($O2755="","",IF(INDEX(Dossiers!$G$4:$G$63,52)="","",INDEX(Dossiers!$G$4:$G$63,52)))</f>
        <v/>
      </c>
      <c r="V2755">
        <f>IF(OR($O2755="",NOT(ISNUMBER($Q2755))),"",$Q2755*1000000+2755)</f>
        <v/>
      </c>
      <c r="W2755" s="29">
        <f>IF($B2755="","",IFERROR(INDEX($U$4:$U$3183,MATCH(SMALL($V$4:$V$3183,2752),$V$4:$V$3183,0)),""))</f>
        <v/>
      </c>
    </row>
    <row r="2756">
      <c r="A2756">
        <f>IFERROR(INDEX($N$4:$N$3183,MATCH(SMALL($V$4:$V$3183,2753),$V$4:$V$3183,0)),"")</f>
        <v/>
      </c>
      <c r="B2756">
        <f>IFERROR(INDEX($O$4:$O$3183,MATCH(SMALL($V$4:$V$3183,2753),$V$4:$V$3183,0)),"")</f>
        <v/>
      </c>
      <c r="C2756">
        <f>IFERROR(INDEX($P$4:$P$3183,MATCH(SMALL($V$4:$V$3183,2753),$V$4:$V$3183,0)),"")</f>
        <v/>
      </c>
      <c r="D2756" s="29">
        <f>IFERROR(INDEX($Q$4:$Q$3183,MATCH(SMALL($V$4:$V$3183,2753),$V$4:$V$3183,0)),"")</f>
        <v/>
      </c>
      <c r="E2756" s="29">
        <f>IFERROR(INDEX($R$4:$R$3183,MATCH(SMALL($V$4:$V$3183,2753),$V$4:$V$3183,0)),"")</f>
        <v/>
      </c>
      <c r="F2756">
        <f>IFERROR(INDEX($S$4:$S$3183,MATCH(SMALL($V$4:$V$3183,2753),$V$4:$V$3183,0)),"")</f>
        <v/>
      </c>
      <c r="I2756" s="29">
        <f>IF($B2756="","",IFERROR(INDEX($U$4:$U$3183,MATCH(SMALL($V$4:$V$3183,2753),$V$4:$V$3183,0)),""))</f>
        <v/>
      </c>
      <c r="J2756">
        <f>IF($B2756="","",IF($D2756&gt;$F$2,"À venir",IF($E2756&lt;$D$2,"Passé","Dans la période")))</f>
        <v/>
      </c>
      <c r="K2756">
        <f>IF(OR($B2756="",NOT(ISNUMBER($D2756))),"",IF(AND($E2756&lt;$D$2,$G2756&lt;&gt;"X",$F2756&lt;&gt;"Réalisé",$F2756&lt;&gt;"Clôturé"),"RETARD",""))</f>
        <v/>
      </c>
      <c r="L2756">
        <f>IF(OR($B2756="",NOT(ISNUMBER($D2756))),"",IF(AND($D2756&gt;=$D$2,$D2756&lt;=$H$2,$G2756&lt;&gt;"X",$F2756&lt;&gt;"Réalisé",$F2756&lt;&gt;"Clôturé"),"≤ 7 j",""))</f>
        <v/>
      </c>
      <c r="M2756" s="29">
        <f>IF($B2756="","",IFERROR(INDEX($T$4:$T$3183,MATCH(SMALL($V$4:$V$3183,2753),$V$4:$V$3183,0)),""))</f>
        <v/>
      </c>
      <c r="O2756">
        <f>IF(INDEX(Suivi!$B:$B,2808)="","",INDEX(Suivi!$B:$B,2808))</f>
        <v/>
      </c>
      <c r="P2756">
        <f>IF($O2756="","",IF(INDEX(Suivi!$D:$D,2808)="",INDEX(Suivi!$C:$C,2808),INDEX(Suivi!$D:$D,2808)))</f>
        <v/>
      </c>
      <c r="Q2756">
        <f>IF($O2756="","",INDEX(Suivi!$E:$E,2808))</f>
        <v/>
      </c>
      <c r="R2756">
        <f>IF($O2756="","",INDEX(Suivi!$F:$F,2808))</f>
        <v/>
      </c>
      <c r="S2756">
        <f>IF($O2756="","",INDEX(Suivi!$G:$G,2808))</f>
        <v/>
      </c>
      <c r="T2756">
        <f>IF($O2756="","",IF(INDEX(Dossiers!$F$4:$F$63,52)="","",INDEX(Dossiers!$F$4:$F$63,52)))</f>
        <v/>
      </c>
      <c r="U2756">
        <f>IF($O2756="","",IF(INDEX(Dossiers!$G$4:$G$63,52)="","",INDEX(Dossiers!$G$4:$G$63,52)))</f>
        <v/>
      </c>
      <c r="V2756">
        <f>IF(OR($O2756="",NOT(ISNUMBER($Q2756))),"",$Q2756*1000000+2756)</f>
        <v/>
      </c>
      <c r="W2756" s="29">
        <f>IF($B2756="","",IFERROR(INDEX($U$4:$U$3183,MATCH(SMALL($V$4:$V$3183,2753),$V$4:$V$3183,0)),""))</f>
        <v/>
      </c>
    </row>
    <row r="2757">
      <c r="A2757">
        <f>IFERROR(INDEX($N$4:$N$3183,MATCH(SMALL($V$4:$V$3183,2754),$V$4:$V$3183,0)),"")</f>
        <v/>
      </c>
      <c r="B2757">
        <f>IFERROR(INDEX($O$4:$O$3183,MATCH(SMALL($V$4:$V$3183,2754),$V$4:$V$3183,0)),"")</f>
        <v/>
      </c>
      <c r="C2757">
        <f>IFERROR(INDEX($P$4:$P$3183,MATCH(SMALL($V$4:$V$3183,2754),$V$4:$V$3183,0)),"")</f>
        <v/>
      </c>
      <c r="D2757" s="29">
        <f>IFERROR(INDEX($Q$4:$Q$3183,MATCH(SMALL($V$4:$V$3183,2754),$V$4:$V$3183,0)),"")</f>
        <v/>
      </c>
      <c r="E2757" s="29">
        <f>IFERROR(INDEX($R$4:$R$3183,MATCH(SMALL($V$4:$V$3183,2754),$V$4:$V$3183,0)),"")</f>
        <v/>
      </c>
      <c r="F2757">
        <f>IFERROR(INDEX($S$4:$S$3183,MATCH(SMALL($V$4:$V$3183,2754),$V$4:$V$3183,0)),"")</f>
        <v/>
      </c>
      <c r="I2757" s="29">
        <f>IF($B2757="","",IFERROR(INDEX($U$4:$U$3183,MATCH(SMALL($V$4:$V$3183,2754),$V$4:$V$3183,0)),""))</f>
        <v/>
      </c>
      <c r="J2757">
        <f>IF($B2757="","",IF($D2757&gt;$F$2,"À venir",IF($E2757&lt;$D$2,"Passé","Dans la période")))</f>
        <v/>
      </c>
      <c r="K2757">
        <f>IF(OR($B2757="",NOT(ISNUMBER($D2757))),"",IF(AND($E2757&lt;$D$2,$G2757&lt;&gt;"X",$F2757&lt;&gt;"Réalisé",$F2757&lt;&gt;"Clôturé"),"RETARD",""))</f>
        <v/>
      </c>
      <c r="L2757">
        <f>IF(OR($B2757="",NOT(ISNUMBER($D2757))),"",IF(AND($D2757&gt;=$D$2,$D2757&lt;=$H$2,$G2757&lt;&gt;"X",$F2757&lt;&gt;"Réalisé",$F2757&lt;&gt;"Clôturé"),"≤ 7 j",""))</f>
        <v/>
      </c>
      <c r="M2757" s="29">
        <f>IF($B2757="","",IFERROR(INDEX($T$4:$T$3183,MATCH(SMALL($V$4:$V$3183,2754),$V$4:$V$3183,0)),""))</f>
        <v/>
      </c>
      <c r="O2757">
        <f>IF(INDEX(Suivi!$B:$B,2809)="","",INDEX(Suivi!$B:$B,2809))</f>
        <v/>
      </c>
      <c r="P2757">
        <f>IF($O2757="","",IF(INDEX(Suivi!$D:$D,2809)="",INDEX(Suivi!$C:$C,2809),INDEX(Suivi!$D:$D,2809)))</f>
        <v/>
      </c>
      <c r="Q2757">
        <f>IF($O2757="","",INDEX(Suivi!$E:$E,2809))</f>
        <v/>
      </c>
      <c r="R2757">
        <f>IF($O2757="","",INDEX(Suivi!$F:$F,2809))</f>
        <v/>
      </c>
      <c r="S2757">
        <f>IF($O2757="","",INDEX(Suivi!$G:$G,2809))</f>
        <v/>
      </c>
      <c r="T2757">
        <f>IF($O2757="","",IF(INDEX(Dossiers!$F$4:$F$63,52)="","",INDEX(Dossiers!$F$4:$F$63,52)))</f>
        <v/>
      </c>
      <c r="U2757">
        <f>IF($O2757="","",IF(INDEX(Dossiers!$G$4:$G$63,52)="","",INDEX(Dossiers!$G$4:$G$63,52)))</f>
        <v/>
      </c>
      <c r="V2757">
        <f>IF(OR($O2757="",NOT(ISNUMBER($Q2757))),"",$Q2757*1000000+2757)</f>
        <v/>
      </c>
      <c r="W2757" s="29">
        <f>IF($B2757="","",IFERROR(INDEX($U$4:$U$3183,MATCH(SMALL($V$4:$V$3183,2754),$V$4:$V$3183,0)),""))</f>
        <v/>
      </c>
    </row>
    <row r="2758">
      <c r="A2758">
        <f>IFERROR(INDEX($N$4:$N$3183,MATCH(SMALL($V$4:$V$3183,2755),$V$4:$V$3183,0)),"")</f>
        <v/>
      </c>
      <c r="B2758">
        <f>IFERROR(INDEX($O$4:$O$3183,MATCH(SMALL($V$4:$V$3183,2755),$V$4:$V$3183,0)),"")</f>
        <v/>
      </c>
      <c r="C2758">
        <f>IFERROR(INDEX($P$4:$P$3183,MATCH(SMALL($V$4:$V$3183,2755),$V$4:$V$3183,0)),"")</f>
        <v/>
      </c>
      <c r="D2758" s="29">
        <f>IFERROR(INDEX($Q$4:$Q$3183,MATCH(SMALL($V$4:$V$3183,2755),$V$4:$V$3183,0)),"")</f>
        <v/>
      </c>
      <c r="E2758" s="29">
        <f>IFERROR(INDEX($R$4:$R$3183,MATCH(SMALL($V$4:$V$3183,2755),$V$4:$V$3183,0)),"")</f>
        <v/>
      </c>
      <c r="F2758">
        <f>IFERROR(INDEX($S$4:$S$3183,MATCH(SMALL($V$4:$V$3183,2755),$V$4:$V$3183,0)),"")</f>
        <v/>
      </c>
      <c r="I2758" s="29">
        <f>IF($B2758="","",IFERROR(INDEX($U$4:$U$3183,MATCH(SMALL($V$4:$V$3183,2755),$V$4:$V$3183,0)),""))</f>
        <v/>
      </c>
      <c r="J2758">
        <f>IF($B2758="","",IF($D2758&gt;$F$2,"À venir",IF($E2758&lt;$D$2,"Passé","Dans la période")))</f>
        <v/>
      </c>
      <c r="K2758">
        <f>IF(OR($B2758="",NOT(ISNUMBER($D2758))),"",IF(AND($E2758&lt;$D$2,$G2758&lt;&gt;"X",$F2758&lt;&gt;"Réalisé",$F2758&lt;&gt;"Clôturé"),"RETARD",""))</f>
        <v/>
      </c>
      <c r="L2758">
        <f>IF(OR($B2758="",NOT(ISNUMBER($D2758))),"",IF(AND($D2758&gt;=$D$2,$D2758&lt;=$H$2,$G2758&lt;&gt;"X",$F2758&lt;&gt;"Réalisé",$F2758&lt;&gt;"Clôturé"),"≤ 7 j",""))</f>
        <v/>
      </c>
      <c r="M2758" s="29">
        <f>IF($B2758="","",IFERROR(INDEX($T$4:$T$3183,MATCH(SMALL($V$4:$V$3183,2755),$V$4:$V$3183,0)),""))</f>
        <v/>
      </c>
      <c r="O2758">
        <f>IF(INDEX(Suivi!$B:$B,2810)="","",INDEX(Suivi!$B:$B,2810))</f>
        <v/>
      </c>
      <c r="P2758">
        <f>IF($O2758="","",IF(INDEX(Suivi!$D:$D,2810)="",INDEX(Suivi!$C:$C,2810),INDEX(Suivi!$D:$D,2810)))</f>
        <v/>
      </c>
      <c r="Q2758">
        <f>IF($O2758="","",INDEX(Suivi!$E:$E,2810))</f>
        <v/>
      </c>
      <c r="R2758">
        <f>IF($O2758="","",INDEX(Suivi!$F:$F,2810))</f>
        <v/>
      </c>
      <c r="S2758">
        <f>IF($O2758="","",INDEX(Suivi!$G:$G,2810))</f>
        <v/>
      </c>
      <c r="T2758">
        <f>IF($O2758="","",IF(INDEX(Dossiers!$F$4:$F$63,52)="","",INDEX(Dossiers!$F$4:$F$63,52)))</f>
        <v/>
      </c>
      <c r="U2758">
        <f>IF($O2758="","",IF(INDEX(Dossiers!$G$4:$G$63,52)="","",INDEX(Dossiers!$G$4:$G$63,52)))</f>
        <v/>
      </c>
      <c r="V2758">
        <f>IF(OR($O2758="",NOT(ISNUMBER($Q2758))),"",$Q2758*1000000+2758)</f>
        <v/>
      </c>
      <c r="W2758" s="29">
        <f>IF($B2758="","",IFERROR(INDEX($U$4:$U$3183,MATCH(SMALL($V$4:$V$3183,2755),$V$4:$V$3183,0)),""))</f>
        <v/>
      </c>
    </row>
    <row r="2759">
      <c r="A2759">
        <f>IFERROR(INDEX($N$4:$N$3183,MATCH(SMALL($V$4:$V$3183,2756),$V$4:$V$3183,0)),"")</f>
        <v/>
      </c>
      <c r="B2759">
        <f>IFERROR(INDEX($O$4:$O$3183,MATCH(SMALL($V$4:$V$3183,2756),$V$4:$V$3183,0)),"")</f>
        <v/>
      </c>
      <c r="C2759">
        <f>IFERROR(INDEX($P$4:$P$3183,MATCH(SMALL($V$4:$V$3183,2756),$V$4:$V$3183,0)),"")</f>
        <v/>
      </c>
      <c r="D2759" s="29">
        <f>IFERROR(INDEX($Q$4:$Q$3183,MATCH(SMALL($V$4:$V$3183,2756),$V$4:$V$3183,0)),"")</f>
        <v/>
      </c>
      <c r="E2759" s="29">
        <f>IFERROR(INDEX($R$4:$R$3183,MATCH(SMALL($V$4:$V$3183,2756),$V$4:$V$3183,0)),"")</f>
        <v/>
      </c>
      <c r="F2759">
        <f>IFERROR(INDEX($S$4:$S$3183,MATCH(SMALL($V$4:$V$3183,2756),$V$4:$V$3183,0)),"")</f>
        <v/>
      </c>
      <c r="I2759" s="29">
        <f>IF($B2759="","",IFERROR(INDEX($U$4:$U$3183,MATCH(SMALL($V$4:$V$3183,2756),$V$4:$V$3183,0)),""))</f>
        <v/>
      </c>
      <c r="J2759">
        <f>IF($B2759="","",IF($D2759&gt;$F$2,"À venir",IF($E2759&lt;$D$2,"Passé","Dans la période")))</f>
        <v/>
      </c>
      <c r="K2759">
        <f>IF(OR($B2759="",NOT(ISNUMBER($D2759))),"",IF(AND($E2759&lt;$D$2,$G2759&lt;&gt;"X",$F2759&lt;&gt;"Réalisé",$F2759&lt;&gt;"Clôturé"),"RETARD",""))</f>
        <v/>
      </c>
      <c r="L2759">
        <f>IF(OR($B2759="",NOT(ISNUMBER($D2759))),"",IF(AND($D2759&gt;=$D$2,$D2759&lt;=$H$2,$G2759&lt;&gt;"X",$F2759&lt;&gt;"Réalisé",$F2759&lt;&gt;"Clôturé"),"≤ 7 j",""))</f>
        <v/>
      </c>
      <c r="M2759" s="29">
        <f>IF($B2759="","",IFERROR(INDEX($T$4:$T$3183,MATCH(SMALL($V$4:$V$3183,2756),$V$4:$V$3183,0)),""))</f>
        <v/>
      </c>
      <c r="O2759">
        <f>IF(INDEX(Suivi!$B:$B,2811)="","",INDEX(Suivi!$B:$B,2811))</f>
        <v/>
      </c>
      <c r="P2759">
        <f>IF($O2759="","",IF(INDEX(Suivi!$D:$D,2811)="",INDEX(Suivi!$C:$C,2811),INDEX(Suivi!$D:$D,2811)))</f>
        <v/>
      </c>
      <c r="Q2759">
        <f>IF($O2759="","",INDEX(Suivi!$E:$E,2811))</f>
        <v/>
      </c>
      <c r="R2759">
        <f>IF($O2759="","",INDEX(Suivi!$F:$F,2811))</f>
        <v/>
      </c>
      <c r="S2759">
        <f>IF($O2759="","",INDEX(Suivi!$G:$G,2811))</f>
        <v/>
      </c>
      <c r="T2759">
        <f>IF($O2759="","",IF(INDEX(Dossiers!$F$4:$F$63,52)="","",INDEX(Dossiers!$F$4:$F$63,52)))</f>
        <v/>
      </c>
      <c r="U2759">
        <f>IF($O2759="","",IF(INDEX(Dossiers!$G$4:$G$63,52)="","",INDEX(Dossiers!$G$4:$G$63,52)))</f>
        <v/>
      </c>
      <c r="V2759">
        <f>IF(OR($O2759="",NOT(ISNUMBER($Q2759))),"",$Q2759*1000000+2759)</f>
        <v/>
      </c>
      <c r="W2759" s="29">
        <f>IF($B2759="","",IFERROR(INDEX($U$4:$U$3183,MATCH(SMALL($V$4:$V$3183,2756),$V$4:$V$3183,0)),""))</f>
        <v/>
      </c>
    </row>
    <row r="2760">
      <c r="A2760">
        <f>IFERROR(INDEX($N$4:$N$3183,MATCH(SMALL($V$4:$V$3183,2757),$V$4:$V$3183,0)),"")</f>
        <v/>
      </c>
      <c r="B2760">
        <f>IFERROR(INDEX($O$4:$O$3183,MATCH(SMALL($V$4:$V$3183,2757),$V$4:$V$3183,0)),"")</f>
        <v/>
      </c>
      <c r="C2760">
        <f>IFERROR(INDEX($P$4:$P$3183,MATCH(SMALL($V$4:$V$3183,2757),$V$4:$V$3183,0)),"")</f>
        <v/>
      </c>
      <c r="D2760" s="29">
        <f>IFERROR(INDEX($Q$4:$Q$3183,MATCH(SMALL($V$4:$V$3183,2757),$V$4:$V$3183,0)),"")</f>
        <v/>
      </c>
      <c r="E2760" s="29">
        <f>IFERROR(INDEX($R$4:$R$3183,MATCH(SMALL($V$4:$V$3183,2757),$V$4:$V$3183,0)),"")</f>
        <v/>
      </c>
      <c r="F2760">
        <f>IFERROR(INDEX($S$4:$S$3183,MATCH(SMALL($V$4:$V$3183,2757),$V$4:$V$3183,0)),"")</f>
        <v/>
      </c>
      <c r="I2760" s="29">
        <f>IF($B2760="","",IFERROR(INDEX($U$4:$U$3183,MATCH(SMALL($V$4:$V$3183,2757),$V$4:$V$3183,0)),""))</f>
        <v/>
      </c>
      <c r="J2760">
        <f>IF($B2760="","",IF($D2760&gt;$F$2,"À venir",IF($E2760&lt;$D$2,"Passé","Dans la période")))</f>
        <v/>
      </c>
      <c r="K2760">
        <f>IF(OR($B2760="",NOT(ISNUMBER($D2760))),"",IF(AND($E2760&lt;$D$2,$G2760&lt;&gt;"X",$F2760&lt;&gt;"Réalisé",$F2760&lt;&gt;"Clôturé"),"RETARD",""))</f>
        <v/>
      </c>
      <c r="L2760">
        <f>IF(OR($B2760="",NOT(ISNUMBER($D2760))),"",IF(AND($D2760&gt;=$D$2,$D2760&lt;=$H$2,$G2760&lt;&gt;"X",$F2760&lt;&gt;"Réalisé",$F2760&lt;&gt;"Clôturé"),"≤ 7 j",""))</f>
        <v/>
      </c>
      <c r="M2760" s="29">
        <f>IF($B2760="","",IFERROR(INDEX($T$4:$T$3183,MATCH(SMALL($V$4:$V$3183,2757),$V$4:$V$3183,0)),""))</f>
        <v/>
      </c>
      <c r="O2760">
        <f>IF(INDEX(Suivi!$B:$B,2813)="","",INDEX(Suivi!$B:$B,2813))</f>
        <v/>
      </c>
      <c r="P2760">
        <f>IF($O2760="","",IF(INDEX(Suivi!$D:$D,2813)="",INDEX(Suivi!$C:$C,2813),INDEX(Suivi!$D:$D,2813)))</f>
        <v/>
      </c>
      <c r="Q2760">
        <f>IF($O2760="","",INDEX(Suivi!$E:$E,2813))</f>
        <v/>
      </c>
      <c r="R2760">
        <f>IF($O2760="","",INDEX(Suivi!$F:$F,2813))</f>
        <v/>
      </c>
      <c r="S2760">
        <f>IF($O2760="","",INDEX(Suivi!$G:$G,2813))</f>
        <v/>
      </c>
      <c r="T2760">
        <f>IF($O2760="","",IF(INDEX(Dossiers!$F$4:$F$63,53)="","",INDEX(Dossiers!$F$4:$F$63,53)))</f>
        <v/>
      </c>
      <c r="U2760">
        <f>IF($O2760="","",IF(INDEX(Dossiers!$G$4:$G$63,53)="","",INDEX(Dossiers!$G$4:$G$63,53)))</f>
        <v/>
      </c>
      <c r="V2760">
        <f>IF(OR($O2760="",NOT(ISNUMBER($Q2760))),"",$Q2760*1000000+2760)</f>
        <v/>
      </c>
      <c r="W2760" s="29">
        <f>IF($B2760="","",IFERROR(INDEX($U$4:$U$3183,MATCH(SMALL($V$4:$V$3183,2757),$V$4:$V$3183,0)),""))</f>
        <v/>
      </c>
    </row>
    <row r="2761">
      <c r="A2761">
        <f>IFERROR(INDEX($N$4:$N$3183,MATCH(SMALL($V$4:$V$3183,2758),$V$4:$V$3183,0)),"")</f>
        <v/>
      </c>
      <c r="B2761">
        <f>IFERROR(INDEX($O$4:$O$3183,MATCH(SMALL($V$4:$V$3183,2758),$V$4:$V$3183,0)),"")</f>
        <v/>
      </c>
      <c r="C2761">
        <f>IFERROR(INDEX($P$4:$P$3183,MATCH(SMALL($V$4:$V$3183,2758),$V$4:$V$3183,0)),"")</f>
        <v/>
      </c>
      <c r="D2761" s="29">
        <f>IFERROR(INDEX($Q$4:$Q$3183,MATCH(SMALL($V$4:$V$3183,2758),$V$4:$V$3183,0)),"")</f>
        <v/>
      </c>
      <c r="E2761" s="29">
        <f>IFERROR(INDEX($R$4:$R$3183,MATCH(SMALL($V$4:$V$3183,2758),$V$4:$V$3183,0)),"")</f>
        <v/>
      </c>
      <c r="F2761">
        <f>IFERROR(INDEX($S$4:$S$3183,MATCH(SMALL($V$4:$V$3183,2758),$V$4:$V$3183,0)),"")</f>
        <v/>
      </c>
      <c r="I2761" s="29">
        <f>IF($B2761="","",IFERROR(INDEX($U$4:$U$3183,MATCH(SMALL($V$4:$V$3183,2758),$V$4:$V$3183,0)),""))</f>
        <v/>
      </c>
      <c r="J2761">
        <f>IF($B2761="","",IF($D2761&gt;$F$2,"À venir",IF($E2761&lt;$D$2,"Passé","Dans la période")))</f>
        <v/>
      </c>
      <c r="K2761">
        <f>IF(OR($B2761="",NOT(ISNUMBER($D2761))),"",IF(AND($E2761&lt;$D$2,$G2761&lt;&gt;"X",$F2761&lt;&gt;"Réalisé",$F2761&lt;&gt;"Clôturé"),"RETARD",""))</f>
        <v/>
      </c>
      <c r="L2761">
        <f>IF(OR($B2761="",NOT(ISNUMBER($D2761))),"",IF(AND($D2761&gt;=$D$2,$D2761&lt;=$H$2,$G2761&lt;&gt;"X",$F2761&lt;&gt;"Réalisé",$F2761&lt;&gt;"Clôturé"),"≤ 7 j",""))</f>
        <v/>
      </c>
      <c r="M2761" s="29">
        <f>IF($B2761="","",IFERROR(INDEX($T$4:$T$3183,MATCH(SMALL($V$4:$V$3183,2758),$V$4:$V$3183,0)),""))</f>
        <v/>
      </c>
      <c r="O2761">
        <f>IF(INDEX(Suivi!$B:$B,2814)="","",INDEX(Suivi!$B:$B,2814))</f>
        <v/>
      </c>
      <c r="P2761">
        <f>IF($O2761="","",IF(INDEX(Suivi!$D:$D,2814)="",INDEX(Suivi!$C:$C,2814),INDEX(Suivi!$D:$D,2814)))</f>
        <v/>
      </c>
      <c r="Q2761">
        <f>IF($O2761="","",INDEX(Suivi!$E:$E,2814))</f>
        <v/>
      </c>
      <c r="R2761">
        <f>IF($O2761="","",INDEX(Suivi!$F:$F,2814))</f>
        <v/>
      </c>
      <c r="S2761">
        <f>IF($O2761="","",INDEX(Suivi!$G:$G,2814))</f>
        <v/>
      </c>
      <c r="T2761">
        <f>IF($O2761="","",IF(INDEX(Dossiers!$F$4:$F$63,53)="","",INDEX(Dossiers!$F$4:$F$63,53)))</f>
        <v/>
      </c>
      <c r="U2761">
        <f>IF($O2761="","",IF(INDEX(Dossiers!$G$4:$G$63,53)="","",INDEX(Dossiers!$G$4:$G$63,53)))</f>
        <v/>
      </c>
      <c r="V2761">
        <f>IF(OR($O2761="",NOT(ISNUMBER($Q2761))),"",$Q2761*1000000+2761)</f>
        <v/>
      </c>
      <c r="W2761" s="29">
        <f>IF($B2761="","",IFERROR(INDEX($U$4:$U$3183,MATCH(SMALL($V$4:$V$3183,2758),$V$4:$V$3183,0)),""))</f>
        <v/>
      </c>
    </row>
    <row r="2762">
      <c r="A2762">
        <f>IFERROR(INDEX($N$4:$N$3183,MATCH(SMALL($V$4:$V$3183,2759),$V$4:$V$3183,0)),"")</f>
        <v/>
      </c>
      <c r="B2762">
        <f>IFERROR(INDEX($O$4:$O$3183,MATCH(SMALL($V$4:$V$3183,2759),$V$4:$V$3183,0)),"")</f>
        <v/>
      </c>
      <c r="C2762">
        <f>IFERROR(INDEX($P$4:$P$3183,MATCH(SMALL($V$4:$V$3183,2759),$V$4:$V$3183,0)),"")</f>
        <v/>
      </c>
      <c r="D2762" s="29">
        <f>IFERROR(INDEX($Q$4:$Q$3183,MATCH(SMALL($V$4:$V$3183,2759),$V$4:$V$3183,0)),"")</f>
        <v/>
      </c>
      <c r="E2762" s="29">
        <f>IFERROR(INDEX($R$4:$R$3183,MATCH(SMALL($V$4:$V$3183,2759),$V$4:$V$3183,0)),"")</f>
        <v/>
      </c>
      <c r="F2762">
        <f>IFERROR(INDEX($S$4:$S$3183,MATCH(SMALL($V$4:$V$3183,2759),$V$4:$V$3183,0)),"")</f>
        <v/>
      </c>
      <c r="I2762" s="29">
        <f>IF($B2762="","",IFERROR(INDEX($U$4:$U$3183,MATCH(SMALL($V$4:$V$3183,2759),$V$4:$V$3183,0)),""))</f>
        <v/>
      </c>
      <c r="J2762">
        <f>IF($B2762="","",IF($D2762&gt;$F$2,"À venir",IF($E2762&lt;$D$2,"Passé","Dans la période")))</f>
        <v/>
      </c>
      <c r="K2762">
        <f>IF(OR($B2762="",NOT(ISNUMBER($D2762))),"",IF(AND($E2762&lt;$D$2,$G2762&lt;&gt;"X",$F2762&lt;&gt;"Réalisé",$F2762&lt;&gt;"Clôturé"),"RETARD",""))</f>
        <v/>
      </c>
      <c r="L2762">
        <f>IF(OR($B2762="",NOT(ISNUMBER($D2762))),"",IF(AND($D2762&gt;=$D$2,$D2762&lt;=$H$2,$G2762&lt;&gt;"X",$F2762&lt;&gt;"Réalisé",$F2762&lt;&gt;"Clôturé"),"≤ 7 j",""))</f>
        <v/>
      </c>
      <c r="M2762" s="29">
        <f>IF($B2762="","",IFERROR(INDEX($T$4:$T$3183,MATCH(SMALL($V$4:$V$3183,2759),$V$4:$V$3183,0)),""))</f>
        <v/>
      </c>
      <c r="O2762">
        <f>IF(INDEX(Suivi!$B:$B,2815)="","",INDEX(Suivi!$B:$B,2815))</f>
        <v/>
      </c>
      <c r="P2762">
        <f>IF($O2762="","",IF(INDEX(Suivi!$D:$D,2815)="",INDEX(Suivi!$C:$C,2815),INDEX(Suivi!$D:$D,2815)))</f>
        <v/>
      </c>
      <c r="Q2762">
        <f>IF($O2762="","",INDEX(Suivi!$E:$E,2815))</f>
        <v/>
      </c>
      <c r="R2762">
        <f>IF($O2762="","",INDEX(Suivi!$F:$F,2815))</f>
        <v/>
      </c>
      <c r="S2762">
        <f>IF($O2762="","",INDEX(Suivi!$G:$G,2815))</f>
        <v/>
      </c>
      <c r="T2762">
        <f>IF($O2762="","",IF(INDEX(Dossiers!$F$4:$F$63,53)="","",INDEX(Dossiers!$F$4:$F$63,53)))</f>
        <v/>
      </c>
      <c r="U2762">
        <f>IF($O2762="","",IF(INDEX(Dossiers!$G$4:$G$63,53)="","",INDEX(Dossiers!$G$4:$G$63,53)))</f>
        <v/>
      </c>
      <c r="V2762">
        <f>IF(OR($O2762="",NOT(ISNUMBER($Q2762))),"",$Q2762*1000000+2762)</f>
        <v/>
      </c>
      <c r="W2762" s="29">
        <f>IF($B2762="","",IFERROR(INDEX($U$4:$U$3183,MATCH(SMALL($V$4:$V$3183,2759),$V$4:$V$3183,0)),""))</f>
        <v/>
      </c>
    </row>
    <row r="2763">
      <c r="A2763">
        <f>IFERROR(INDEX($N$4:$N$3183,MATCH(SMALL($V$4:$V$3183,2760),$V$4:$V$3183,0)),"")</f>
        <v/>
      </c>
      <c r="B2763">
        <f>IFERROR(INDEX($O$4:$O$3183,MATCH(SMALL($V$4:$V$3183,2760),$V$4:$V$3183,0)),"")</f>
        <v/>
      </c>
      <c r="C2763">
        <f>IFERROR(INDEX($P$4:$P$3183,MATCH(SMALL($V$4:$V$3183,2760),$V$4:$V$3183,0)),"")</f>
        <v/>
      </c>
      <c r="D2763" s="29">
        <f>IFERROR(INDEX($Q$4:$Q$3183,MATCH(SMALL($V$4:$V$3183,2760),$V$4:$V$3183,0)),"")</f>
        <v/>
      </c>
      <c r="E2763" s="29">
        <f>IFERROR(INDEX($R$4:$R$3183,MATCH(SMALL($V$4:$V$3183,2760),$V$4:$V$3183,0)),"")</f>
        <v/>
      </c>
      <c r="F2763">
        <f>IFERROR(INDEX($S$4:$S$3183,MATCH(SMALL($V$4:$V$3183,2760),$V$4:$V$3183,0)),"")</f>
        <v/>
      </c>
      <c r="I2763" s="29">
        <f>IF($B2763="","",IFERROR(INDEX($U$4:$U$3183,MATCH(SMALL($V$4:$V$3183,2760),$V$4:$V$3183,0)),""))</f>
        <v/>
      </c>
      <c r="J2763">
        <f>IF($B2763="","",IF($D2763&gt;$F$2,"À venir",IF($E2763&lt;$D$2,"Passé","Dans la période")))</f>
        <v/>
      </c>
      <c r="K2763">
        <f>IF(OR($B2763="",NOT(ISNUMBER($D2763))),"",IF(AND($E2763&lt;$D$2,$G2763&lt;&gt;"X",$F2763&lt;&gt;"Réalisé",$F2763&lt;&gt;"Clôturé"),"RETARD",""))</f>
        <v/>
      </c>
      <c r="L2763">
        <f>IF(OR($B2763="",NOT(ISNUMBER($D2763))),"",IF(AND($D2763&gt;=$D$2,$D2763&lt;=$H$2,$G2763&lt;&gt;"X",$F2763&lt;&gt;"Réalisé",$F2763&lt;&gt;"Clôturé"),"≤ 7 j",""))</f>
        <v/>
      </c>
      <c r="M2763" s="29">
        <f>IF($B2763="","",IFERROR(INDEX($T$4:$T$3183,MATCH(SMALL($V$4:$V$3183,2760),$V$4:$V$3183,0)),""))</f>
        <v/>
      </c>
      <c r="O2763">
        <f>IF(INDEX(Suivi!$B:$B,2816)="","",INDEX(Suivi!$B:$B,2816))</f>
        <v/>
      </c>
      <c r="P2763">
        <f>IF($O2763="","",IF(INDEX(Suivi!$D:$D,2816)="",INDEX(Suivi!$C:$C,2816),INDEX(Suivi!$D:$D,2816)))</f>
        <v/>
      </c>
      <c r="Q2763">
        <f>IF($O2763="","",INDEX(Suivi!$E:$E,2816))</f>
        <v/>
      </c>
      <c r="R2763">
        <f>IF($O2763="","",INDEX(Suivi!$F:$F,2816))</f>
        <v/>
      </c>
      <c r="S2763">
        <f>IF($O2763="","",INDEX(Suivi!$G:$G,2816))</f>
        <v/>
      </c>
      <c r="T2763">
        <f>IF($O2763="","",IF(INDEX(Dossiers!$F$4:$F$63,53)="","",INDEX(Dossiers!$F$4:$F$63,53)))</f>
        <v/>
      </c>
      <c r="U2763">
        <f>IF($O2763="","",IF(INDEX(Dossiers!$G$4:$G$63,53)="","",INDEX(Dossiers!$G$4:$G$63,53)))</f>
        <v/>
      </c>
      <c r="V2763">
        <f>IF(OR($O2763="",NOT(ISNUMBER($Q2763))),"",$Q2763*1000000+2763)</f>
        <v/>
      </c>
      <c r="W2763" s="29">
        <f>IF($B2763="","",IFERROR(INDEX($U$4:$U$3183,MATCH(SMALL($V$4:$V$3183,2760),$V$4:$V$3183,0)),""))</f>
        <v/>
      </c>
    </row>
    <row r="2764">
      <c r="A2764">
        <f>IFERROR(INDEX($N$4:$N$3183,MATCH(SMALL($V$4:$V$3183,2761),$V$4:$V$3183,0)),"")</f>
        <v/>
      </c>
      <c r="B2764">
        <f>IFERROR(INDEX($O$4:$O$3183,MATCH(SMALL($V$4:$V$3183,2761),$V$4:$V$3183,0)),"")</f>
        <v/>
      </c>
      <c r="C2764">
        <f>IFERROR(INDEX($P$4:$P$3183,MATCH(SMALL($V$4:$V$3183,2761),$V$4:$V$3183,0)),"")</f>
        <v/>
      </c>
      <c r="D2764" s="29">
        <f>IFERROR(INDEX($Q$4:$Q$3183,MATCH(SMALL($V$4:$V$3183,2761),$V$4:$V$3183,0)),"")</f>
        <v/>
      </c>
      <c r="E2764" s="29">
        <f>IFERROR(INDEX($R$4:$R$3183,MATCH(SMALL($V$4:$V$3183,2761),$V$4:$V$3183,0)),"")</f>
        <v/>
      </c>
      <c r="F2764">
        <f>IFERROR(INDEX($S$4:$S$3183,MATCH(SMALL($V$4:$V$3183,2761),$V$4:$V$3183,0)),"")</f>
        <v/>
      </c>
      <c r="I2764" s="29">
        <f>IF($B2764="","",IFERROR(INDEX($U$4:$U$3183,MATCH(SMALL($V$4:$V$3183,2761),$V$4:$V$3183,0)),""))</f>
        <v/>
      </c>
      <c r="J2764">
        <f>IF($B2764="","",IF($D2764&gt;$F$2,"À venir",IF($E2764&lt;$D$2,"Passé","Dans la période")))</f>
        <v/>
      </c>
      <c r="K2764">
        <f>IF(OR($B2764="",NOT(ISNUMBER($D2764))),"",IF(AND($E2764&lt;$D$2,$G2764&lt;&gt;"X",$F2764&lt;&gt;"Réalisé",$F2764&lt;&gt;"Clôturé"),"RETARD",""))</f>
        <v/>
      </c>
      <c r="L2764">
        <f>IF(OR($B2764="",NOT(ISNUMBER($D2764))),"",IF(AND($D2764&gt;=$D$2,$D2764&lt;=$H$2,$G2764&lt;&gt;"X",$F2764&lt;&gt;"Réalisé",$F2764&lt;&gt;"Clôturé"),"≤ 7 j",""))</f>
        <v/>
      </c>
      <c r="M2764" s="29">
        <f>IF($B2764="","",IFERROR(INDEX($T$4:$T$3183,MATCH(SMALL($V$4:$V$3183,2761),$V$4:$V$3183,0)),""))</f>
        <v/>
      </c>
      <c r="O2764">
        <f>IF(INDEX(Suivi!$B:$B,2817)="","",INDEX(Suivi!$B:$B,2817))</f>
        <v/>
      </c>
      <c r="P2764">
        <f>IF($O2764="","",IF(INDEX(Suivi!$D:$D,2817)="",INDEX(Suivi!$C:$C,2817),INDEX(Suivi!$D:$D,2817)))</f>
        <v/>
      </c>
      <c r="Q2764">
        <f>IF($O2764="","",INDEX(Suivi!$E:$E,2817))</f>
        <v/>
      </c>
      <c r="R2764">
        <f>IF($O2764="","",INDEX(Suivi!$F:$F,2817))</f>
        <v/>
      </c>
      <c r="S2764">
        <f>IF($O2764="","",INDEX(Suivi!$G:$G,2817))</f>
        <v/>
      </c>
      <c r="T2764">
        <f>IF($O2764="","",IF(INDEX(Dossiers!$F$4:$F$63,53)="","",INDEX(Dossiers!$F$4:$F$63,53)))</f>
        <v/>
      </c>
      <c r="U2764">
        <f>IF($O2764="","",IF(INDEX(Dossiers!$G$4:$G$63,53)="","",INDEX(Dossiers!$G$4:$G$63,53)))</f>
        <v/>
      </c>
      <c r="V2764">
        <f>IF(OR($O2764="",NOT(ISNUMBER($Q2764))),"",$Q2764*1000000+2764)</f>
        <v/>
      </c>
      <c r="W2764" s="29">
        <f>IF($B2764="","",IFERROR(INDEX($U$4:$U$3183,MATCH(SMALL($V$4:$V$3183,2761),$V$4:$V$3183,0)),""))</f>
        <v/>
      </c>
    </row>
    <row r="2765">
      <c r="A2765">
        <f>IFERROR(INDEX($N$4:$N$3183,MATCH(SMALL($V$4:$V$3183,2762),$V$4:$V$3183,0)),"")</f>
        <v/>
      </c>
      <c r="B2765">
        <f>IFERROR(INDEX($O$4:$O$3183,MATCH(SMALL($V$4:$V$3183,2762),$V$4:$V$3183,0)),"")</f>
        <v/>
      </c>
      <c r="C2765">
        <f>IFERROR(INDEX($P$4:$P$3183,MATCH(SMALL($V$4:$V$3183,2762),$V$4:$V$3183,0)),"")</f>
        <v/>
      </c>
      <c r="D2765" s="29">
        <f>IFERROR(INDEX($Q$4:$Q$3183,MATCH(SMALL($V$4:$V$3183,2762),$V$4:$V$3183,0)),"")</f>
        <v/>
      </c>
      <c r="E2765" s="29">
        <f>IFERROR(INDEX($R$4:$R$3183,MATCH(SMALL($V$4:$V$3183,2762),$V$4:$V$3183,0)),"")</f>
        <v/>
      </c>
      <c r="F2765">
        <f>IFERROR(INDEX($S$4:$S$3183,MATCH(SMALL($V$4:$V$3183,2762),$V$4:$V$3183,0)),"")</f>
        <v/>
      </c>
      <c r="I2765" s="29">
        <f>IF($B2765="","",IFERROR(INDEX($U$4:$U$3183,MATCH(SMALL($V$4:$V$3183,2762),$V$4:$V$3183,0)),""))</f>
        <v/>
      </c>
      <c r="J2765">
        <f>IF($B2765="","",IF($D2765&gt;$F$2,"À venir",IF($E2765&lt;$D$2,"Passé","Dans la période")))</f>
        <v/>
      </c>
      <c r="K2765">
        <f>IF(OR($B2765="",NOT(ISNUMBER($D2765))),"",IF(AND($E2765&lt;$D$2,$G2765&lt;&gt;"X",$F2765&lt;&gt;"Réalisé",$F2765&lt;&gt;"Clôturé"),"RETARD",""))</f>
        <v/>
      </c>
      <c r="L2765">
        <f>IF(OR($B2765="",NOT(ISNUMBER($D2765))),"",IF(AND($D2765&gt;=$D$2,$D2765&lt;=$H$2,$G2765&lt;&gt;"X",$F2765&lt;&gt;"Réalisé",$F2765&lt;&gt;"Clôturé"),"≤ 7 j",""))</f>
        <v/>
      </c>
      <c r="M2765" s="29">
        <f>IF($B2765="","",IFERROR(INDEX($T$4:$T$3183,MATCH(SMALL($V$4:$V$3183,2762),$V$4:$V$3183,0)),""))</f>
        <v/>
      </c>
      <c r="O2765">
        <f>IF(INDEX(Suivi!$B:$B,2818)="","",INDEX(Suivi!$B:$B,2818))</f>
        <v/>
      </c>
      <c r="P2765">
        <f>IF($O2765="","",IF(INDEX(Suivi!$D:$D,2818)="",INDEX(Suivi!$C:$C,2818),INDEX(Suivi!$D:$D,2818)))</f>
        <v/>
      </c>
      <c r="Q2765">
        <f>IF($O2765="","",INDEX(Suivi!$E:$E,2818))</f>
        <v/>
      </c>
      <c r="R2765">
        <f>IF($O2765="","",INDEX(Suivi!$F:$F,2818))</f>
        <v/>
      </c>
      <c r="S2765">
        <f>IF($O2765="","",INDEX(Suivi!$G:$G,2818))</f>
        <v/>
      </c>
      <c r="T2765">
        <f>IF($O2765="","",IF(INDEX(Dossiers!$F$4:$F$63,53)="","",INDEX(Dossiers!$F$4:$F$63,53)))</f>
        <v/>
      </c>
      <c r="U2765">
        <f>IF($O2765="","",IF(INDEX(Dossiers!$G$4:$G$63,53)="","",INDEX(Dossiers!$G$4:$G$63,53)))</f>
        <v/>
      </c>
      <c r="V2765">
        <f>IF(OR($O2765="",NOT(ISNUMBER($Q2765))),"",$Q2765*1000000+2765)</f>
        <v/>
      </c>
      <c r="W2765" s="29">
        <f>IF($B2765="","",IFERROR(INDEX($U$4:$U$3183,MATCH(SMALL($V$4:$V$3183,2762),$V$4:$V$3183,0)),""))</f>
        <v/>
      </c>
    </row>
    <row r="2766">
      <c r="A2766">
        <f>IFERROR(INDEX($N$4:$N$3183,MATCH(SMALL($V$4:$V$3183,2763),$V$4:$V$3183,0)),"")</f>
        <v/>
      </c>
      <c r="B2766">
        <f>IFERROR(INDEX($O$4:$O$3183,MATCH(SMALL($V$4:$V$3183,2763),$V$4:$V$3183,0)),"")</f>
        <v/>
      </c>
      <c r="C2766">
        <f>IFERROR(INDEX($P$4:$P$3183,MATCH(SMALL($V$4:$V$3183,2763),$V$4:$V$3183,0)),"")</f>
        <v/>
      </c>
      <c r="D2766" s="29">
        <f>IFERROR(INDEX($Q$4:$Q$3183,MATCH(SMALL($V$4:$V$3183,2763),$V$4:$V$3183,0)),"")</f>
        <v/>
      </c>
      <c r="E2766" s="29">
        <f>IFERROR(INDEX($R$4:$R$3183,MATCH(SMALL($V$4:$V$3183,2763),$V$4:$V$3183,0)),"")</f>
        <v/>
      </c>
      <c r="F2766">
        <f>IFERROR(INDEX($S$4:$S$3183,MATCH(SMALL($V$4:$V$3183,2763),$V$4:$V$3183,0)),"")</f>
        <v/>
      </c>
      <c r="I2766" s="29">
        <f>IF($B2766="","",IFERROR(INDEX($U$4:$U$3183,MATCH(SMALL($V$4:$V$3183,2763),$V$4:$V$3183,0)),""))</f>
        <v/>
      </c>
      <c r="J2766">
        <f>IF($B2766="","",IF($D2766&gt;$F$2,"À venir",IF($E2766&lt;$D$2,"Passé","Dans la période")))</f>
        <v/>
      </c>
      <c r="K2766">
        <f>IF(OR($B2766="",NOT(ISNUMBER($D2766))),"",IF(AND($E2766&lt;$D$2,$G2766&lt;&gt;"X",$F2766&lt;&gt;"Réalisé",$F2766&lt;&gt;"Clôturé"),"RETARD",""))</f>
        <v/>
      </c>
      <c r="L2766">
        <f>IF(OR($B2766="",NOT(ISNUMBER($D2766))),"",IF(AND($D2766&gt;=$D$2,$D2766&lt;=$H$2,$G2766&lt;&gt;"X",$F2766&lt;&gt;"Réalisé",$F2766&lt;&gt;"Clôturé"),"≤ 7 j",""))</f>
        <v/>
      </c>
      <c r="M2766" s="29">
        <f>IF($B2766="","",IFERROR(INDEX($T$4:$T$3183,MATCH(SMALL($V$4:$V$3183,2763),$V$4:$V$3183,0)),""))</f>
        <v/>
      </c>
      <c r="O2766">
        <f>IF(INDEX(Suivi!$B:$B,2819)="","",INDEX(Suivi!$B:$B,2819))</f>
        <v/>
      </c>
      <c r="P2766">
        <f>IF($O2766="","",IF(INDEX(Suivi!$D:$D,2819)="",INDEX(Suivi!$C:$C,2819),INDEX(Suivi!$D:$D,2819)))</f>
        <v/>
      </c>
      <c r="Q2766">
        <f>IF($O2766="","",INDEX(Suivi!$E:$E,2819))</f>
        <v/>
      </c>
      <c r="R2766">
        <f>IF($O2766="","",INDEX(Suivi!$F:$F,2819))</f>
        <v/>
      </c>
      <c r="S2766">
        <f>IF($O2766="","",INDEX(Suivi!$G:$G,2819))</f>
        <v/>
      </c>
      <c r="T2766">
        <f>IF($O2766="","",IF(INDEX(Dossiers!$F$4:$F$63,53)="","",INDEX(Dossiers!$F$4:$F$63,53)))</f>
        <v/>
      </c>
      <c r="U2766">
        <f>IF($O2766="","",IF(INDEX(Dossiers!$G$4:$G$63,53)="","",INDEX(Dossiers!$G$4:$G$63,53)))</f>
        <v/>
      </c>
      <c r="V2766">
        <f>IF(OR($O2766="",NOT(ISNUMBER($Q2766))),"",$Q2766*1000000+2766)</f>
        <v/>
      </c>
      <c r="W2766" s="29">
        <f>IF($B2766="","",IFERROR(INDEX($U$4:$U$3183,MATCH(SMALL($V$4:$V$3183,2763),$V$4:$V$3183,0)),""))</f>
        <v/>
      </c>
    </row>
    <row r="2767">
      <c r="A2767">
        <f>IFERROR(INDEX($N$4:$N$3183,MATCH(SMALL($V$4:$V$3183,2764),$V$4:$V$3183,0)),"")</f>
        <v/>
      </c>
      <c r="B2767">
        <f>IFERROR(INDEX($O$4:$O$3183,MATCH(SMALL($V$4:$V$3183,2764),$V$4:$V$3183,0)),"")</f>
        <v/>
      </c>
      <c r="C2767">
        <f>IFERROR(INDEX($P$4:$P$3183,MATCH(SMALL($V$4:$V$3183,2764),$V$4:$V$3183,0)),"")</f>
        <v/>
      </c>
      <c r="D2767" s="29">
        <f>IFERROR(INDEX($Q$4:$Q$3183,MATCH(SMALL($V$4:$V$3183,2764),$V$4:$V$3183,0)),"")</f>
        <v/>
      </c>
      <c r="E2767" s="29">
        <f>IFERROR(INDEX($R$4:$R$3183,MATCH(SMALL($V$4:$V$3183,2764),$V$4:$V$3183,0)),"")</f>
        <v/>
      </c>
      <c r="F2767">
        <f>IFERROR(INDEX($S$4:$S$3183,MATCH(SMALL($V$4:$V$3183,2764),$V$4:$V$3183,0)),"")</f>
        <v/>
      </c>
      <c r="I2767" s="29">
        <f>IF($B2767="","",IFERROR(INDEX($U$4:$U$3183,MATCH(SMALL($V$4:$V$3183,2764),$V$4:$V$3183,0)),""))</f>
        <v/>
      </c>
      <c r="J2767">
        <f>IF($B2767="","",IF($D2767&gt;$F$2,"À venir",IF($E2767&lt;$D$2,"Passé","Dans la période")))</f>
        <v/>
      </c>
      <c r="K2767">
        <f>IF(OR($B2767="",NOT(ISNUMBER($D2767))),"",IF(AND($E2767&lt;$D$2,$G2767&lt;&gt;"X",$F2767&lt;&gt;"Réalisé",$F2767&lt;&gt;"Clôturé"),"RETARD",""))</f>
        <v/>
      </c>
      <c r="L2767">
        <f>IF(OR($B2767="",NOT(ISNUMBER($D2767))),"",IF(AND($D2767&gt;=$D$2,$D2767&lt;=$H$2,$G2767&lt;&gt;"X",$F2767&lt;&gt;"Réalisé",$F2767&lt;&gt;"Clôturé"),"≤ 7 j",""))</f>
        <v/>
      </c>
      <c r="M2767" s="29">
        <f>IF($B2767="","",IFERROR(INDEX($T$4:$T$3183,MATCH(SMALL($V$4:$V$3183,2764),$V$4:$V$3183,0)),""))</f>
        <v/>
      </c>
      <c r="O2767">
        <f>IF(INDEX(Suivi!$B:$B,2820)="","",INDEX(Suivi!$B:$B,2820))</f>
        <v/>
      </c>
      <c r="P2767">
        <f>IF($O2767="","",IF(INDEX(Suivi!$D:$D,2820)="",INDEX(Suivi!$C:$C,2820),INDEX(Suivi!$D:$D,2820)))</f>
        <v/>
      </c>
      <c r="Q2767">
        <f>IF($O2767="","",INDEX(Suivi!$E:$E,2820))</f>
        <v/>
      </c>
      <c r="R2767">
        <f>IF($O2767="","",INDEX(Suivi!$F:$F,2820))</f>
        <v/>
      </c>
      <c r="S2767">
        <f>IF($O2767="","",INDEX(Suivi!$G:$G,2820))</f>
        <v/>
      </c>
      <c r="T2767">
        <f>IF($O2767="","",IF(INDEX(Dossiers!$F$4:$F$63,53)="","",INDEX(Dossiers!$F$4:$F$63,53)))</f>
        <v/>
      </c>
      <c r="U2767">
        <f>IF($O2767="","",IF(INDEX(Dossiers!$G$4:$G$63,53)="","",INDEX(Dossiers!$G$4:$G$63,53)))</f>
        <v/>
      </c>
      <c r="V2767">
        <f>IF(OR($O2767="",NOT(ISNUMBER($Q2767))),"",$Q2767*1000000+2767)</f>
        <v/>
      </c>
      <c r="W2767" s="29">
        <f>IF($B2767="","",IFERROR(INDEX($U$4:$U$3183,MATCH(SMALL($V$4:$V$3183,2764),$V$4:$V$3183,0)),""))</f>
        <v/>
      </c>
    </row>
    <row r="2768">
      <c r="A2768">
        <f>IFERROR(INDEX($N$4:$N$3183,MATCH(SMALL($V$4:$V$3183,2765),$V$4:$V$3183,0)),"")</f>
        <v/>
      </c>
      <c r="B2768">
        <f>IFERROR(INDEX($O$4:$O$3183,MATCH(SMALL($V$4:$V$3183,2765),$V$4:$V$3183,0)),"")</f>
        <v/>
      </c>
      <c r="C2768">
        <f>IFERROR(INDEX($P$4:$P$3183,MATCH(SMALL($V$4:$V$3183,2765),$V$4:$V$3183,0)),"")</f>
        <v/>
      </c>
      <c r="D2768" s="29">
        <f>IFERROR(INDEX($Q$4:$Q$3183,MATCH(SMALL($V$4:$V$3183,2765),$V$4:$V$3183,0)),"")</f>
        <v/>
      </c>
      <c r="E2768" s="29">
        <f>IFERROR(INDEX($R$4:$R$3183,MATCH(SMALL($V$4:$V$3183,2765),$V$4:$V$3183,0)),"")</f>
        <v/>
      </c>
      <c r="F2768">
        <f>IFERROR(INDEX($S$4:$S$3183,MATCH(SMALL($V$4:$V$3183,2765),$V$4:$V$3183,0)),"")</f>
        <v/>
      </c>
      <c r="I2768" s="29">
        <f>IF($B2768="","",IFERROR(INDEX($U$4:$U$3183,MATCH(SMALL($V$4:$V$3183,2765),$V$4:$V$3183,0)),""))</f>
        <v/>
      </c>
      <c r="J2768">
        <f>IF($B2768="","",IF($D2768&gt;$F$2,"À venir",IF($E2768&lt;$D$2,"Passé","Dans la période")))</f>
        <v/>
      </c>
      <c r="K2768">
        <f>IF(OR($B2768="",NOT(ISNUMBER($D2768))),"",IF(AND($E2768&lt;$D$2,$G2768&lt;&gt;"X",$F2768&lt;&gt;"Réalisé",$F2768&lt;&gt;"Clôturé"),"RETARD",""))</f>
        <v/>
      </c>
      <c r="L2768">
        <f>IF(OR($B2768="",NOT(ISNUMBER($D2768))),"",IF(AND($D2768&gt;=$D$2,$D2768&lt;=$H$2,$G2768&lt;&gt;"X",$F2768&lt;&gt;"Réalisé",$F2768&lt;&gt;"Clôturé"),"≤ 7 j",""))</f>
        <v/>
      </c>
      <c r="M2768" s="29">
        <f>IF($B2768="","",IFERROR(INDEX($T$4:$T$3183,MATCH(SMALL($V$4:$V$3183,2765),$V$4:$V$3183,0)),""))</f>
        <v/>
      </c>
      <c r="O2768">
        <f>IF(INDEX(Suivi!$B:$B,2821)="","",INDEX(Suivi!$B:$B,2821))</f>
        <v/>
      </c>
      <c r="P2768">
        <f>IF($O2768="","",IF(INDEX(Suivi!$D:$D,2821)="",INDEX(Suivi!$C:$C,2821),INDEX(Suivi!$D:$D,2821)))</f>
        <v/>
      </c>
      <c r="Q2768">
        <f>IF($O2768="","",INDEX(Suivi!$E:$E,2821))</f>
        <v/>
      </c>
      <c r="R2768">
        <f>IF($O2768="","",INDEX(Suivi!$F:$F,2821))</f>
        <v/>
      </c>
      <c r="S2768">
        <f>IF($O2768="","",INDEX(Suivi!$G:$G,2821))</f>
        <v/>
      </c>
      <c r="T2768">
        <f>IF($O2768="","",IF(INDEX(Dossiers!$F$4:$F$63,53)="","",INDEX(Dossiers!$F$4:$F$63,53)))</f>
        <v/>
      </c>
      <c r="U2768">
        <f>IF($O2768="","",IF(INDEX(Dossiers!$G$4:$G$63,53)="","",INDEX(Dossiers!$G$4:$G$63,53)))</f>
        <v/>
      </c>
      <c r="V2768">
        <f>IF(OR($O2768="",NOT(ISNUMBER($Q2768))),"",$Q2768*1000000+2768)</f>
        <v/>
      </c>
      <c r="W2768" s="29">
        <f>IF($B2768="","",IFERROR(INDEX($U$4:$U$3183,MATCH(SMALL($V$4:$V$3183,2765),$V$4:$V$3183,0)),""))</f>
        <v/>
      </c>
    </row>
    <row r="2769">
      <c r="A2769">
        <f>IFERROR(INDEX($N$4:$N$3183,MATCH(SMALL($V$4:$V$3183,2766),$V$4:$V$3183,0)),"")</f>
        <v/>
      </c>
      <c r="B2769">
        <f>IFERROR(INDEX($O$4:$O$3183,MATCH(SMALL($V$4:$V$3183,2766),$V$4:$V$3183,0)),"")</f>
        <v/>
      </c>
      <c r="C2769">
        <f>IFERROR(INDEX($P$4:$P$3183,MATCH(SMALL($V$4:$V$3183,2766),$V$4:$V$3183,0)),"")</f>
        <v/>
      </c>
      <c r="D2769" s="29">
        <f>IFERROR(INDEX($Q$4:$Q$3183,MATCH(SMALL($V$4:$V$3183,2766),$V$4:$V$3183,0)),"")</f>
        <v/>
      </c>
      <c r="E2769" s="29">
        <f>IFERROR(INDEX($R$4:$R$3183,MATCH(SMALL($V$4:$V$3183,2766),$V$4:$V$3183,0)),"")</f>
        <v/>
      </c>
      <c r="F2769">
        <f>IFERROR(INDEX($S$4:$S$3183,MATCH(SMALL($V$4:$V$3183,2766),$V$4:$V$3183,0)),"")</f>
        <v/>
      </c>
      <c r="I2769" s="29">
        <f>IF($B2769="","",IFERROR(INDEX($U$4:$U$3183,MATCH(SMALL($V$4:$V$3183,2766),$V$4:$V$3183,0)),""))</f>
        <v/>
      </c>
      <c r="J2769">
        <f>IF($B2769="","",IF($D2769&gt;$F$2,"À venir",IF($E2769&lt;$D$2,"Passé","Dans la période")))</f>
        <v/>
      </c>
      <c r="K2769">
        <f>IF(OR($B2769="",NOT(ISNUMBER($D2769))),"",IF(AND($E2769&lt;$D$2,$G2769&lt;&gt;"X",$F2769&lt;&gt;"Réalisé",$F2769&lt;&gt;"Clôturé"),"RETARD",""))</f>
        <v/>
      </c>
      <c r="L2769">
        <f>IF(OR($B2769="",NOT(ISNUMBER($D2769))),"",IF(AND($D2769&gt;=$D$2,$D2769&lt;=$H$2,$G2769&lt;&gt;"X",$F2769&lt;&gt;"Réalisé",$F2769&lt;&gt;"Clôturé"),"≤ 7 j",""))</f>
        <v/>
      </c>
      <c r="M2769" s="29">
        <f>IF($B2769="","",IFERROR(INDEX($T$4:$T$3183,MATCH(SMALL($V$4:$V$3183,2766),$V$4:$V$3183,0)),""))</f>
        <v/>
      </c>
      <c r="O2769">
        <f>IF(INDEX(Suivi!$B:$B,2822)="","",INDEX(Suivi!$B:$B,2822))</f>
        <v/>
      </c>
      <c r="P2769">
        <f>IF($O2769="","",IF(INDEX(Suivi!$D:$D,2822)="",INDEX(Suivi!$C:$C,2822),INDEX(Suivi!$D:$D,2822)))</f>
        <v/>
      </c>
      <c r="Q2769">
        <f>IF($O2769="","",INDEX(Suivi!$E:$E,2822))</f>
        <v/>
      </c>
      <c r="R2769">
        <f>IF($O2769="","",INDEX(Suivi!$F:$F,2822))</f>
        <v/>
      </c>
      <c r="S2769">
        <f>IF($O2769="","",INDEX(Suivi!$G:$G,2822))</f>
        <v/>
      </c>
      <c r="T2769">
        <f>IF($O2769="","",IF(INDEX(Dossiers!$F$4:$F$63,53)="","",INDEX(Dossiers!$F$4:$F$63,53)))</f>
        <v/>
      </c>
      <c r="U2769">
        <f>IF($O2769="","",IF(INDEX(Dossiers!$G$4:$G$63,53)="","",INDEX(Dossiers!$G$4:$G$63,53)))</f>
        <v/>
      </c>
      <c r="V2769">
        <f>IF(OR($O2769="",NOT(ISNUMBER($Q2769))),"",$Q2769*1000000+2769)</f>
        <v/>
      </c>
      <c r="W2769" s="29">
        <f>IF($B2769="","",IFERROR(INDEX($U$4:$U$3183,MATCH(SMALL($V$4:$V$3183,2766),$V$4:$V$3183,0)),""))</f>
        <v/>
      </c>
    </row>
    <row r="2770">
      <c r="A2770">
        <f>IFERROR(INDEX($N$4:$N$3183,MATCH(SMALL($V$4:$V$3183,2767),$V$4:$V$3183,0)),"")</f>
        <v/>
      </c>
      <c r="B2770">
        <f>IFERROR(INDEX($O$4:$O$3183,MATCH(SMALL($V$4:$V$3183,2767),$V$4:$V$3183,0)),"")</f>
        <v/>
      </c>
      <c r="C2770">
        <f>IFERROR(INDEX($P$4:$P$3183,MATCH(SMALL($V$4:$V$3183,2767),$V$4:$V$3183,0)),"")</f>
        <v/>
      </c>
      <c r="D2770" s="29">
        <f>IFERROR(INDEX($Q$4:$Q$3183,MATCH(SMALL($V$4:$V$3183,2767),$V$4:$V$3183,0)),"")</f>
        <v/>
      </c>
      <c r="E2770" s="29">
        <f>IFERROR(INDEX($R$4:$R$3183,MATCH(SMALL($V$4:$V$3183,2767),$V$4:$V$3183,0)),"")</f>
        <v/>
      </c>
      <c r="F2770">
        <f>IFERROR(INDEX($S$4:$S$3183,MATCH(SMALL($V$4:$V$3183,2767),$V$4:$V$3183,0)),"")</f>
        <v/>
      </c>
      <c r="I2770" s="29">
        <f>IF($B2770="","",IFERROR(INDEX($U$4:$U$3183,MATCH(SMALL($V$4:$V$3183,2767),$V$4:$V$3183,0)),""))</f>
        <v/>
      </c>
      <c r="J2770">
        <f>IF($B2770="","",IF($D2770&gt;$F$2,"À venir",IF($E2770&lt;$D$2,"Passé","Dans la période")))</f>
        <v/>
      </c>
      <c r="K2770">
        <f>IF(OR($B2770="",NOT(ISNUMBER($D2770))),"",IF(AND($E2770&lt;$D$2,$G2770&lt;&gt;"X",$F2770&lt;&gt;"Réalisé",$F2770&lt;&gt;"Clôturé"),"RETARD",""))</f>
        <v/>
      </c>
      <c r="L2770">
        <f>IF(OR($B2770="",NOT(ISNUMBER($D2770))),"",IF(AND($D2770&gt;=$D$2,$D2770&lt;=$H$2,$G2770&lt;&gt;"X",$F2770&lt;&gt;"Réalisé",$F2770&lt;&gt;"Clôturé"),"≤ 7 j",""))</f>
        <v/>
      </c>
      <c r="M2770" s="29">
        <f>IF($B2770="","",IFERROR(INDEX($T$4:$T$3183,MATCH(SMALL($V$4:$V$3183,2767),$V$4:$V$3183,0)),""))</f>
        <v/>
      </c>
      <c r="O2770">
        <f>IF(INDEX(Suivi!$B:$B,2823)="","",INDEX(Suivi!$B:$B,2823))</f>
        <v/>
      </c>
      <c r="P2770">
        <f>IF($O2770="","",IF(INDEX(Suivi!$D:$D,2823)="",INDEX(Suivi!$C:$C,2823),INDEX(Suivi!$D:$D,2823)))</f>
        <v/>
      </c>
      <c r="Q2770">
        <f>IF($O2770="","",INDEX(Suivi!$E:$E,2823))</f>
        <v/>
      </c>
      <c r="R2770">
        <f>IF($O2770="","",INDEX(Suivi!$F:$F,2823))</f>
        <v/>
      </c>
      <c r="S2770">
        <f>IF($O2770="","",INDEX(Suivi!$G:$G,2823))</f>
        <v/>
      </c>
      <c r="T2770">
        <f>IF($O2770="","",IF(INDEX(Dossiers!$F$4:$F$63,53)="","",INDEX(Dossiers!$F$4:$F$63,53)))</f>
        <v/>
      </c>
      <c r="U2770">
        <f>IF($O2770="","",IF(INDEX(Dossiers!$G$4:$G$63,53)="","",INDEX(Dossiers!$G$4:$G$63,53)))</f>
        <v/>
      </c>
      <c r="V2770">
        <f>IF(OR($O2770="",NOT(ISNUMBER($Q2770))),"",$Q2770*1000000+2770)</f>
        <v/>
      </c>
      <c r="W2770" s="29">
        <f>IF($B2770="","",IFERROR(INDEX($U$4:$U$3183,MATCH(SMALL($V$4:$V$3183,2767),$V$4:$V$3183,0)),""))</f>
        <v/>
      </c>
    </row>
    <row r="2771">
      <c r="A2771">
        <f>IFERROR(INDEX($N$4:$N$3183,MATCH(SMALL($V$4:$V$3183,2768),$V$4:$V$3183,0)),"")</f>
        <v/>
      </c>
      <c r="B2771">
        <f>IFERROR(INDEX($O$4:$O$3183,MATCH(SMALL($V$4:$V$3183,2768),$V$4:$V$3183,0)),"")</f>
        <v/>
      </c>
      <c r="C2771">
        <f>IFERROR(INDEX($P$4:$P$3183,MATCH(SMALL($V$4:$V$3183,2768),$V$4:$V$3183,0)),"")</f>
        <v/>
      </c>
      <c r="D2771" s="29">
        <f>IFERROR(INDEX($Q$4:$Q$3183,MATCH(SMALL($V$4:$V$3183,2768),$V$4:$V$3183,0)),"")</f>
        <v/>
      </c>
      <c r="E2771" s="29">
        <f>IFERROR(INDEX($R$4:$R$3183,MATCH(SMALL($V$4:$V$3183,2768),$V$4:$V$3183,0)),"")</f>
        <v/>
      </c>
      <c r="F2771">
        <f>IFERROR(INDEX($S$4:$S$3183,MATCH(SMALL($V$4:$V$3183,2768),$V$4:$V$3183,0)),"")</f>
        <v/>
      </c>
      <c r="I2771" s="29">
        <f>IF($B2771="","",IFERROR(INDEX($U$4:$U$3183,MATCH(SMALL($V$4:$V$3183,2768),$V$4:$V$3183,0)),""))</f>
        <v/>
      </c>
      <c r="J2771">
        <f>IF($B2771="","",IF($D2771&gt;$F$2,"À venir",IF($E2771&lt;$D$2,"Passé","Dans la période")))</f>
        <v/>
      </c>
      <c r="K2771">
        <f>IF(OR($B2771="",NOT(ISNUMBER($D2771))),"",IF(AND($E2771&lt;$D$2,$G2771&lt;&gt;"X",$F2771&lt;&gt;"Réalisé",$F2771&lt;&gt;"Clôturé"),"RETARD",""))</f>
        <v/>
      </c>
      <c r="L2771">
        <f>IF(OR($B2771="",NOT(ISNUMBER($D2771))),"",IF(AND($D2771&gt;=$D$2,$D2771&lt;=$H$2,$G2771&lt;&gt;"X",$F2771&lt;&gt;"Réalisé",$F2771&lt;&gt;"Clôturé"),"≤ 7 j",""))</f>
        <v/>
      </c>
      <c r="M2771" s="29">
        <f>IF($B2771="","",IFERROR(INDEX($T$4:$T$3183,MATCH(SMALL($V$4:$V$3183,2768),$V$4:$V$3183,0)),""))</f>
        <v/>
      </c>
      <c r="O2771">
        <f>IF(INDEX(Suivi!$B:$B,2824)="","",INDEX(Suivi!$B:$B,2824))</f>
        <v/>
      </c>
      <c r="P2771">
        <f>IF($O2771="","",IF(INDEX(Suivi!$D:$D,2824)="",INDEX(Suivi!$C:$C,2824),INDEX(Suivi!$D:$D,2824)))</f>
        <v/>
      </c>
      <c r="Q2771">
        <f>IF($O2771="","",INDEX(Suivi!$E:$E,2824))</f>
        <v/>
      </c>
      <c r="R2771">
        <f>IF($O2771="","",INDEX(Suivi!$F:$F,2824))</f>
        <v/>
      </c>
      <c r="S2771">
        <f>IF($O2771="","",INDEX(Suivi!$G:$G,2824))</f>
        <v/>
      </c>
      <c r="T2771">
        <f>IF($O2771="","",IF(INDEX(Dossiers!$F$4:$F$63,53)="","",INDEX(Dossiers!$F$4:$F$63,53)))</f>
        <v/>
      </c>
      <c r="U2771">
        <f>IF($O2771="","",IF(INDEX(Dossiers!$G$4:$G$63,53)="","",INDEX(Dossiers!$G$4:$G$63,53)))</f>
        <v/>
      </c>
      <c r="V2771">
        <f>IF(OR($O2771="",NOT(ISNUMBER($Q2771))),"",$Q2771*1000000+2771)</f>
        <v/>
      </c>
      <c r="W2771" s="29">
        <f>IF($B2771="","",IFERROR(INDEX($U$4:$U$3183,MATCH(SMALL($V$4:$V$3183,2768),$V$4:$V$3183,0)),""))</f>
        <v/>
      </c>
    </row>
    <row r="2772">
      <c r="A2772">
        <f>IFERROR(INDEX($N$4:$N$3183,MATCH(SMALL($V$4:$V$3183,2769),$V$4:$V$3183,0)),"")</f>
        <v/>
      </c>
      <c r="B2772">
        <f>IFERROR(INDEX($O$4:$O$3183,MATCH(SMALL($V$4:$V$3183,2769),$V$4:$V$3183,0)),"")</f>
        <v/>
      </c>
      <c r="C2772">
        <f>IFERROR(INDEX($P$4:$P$3183,MATCH(SMALL($V$4:$V$3183,2769),$V$4:$V$3183,0)),"")</f>
        <v/>
      </c>
      <c r="D2772" s="29">
        <f>IFERROR(INDEX($Q$4:$Q$3183,MATCH(SMALL($V$4:$V$3183,2769),$V$4:$V$3183,0)),"")</f>
        <v/>
      </c>
      <c r="E2772" s="29">
        <f>IFERROR(INDEX($R$4:$R$3183,MATCH(SMALL($V$4:$V$3183,2769),$V$4:$V$3183,0)),"")</f>
        <v/>
      </c>
      <c r="F2772">
        <f>IFERROR(INDEX($S$4:$S$3183,MATCH(SMALL($V$4:$V$3183,2769),$V$4:$V$3183,0)),"")</f>
        <v/>
      </c>
      <c r="I2772" s="29">
        <f>IF($B2772="","",IFERROR(INDEX($U$4:$U$3183,MATCH(SMALL($V$4:$V$3183,2769),$V$4:$V$3183,0)),""))</f>
        <v/>
      </c>
      <c r="J2772">
        <f>IF($B2772="","",IF($D2772&gt;$F$2,"À venir",IF($E2772&lt;$D$2,"Passé","Dans la période")))</f>
        <v/>
      </c>
      <c r="K2772">
        <f>IF(OR($B2772="",NOT(ISNUMBER($D2772))),"",IF(AND($E2772&lt;$D$2,$G2772&lt;&gt;"X",$F2772&lt;&gt;"Réalisé",$F2772&lt;&gt;"Clôturé"),"RETARD",""))</f>
        <v/>
      </c>
      <c r="L2772">
        <f>IF(OR($B2772="",NOT(ISNUMBER($D2772))),"",IF(AND($D2772&gt;=$D$2,$D2772&lt;=$H$2,$G2772&lt;&gt;"X",$F2772&lt;&gt;"Réalisé",$F2772&lt;&gt;"Clôturé"),"≤ 7 j",""))</f>
        <v/>
      </c>
      <c r="M2772" s="29">
        <f>IF($B2772="","",IFERROR(INDEX($T$4:$T$3183,MATCH(SMALL($V$4:$V$3183,2769),$V$4:$V$3183,0)),""))</f>
        <v/>
      </c>
      <c r="O2772">
        <f>IF(INDEX(Suivi!$B:$B,2825)="","",INDEX(Suivi!$B:$B,2825))</f>
        <v/>
      </c>
      <c r="P2772">
        <f>IF($O2772="","",IF(INDEX(Suivi!$D:$D,2825)="",INDEX(Suivi!$C:$C,2825),INDEX(Suivi!$D:$D,2825)))</f>
        <v/>
      </c>
      <c r="Q2772">
        <f>IF($O2772="","",INDEX(Suivi!$E:$E,2825))</f>
        <v/>
      </c>
      <c r="R2772">
        <f>IF($O2772="","",INDEX(Suivi!$F:$F,2825))</f>
        <v/>
      </c>
      <c r="S2772">
        <f>IF($O2772="","",INDEX(Suivi!$G:$G,2825))</f>
        <v/>
      </c>
      <c r="T2772">
        <f>IF($O2772="","",IF(INDEX(Dossiers!$F$4:$F$63,53)="","",INDEX(Dossiers!$F$4:$F$63,53)))</f>
        <v/>
      </c>
      <c r="U2772">
        <f>IF($O2772="","",IF(INDEX(Dossiers!$G$4:$G$63,53)="","",INDEX(Dossiers!$G$4:$G$63,53)))</f>
        <v/>
      </c>
      <c r="V2772">
        <f>IF(OR($O2772="",NOT(ISNUMBER($Q2772))),"",$Q2772*1000000+2772)</f>
        <v/>
      </c>
      <c r="W2772" s="29">
        <f>IF($B2772="","",IFERROR(INDEX($U$4:$U$3183,MATCH(SMALL($V$4:$V$3183,2769),$V$4:$V$3183,0)),""))</f>
        <v/>
      </c>
    </row>
    <row r="2773">
      <c r="A2773">
        <f>IFERROR(INDEX($N$4:$N$3183,MATCH(SMALL($V$4:$V$3183,2770),$V$4:$V$3183,0)),"")</f>
        <v/>
      </c>
      <c r="B2773">
        <f>IFERROR(INDEX($O$4:$O$3183,MATCH(SMALL($V$4:$V$3183,2770),$V$4:$V$3183,0)),"")</f>
        <v/>
      </c>
      <c r="C2773">
        <f>IFERROR(INDEX($P$4:$P$3183,MATCH(SMALL($V$4:$V$3183,2770),$V$4:$V$3183,0)),"")</f>
        <v/>
      </c>
      <c r="D2773" s="29">
        <f>IFERROR(INDEX($Q$4:$Q$3183,MATCH(SMALL($V$4:$V$3183,2770),$V$4:$V$3183,0)),"")</f>
        <v/>
      </c>
      <c r="E2773" s="29">
        <f>IFERROR(INDEX($R$4:$R$3183,MATCH(SMALL($V$4:$V$3183,2770),$V$4:$V$3183,0)),"")</f>
        <v/>
      </c>
      <c r="F2773">
        <f>IFERROR(INDEX($S$4:$S$3183,MATCH(SMALL($V$4:$V$3183,2770),$V$4:$V$3183,0)),"")</f>
        <v/>
      </c>
      <c r="I2773" s="29">
        <f>IF($B2773="","",IFERROR(INDEX($U$4:$U$3183,MATCH(SMALL($V$4:$V$3183,2770),$V$4:$V$3183,0)),""))</f>
        <v/>
      </c>
      <c r="J2773">
        <f>IF($B2773="","",IF($D2773&gt;$F$2,"À venir",IF($E2773&lt;$D$2,"Passé","Dans la période")))</f>
        <v/>
      </c>
      <c r="K2773">
        <f>IF(OR($B2773="",NOT(ISNUMBER($D2773))),"",IF(AND($E2773&lt;$D$2,$G2773&lt;&gt;"X",$F2773&lt;&gt;"Réalisé",$F2773&lt;&gt;"Clôturé"),"RETARD",""))</f>
        <v/>
      </c>
      <c r="L2773">
        <f>IF(OR($B2773="",NOT(ISNUMBER($D2773))),"",IF(AND($D2773&gt;=$D$2,$D2773&lt;=$H$2,$G2773&lt;&gt;"X",$F2773&lt;&gt;"Réalisé",$F2773&lt;&gt;"Clôturé"),"≤ 7 j",""))</f>
        <v/>
      </c>
      <c r="M2773" s="29">
        <f>IF($B2773="","",IFERROR(INDEX($T$4:$T$3183,MATCH(SMALL($V$4:$V$3183,2770),$V$4:$V$3183,0)),""))</f>
        <v/>
      </c>
      <c r="O2773">
        <f>IF(INDEX(Suivi!$B:$B,2826)="","",INDEX(Suivi!$B:$B,2826))</f>
        <v/>
      </c>
      <c r="P2773">
        <f>IF($O2773="","",IF(INDEX(Suivi!$D:$D,2826)="",INDEX(Suivi!$C:$C,2826),INDEX(Suivi!$D:$D,2826)))</f>
        <v/>
      </c>
      <c r="Q2773">
        <f>IF($O2773="","",INDEX(Suivi!$E:$E,2826))</f>
        <v/>
      </c>
      <c r="R2773">
        <f>IF($O2773="","",INDEX(Suivi!$F:$F,2826))</f>
        <v/>
      </c>
      <c r="S2773">
        <f>IF($O2773="","",INDEX(Suivi!$G:$G,2826))</f>
        <v/>
      </c>
      <c r="T2773">
        <f>IF($O2773="","",IF(INDEX(Dossiers!$F$4:$F$63,53)="","",INDEX(Dossiers!$F$4:$F$63,53)))</f>
        <v/>
      </c>
      <c r="U2773">
        <f>IF($O2773="","",IF(INDEX(Dossiers!$G$4:$G$63,53)="","",INDEX(Dossiers!$G$4:$G$63,53)))</f>
        <v/>
      </c>
      <c r="V2773">
        <f>IF(OR($O2773="",NOT(ISNUMBER($Q2773))),"",$Q2773*1000000+2773)</f>
        <v/>
      </c>
      <c r="W2773" s="29">
        <f>IF($B2773="","",IFERROR(INDEX($U$4:$U$3183,MATCH(SMALL($V$4:$V$3183,2770),$V$4:$V$3183,0)),""))</f>
        <v/>
      </c>
    </row>
    <row r="2774">
      <c r="A2774">
        <f>IFERROR(INDEX($N$4:$N$3183,MATCH(SMALL($V$4:$V$3183,2771),$V$4:$V$3183,0)),"")</f>
        <v/>
      </c>
      <c r="B2774">
        <f>IFERROR(INDEX($O$4:$O$3183,MATCH(SMALL($V$4:$V$3183,2771),$V$4:$V$3183,0)),"")</f>
        <v/>
      </c>
      <c r="C2774">
        <f>IFERROR(INDEX($P$4:$P$3183,MATCH(SMALL($V$4:$V$3183,2771),$V$4:$V$3183,0)),"")</f>
        <v/>
      </c>
      <c r="D2774" s="29">
        <f>IFERROR(INDEX($Q$4:$Q$3183,MATCH(SMALL($V$4:$V$3183,2771),$V$4:$V$3183,0)),"")</f>
        <v/>
      </c>
      <c r="E2774" s="29">
        <f>IFERROR(INDEX($R$4:$R$3183,MATCH(SMALL($V$4:$V$3183,2771),$V$4:$V$3183,0)),"")</f>
        <v/>
      </c>
      <c r="F2774">
        <f>IFERROR(INDEX($S$4:$S$3183,MATCH(SMALL($V$4:$V$3183,2771),$V$4:$V$3183,0)),"")</f>
        <v/>
      </c>
      <c r="I2774" s="29">
        <f>IF($B2774="","",IFERROR(INDEX($U$4:$U$3183,MATCH(SMALL($V$4:$V$3183,2771),$V$4:$V$3183,0)),""))</f>
        <v/>
      </c>
      <c r="J2774">
        <f>IF($B2774="","",IF($D2774&gt;$F$2,"À venir",IF($E2774&lt;$D$2,"Passé","Dans la période")))</f>
        <v/>
      </c>
      <c r="K2774">
        <f>IF(OR($B2774="",NOT(ISNUMBER($D2774))),"",IF(AND($E2774&lt;$D$2,$G2774&lt;&gt;"X",$F2774&lt;&gt;"Réalisé",$F2774&lt;&gt;"Clôturé"),"RETARD",""))</f>
        <v/>
      </c>
      <c r="L2774">
        <f>IF(OR($B2774="",NOT(ISNUMBER($D2774))),"",IF(AND($D2774&gt;=$D$2,$D2774&lt;=$H$2,$G2774&lt;&gt;"X",$F2774&lt;&gt;"Réalisé",$F2774&lt;&gt;"Clôturé"),"≤ 7 j",""))</f>
        <v/>
      </c>
      <c r="M2774" s="29">
        <f>IF($B2774="","",IFERROR(INDEX($T$4:$T$3183,MATCH(SMALL($V$4:$V$3183,2771),$V$4:$V$3183,0)),""))</f>
        <v/>
      </c>
      <c r="O2774">
        <f>IF(INDEX(Suivi!$B:$B,2827)="","",INDEX(Suivi!$B:$B,2827))</f>
        <v/>
      </c>
      <c r="P2774">
        <f>IF($O2774="","",IF(INDEX(Suivi!$D:$D,2827)="",INDEX(Suivi!$C:$C,2827),INDEX(Suivi!$D:$D,2827)))</f>
        <v/>
      </c>
      <c r="Q2774">
        <f>IF($O2774="","",INDEX(Suivi!$E:$E,2827))</f>
        <v/>
      </c>
      <c r="R2774">
        <f>IF($O2774="","",INDEX(Suivi!$F:$F,2827))</f>
        <v/>
      </c>
      <c r="S2774">
        <f>IF($O2774="","",INDEX(Suivi!$G:$G,2827))</f>
        <v/>
      </c>
      <c r="T2774">
        <f>IF($O2774="","",IF(INDEX(Dossiers!$F$4:$F$63,53)="","",INDEX(Dossiers!$F$4:$F$63,53)))</f>
        <v/>
      </c>
      <c r="U2774">
        <f>IF($O2774="","",IF(INDEX(Dossiers!$G$4:$G$63,53)="","",INDEX(Dossiers!$G$4:$G$63,53)))</f>
        <v/>
      </c>
      <c r="V2774">
        <f>IF(OR($O2774="",NOT(ISNUMBER($Q2774))),"",$Q2774*1000000+2774)</f>
        <v/>
      </c>
      <c r="W2774" s="29">
        <f>IF($B2774="","",IFERROR(INDEX($U$4:$U$3183,MATCH(SMALL($V$4:$V$3183,2771),$V$4:$V$3183,0)),""))</f>
        <v/>
      </c>
    </row>
    <row r="2775">
      <c r="A2775">
        <f>IFERROR(INDEX($N$4:$N$3183,MATCH(SMALL($V$4:$V$3183,2772),$V$4:$V$3183,0)),"")</f>
        <v/>
      </c>
      <c r="B2775">
        <f>IFERROR(INDEX($O$4:$O$3183,MATCH(SMALL($V$4:$V$3183,2772),$V$4:$V$3183,0)),"")</f>
        <v/>
      </c>
      <c r="C2775">
        <f>IFERROR(INDEX($P$4:$P$3183,MATCH(SMALL($V$4:$V$3183,2772),$V$4:$V$3183,0)),"")</f>
        <v/>
      </c>
      <c r="D2775" s="29">
        <f>IFERROR(INDEX($Q$4:$Q$3183,MATCH(SMALL($V$4:$V$3183,2772),$V$4:$V$3183,0)),"")</f>
        <v/>
      </c>
      <c r="E2775" s="29">
        <f>IFERROR(INDEX($R$4:$R$3183,MATCH(SMALL($V$4:$V$3183,2772),$V$4:$V$3183,0)),"")</f>
        <v/>
      </c>
      <c r="F2775">
        <f>IFERROR(INDEX($S$4:$S$3183,MATCH(SMALL($V$4:$V$3183,2772),$V$4:$V$3183,0)),"")</f>
        <v/>
      </c>
      <c r="I2775" s="29">
        <f>IF($B2775="","",IFERROR(INDEX($U$4:$U$3183,MATCH(SMALL($V$4:$V$3183,2772),$V$4:$V$3183,0)),""))</f>
        <v/>
      </c>
      <c r="J2775">
        <f>IF($B2775="","",IF($D2775&gt;$F$2,"À venir",IF($E2775&lt;$D$2,"Passé","Dans la période")))</f>
        <v/>
      </c>
      <c r="K2775">
        <f>IF(OR($B2775="",NOT(ISNUMBER($D2775))),"",IF(AND($E2775&lt;$D$2,$G2775&lt;&gt;"X",$F2775&lt;&gt;"Réalisé",$F2775&lt;&gt;"Clôturé"),"RETARD",""))</f>
        <v/>
      </c>
      <c r="L2775">
        <f>IF(OR($B2775="",NOT(ISNUMBER($D2775))),"",IF(AND($D2775&gt;=$D$2,$D2775&lt;=$H$2,$G2775&lt;&gt;"X",$F2775&lt;&gt;"Réalisé",$F2775&lt;&gt;"Clôturé"),"≤ 7 j",""))</f>
        <v/>
      </c>
      <c r="M2775" s="29">
        <f>IF($B2775="","",IFERROR(INDEX($T$4:$T$3183,MATCH(SMALL($V$4:$V$3183,2772),$V$4:$V$3183,0)),""))</f>
        <v/>
      </c>
      <c r="O2775">
        <f>IF(INDEX(Suivi!$B:$B,2828)="","",INDEX(Suivi!$B:$B,2828))</f>
        <v/>
      </c>
      <c r="P2775">
        <f>IF($O2775="","",IF(INDEX(Suivi!$D:$D,2828)="",INDEX(Suivi!$C:$C,2828),INDEX(Suivi!$D:$D,2828)))</f>
        <v/>
      </c>
      <c r="Q2775">
        <f>IF($O2775="","",INDEX(Suivi!$E:$E,2828))</f>
        <v/>
      </c>
      <c r="R2775">
        <f>IF($O2775="","",INDEX(Suivi!$F:$F,2828))</f>
        <v/>
      </c>
      <c r="S2775">
        <f>IF($O2775="","",INDEX(Suivi!$G:$G,2828))</f>
        <v/>
      </c>
      <c r="T2775">
        <f>IF($O2775="","",IF(INDEX(Dossiers!$F$4:$F$63,53)="","",INDEX(Dossiers!$F$4:$F$63,53)))</f>
        <v/>
      </c>
      <c r="U2775">
        <f>IF($O2775="","",IF(INDEX(Dossiers!$G$4:$G$63,53)="","",INDEX(Dossiers!$G$4:$G$63,53)))</f>
        <v/>
      </c>
      <c r="V2775">
        <f>IF(OR($O2775="",NOT(ISNUMBER($Q2775))),"",$Q2775*1000000+2775)</f>
        <v/>
      </c>
      <c r="W2775" s="29">
        <f>IF($B2775="","",IFERROR(INDEX($U$4:$U$3183,MATCH(SMALL($V$4:$V$3183,2772),$V$4:$V$3183,0)),""))</f>
        <v/>
      </c>
    </row>
    <row r="2776">
      <c r="A2776">
        <f>IFERROR(INDEX($N$4:$N$3183,MATCH(SMALL($V$4:$V$3183,2773),$V$4:$V$3183,0)),"")</f>
        <v/>
      </c>
      <c r="B2776">
        <f>IFERROR(INDEX($O$4:$O$3183,MATCH(SMALL($V$4:$V$3183,2773),$V$4:$V$3183,0)),"")</f>
        <v/>
      </c>
      <c r="C2776">
        <f>IFERROR(INDEX($P$4:$P$3183,MATCH(SMALL($V$4:$V$3183,2773),$V$4:$V$3183,0)),"")</f>
        <v/>
      </c>
      <c r="D2776" s="29">
        <f>IFERROR(INDEX($Q$4:$Q$3183,MATCH(SMALL($V$4:$V$3183,2773),$V$4:$V$3183,0)),"")</f>
        <v/>
      </c>
      <c r="E2776" s="29">
        <f>IFERROR(INDEX($R$4:$R$3183,MATCH(SMALL($V$4:$V$3183,2773),$V$4:$V$3183,0)),"")</f>
        <v/>
      </c>
      <c r="F2776">
        <f>IFERROR(INDEX($S$4:$S$3183,MATCH(SMALL($V$4:$V$3183,2773),$V$4:$V$3183,0)),"")</f>
        <v/>
      </c>
      <c r="I2776" s="29">
        <f>IF($B2776="","",IFERROR(INDEX($U$4:$U$3183,MATCH(SMALL($V$4:$V$3183,2773),$V$4:$V$3183,0)),""))</f>
        <v/>
      </c>
      <c r="J2776">
        <f>IF($B2776="","",IF($D2776&gt;$F$2,"À venir",IF($E2776&lt;$D$2,"Passé","Dans la période")))</f>
        <v/>
      </c>
      <c r="K2776">
        <f>IF(OR($B2776="",NOT(ISNUMBER($D2776))),"",IF(AND($E2776&lt;$D$2,$G2776&lt;&gt;"X",$F2776&lt;&gt;"Réalisé",$F2776&lt;&gt;"Clôturé"),"RETARD",""))</f>
        <v/>
      </c>
      <c r="L2776">
        <f>IF(OR($B2776="",NOT(ISNUMBER($D2776))),"",IF(AND($D2776&gt;=$D$2,$D2776&lt;=$H$2,$G2776&lt;&gt;"X",$F2776&lt;&gt;"Réalisé",$F2776&lt;&gt;"Clôturé"),"≤ 7 j",""))</f>
        <v/>
      </c>
      <c r="M2776" s="29">
        <f>IF($B2776="","",IFERROR(INDEX($T$4:$T$3183,MATCH(SMALL($V$4:$V$3183,2773),$V$4:$V$3183,0)),""))</f>
        <v/>
      </c>
      <c r="O2776">
        <f>IF(INDEX(Suivi!$B:$B,2829)="","",INDEX(Suivi!$B:$B,2829))</f>
        <v/>
      </c>
      <c r="P2776">
        <f>IF($O2776="","",IF(INDEX(Suivi!$D:$D,2829)="",INDEX(Suivi!$C:$C,2829),INDEX(Suivi!$D:$D,2829)))</f>
        <v/>
      </c>
      <c r="Q2776">
        <f>IF($O2776="","",INDEX(Suivi!$E:$E,2829))</f>
        <v/>
      </c>
      <c r="R2776">
        <f>IF($O2776="","",INDEX(Suivi!$F:$F,2829))</f>
        <v/>
      </c>
      <c r="S2776">
        <f>IF($O2776="","",INDEX(Suivi!$G:$G,2829))</f>
        <v/>
      </c>
      <c r="T2776">
        <f>IF($O2776="","",IF(INDEX(Dossiers!$F$4:$F$63,53)="","",INDEX(Dossiers!$F$4:$F$63,53)))</f>
        <v/>
      </c>
      <c r="U2776">
        <f>IF($O2776="","",IF(INDEX(Dossiers!$G$4:$G$63,53)="","",INDEX(Dossiers!$G$4:$G$63,53)))</f>
        <v/>
      </c>
      <c r="V2776">
        <f>IF(OR($O2776="",NOT(ISNUMBER($Q2776))),"",$Q2776*1000000+2776)</f>
        <v/>
      </c>
      <c r="W2776" s="29">
        <f>IF($B2776="","",IFERROR(INDEX($U$4:$U$3183,MATCH(SMALL($V$4:$V$3183,2773),$V$4:$V$3183,0)),""))</f>
        <v/>
      </c>
    </row>
    <row r="2777">
      <c r="A2777">
        <f>IFERROR(INDEX($N$4:$N$3183,MATCH(SMALL($V$4:$V$3183,2774),$V$4:$V$3183,0)),"")</f>
        <v/>
      </c>
      <c r="B2777">
        <f>IFERROR(INDEX($O$4:$O$3183,MATCH(SMALL($V$4:$V$3183,2774),$V$4:$V$3183,0)),"")</f>
        <v/>
      </c>
      <c r="C2777">
        <f>IFERROR(INDEX($P$4:$P$3183,MATCH(SMALL($V$4:$V$3183,2774),$V$4:$V$3183,0)),"")</f>
        <v/>
      </c>
      <c r="D2777" s="29">
        <f>IFERROR(INDEX($Q$4:$Q$3183,MATCH(SMALL($V$4:$V$3183,2774),$V$4:$V$3183,0)),"")</f>
        <v/>
      </c>
      <c r="E2777" s="29">
        <f>IFERROR(INDEX($R$4:$R$3183,MATCH(SMALL($V$4:$V$3183,2774),$V$4:$V$3183,0)),"")</f>
        <v/>
      </c>
      <c r="F2777">
        <f>IFERROR(INDEX($S$4:$S$3183,MATCH(SMALL($V$4:$V$3183,2774),$V$4:$V$3183,0)),"")</f>
        <v/>
      </c>
      <c r="I2777" s="29">
        <f>IF($B2777="","",IFERROR(INDEX($U$4:$U$3183,MATCH(SMALL($V$4:$V$3183,2774),$V$4:$V$3183,0)),""))</f>
        <v/>
      </c>
      <c r="J2777">
        <f>IF($B2777="","",IF($D2777&gt;$F$2,"À venir",IF($E2777&lt;$D$2,"Passé","Dans la période")))</f>
        <v/>
      </c>
      <c r="K2777">
        <f>IF(OR($B2777="",NOT(ISNUMBER($D2777))),"",IF(AND($E2777&lt;$D$2,$G2777&lt;&gt;"X",$F2777&lt;&gt;"Réalisé",$F2777&lt;&gt;"Clôturé"),"RETARD",""))</f>
        <v/>
      </c>
      <c r="L2777">
        <f>IF(OR($B2777="",NOT(ISNUMBER($D2777))),"",IF(AND($D2777&gt;=$D$2,$D2777&lt;=$H$2,$G2777&lt;&gt;"X",$F2777&lt;&gt;"Réalisé",$F2777&lt;&gt;"Clôturé"),"≤ 7 j",""))</f>
        <v/>
      </c>
      <c r="M2777" s="29">
        <f>IF($B2777="","",IFERROR(INDEX($T$4:$T$3183,MATCH(SMALL($V$4:$V$3183,2774),$V$4:$V$3183,0)),""))</f>
        <v/>
      </c>
      <c r="O2777">
        <f>IF(INDEX(Suivi!$B:$B,2830)="","",INDEX(Suivi!$B:$B,2830))</f>
        <v/>
      </c>
      <c r="P2777">
        <f>IF($O2777="","",IF(INDEX(Suivi!$D:$D,2830)="",INDEX(Suivi!$C:$C,2830),INDEX(Suivi!$D:$D,2830)))</f>
        <v/>
      </c>
      <c r="Q2777">
        <f>IF($O2777="","",INDEX(Suivi!$E:$E,2830))</f>
        <v/>
      </c>
      <c r="R2777">
        <f>IF($O2777="","",INDEX(Suivi!$F:$F,2830))</f>
        <v/>
      </c>
      <c r="S2777">
        <f>IF($O2777="","",INDEX(Suivi!$G:$G,2830))</f>
        <v/>
      </c>
      <c r="T2777">
        <f>IF($O2777="","",IF(INDEX(Dossiers!$F$4:$F$63,53)="","",INDEX(Dossiers!$F$4:$F$63,53)))</f>
        <v/>
      </c>
      <c r="U2777">
        <f>IF($O2777="","",IF(INDEX(Dossiers!$G$4:$G$63,53)="","",INDEX(Dossiers!$G$4:$G$63,53)))</f>
        <v/>
      </c>
      <c r="V2777">
        <f>IF(OR($O2777="",NOT(ISNUMBER($Q2777))),"",$Q2777*1000000+2777)</f>
        <v/>
      </c>
      <c r="W2777" s="29">
        <f>IF($B2777="","",IFERROR(INDEX($U$4:$U$3183,MATCH(SMALL($V$4:$V$3183,2774),$V$4:$V$3183,0)),""))</f>
        <v/>
      </c>
    </row>
    <row r="2778">
      <c r="A2778">
        <f>IFERROR(INDEX($N$4:$N$3183,MATCH(SMALL($V$4:$V$3183,2775),$V$4:$V$3183,0)),"")</f>
        <v/>
      </c>
      <c r="B2778">
        <f>IFERROR(INDEX($O$4:$O$3183,MATCH(SMALL($V$4:$V$3183,2775),$V$4:$V$3183,0)),"")</f>
        <v/>
      </c>
      <c r="C2778">
        <f>IFERROR(INDEX($P$4:$P$3183,MATCH(SMALL($V$4:$V$3183,2775),$V$4:$V$3183,0)),"")</f>
        <v/>
      </c>
      <c r="D2778" s="29">
        <f>IFERROR(INDEX($Q$4:$Q$3183,MATCH(SMALL($V$4:$V$3183,2775),$V$4:$V$3183,0)),"")</f>
        <v/>
      </c>
      <c r="E2778" s="29">
        <f>IFERROR(INDEX($R$4:$R$3183,MATCH(SMALL($V$4:$V$3183,2775),$V$4:$V$3183,0)),"")</f>
        <v/>
      </c>
      <c r="F2778">
        <f>IFERROR(INDEX($S$4:$S$3183,MATCH(SMALL($V$4:$V$3183,2775),$V$4:$V$3183,0)),"")</f>
        <v/>
      </c>
      <c r="I2778" s="29">
        <f>IF($B2778="","",IFERROR(INDEX($U$4:$U$3183,MATCH(SMALL($V$4:$V$3183,2775),$V$4:$V$3183,0)),""))</f>
        <v/>
      </c>
      <c r="J2778">
        <f>IF($B2778="","",IF($D2778&gt;$F$2,"À venir",IF($E2778&lt;$D$2,"Passé","Dans la période")))</f>
        <v/>
      </c>
      <c r="K2778">
        <f>IF(OR($B2778="",NOT(ISNUMBER($D2778))),"",IF(AND($E2778&lt;$D$2,$G2778&lt;&gt;"X",$F2778&lt;&gt;"Réalisé",$F2778&lt;&gt;"Clôturé"),"RETARD",""))</f>
        <v/>
      </c>
      <c r="L2778">
        <f>IF(OR($B2778="",NOT(ISNUMBER($D2778))),"",IF(AND($D2778&gt;=$D$2,$D2778&lt;=$H$2,$G2778&lt;&gt;"X",$F2778&lt;&gt;"Réalisé",$F2778&lt;&gt;"Clôturé"),"≤ 7 j",""))</f>
        <v/>
      </c>
      <c r="M2778" s="29">
        <f>IF($B2778="","",IFERROR(INDEX($T$4:$T$3183,MATCH(SMALL($V$4:$V$3183,2775),$V$4:$V$3183,0)),""))</f>
        <v/>
      </c>
      <c r="O2778">
        <f>IF(INDEX(Suivi!$B:$B,2831)="","",INDEX(Suivi!$B:$B,2831))</f>
        <v/>
      </c>
      <c r="P2778">
        <f>IF($O2778="","",IF(INDEX(Suivi!$D:$D,2831)="",INDEX(Suivi!$C:$C,2831),INDEX(Suivi!$D:$D,2831)))</f>
        <v/>
      </c>
      <c r="Q2778">
        <f>IF($O2778="","",INDEX(Suivi!$E:$E,2831))</f>
        <v/>
      </c>
      <c r="R2778">
        <f>IF($O2778="","",INDEX(Suivi!$F:$F,2831))</f>
        <v/>
      </c>
      <c r="S2778">
        <f>IF($O2778="","",INDEX(Suivi!$G:$G,2831))</f>
        <v/>
      </c>
      <c r="T2778">
        <f>IF($O2778="","",IF(INDEX(Dossiers!$F$4:$F$63,53)="","",INDEX(Dossiers!$F$4:$F$63,53)))</f>
        <v/>
      </c>
      <c r="U2778">
        <f>IF($O2778="","",IF(INDEX(Dossiers!$G$4:$G$63,53)="","",INDEX(Dossiers!$G$4:$G$63,53)))</f>
        <v/>
      </c>
      <c r="V2778">
        <f>IF(OR($O2778="",NOT(ISNUMBER($Q2778))),"",$Q2778*1000000+2778)</f>
        <v/>
      </c>
      <c r="W2778" s="29">
        <f>IF($B2778="","",IFERROR(INDEX($U$4:$U$3183,MATCH(SMALL($V$4:$V$3183,2775),$V$4:$V$3183,0)),""))</f>
        <v/>
      </c>
    </row>
    <row r="2779">
      <c r="A2779">
        <f>IFERROR(INDEX($N$4:$N$3183,MATCH(SMALL($V$4:$V$3183,2776),$V$4:$V$3183,0)),"")</f>
        <v/>
      </c>
      <c r="B2779">
        <f>IFERROR(INDEX($O$4:$O$3183,MATCH(SMALL($V$4:$V$3183,2776),$V$4:$V$3183,0)),"")</f>
        <v/>
      </c>
      <c r="C2779">
        <f>IFERROR(INDEX($P$4:$P$3183,MATCH(SMALL($V$4:$V$3183,2776),$V$4:$V$3183,0)),"")</f>
        <v/>
      </c>
      <c r="D2779" s="29">
        <f>IFERROR(INDEX($Q$4:$Q$3183,MATCH(SMALL($V$4:$V$3183,2776),$V$4:$V$3183,0)),"")</f>
        <v/>
      </c>
      <c r="E2779" s="29">
        <f>IFERROR(INDEX($R$4:$R$3183,MATCH(SMALL($V$4:$V$3183,2776),$V$4:$V$3183,0)),"")</f>
        <v/>
      </c>
      <c r="F2779">
        <f>IFERROR(INDEX($S$4:$S$3183,MATCH(SMALL($V$4:$V$3183,2776),$V$4:$V$3183,0)),"")</f>
        <v/>
      </c>
      <c r="I2779" s="29">
        <f>IF($B2779="","",IFERROR(INDEX($U$4:$U$3183,MATCH(SMALL($V$4:$V$3183,2776),$V$4:$V$3183,0)),""))</f>
        <v/>
      </c>
      <c r="J2779">
        <f>IF($B2779="","",IF($D2779&gt;$F$2,"À venir",IF($E2779&lt;$D$2,"Passé","Dans la période")))</f>
        <v/>
      </c>
      <c r="K2779">
        <f>IF(OR($B2779="",NOT(ISNUMBER($D2779))),"",IF(AND($E2779&lt;$D$2,$G2779&lt;&gt;"X",$F2779&lt;&gt;"Réalisé",$F2779&lt;&gt;"Clôturé"),"RETARD",""))</f>
        <v/>
      </c>
      <c r="L2779">
        <f>IF(OR($B2779="",NOT(ISNUMBER($D2779))),"",IF(AND($D2779&gt;=$D$2,$D2779&lt;=$H$2,$G2779&lt;&gt;"X",$F2779&lt;&gt;"Réalisé",$F2779&lt;&gt;"Clôturé"),"≤ 7 j",""))</f>
        <v/>
      </c>
      <c r="M2779" s="29">
        <f>IF($B2779="","",IFERROR(INDEX($T$4:$T$3183,MATCH(SMALL($V$4:$V$3183,2776),$V$4:$V$3183,0)),""))</f>
        <v/>
      </c>
      <c r="O2779">
        <f>IF(INDEX(Suivi!$B:$B,2832)="","",INDEX(Suivi!$B:$B,2832))</f>
        <v/>
      </c>
      <c r="P2779">
        <f>IF($O2779="","",IF(INDEX(Suivi!$D:$D,2832)="",INDEX(Suivi!$C:$C,2832),INDEX(Suivi!$D:$D,2832)))</f>
        <v/>
      </c>
      <c r="Q2779">
        <f>IF($O2779="","",INDEX(Suivi!$E:$E,2832))</f>
        <v/>
      </c>
      <c r="R2779">
        <f>IF($O2779="","",INDEX(Suivi!$F:$F,2832))</f>
        <v/>
      </c>
      <c r="S2779">
        <f>IF($O2779="","",INDEX(Suivi!$G:$G,2832))</f>
        <v/>
      </c>
      <c r="T2779">
        <f>IF($O2779="","",IF(INDEX(Dossiers!$F$4:$F$63,53)="","",INDEX(Dossiers!$F$4:$F$63,53)))</f>
        <v/>
      </c>
      <c r="U2779">
        <f>IF($O2779="","",IF(INDEX(Dossiers!$G$4:$G$63,53)="","",INDEX(Dossiers!$G$4:$G$63,53)))</f>
        <v/>
      </c>
      <c r="V2779">
        <f>IF(OR($O2779="",NOT(ISNUMBER($Q2779))),"",$Q2779*1000000+2779)</f>
        <v/>
      </c>
      <c r="W2779" s="29">
        <f>IF($B2779="","",IFERROR(INDEX($U$4:$U$3183,MATCH(SMALL($V$4:$V$3183,2776),$V$4:$V$3183,0)),""))</f>
        <v/>
      </c>
    </row>
    <row r="2780">
      <c r="A2780">
        <f>IFERROR(INDEX($N$4:$N$3183,MATCH(SMALL($V$4:$V$3183,2777),$V$4:$V$3183,0)),"")</f>
        <v/>
      </c>
      <c r="B2780">
        <f>IFERROR(INDEX($O$4:$O$3183,MATCH(SMALL($V$4:$V$3183,2777),$V$4:$V$3183,0)),"")</f>
        <v/>
      </c>
      <c r="C2780">
        <f>IFERROR(INDEX($P$4:$P$3183,MATCH(SMALL($V$4:$V$3183,2777),$V$4:$V$3183,0)),"")</f>
        <v/>
      </c>
      <c r="D2780" s="29">
        <f>IFERROR(INDEX($Q$4:$Q$3183,MATCH(SMALL($V$4:$V$3183,2777),$V$4:$V$3183,0)),"")</f>
        <v/>
      </c>
      <c r="E2780" s="29">
        <f>IFERROR(INDEX($R$4:$R$3183,MATCH(SMALL($V$4:$V$3183,2777),$V$4:$V$3183,0)),"")</f>
        <v/>
      </c>
      <c r="F2780">
        <f>IFERROR(INDEX($S$4:$S$3183,MATCH(SMALL($V$4:$V$3183,2777),$V$4:$V$3183,0)),"")</f>
        <v/>
      </c>
      <c r="I2780" s="29">
        <f>IF($B2780="","",IFERROR(INDEX($U$4:$U$3183,MATCH(SMALL($V$4:$V$3183,2777),$V$4:$V$3183,0)),""))</f>
        <v/>
      </c>
      <c r="J2780">
        <f>IF($B2780="","",IF($D2780&gt;$F$2,"À venir",IF($E2780&lt;$D$2,"Passé","Dans la période")))</f>
        <v/>
      </c>
      <c r="K2780">
        <f>IF(OR($B2780="",NOT(ISNUMBER($D2780))),"",IF(AND($E2780&lt;$D$2,$G2780&lt;&gt;"X",$F2780&lt;&gt;"Réalisé",$F2780&lt;&gt;"Clôturé"),"RETARD",""))</f>
        <v/>
      </c>
      <c r="L2780">
        <f>IF(OR($B2780="",NOT(ISNUMBER($D2780))),"",IF(AND($D2780&gt;=$D$2,$D2780&lt;=$H$2,$G2780&lt;&gt;"X",$F2780&lt;&gt;"Réalisé",$F2780&lt;&gt;"Clôturé"),"≤ 7 j",""))</f>
        <v/>
      </c>
      <c r="M2780" s="29">
        <f>IF($B2780="","",IFERROR(INDEX($T$4:$T$3183,MATCH(SMALL($V$4:$V$3183,2777),$V$4:$V$3183,0)),""))</f>
        <v/>
      </c>
      <c r="O2780">
        <f>IF(INDEX(Suivi!$B:$B,2833)="","",INDEX(Suivi!$B:$B,2833))</f>
        <v/>
      </c>
      <c r="P2780">
        <f>IF($O2780="","",IF(INDEX(Suivi!$D:$D,2833)="",INDEX(Suivi!$C:$C,2833),INDEX(Suivi!$D:$D,2833)))</f>
        <v/>
      </c>
      <c r="Q2780">
        <f>IF($O2780="","",INDEX(Suivi!$E:$E,2833))</f>
        <v/>
      </c>
      <c r="R2780">
        <f>IF($O2780="","",INDEX(Suivi!$F:$F,2833))</f>
        <v/>
      </c>
      <c r="S2780">
        <f>IF($O2780="","",INDEX(Suivi!$G:$G,2833))</f>
        <v/>
      </c>
      <c r="T2780">
        <f>IF($O2780="","",IF(INDEX(Dossiers!$F$4:$F$63,53)="","",INDEX(Dossiers!$F$4:$F$63,53)))</f>
        <v/>
      </c>
      <c r="U2780">
        <f>IF($O2780="","",IF(INDEX(Dossiers!$G$4:$G$63,53)="","",INDEX(Dossiers!$G$4:$G$63,53)))</f>
        <v/>
      </c>
      <c r="V2780">
        <f>IF(OR($O2780="",NOT(ISNUMBER($Q2780))),"",$Q2780*1000000+2780)</f>
        <v/>
      </c>
      <c r="W2780" s="29">
        <f>IF($B2780="","",IFERROR(INDEX($U$4:$U$3183,MATCH(SMALL($V$4:$V$3183,2777),$V$4:$V$3183,0)),""))</f>
        <v/>
      </c>
    </row>
    <row r="2781">
      <c r="A2781">
        <f>IFERROR(INDEX($N$4:$N$3183,MATCH(SMALL($V$4:$V$3183,2778),$V$4:$V$3183,0)),"")</f>
        <v/>
      </c>
      <c r="B2781">
        <f>IFERROR(INDEX($O$4:$O$3183,MATCH(SMALL($V$4:$V$3183,2778),$V$4:$V$3183,0)),"")</f>
        <v/>
      </c>
      <c r="C2781">
        <f>IFERROR(INDEX($P$4:$P$3183,MATCH(SMALL($V$4:$V$3183,2778),$V$4:$V$3183,0)),"")</f>
        <v/>
      </c>
      <c r="D2781" s="29">
        <f>IFERROR(INDEX($Q$4:$Q$3183,MATCH(SMALL($V$4:$V$3183,2778),$V$4:$V$3183,0)),"")</f>
        <v/>
      </c>
      <c r="E2781" s="29">
        <f>IFERROR(INDEX($R$4:$R$3183,MATCH(SMALL($V$4:$V$3183,2778),$V$4:$V$3183,0)),"")</f>
        <v/>
      </c>
      <c r="F2781">
        <f>IFERROR(INDEX($S$4:$S$3183,MATCH(SMALL($V$4:$V$3183,2778),$V$4:$V$3183,0)),"")</f>
        <v/>
      </c>
      <c r="I2781" s="29">
        <f>IF($B2781="","",IFERROR(INDEX($U$4:$U$3183,MATCH(SMALL($V$4:$V$3183,2778),$V$4:$V$3183,0)),""))</f>
        <v/>
      </c>
      <c r="J2781">
        <f>IF($B2781="","",IF($D2781&gt;$F$2,"À venir",IF($E2781&lt;$D$2,"Passé","Dans la période")))</f>
        <v/>
      </c>
      <c r="K2781">
        <f>IF(OR($B2781="",NOT(ISNUMBER($D2781))),"",IF(AND($E2781&lt;$D$2,$G2781&lt;&gt;"X",$F2781&lt;&gt;"Réalisé",$F2781&lt;&gt;"Clôturé"),"RETARD",""))</f>
        <v/>
      </c>
      <c r="L2781">
        <f>IF(OR($B2781="",NOT(ISNUMBER($D2781))),"",IF(AND($D2781&gt;=$D$2,$D2781&lt;=$H$2,$G2781&lt;&gt;"X",$F2781&lt;&gt;"Réalisé",$F2781&lt;&gt;"Clôturé"),"≤ 7 j",""))</f>
        <v/>
      </c>
      <c r="M2781" s="29">
        <f>IF($B2781="","",IFERROR(INDEX($T$4:$T$3183,MATCH(SMALL($V$4:$V$3183,2778),$V$4:$V$3183,0)),""))</f>
        <v/>
      </c>
      <c r="O2781">
        <f>IF(INDEX(Suivi!$B:$B,2834)="","",INDEX(Suivi!$B:$B,2834))</f>
        <v/>
      </c>
      <c r="P2781">
        <f>IF($O2781="","",IF(INDEX(Suivi!$D:$D,2834)="",INDEX(Suivi!$C:$C,2834),INDEX(Suivi!$D:$D,2834)))</f>
        <v/>
      </c>
      <c r="Q2781">
        <f>IF($O2781="","",INDEX(Suivi!$E:$E,2834))</f>
        <v/>
      </c>
      <c r="R2781">
        <f>IF($O2781="","",INDEX(Suivi!$F:$F,2834))</f>
        <v/>
      </c>
      <c r="S2781">
        <f>IF($O2781="","",INDEX(Suivi!$G:$G,2834))</f>
        <v/>
      </c>
      <c r="T2781">
        <f>IF($O2781="","",IF(INDEX(Dossiers!$F$4:$F$63,53)="","",INDEX(Dossiers!$F$4:$F$63,53)))</f>
        <v/>
      </c>
      <c r="U2781">
        <f>IF($O2781="","",IF(INDEX(Dossiers!$G$4:$G$63,53)="","",INDEX(Dossiers!$G$4:$G$63,53)))</f>
        <v/>
      </c>
      <c r="V2781">
        <f>IF(OR($O2781="",NOT(ISNUMBER($Q2781))),"",$Q2781*1000000+2781)</f>
        <v/>
      </c>
      <c r="W2781" s="29">
        <f>IF($B2781="","",IFERROR(INDEX($U$4:$U$3183,MATCH(SMALL($V$4:$V$3183,2778),$V$4:$V$3183,0)),""))</f>
        <v/>
      </c>
    </row>
    <row r="2782">
      <c r="A2782">
        <f>IFERROR(INDEX($N$4:$N$3183,MATCH(SMALL($V$4:$V$3183,2779),$V$4:$V$3183,0)),"")</f>
        <v/>
      </c>
      <c r="B2782">
        <f>IFERROR(INDEX($O$4:$O$3183,MATCH(SMALL($V$4:$V$3183,2779),$V$4:$V$3183,0)),"")</f>
        <v/>
      </c>
      <c r="C2782">
        <f>IFERROR(INDEX($P$4:$P$3183,MATCH(SMALL($V$4:$V$3183,2779),$V$4:$V$3183,0)),"")</f>
        <v/>
      </c>
      <c r="D2782" s="29">
        <f>IFERROR(INDEX($Q$4:$Q$3183,MATCH(SMALL($V$4:$V$3183,2779),$V$4:$V$3183,0)),"")</f>
        <v/>
      </c>
      <c r="E2782" s="29">
        <f>IFERROR(INDEX($R$4:$R$3183,MATCH(SMALL($V$4:$V$3183,2779),$V$4:$V$3183,0)),"")</f>
        <v/>
      </c>
      <c r="F2782">
        <f>IFERROR(INDEX($S$4:$S$3183,MATCH(SMALL($V$4:$V$3183,2779),$V$4:$V$3183,0)),"")</f>
        <v/>
      </c>
      <c r="I2782" s="29">
        <f>IF($B2782="","",IFERROR(INDEX($U$4:$U$3183,MATCH(SMALL($V$4:$V$3183,2779),$V$4:$V$3183,0)),""))</f>
        <v/>
      </c>
      <c r="J2782">
        <f>IF($B2782="","",IF($D2782&gt;$F$2,"À venir",IF($E2782&lt;$D$2,"Passé","Dans la période")))</f>
        <v/>
      </c>
      <c r="K2782">
        <f>IF(OR($B2782="",NOT(ISNUMBER($D2782))),"",IF(AND($E2782&lt;$D$2,$G2782&lt;&gt;"X",$F2782&lt;&gt;"Réalisé",$F2782&lt;&gt;"Clôturé"),"RETARD",""))</f>
        <v/>
      </c>
      <c r="L2782">
        <f>IF(OR($B2782="",NOT(ISNUMBER($D2782))),"",IF(AND($D2782&gt;=$D$2,$D2782&lt;=$H$2,$G2782&lt;&gt;"X",$F2782&lt;&gt;"Réalisé",$F2782&lt;&gt;"Clôturé"),"≤ 7 j",""))</f>
        <v/>
      </c>
      <c r="M2782" s="29">
        <f>IF($B2782="","",IFERROR(INDEX($T$4:$T$3183,MATCH(SMALL($V$4:$V$3183,2779),$V$4:$V$3183,0)),""))</f>
        <v/>
      </c>
      <c r="O2782">
        <f>IF(INDEX(Suivi!$B:$B,2835)="","",INDEX(Suivi!$B:$B,2835))</f>
        <v/>
      </c>
      <c r="P2782">
        <f>IF($O2782="","",IF(INDEX(Suivi!$D:$D,2835)="",INDEX(Suivi!$C:$C,2835),INDEX(Suivi!$D:$D,2835)))</f>
        <v/>
      </c>
      <c r="Q2782">
        <f>IF($O2782="","",INDEX(Suivi!$E:$E,2835))</f>
        <v/>
      </c>
      <c r="R2782">
        <f>IF($O2782="","",INDEX(Suivi!$F:$F,2835))</f>
        <v/>
      </c>
      <c r="S2782">
        <f>IF($O2782="","",INDEX(Suivi!$G:$G,2835))</f>
        <v/>
      </c>
      <c r="T2782">
        <f>IF($O2782="","",IF(INDEX(Dossiers!$F$4:$F$63,53)="","",INDEX(Dossiers!$F$4:$F$63,53)))</f>
        <v/>
      </c>
      <c r="U2782">
        <f>IF($O2782="","",IF(INDEX(Dossiers!$G$4:$G$63,53)="","",INDEX(Dossiers!$G$4:$G$63,53)))</f>
        <v/>
      </c>
      <c r="V2782">
        <f>IF(OR($O2782="",NOT(ISNUMBER($Q2782))),"",$Q2782*1000000+2782)</f>
        <v/>
      </c>
      <c r="W2782" s="29">
        <f>IF($B2782="","",IFERROR(INDEX($U$4:$U$3183,MATCH(SMALL($V$4:$V$3183,2779),$V$4:$V$3183,0)),""))</f>
        <v/>
      </c>
    </row>
    <row r="2783">
      <c r="A2783">
        <f>IFERROR(INDEX($N$4:$N$3183,MATCH(SMALL($V$4:$V$3183,2780),$V$4:$V$3183,0)),"")</f>
        <v/>
      </c>
      <c r="B2783">
        <f>IFERROR(INDEX($O$4:$O$3183,MATCH(SMALL($V$4:$V$3183,2780),$V$4:$V$3183,0)),"")</f>
        <v/>
      </c>
      <c r="C2783">
        <f>IFERROR(INDEX($P$4:$P$3183,MATCH(SMALL($V$4:$V$3183,2780),$V$4:$V$3183,0)),"")</f>
        <v/>
      </c>
      <c r="D2783" s="29">
        <f>IFERROR(INDEX($Q$4:$Q$3183,MATCH(SMALL($V$4:$V$3183,2780),$V$4:$V$3183,0)),"")</f>
        <v/>
      </c>
      <c r="E2783" s="29">
        <f>IFERROR(INDEX($R$4:$R$3183,MATCH(SMALL($V$4:$V$3183,2780),$V$4:$V$3183,0)),"")</f>
        <v/>
      </c>
      <c r="F2783">
        <f>IFERROR(INDEX($S$4:$S$3183,MATCH(SMALL($V$4:$V$3183,2780),$V$4:$V$3183,0)),"")</f>
        <v/>
      </c>
      <c r="I2783" s="29">
        <f>IF($B2783="","",IFERROR(INDEX($U$4:$U$3183,MATCH(SMALL($V$4:$V$3183,2780),$V$4:$V$3183,0)),""))</f>
        <v/>
      </c>
      <c r="J2783">
        <f>IF($B2783="","",IF($D2783&gt;$F$2,"À venir",IF($E2783&lt;$D$2,"Passé","Dans la période")))</f>
        <v/>
      </c>
      <c r="K2783">
        <f>IF(OR($B2783="",NOT(ISNUMBER($D2783))),"",IF(AND($E2783&lt;$D$2,$G2783&lt;&gt;"X",$F2783&lt;&gt;"Réalisé",$F2783&lt;&gt;"Clôturé"),"RETARD",""))</f>
        <v/>
      </c>
      <c r="L2783">
        <f>IF(OR($B2783="",NOT(ISNUMBER($D2783))),"",IF(AND($D2783&gt;=$D$2,$D2783&lt;=$H$2,$G2783&lt;&gt;"X",$F2783&lt;&gt;"Réalisé",$F2783&lt;&gt;"Clôturé"),"≤ 7 j",""))</f>
        <v/>
      </c>
      <c r="M2783" s="29">
        <f>IF($B2783="","",IFERROR(INDEX($T$4:$T$3183,MATCH(SMALL($V$4:$V$3183,2780),$V$4:$V$3183,0)),""))</f>
        <v/>
      </c>
      <c r="O2783">
        <f>IF(INDEX(Suivi!$B:$B,2836)="","",INDEX(Suivi!$B:$B,2836))</f>
        <v/>
      </c>
      <c r="P2783">
        <f>IF($O2783="","",IF(INDEX(Suivi!$D:$D,2836)="",INDEX(Suivi!$C:$C,2836),INDEX(Suivi!$D:$D,2836)))</f>
        <v/>
      </c>
      <c r="Q2783">
        <f>IF($O2783="","",INDEX(Suivi!$E:$E,2836))</f>
        <v/>
      </c>
      <c r="R2783">
        <f>IF($O2783="","",INDEX(Suivi!$F:$F,2836))</f>
        <v/>
      </c>
      <c r="S2783">
        <f>IF($O2783="","",INDEX(Suivi!$G:$G,2836))</f>
        <v/>
      </c>
      <c r="T2783">
        <f>IF($O2783="","",IF(INDEX(Dossiers!$F$4:$F$63,53)="","",INDEX(Dossiers!$F$4:$F$63,53)))</f>
        <v/>
      </c>
      <c r="U2783">
        <f>IF($O2783="","",IF(INDEX(Dossiers!$G$4:$G$63,53)="","",INDEX(Dossiers!$G$4:$G$63,53)))</f>
        <v/>
      </c>
      <c r="V2783">
        <f>IF(OR($O2783="",NOT(ISNUMBER($Q2783))),"",$Q2783*1000000+2783)</f>
        <v/>
      </c>
      <c r="W2783" s="29">
        <f>IF($B2783="","",IFERROR(INDEX($U$4:$U$3183,MATCH(SMALL($V$4:$V$3183,2780),$V$4:$V$3183,0)),""))</f>
        <v/>
      </c>
    </row>
    <row r="2784">
      <c r="A2784">
        <f>IFERROR(INDEX($N$4:$N$3183,MATCH(SMALL($V$4:$V$3183,2781),$V$4:$V$3183,0)),"")</f>
        <v/>
      </c>
      <c r="B2784">
        <f>IFERROR(INDEX($O$4:$O$3183,MATCH(SMALL($V$4:$V$3183,2781),$V$4:$V$3183,0)),"")</f>
        <v/>
      </c>
      <c r="C2784">
        <f>IFERROR(INDEX($P$4:$P$3183,MATCH(SMALL($V$4:$V$3183,2781),$V$4:$V$3183,0)),"")</f>
        <v/>
      </c>
      <c r="D2784" s="29">
        <f>IFERROR(INDEX($Q$4:$Q$3183,MATCH(SMALL($V$4:$V$3183,2781),$V$4:$V$3183,0)),"")</f>
        <v/>
      </c>
      <c r="E2784" s="29">
        <f>IFERROR(INDEX($R$4:$R$3183,MATCH(SMALL($V$4:$V$3183,2781),$V$4:$V$3183,0)),"")</f>
        <v/>
      </c>
      <c r="F2784">
        <f>IFERROR(INDEX($S$4:$S$3183,MATCH(SMALL($V$4:$V$3183,2781),$V$4:$V$3183,0)),"")</f>
        <v/>
      </c>
      <c r="I2784" s="29">
        <f>IF($B2784="","",IFERROR(INDEX($U$4:$U$3183,MATCH(SMALL($V$4:$V$3183,2781),$V$4:$V$3183,0)),""))</f>
        <v/>
      </c>
      <c r="J2784">
        <f>IF($B2784="","",IF($D2784&gt;$F$2,"À venir",IF($E2784&lt;$D$2,"Passé","Dans la période")))</f>
        <v/>
      </c>
      <c r="K2784">
        <f>IF(OR($B2784="",NOT(ISNUMBER($D2784))),"",IF(AND($E2784&lt;$D$2,$G2784&lt;&gt;"X",$F2784&lt;&gt;"Réalisé",$F2784&lt;&gt;"Clôturé"),"RETARD",""))</f>
        <v/>
      </c>
      <c r="L2784">
        <f>IF(OR($B2784="",NOT(ISNUMBER($D2784))),"",IF(AND($D2784&gt;=$D$2,$D2784&lt;=$H$2,$G2784&lt;&gt;"X",$F2784&lt;&gt;"Réalisé",$F2784&lt;&gt;"Clôturé"),"≤ 7 j",""))</f>
        <v/>
      </c>
      <c r="M2784" s="29">
        <f>IF($B2784="","",IFERROR(INDEX($T$4:$T$3183,MATCH(SMALL($V$4:$V$3183,2781),$V$4:$V$3183,0)),""))</f>
        <v/>
      </c>
      <c r="O2784">
        <f>IF(INDEX(Suivi!$B:$B,2837)="","",INDEX(Suivi!$B:$B,2837))</f>
        <v/>
      </c>
      <c r="P2784">
        <f>IF($O2784="","",IF(INDEX(Suivi!$D:$D,2837)="",INDEX(Suivi!$C:$C,2837),INDEX(Suivi!$D:$D,2837)))</f>
        <v/>
      </c>
      <c r="Q2784">
        <f>IF($O2784="","",INDEX(Suivi!$E:$E,2837))</f>
        <v/>
      </c>
      <c r="R2784">
        <f>IF($O2784="","",INDEX(Suivi!$F:$F,2837))</f>
        <v/>
      </c>
      <c r="S2784">
        <f>IF($O2784="","",INDEX(Suivi!$G:$G,2837))</f>
        <v/>
      </c>
      <c r="T2784">
        <f>IF($O2784="","",IF(INDEX(Dossiers!$F$4:$F$63,53)="","",INDEX(Dossiers!$F$4:$F$63,53)))</f>
        <v/>
      </c>
      <c r="U2784">
        <f>IF($O2784="","",IF(INDEX(Dossiers!$G$4:$G$63,53)="","",INDEX(Dossiers!$G$4:$G$63,53)))</f>
        <v/>
      </c>
      <c r="V2784">
        <f>IF(OR($O2784="",NOT(ISNUMBER($Q2784))),"",$Q2784*1000000+2784)</f>
        <v/>
      </c>
      <c r="W2784" s="29">
        <f>IF($B2784="","",IFERROR(INDEX($U$4:$U$3183,MATCH(SMALL($V$4:$V$3183,2781),$V$4:$V$3183,0)),""))</f>
        <v/>
      </c>
    </row>
    <row r="2785">
      <c r="A2785">
        <f>IFERROR(INDEX($N$4:$N$3183,MATCH(SMALL($V$4:$V$3183,2782),$V$4:$V$3183,0)),"")</f>
        <v/>
      </c>
      <c r="B2785">
        <f>IFERROR(INDEX($O$4:$O$3183,MATCH(SMALL($V$4:$V$3183,2782),$V$4:$V$3183,0)),"")</f>
        <v/>
      </c>
      <c r="C2785">
        <f>IFERROR(INDEX($P$4:$P$3183,MATCH(SMALL($V$4:$V$3183,2782),$V$4:$V$3183,0)),"")</f>
        <v/>
      </c>
      <c r="D2785" s="29">
        <f>IFERROR(INDEX($Q$4:$Q$3183,MATCH(SMALL($V$4:$V$3183,2782),$V$4:$V$3183,0)),"")</f>
        <v/>
      </c>
      <c r="E2785" s="29">
        <f>IFERROR(INDEX($R$4:$R$3183,MATCH(SMALL($V$4:$V$3183,2782),$V$4:$V$3183,0)),"")</f>
        <v/>
      </c>
      <c r="F2785">
        <f>IFERROR(INDEX($S$4:$S$3183,MATCH(SMALL($V$4:$V$3183,2782),$V$4:$V$3183,0)),"")</f>
        <v/>
      </c>
      <c r="I2785" s="29">
        <f>IF($B2785="","",IFERROR(INDEX($U$4:$U$3183,MATCH(SMALL($V$4:$V$3183,2782),$V$4:$V$3183,0)),""))</f>
        <v/>
      </c>
      <c r="J2785">
        <f>IF($B2785="","",IF($D2785&gt;$F$2,"À venir",IF($E2785&lt;$D$2,"Passé","Dans la période")))</f>
        <v/>
      </c>
      <c r="K2785">
        <f>IF(OR($B2785="",NOT(ISNUMBER($D2785))),"",IF(AND($E2785&lt;$D$2,$G2785&lt;&gt;"X",$F2785&lt;&gt;"Réalisé",$F2785&lt;&gt;"Clôturé"),"RETARD",""))</f>
        <v/>
      </c>
      <c r="L2785">
        <f>IF(OR($B2785="",NOT(ISNUMBER($D2785))),"",IF(AND($D2785&gt;=$D$2,$D2785&lt;=$H$2,$G2785&lt;&gt;"X",$F2785&lt;&gt;"Réalisé",$F2785&lt;&gt;"Clôturé"),"≤ 7 j",""))</f>
        <v/>
      </c>
      <c r="M2785" s="29">
        <f>IF($B2785="","",IFERROR(INDEX($T$4:$T$3183,MATCH(SMALL($V$4:$V$3183,2782),$V$4:$V$3183,0)),""))</f>
        <v/>
      </c>
      <c r="O2785">
        <f>IF(INDEX(Suivi!$B:$B,2838)="","",INDEX(Suivi!$B:$B,2838))</f>
        <v/>
      </c>
      <c r="P2785">
        <f>IF($O2785="","",IF(INDEX(Suivi!$D:$D,2838)="",INDEX(Suivi!$C:$C,2838),INDEX(Suivi!$D:$D,2838)))</f>
        <v/>
      </c>
      <c r="Q2785">
        <f>IF($O2785="","",INDEX(Suivi!$E:$E,2838))</f>
        <v/>
      </c>
      <c r="R2785">
        <f>IF($O2785="","",INDEX(Suivi!$F:$F,2838))</f>
        <v/>
      </c>
      <c r="S2785">
        <f>IF($O2785="","",INDEX(Suivi!$G:$G,2838))</f>
        <v/>
      </c>
      <c r="T2785">
        <f>IF($O2785="","",IF(INDEX(Dossiers!$F$4:$F$63,53)="","",INDEX(Dossiers!$F$4:$F$63,53)))</f>
        <v/>
      </c>
      <c r="U2785">
        <f>IF($O2785="","",IF(INDEX(Dossiers!$G$4:$G$63,53)="","",INDEX(Dossiers!$G$4:$G$63,53)))</f>
        <v/>
      </c>
      <c r="V2785">
        <f>IF(OR($O2785="",NOT(ISNUMBER($Q2785))),"",$Q2785*1000000+2785)</f>
        <v/>
      </c>
      <c r="W2785" s="29">
        <f>IF($B2785="","",IFERROR(INDEX($U$4:$U$3183,MATCH(SMALL($V$4:$V$3183,2782),$V$4:$V$3183,0)),""))</f>
        <v/>
      </c>
    </row>
    <row r="2786">
      <c r="A2786">
        <f>IFERROR(INDEX($N$4:$N$3183,MATCH(SMALL($V$4:$V$3183,2783),$V$4:$V$3183,0)),"")</f>
        <v/>
      </c>
      <c r="B2786">
        <f>IFERROR(INDEX($O$4:$O$3183,MATCH(SMALL($V$4:$V$3183,2783),$V$4:$V$3183,0)),"")</f>
        <v/>
      </c>
      <c r="C2786">
        <f>IFERROR(INDEX($P$4:$P$3183,MATCH(SMALL($V$4:$V$3183,2783),$V$4:$V$3183,0)),"")</f>
        <v/>
      </c>
      <c r="D2786" s="29">
        <f>IFERROR(INDEX($Q$4:$Q$3183,MATCH(SMALL($V$4:$V$3183,2783),$V$4:$V$3183,0)),"")</f>
        <v/>
      </c>
      <c r="E2786" s="29">
        <f>IFERROR(INDEX($R$4:$R$3183,MATCH(SMALL($V$4:$V$3183,2783),$V$4:$V$3183,0)),"")</f>
        <v/>
      </c>
      <c r="F2786">
        <f>IFERROR(INDEX($S$4:$S$3183,MATCH(SMALL($V$4:$V$3183,2783),$V$4:$V$3183,0)),"")</f>
        <v/>
      </c>
      <c r="I2786" s="29">
        <f>IF($B2786="","",IFERROR(INDEX($U$4:$U$3183,MATCH(SMALL($V$4:$V$3183,2783),$V$4:$V$3183,0)),""))</f>
        <v/>
      </c>
      <c r="J2786">
        <f>IF($B2786="","",IF($D2786&gt;$F$2,"À venir",IF($E2786&lt;$D$2,"Passé","Dans la période")))</f>
        <v/>
      </c>
      <c r="K2786">
        <f>IF(OR($B2786="",NOT(ISNUMBER($D2786))),"",IF(AND($E2786&lt;$D$2,$G2786&lt;&gt;"X",$F2786&lt;&gt;"Réalisé",$F2786&lt;&gt;"Clôturé"),"RETARD",""))</f>
        <v/>
      </c>
      <c r="L2786">
        <f>IF(OR($B2786="",NOT(ISNUMBER($D2786))),"",IF(AND($D2786&gt;=$D$2,$D2786&lt;=$H$2,$G2786&lt;&gt;"X",$F2786&lt;&gt;"Réalisé",$F2786&lt;&gt;"Clôturé"),"≤ 7 j",""))</f>
        <v/>
      </c>
      <c r="M2786" s="29">
        <f>IF($B2786="","",IFERROR(INDEX($T$4:$T$3183,MATCH(SMALL($V$4:$V$3183,2783),$V$4:$V$3183,0)),""))</f>
        <v/>
      </c>
      <c r="O2786">
        <f>IF(INDEX(Suivi!$B:$B,2839)="","",INDEX(Suivi!$B:$B,2839))</f>
        <v/>
      </c>
      <c r="P2786">
        <f>IF($O2786="","",IF(INDEX(Suivi!$D:$D,2839)="",INDEX(Suivi!$C:$C,2839),INDEX(Suivi!$D:$D,2839)))</f>
        <v/>
      </c>
      <c r="Q2786">
        <f>IF($O2786="","",INDEX(Suivi!$E:$E,2839))</f>
        <v/>
      </c>
      <c r="R2786">
        <f>IF($O2786="","",INDEX(Suivi!$F:$F,2839))</f>
        <v/>
      </c>
      <c r="S2786">
        <f>IF($O2786="","",INDEX(Suivi!$G:$G,2839))</f>
        <v/>
      </c>
      <c r="T2786">
        <f>IF($O2786="","",IF(INDEX(Dossiers!$F$4:$F$63,53)="","",INDEX(Dossiers!$F$4:$F$63,53)))</f>
        <v/>
      </c>
      <c r="U2786">
        <f>IF($O2786="","",IF(INDEX(Dossiers!$G$4:$G$63,53)="","",INDEX(Dossiers!$G$4:$G$63,53)))</f>
        <v/>
      </c>
      <c r="V2786">
        <f>IF(OR($O2786="",NOT(ISNUMBER($Q2786))),"",$Q2786*1000000+2786)</f>
        <v/>
      </c>
      <c r="W2786" s="29">
        <f>IF($B2786="","",IFERROR(INDEX($U$4:$U$3183,MATCH(SMALL($V$4:$V$3183,2783),$V$4:$V$3183,0)),""))</f>
        <v/>
      </c>
    </row>
    <row r="2787">
      <c r="A2787">
        <f>IFERROR(INDEX($N$4:$N$3183,MATCH(SMALL($V$4:$V$3183,2784),$V$4:$V$3183,0)),"")</f>
        <v/>
      </c>
      <c r="B2787">
        <f>IFERROR(INDEX($O$4:$O$3183,MATCH(SMALL($V$4:$V$3183,2784),$V$4:$V$3183,0)),"")</f>
        <v/>
      </c>
      <c r="C2787">
        <f>IFERROR(INDEX($P$4:$P$3183,MATCH(SMALL($V$4:$V$3183,2784),$V$4:$V$3183,0)),"")</f>
        <v/>
      </c>
      <c r="D2787" s="29">
        <f>IFERROR(INDEX($Q$4:$Q$3183,MATCH(SMALL($V$4:$V$3183,2784),$V$4:$V$3183,0)),"")</f>
        <v/>
      </c>
      <c r="E2787" s="29">
        <f>IFERROR(INDEX($R$4:$R$3183,MATCH(SMALL($V$4:$V$3183,2784),$V$4:$V$3183,0)),"")</f>
        <v/>
      </c>
      <c r="F2787">
        <f>IFERROR(INDEX($S$4:$S$3183,MATCH(SMALL($V$4:$V$3183,2784),$V$4:$V$3183,0)),"")</f>
        <v/>
      </c>
      <c r="I2787" s="29">
        <f>IF($B2787="","",IFERROR(INDEX($U$4:$U$3183,MATCH(SMALL($V$4:$V$3183,2784),$V$4:$V$3183,0)),""))</f>
        <v/>
      </c>
      <c r="J2787">
        <f>IF($B2787="","",IF($D2787&gt;$F$2,"À venir",IF($E2787&lt;$D$2,"Passé","Dans la période")))</f>
        <v/>
      </c>
      <c r="K2787">
        <f>IF(OR($B2787="",NOT(ISNUMBER($D2787))),"",IF(AND($E2787&lt;$D$2,$G2787&lt;&gt;"X",$F2787&lt;&gt;"Réalisé",$F2787&lt;&gt;"Clôturé"),"RETARD",""))</f>
        <v/>
      </c>
      <c r="L2787">
        <f>IF(OR($B2787="",NOT(ISNUMBER($D2787))),"",IF(AND($D2787&gt;=$D$2,$D2787&lt;=$H$2,$G2787&lt;&gt;"X",$F2787&lt;&gt;"Réalisé",$F2787&lt;&gt;"Clôturé"),"≤ 7 j",""))</f>
        <v/>
      </c>
      <c r="M2787" s="29">
        <f>IF($B2787="","",IFERROR(INDEX($T$4:$T$3183,MATCH(SMALL($V$4:$V$3183,2784),$V$4:$V$3183,0)),""))</f>
        <v/>
      </c>
      <c r="O2787">
        <f>IF(INDEX(Suivi!$B:$B,2840)="","",INDEX(Suivi!$B:$B,2840))</f>
        <v/>
      </c>
      <c r="P2787">
        <f>IF($O2787="","",IF(INDEX(Suivi!$D:$D,2840)="",INDEX(Suivi!$C:$C,2840),INDEX(Suivi!$D:$D,2840)))</f>
        <v/>
      </c>
      <c r="Q2787">
        <f>IF($O2787="","",INDEX(Suivi!$E:$E,2840))</f>
        <v/>
      </c>
      <c r="R2787">
        <f>IF($O2787="","",INDEX(Suivi!$F:$F,2840))</f>
        <v/>
      </c>
      <c r="S2787">
        <f>IF($O2787="","",INDEX(Suivi!$G:$G,2840))</f>
        <v/>
      </c>
      <c r="T2787">
        <f>IF($O2787="","",IF(INDEX(Dossiers!$F$4:$F$63,53)="","",INDEX(Dossiers!$F$4:$F$63,53)))</f>
        <v/>
      </c>
      <c r="U2787">
        <f>IF($O2787="","",IF(INDEX(Dossiers!$G$4:$G$63,53)="","",INDEX(Dossiers!$G$4:$G$63,53)))</f>
        <v/>
      </c>
      <c r="V2787">
        <f>IF(OR($O2787="",NOT(ISNUMBER($Q2787))),"",$Q2787*1000000+2787)</f>
        <v/>
      </c>
      <c r="W2787" s="29">
        <f>IF($B2787="","",IFERROR(INDEX($U$4:$U$3183,MATCH(SMALL($V$4:$V$3183,2784),$V$4:$V$3183,0)),""))</f>
        <v/>
      </c>
    </row>
    <row r="2788">
      <c r="A2788">
        <f>IFERROR(INDEX($N$4:$N$3183,MATCH(SMALL($V$4:$V$3183,2785),$V$4:$V$3183,0)),"")</f>
        <v/>
      </c>
      <c r="B2788">
        <f>IFERROR(INDEX($O$4:$O$3183,MATCH(SMALL($V$4:$V$3183,2785),$V$4:$V$3183,0)),"")</f>
        <v/>
      </c>
      <c r="C2788">
        <f>IFERROR(INDEX($P$4:$P$3183,MATCH(SMALL($V$4:$V$3183,2785),$V$4:$V$3183,0)),"")</f>
        <v/>
      </c>
      <c r="D2788" s="29">
        <f>IFERROR(INDEX($Q$4:$Q$3183,MATCH(SMALL($V$4:$V$3183,2785),$V$4:$V$3183,0)),"")</f>
        <v/>
      </c>
      <c r="E2788" s="29">
        <f>IFERROR(INDEX($R$4:$R$3183,MATCH(SMALL($V$4:$V$3183,2785),$V$4:$V$3183,0)),"")</f>
        <v/>
      </c>
      <c r="F2788">
        <f>IFERROR(INDEX($S$4:$S$3183,MATCH(SMALL($V$4:$V$3183,2785),$V$4:$V$3183,0)),"")</f>
        <v/>
      </c>
      <c r="I2788" s="29">
        <f>IF($B2788="","",IFERROR(INDEX($U$4:$U$3183,MATCH(SMALL($V$4:$V$3183,2785),$V$4:$V$3183,0)),""))</f>
        <v/>
      </c>
      <c r="J2788">
        <f>IF($B2788="","",IF($D2788&gt;$F$2,"À venir",IF($E2788&lt;$D$2,"Passé","Dans la période")))</f>
        <v/>
      </c>
      <c r="K2788">
        <f>IF(OR($B2788="",NOT(ISNUMBER($D2788))),"",IF(AND($E2788&lt;$D$2,$G2788&lt;&gt;"X",$F2788&lt;&gt;"Réalisé",$F2788&lt;&gt;"Clôturé"),"RETARD",""))</f>
        <v/>
      </c>
      <c r="L2788">
        <f>IF(OR($B2788="",NOT(ISNUMBER($D2788))),"",IF(AND($D2788&gt;=$D$2,$D2788&lt;=$H$2,$G2788&lt;&gt;"X",$F2788&lt;&gt;"Réalisé",$F2788&lt;&gt;"Clôturé"),"≤ 7 j",""))</f>
        <v/>
      </c>
      <c r="M2788" s="29">
        <f>IF($B2788="","",IFERROR(INDEX($T$4:$T$3183,MATCH(SMALL($V$4:$V$3183,2785),$V$4:$V$3183,0)),""))</f>
        <v/>
      </c>
      <c r="O2788">
        <f>IF(INDEX(Suivi!$B:$B,2841)="","",INDEX(Suivi!$B:$B,2841))</f>
        <v/>
      </c>
      <c r="P2788">
        <f>IF($O2788="","",IF(INDEX(Suivi!$D:$D,2841)="",INDEX(Suivi!$C:$C,2841),INDEX(Suivi!$D:$D,2841)))</f>
        <v/>
      </c>
      <c r="Q2788">
        <f>IF($O2788="","",INDEX(Suivi!$E:$E,2841))</f>
        <v/>
      </c>
      <c r="R2788">
        <f>IF($O2788="","",INDEX(Suivi!$F:$F,2841))</f>
        <v/>
      </c>
      <c r="S2788">
        <f>IF($O2788="","",INDEX(Suivi!$G:$G,2841))</f>
        <v/>
      </c>
      <c r="T2788">
        <f>IF($O2788="","",IF(INDEX(Dossiers!$F$4:$F$63,53)="","",INDEX(Dossiers!$F$4:$F$63,53)))</f>
        <v/>
      </c>
      <c r="U2788">
        <f>IF($O2788="","",IF(INDEX(Dossiers!$G$4:$G$63,53)="","",INDEX(Dossiers!$G$4:$G$63,53)))</f>
        <v/>
      </c>
      <c r="V2788">
        <f>IF(OR($O2788="",NOT(ISNUMBER($Q2788))),"",$Q2788*1000000+2788)</f>
        <v/>
      </c>
      <c r="W2788" s="29">
        <f>IF($B2788="","",IFERROR(INDEX($U$4:$U$3183,MATCH(SMALL($V$4:$V$3183,2785),$V$4:$V$3183,0)),""))</f>
        <v/>
      </c>
    </row>
    <row r="2789">
      <c r="A2789">
        <f>IFERROR(INDEX($N$4:$N$3183,MATCH(SMALL($V$4:$V$3183,2786),$V$4:$V$3183,0)),"")</f>
        <v/>
      </c>
      <c r="B2789">
        <f>IFERROR(INDEX($O$4:$O$3183,MATCH(SMALL($V$4:$V$3183,2786),$V$4:$V$3183,0)),"")</f>
        <v/>
      </c>
      <c r="C2789">
        <f>IFERROR(INDEX($P$4:$P$3183,MATCH(SMALL($V$4:$V$3183,2786),$V$4:$V$3183,0)),"")</f>
        <v/>
      </c>
      <c r="D2789" s="29">
        <f>IFERROR(INDEX($Q$4:$Q$3183,MATCH(SMALL($V$4:$V$3183,2786),$V$4:$V$3183,0)),"")</f>
        <v/>
      </c>
      <c r="E2789" s="29">
        <f>IFERROR(INDEX($R$4:$R$3183,MATCH(SMALL($V$4:$V$3183,2786),$V$4:$V$3183,0)),"")</f>
        <v/>
      </c>
      <c r="F2789">
        <f>IFERROR(INDEX($S$4:$S$3183,MATCH(SMALL($V$4:$V$3183,2786),$V$4:$V$3183,0)),"")</f>
        <v/>
      </c>
      <c r="I2789" s="29">
        <f>IF($B2789="","",IFERROR(INDEX($U$4:$U$3183,MATCH(SMALL($V$4:$V$3183,2786),$V$4:$V$3183,0)),""))</f>
        <v/>
      </c>
      <c r="J2789">
        <f>IF($B2789="","",IF($D2789&gt;$F$2,"À venir",IF($E2789&lt;$D$2,"Passé","Dans la période")))</f>
        <v/>
      </c>
      <c r="K2789">
        <f>IF(OR($B2789="",NOT(ISNUMBER($D2789))),"",IF(AND($E2789&lt;$D$2,$G2789&lt;&gt;"X",$F2789&lt;&gt;"Réalisé",$F2789&lt;&gt;"Clôturé"),"RETARD",""))</f>
        <v/>
      </c>
      <c r="L2789">
        <f>IF(OR($B2789="",NOT(ISNUMBER($D2789))),"",IF(AND($D2789&gt;=$D$2,$D2789&lt;=$H$2,$G2789&lt;&gt;"X",$F2789&lt;&gt;"Réalisé",$F2789&lt;&gt;"Clôturé"),"≤ 7 j",""))</f>
        <v/>
      </c>
      <c r="M2789" s="29">
        <f>IF($B2789="","",IFERROR(INDEX($T$4:$T$3183,MATCH(SMALL($V$4:$V$3183,2786),$V$4:$V$3183,0)),""))</f>
        <v/>
      </c>
      <c r="O2789">
        <f>IF(INDEX(Suivi!$B:$B,2842)="","",INDEX(Suivi!$B:$B,2842))</f>
        <v/>
      </c>
      <c r="P2789">
        <f>IF($O2789="","",IF(INDEX(Suivi!$D:$D,2842)="",INDEX(Suivi!$C:$C,2842),INDEX(Suivi!$D:$D,2842)))</f>
        <v/>
      </c>
      <c r="Q2789">
        <f>IF($O2789="","",INDEX(Suivi!$E:$E,2842))</f>
        <v/>
      </c>
      <c r="R2789">
        <f>IF($O2789="","",INDEX(Suivi!$F:$F,2842))</f>
        <v/>
      </c>
      <c r="S2789">
        <f>IF($O2789="","",INDEX(Suivi!$G:$G,2842))</f>
        <v/>
      </c>
      <c r="T2789">
        <f>IF($O2789="","",IF(INDEX(Dossiers!$F$4:$F$63,53)="","",INDEX(Dossiers!$F$4:$F$63,53)))</f>
        <v/>
      </c>
      <c r="U2789">
        <f>IF($O2789="","",IF(INDEX(Dossiers!$G$4:$G$63,53)="","",INDEX(Dossiers!$G$4:$G$63,53)))</f>
        <v/>
      </c>
      <c r="V2789">
        <f>IF(OR($O2789="",NOT(ISNUMBER($Q2789))),"",$Q2789*1000000+2789)</f>
        <v/>
      </c>
      <c r="W2789" s="29">
        <f>IF($B2789="","",IFERROR(INDEX($U$4:$U$3183,MATCH(SMALL($V$4:$V$3183,2786),$V$4:$V$3183,0)),""))</f>
        <v/>
      </c>
    </row>
    <row r="2790">
      <c r="A2790">
        <f>IFERROR(INDEX($N$4:$N$3183,MATCH(SMALL($V$4:$V$3183,2787),$V$4:$V$3183,0)),"")</f>
        <v/>
      </c>
      <c r="B2790">
        <f>IFERROR(INDEX($O$4:$O$3183,MATCH(SMALL($V$4:$V$3183,2787),$V$4:$V$3183,0)),"")</f>
        <v/>
      </c>
      <c r="C2790">
        <f>IFERROR(INDEX($P$4:$P$3183,MATCH(SMALL($V$4:$V$3183,2787),$V$4:$V$3183,0)),"")</f>
        <v/>
      </c>
      <c r="D2790" s="29">
        <f>IFERROR(INDEX($Q$4:$Q$3183,MATCH(SMALL($V$4:$V$3183,2787),$V$4:$V$3183,0)),"")</f>
        <v/>
      </c>
      <c r="E2790" s="29">
        <f>IFERROR(INDEX($R$4:$R$3183,MATCH(SMALL($V$4:$V$3183,2787),$V$4:$V$3183,0)),"")</f>
        <v/>
      </c>
      <c r="F2790">
        <f>IFERROR(INDEX($S$4:$S$3183,MATCH(SMALL($V$4:$V$3183,2787),$V$4:$V$3183,0)),"")</f>
        <v/>
      </c>
      <c r="I2790" s="29">
        <f>IF($B2790="","",IFERROR(INDEX($U$4:$U$3183,MATCH(SMALL($V$4:$V$3183,2787),$V$4:$V$3183,0)),""))</f>
        <v/>
      </c>
      <c r="J2790">
        <f>IF($B2790="","",IF($D2790&gt;$F$2,"À venir",IF($E2790&lt;$D$2,"Passé","Dans la période")))</f>
        <v/>
      </c>
      <c r="K2790">
        <f>IF(OR($B2790="",NOT(ISNUMBER($D2790))),"",IF(AND($E2790&lt;$D$2,$G2790&lt;&gt;"X",$F2790&lt;&gt;"Réalisé",$F2790&lt;&gt;"Clôturé"),"RETARD",""))</f>
        <v/>
      </c>
      <c r="L2790">
        <f>IF(OR($B2790="",NOT(ISNUMBER($D2790))),"",IF(AND($D2790&gt;=$D$2,$D2790&lt;=$H$2,$G2790&lt;&gt;"X",$F2790&lt;&gt;"Réalisé",$F2790&lt;&gt;"Clôturé"),"≤ 7 j",""))</f>
        <v/>
      </c>
      <c r="M2790" s="29">
        <f>IF($B2790="","",IFERROR(INDEX($T$4:$T$3183,MATCH(SMALL($V$4:$V$3183,2787),$V$4:$V$3183,0)),""))</f>
        <v/>
      </c>
      <c r="O2790">
        <f>IF(INDEX(Suivi!$B:$B,2843)="","",INDEX(Suivi!$B:$B,2843))</f>
        <v/>
      </c>
      <c r="P2790">
        <f>IF($O2790="","",IF(INDEX(Suivi!$D:$D,2843)="",INDEX(Suivi!$C:$C,2843),INDEX(Suivi!$D:$D,2843)))</f>
        <v/>
      </c>
      <c r="Q2790">
        <f>IF($O2790="","",INDEX(Suivi!$E:$E,2843))</f>
        <v/>
      </c>
      <c r="R2790">
        <f>IF($O2790="","",INDEX(Suivi!$F:$F,2843))</f>
        <v/>
      </c>
      <c r="S2790">
        <f>IF($O2790="","",INDEX(Suivi!$G:$G,2843))</f>
        <v/>
      </c>
      <c r="T2790">
        <f>IF($O2790="","",IF(INDEX(Dossiers!$F$4:$F$63,53)="","",INDEX(Dossiers!$F$4:$F$63,53)))</f>
        <v/>
      </c>
      <c r="U2790">
        <f>IF($O2790="","",IF(INDEX(Dossiers!$G$4:$G$63,53)="","",INDEX(Dossiers!$G$4:$G$63,53)))</f>
        <v/>
      </c>
      <c r="V2790">
        <f>IF(OR($O2790="",NOT(ISNUMBER($Q2790))),"",$Q2790*1000000+2790)</f>
        <v/>
      </c>
      <c r="W2790" s="29">
        <f>IF($B2790="","",IFERROR(INDEX($U$4:$U$3183,MATCH(SMALL($V$4:$V$3183,2787),$V$4:$V$3183,0)),""))</f>
        <v/>
      </c>
    </row>
    <row r="2791">
      <c r="A2791">
        <f>IFERROR(INDEX($N$4:$N$3183,MATCH(SMALL($V$4:$V$3183,2788),$V$4:$V$3183,0)),"")</f>
        <v/>
      </c>
      <c r="B2791">
        <f>IFERROR(INDEX($O$4:$O$3183,MATCH(SMALL($V$4:$V$3183,2788),$V$4:$V$3183,0)),"")</f>
        <v/>
      </c>
      <c r="C2791">
        <f>IFERROR(INDEX($P$4:$P$3183,MATCH(SMALL($V$4:$V$3183,2788),$V$4:$V$3183,0)),"")</f>
        <v/>
      </c>
      <c r="D2791" s="29">
        <f>IFERROR(INDEX($Q$4:$Q$3183,MATCH(SMALL($V$4:$V$3183,2788),$V$4:$V$3183,0)),"")</f>
        <v/>
      </c>
      <c r="E2791" s="29">
        <f>IFERROR(INDEX($R$4:$R$3183,MATCH(SMALL($V$4:$V$3183,2788),$V$4:$V$3183,0)),"")</f>
        <v/>
      </c>
      <c r="F2791">
        <f>IFERROR(INDEX($S$4:$S$3183,MATCH(SMALL($V$4:$V$3183,2788),$V$4:$V$3183,0)),"")</f>
        <v/>
      </c>
      <c r="I2791" s="29">
        <f>IF($B2791="","",IFERROR(INDEX($U$4:$U$3183,MATCH(SMALL($V$4:$V$3183,2788),$V$4:$V$3183,0)),""))</f>
        <v/>
      </c>
      <c r="J2791">
        <f>IF($B2791="","",IF($D2791&gt;$F$2,"À venir",IF($E2791&lt;$D$2,"Passé","Dans la période")))</f>
        <v/>
      </c>
      <c r="K2791">
        <f>IF(OR($B2791="",NOT(ISNUMBER($D2791))),"",IF(AND($E2791&lt;$D$2,$G2791&lt;&gt;"X",$F2791&lt;&gt;"Réalisé",$F2791&lt;&gt;"Clôturé"),"RETARD",""))</f>
        <v/>
      </c>
      <c r="L2791">
        <f>IF(OR($B2791="",NOT(ISNUMBER($D2791))),"",IF(AND($D2791&gt;=$D$2,$D2791&lt;=$H$2,$G2791&lt;&gt;"X",$F2791&lt;&gt;"Réalisé",$F2791&lt;&gt;"Clôturé"),"≤ 7 j",""))</f>
        <v/>
      </c>
      <c r="M2791" s="29">
        <f>IF($B2791="","",IFERROR(INDEX($T$4:$T$3183,MATCH(SMALL($V$4:$V$3183,2788),$V$4:$V$3183,0)),""))</f>
        <v/>
      </c>
      <c r="O2791">
        <f>IF(INDEX(Suivi!$B:$B,2844)="","",INDEX(Suivi!$B:$B,2844))</f>
        <v/>
      </c>
      <c r="P2791">
        <f>IF($O2791="","",IF(INDEX(Suivi!$D:$D,2844)="",INDEX(Suivi!$C:$C,2844),INDEX(Suivi!$D:$D,2844)))</f>
        <v/>
      </c>
      <c r="Q2791">
        <f>IF($O2791="","",INDEX(Suivi!$E:$E,2844))</f>
        <v/>
      </c>
      <c r="R2791">
        <f>IF($O2791="","",INDEX(Suivi!$F:$F,2844))</f>
        <v/>
      </c>
      <c r="S2791">
        <f>IF($O2791="","",INDEX(Suivi!$G:$G,2844))</f>
        <v/>
      </c>
      <c r="T2791">
        <f>IF($O2791="","",IF(INDEX(Dossiers!$F$4:$F$63,53)="","",INDEX(Dossiers!$F$4:$F$63,53)))</f>
        <v/>
      </c>
      <c r="U2791">
        <f>IF($O2791="","",IF(INDEX(Dossiers!$G$4:$G$63,53)="","",INDEX(Dossiers!$G$4:$G$63,53)))</f>
        <v/>
      </c>
      <c r="V2791">
        <f>IF(OR($O2791="",NOT(ISNUMBER($Q2791))),"",$Q2791*1000000+2791)</f>
        <v/>
      </c>
      <c r="W2791" s="29">
        <f>IF($B2791="","",IFERROR(INDEX($U$4:$U$3183,MATCH(SMALL($V$4:$V$3183,2788),$V$4:$V$3183,0)),""))</f>
        <v/>
      </c>
    </row>
    <row r="2792">
      <c r="A2792">
        <f>IFERROR(INDEX($N$4:$N$3183,MATCH(SMALL($V$4:$V$3183,2789),$V$4:$V$3183,0)),"")</f>
        <v/>
      </c>
      <c r="B2792">
        <f>IFERROR(INDEX($O$4:$O$3183,MATCH(SMALL($V$4:$V$3183,2789),$V$4:$V$3183,0)),"")</f>
        <v/>
      </c>
      <c r="C2792">
        <f>IFERROR(INDEX($P$4:$P$3183,MATCH(SMALL($V$4:$V$3183,2789),$V$4:$V$3183,0)),"")</f>
        <v/>
      </c>
      <c r="D2792" s="29">
        <f>IFERROR(INDEX($Q$4:$Q$3183,MATCH(SMALL($V$4:$V$3183,2789),$V$4:$V$3183,0)),"")</f>
        <v/>
      </c>
      <c r="E2792" s="29">
        <f>IFERROR(INDEX($R$4:$R$3183,MATCH(SMALL($V$4:$V$3183,2789),$V$4:$V$3183,0)),"")</f>
        <v/>
      </c>
      <c r="F2792">
        <f>IFERROR(INDEX($S$4:$S$3183,MATCH(SMALL($V$4:$V$3183,2789),$V$4:$V$3183,0)),"")</f>
        <v/>
      </c>
      <c r="I2792" s="29">
        <f>IF($B2792="","",IFERROR(INDEX($U$4:$U$3183,MATCH(SMALL($V$4:$V$3183,2789),$V$4:$V$3183,0)),""))</f>
        <v/>
      </c>
      <c r="J2792">
        <f>IF($B2792="","",IF($D2792&gt;$F$2,"À venir",IF($E2792&lt;$D$2,"Passé","Dans la période")))</f>
        <v/>
      </c>
      <c r="K2792">
        <f>IF(OR($B2792="",NOT(ISNUMBER($D2792))),"",IF(AND($E2792&lt;$D$2,$G2792&lt;&gt;"X",$F2792&lt;&gt;"Réalisé",$F2792&lt;&gt;"Clôturé"),"RETARD",""))</f>
        <v/>
      </c>
      <c r="L2792">
        <f>IF(OR($B2792="",NOT(ISNUMBER($D2792))),"",IF(AND($D2792&gt;=$D$2,$D2792&lt;=$H$2,$G2792&lt;&gt;"X",$F2792&lt;&gt;"Réalisé",$F2792&lt;&gt;"Clôturé"),"≤ 7 j",""))</f>
        <v/>
      </c>
      <c r="M2792" s="29">
        <f>IF($B2792="","",IFERROR(INDEX($T$4:$T$3183,MATCH(SMALL($V$4:$V$3183,2789),$V$4:$V$3183,0)),""))</f>
        <v/>
      </c>
      <c r="O2792">
        <f>IF(INDEX(Suivi!$B:$B,2845)="","",INDEX(Suivi!$B:$B,2845))</f>
        <v/>
      </c>
      <c r="P2792">
        <f>IF($O2792="","",IF(INDEX(Suivi!$D:$D,2845)="",INDEX(Suivi!$C:$C,2845),INDEX(Suivi!$D:$D,2845)))</f>
        <v/>
      </c>
      <c r="Q2792">
        <f>IF($O2792="","",INDEX(Suivi!$E:$E,2845))</f>
        <v/>
      </c>
      <c r="R2792">
        <f>IF($O2792="","",INDEX(Suivi!$F:$F,2845))</f>
        <v/>
      </c>
      <c r="S2792">
        <f>IF($O2792="","",INDEX(Suivi!$G:$G,2845))</f>
        <v/>
      </c>
      <c r="T2792">
        <f>IF($O2792="","",IF(INDEX(Dossiers!$F$4:$F$63,53)="","",INDEX(Dossiers!$F$4:$F$63,53)))</f>
        <v/>
      </c>
      <c r="U2792">
        <f>IF($O2792="","",IF(INDEX(Dossiers!$G$4:$G$63,53)="","",INDEX(Dossiers!$G$4:$G$63,53)))</f>
        <v/>
      </c>
      <c r="V2792">
        <f>IF(OR($O2792="",NOT(ISNUMBER($Q2792))),"",$Q2792*1000000+2792)</f>
        <v/>
      </c>
      <c r="W2792" s="29">
        <f>IF($B2792="","",IFERROR(INDEX($U$4:$U$3183,MATCH(SMALL($V$4:$V$3183,2789),$V$4:$V$3183,0)),""))</f>
        <v/>
      </c>
    </row>
    <row r="2793">
      <c r="A2793">
        <f>IFERROR(INDEX($N$4:$N$3183,MATCH(SMALL($V$4:$V$3183,2790),$V$4:$V$3183,0)),"")</f>
        <v/>
      </c>
      <c r="B2793">
        <f>IFERROR(INDEX($O$4:$O$3183,MATCH(SMALL($V$4:$V$3183,2790),$V$4:$V$3183,0)),"")</f>
        <v/>
      </c>
      <c r="C2793">
        <f>IFERROR(INDEX($P$4:$P$3183,MATCH(SMALL($V$4:$V$3183,2790),$V$4:$V$3183,0)),"")</f>
        <v/>
      </c>
      <c r="D2793" s="29">
        <f>IFERROR(INDEX($Q$4:$Q$3183,MATCH(SMALL($V$4:$V$3183,2790),$V$4:$V$3183,0)),"")</f>
        <v/>
      </c>
      <c r="E2793" s="29">
        <f>IFERROR(INDEX($R$4:$R$3183,MATCH(SMALL($V$4:$V$3183,2790),$V$4:$V$3183,0)),"")</f>
        <v/>
      </c>
      <c r="F2793">
        <f>IFERROR(INDEX($S$4:$S$3183,MATCH(SMALL($V$4:$V$3183,2790),$V$4:$V$3183,0)),"")</f>
        <v/>
      </c>
      <c r="I2793" s="29">
        <f>IF($B2793="","",IFERROR(INDEX($U$4:$U$3183,MATCH(SMALL($V$4:$V$3183,2790),$V$4:$V$3183,0)),""))</f>
        <v/>
      </c>
      <c r="J2793">
        <f>IF($B2793="","",IF($D2793&gt;$F$2,"À venir",IF($E2793&lt;$D$2,"Passé","Dans la période")))</f>
        <v/>
      </c>
      <c r="K2793">
        <f>IF(OR($B2793="",NOT(ISNUMBER($D2793))),"",IF(AND($E2793&lt;$D$2,$G2793&lt;&gt;"X",$F2793&lt;&gt;"Réalisé",$F2793&lt;&gt;"Clôturé"),"RETARD",""))</f>
        <v/>
      </c>
      <c r="L2793">
        <f>IF(OR($B2793="",NOT(ISNUMBER($D2793))),"",IF(AND($D2793&gt;=$D$2,$D2793&lt;=$H$2,$G2793&lt;&gt;"X",$F2793&lt;&gt;"Réalisé",$F2793&lt;&gt;"Clôturé"),"≤ 7 j",""))</f>
        <v/>
      </c>
      <c r="M2793" s="29">
        <f>IF($B2793="","",IFERROR(INDEX($T$4:$T$3183,MATCH(SMALL($V$4:$V$3183,2790),$V$4:$V$3183,0)),""))</f>
        <v/>
      </c>
      <c r="O2793">
        <f>IF(INDEX(Suivi!$B:$B,2846)="","",INDEX(Suivi!$B:$B,2846))</f>
        <v/>
      </c>
      <c r="P2793">
        <f>IF($O2793="","",IF(INDEX(Suivi!$D:$D,2846)="",INDEX(Suivi!$C:$C,2846),INDEX(Suivi!$D:$D,2846)))</f>
        <v/>
      </c>
      <c r="Q2793">
        <f>IF($O2793="","",INDEX(Suivi!$E:$E,2846))</f>
        <v/>
      </c>
      <c r="R2793">
        <f>IF($O2793="","",INDEX(Suivi!$F:$F,2846))</f>
        <v/>
      </c>
      <c r="S2793">
        <f>IF($O2793="","",INDEX(Suivi!$G:$G,2846))</f>
        <v/>
      </c>
      <c r="T2793">
        <f>IF($O2793="","",IF(INDEX(Dossiers!$F$4:$F$63,53)="","",INDEX(Dossiers!$F$4:$F$63,53)))</f>
        <v/>
      </c>
      <c r="U2793">
        <f>IF($O2793="","",IF(INDEX(Dossiers!$G$4:$G$63,53)="","",INDEX(Dossiers!$G$4:$G$63,53)))</f>
        <v/>
      </c>
      <c r="V2793">
        <f>IF(OR($O2793="",NOT(ISNUMBER($Q2793))),"",$Q2793*1000000+2793)</f>
        <v/>
      </c>
      <c r="W2793" s="29">
        <f>IF($B2793="","",IFERROR(INDEX($U$4:$U$3183,MATCH(SMALL($V$4:$V$3183,2790),$V$4:$V$3183,0)),""))</f>
        <v/>
      </c>
    </row>
    <row r="2794">
      <c r="A2794">
        <f>IFERROR(INDEX($N$4:$N$3183,MATCH(SMALL($V$4:$V$3183,2791),$V$4:$V$3183,0)),"")</f>
        <v/>
      </c>
      <c r="B2794">
        <f>IFERROR(INDEX($O$4:$O$3183,MATCH(SMALL($V$4:$V$3183,2791),$V$4:$V$3183,0)),"")</f>
        <v/>
      </c>
      <c r="C2794">
        <f>IFERROR(INDEX($P$4:$P$3183,MATCH(SMALL($V$4:$V$3183,2791),$V$4:$V$3183,0)),"")</f>
        <v/>
      </c>
      <c r="D2794" s="29">
        <f>IFERROR(INDEX($Q$4:$Q$3183,MATCH(SMALL($V$4:$V$3183,2791),$V$4:$V$3183,0)),"")</f>
        <v/>
      </c>
      <c r="E2794" s="29">
        <f>IFERROR(INDEX($R$4:$R$3183,MATCH(SMALL($V$4:$V$3183,2791),$V$4:$V$3183,0)),"")</f>
        <v/>
      </c>
      <c r="F2794">
        <f>IFERROR(INDEX($S$4:$S$3183,MATCH(SMALL($V$4:$V$3183,2791),$V$4:$V$3183,0)),"")</f>
        <v/>
      </c>
      <c r="I2794" s="29">
        <f>IF($B2794="","",IFERROR(INDEX($U$4:$U$3183,MATCH(SMALL($V$4:$V$3183,2791),$V$4:$V$3183,0)),""))</f>
        <v/>
      </c>
      <c r="J2794">
        <f>IF($B2794="","",IF($D2794&gt;$F$2,"À venir",IF($E2794&lt;$D$2,"Passé","Dans la période")))</f>
        <v/>
      </c>
      <c r="K2794">
        <f>IF(OR($B2794="",NOT(ISNUMBER($D2794))),"",IF(AND($E2794&lt;$D$2,$G2794&lt;&gt;"X",$F2794&lt;&gt;"Réalisé",$F2794&lt;&gt;"Clôturé"),"RETARD",""))</f>
        <v/>
      </c>
      <c r="L2794">
        <f>IF(OR($B2794="",NOT(ISNUMBER($D2794))),"",IF(AND($D2794&gt;=$D$2,$D2794&lt;=$H$2,$G2794&lt;&gt;"X",$F2794&lt;&gt;"Réalisé",$F2794&lt;&gt;"Clôturé"),"≤ 7 j",""))</f>
        <v/>
      </c>
      <c r="M2794" s="29">
        <f>IF($B2794="","",IFERROR(INDEX($T$4:$T$3183,MATCH(SMALL($V$4:$V$3183,2791),$V$4:$V$3183,0)),""))</f>
        <v/>
      </c>
      <c r="O2794">
        <f>IF(INDEX(Suivi!$B:$B,2847)="","",INDEX(Suivi!$B:$B,2847))</f>
        <v/>
      </c>
      <c r="P2794">
        <f>IF($O2794="","",IF(INDEX(Suivi!$D:$D,2847)="",INDEX(Suivi!$C:$C,2847),INDEX(Suivi!$D:$D,2847)))</f>
        <v/>
      </c>
      <c r="Q2794">
        <f>IF($O2794="","",INDEX(Suivi!$E:$E,2847))</f>
        <v/>
      </c>
      <c r="R2794">
        <f>IF($O2794="","",INDEX(Suivi!$F:$F,2847))</f>
        <v/>
      </c>
      <c r="S2794">
        <f>IF($O2794="","",INDEX(Suivi!$G:$G,2847))</f>
        <v/>
      </c>
      <c r="T2794">
        <f>IF($O2794="","",IF(INDEX(Dossiers!$F$4:$F$63,53)="","",INDEX(Dossiers!$F$4:$F$63,53)))</f>
        <v/>
      </c>
      <c r="U2794">
        <f>IF($O2794="","",IF(INDEX(Dossiers!$G$4:$G$63,53)="","",INDEX(Dossiers!$G$4:$G$63,53)))</f>
        <v/>
      </c>
      <c r="V2794">
        <f>IF(OR($O2794="",NOT(ISNUMBER($Q2794))),"",$Q2794*1000000+2794)</f>
        <v/>
      </c>
      <c r="W2794" s="29">
        <f>IF($B2794="","",IFERROR(INDEX($U$4:$U$3183,MATCH(SMALL($V$4:$V$3183,2791),$V$4:$V$3183,0)),""))</f>
        <v/>
      </c>
    </row>
    <row r="2795">
      <c r="A2795">
        <f>IFERROR(INDEX($N$4:$N$3183,MATCH(SMALL($V$4:$V$3183,2792),$V$4:$V$3183,0)),"")</f>
        <v/>
      </c>
      <c r="B2795">
        <f>IFERROR(INDEX($O$4:$O$3183,MATCH(SMALL($V$4:$V$3183,2792),$V$4:$V$3183,0)),"")</f>
        <v/>
      </c>
      <c r="C2795">
        <f>IFERROR(INDEX($P$4:$P$3183,MATCH(SMALL($V$4:$V$3183,2792),$V$4:$V$3183,0)),"")</f>
        <v/>
      </c>
      <c r="D2795" s="29">
        <f>IFERROR(INDEX($Q$4:$Q$3183,MATCH(SMALL($V$4:$V$3183,2792),$V$4:$V$3183,0)),"")</f>
        <v/>
      </c>
      <c r="E2795" s="29">
        <f>IFERROR(INDEX($R$4:$R$3183,MATCH(SMALL($V$4:$V$3183,2792),$V$4:$V$3183,0)),"")</f>
        <v/>
      </c>
      <c r="F2795">
        <f>IFERROR(INDEX($S$4:$S$3183,MATCH(SMALL($V$4:$V$3183,2792),$V$4:$V$3183,0)),"")</f>
        <v/>
      </c>
      <c r="I2795" s="29">
        <f>IF($B2795="","",IFERROR(INDEX($U$4:$U$3183,MATCH(SMALL($V$4:$V$3183,2792),$V$4:$V$3183,0)),""))</f>
        <v/>
      </c>
      <c r="J2795">
        <f>IF($B2795="","",IF($D2795&gt;$F$2,"À venir",IF($E2795&lt;$D$2,"Passé","Dans la période")))</f>
        <v/>
      </c>
      <c r="K2795">
        <f>IF(OR($B2795="",NOT(ISNUMBER($D2795))),"",IF(AND($E2795&lt;$D$2,$G2795&lt;&gt;"X",$F2795&lt;&gt;"Réalisé",$F2795&lt;&gt;"Clôturé"),"RETARD",""))</f>
        <v/>
      </c>
      <c r="L2795">
        <f>IF(OR($B2795="",NOT(ISNUMBER($D2795))),"",IF(AND($D2795&gt;=$D$2,$D2795&lt;=$H$2,$G2795&lt;&gt;"X",$F2795&lt;&gt;"Réalisé",$F2795&lt;&gt;"Clôturé"),"≤ 7 j",""))</f>
        <v/>
      </c>
      <c r="M2795" s="29">
        <f>IF($B2795="","",IFERROR(INDEX($T$4:$T$3183,MATCH(SMALL($V$4:$V$3183,2792),$V$4:$V$3183,0)),""))</f>
        <v/>
      </c>
      <c r="O2795">
        <f>IF(INDEX(Suivi!$B:$B,2848)="","",INDEX(Suivi!$B:$B,2848))</f>
        <v/>
      </c>
      <c r="P2795">
        <f>IF($O2795="","",IF(INDEX(Suivi!$D:$D,2848)="",INDEX(Suivi!$C:$C,2848),INDEX(Suivi!$D:$D,2848)))</f>
        <v/>
      </c>
      <c r="Q2795">
        <f>IF($O2795="","",INDEX(Suivi!$E:$E,2848))</f>
        <v/>
      </c>
      <c r="R2795">
        <f>IF($O2795="","",INDEX(Suivi!$F:$F,2848))</f>
        <v/>
      </c>
      <c r="S2795">
        <f>IF($O2795="","",INDEX(Suivi!$G:$G,2848))</f>
        <v/>
      </c>
      <c r="T2795">
        <f>IF($O2795="","",IF(INDEX(Dossiers!$F$4:$F$63,53)="","",INDEX(Dossiers!$F$4:$F$63,53)))</f>
        <v/>
      </c>
      <c r="U2795">
        <f>IF($O2795="","",IF(INDEX(Dossiers!$G$4:$G$63,53)="","",INDEX(Dossiers!$G$4:$G$63,53)))</f>
        <v/>
      </c>
      <c r="V2795">
        <f>IF(OR($O2795="",NOT(ISNUMBER($Q2795))),"",$Q2795*1000000+2795)</f>
        <v/>
      </c>
      <c r="W2795" s="29">
        <f>IF($B2795="","",IFERROR(INDEX($U$4:$U$3183,MATCH(SMALL($V$4:$V$3183,2792),$V$4:$V$3183,0)),""))</f>
        <v/>
      </c>
    </row>
    <row r="2796">
      <c r="A2796">
        <f>IFERROR(INDEX($N$4:$N$3183,MATCH(SMALL($V$4:$V$3183,2793),$V$4:$V$3183,0)),"")</f>
        <v/>
      </c>
      <c r="B2796">
        <f>IFERROR(INDEX($O$4:$O$3183,MATCH(SMALL($V$4:$V$3183,2793),$V$4:$V$3183,0)),"")</f>
        <v/>
      </c>
      <c r="C2796">
        <f>IFERROR(INDEX($P$4:$P$3183,MATCH(SMALL($V$4:$V$3183,2793),$V$4:$V$3183,0)),"")</f>
        <v/>
      </c>
      <c r="D2796" s="29">
        <f>IFERROR(INDEX($Q$4:$Q$3183,MATCH(SMALL($V$4:$V$3183,2793),$V$4:$V$3183,0)),"")</f>
        <v/>
      </c>
      <c r="E2796" s="29">
        <f>IFERROR(INDEX($R$4:$R$3183,MATCH(SMALL($V$4:$V$3183,2793),$V$4:$V$3183,0)),"")</f>
        <v/>
      </c>
      <c r="F2796">
        <f>IFERROR(INDEX($S$4:$S$3183,MATCH(SMALL($V$4:$V$3183,2793),$V$4:$V$3183,0)),"")</f>
        <v/>
      </c>
      <c r="I2796" s="29">
        <f>IF($B2796="","",IFERROR(INDEX($U$4:$U$3183,MATCH(SMALL($V$4:$V$3183,2793),$V$4:$V$3183,0)),""))</f>
        <v/>
      </c>
      <c r="J2796">
        <f>IF($B2796="","",IF($D2796&gt;$F$2,"À venir",IF($E2796&lt;$D$2,"Passé","Dans la période")))</f>
        <v/>
      </c>
      <c r="K2796">
        <f>IF(OR($B2796="",NOT(ISNUMBER($D2796))),"",IF(AND($E2796&lt;$D$2,$G2796&lt;&gt;"X",$F2796&lt;&gt;"Réalisé",$F2796&lt;&gt;"Clôturé"),"RETARD",""))</f>
        <v/>
      </c>
      <c r="L2796">
        <f>IF(OR($B2796="",NOT(ISNUMBER($D2796))),"",IF(AND($D2796&gt;=$D$2,$D2796&lt;=$H$2,$G2796&lt;&gt;"X",$F2796&lt;&gt;"Réalisé",$F2796&lt;&gt;"Clôturé"),"≤ 7 j",""))</f>
        <v/>
      </c>
      <c r="M2796" s="29">
        <f>IF($B2796="","",IFERROR(INDEX($T$4:$T$3183,MATCH(SMALL($V$4:$V$3183,2793),$V$4:$V$3183,0)),""))</f>
        <v/>
      </c>
      <c r="O2796">
        <f>IF(INDEX(Suivi!$B:$B,2849)="","",INDEX(Suivi!$B:$B,2849))</f>
        <v/>
      </c>
      <c r="P2796">
        <f>IF($O2796="","",IF(INDEX(Suivi!$D:$D,2849)="",INDEX(Suivi!$C:$C,2849),INDEX(Suivi!$D:$D,2849)))</f>
        <v/>
      </c>
      <c r="Q2796">
        <f>IF($O2796="","",INDEX(Suivi!$E:$E,2849))</f>
        <v/>
      </c>
      <c r="R2796">
        <f>IF($O2796="","",INDEX(Suivi!$F:$F,2849))</f>
        <v/>
      </c>
      <c r="S2796">
        <f>IF($O2796="","",INDEX(Suivi!$G:$G,2849))</f>
        <v/>
      </c>
      <c r="T2796">
        <f>IF($O2796="","",IF(INDEX(Dossiers!$F$4:$F$63,53)="","",INDEX(Dossiers!$F$4:$F$63,53)))</f>
        <v/>
      </c>
      <c r="U2796">
        <f>IF($O2796="","",IF(INDEX(Dossiers!$G$4:$G$63,53)="","",INDEX(Dossiers!$G$4:$G$63,53)))</f>
        <v/>
      </c>
      <c r="V2796">
        <f>IF(OR($O2796="",NOT(ISNUMBER($Q2796))),"",$Q2796*1000000+2796)</f>
        <v/>
      </c>
      <c r="W2796" s="29">
        <f>IF($B2796="","",IFERROR(INDEX($U$4:$U$3183,MATCH(SMALL($V$4:$V$3183,2793),$V$4:$V$3183,0)),""))</f>
        <v/>
      </c>
    </row>
    <row r="2797">
      <c r="A2797">
        <f>IFERROR(INDEX($N$4:$N$3183,MATCH(SMALL($V$4:$V$3183,2794),$V$4:$V$3183,0)),"")</f>
        <v/>
      </c>
      <c r="B2797">
        <f>IFERROR(INDEX($O$4:$O$3183,MATCH(SMALL($V$4:$V$3183,2794),$V$4:$V$3183,0)),"")</f>
        <v/>
      </c>
      <c r="C2797">
        <f>IFERROR(INDEX($P$4:$P$3183,MATCH(SMALL($V$4:$V$3183,2794),$V$4:$V$3183,0)),"")</f>
        <v/>
      </c>
      <c r="D2797" s="29">
        <f>IFERROR(INDEX($Q$4:$Q$3183,MATCH(SMALL($V$4:$V$3183,2794),$V$4:$V$3183,0)),"")</f>
        <v/>
      </c>
      <c r="E2797" s="29">
        <f>IFERROR(INDEX($R$4:$R$3183,MATCH(SMALL($V$4:$V$3183,2794),$V$4:$V$3183,0)),"")</f>
        <v/>
      </c>
      <c r="F2797">
        <f>IFERROR(INDEX($S$4:$S$3183,MATCH(SMALL($V$4:$V$3183,2794),$V$4:$V$3183,0)),"")</f>
        <v/>
      </c>
      <c r="I2797" s="29">
        <f>IF($B2797="","",IFERROR(INDEX($U$4:$U$3183,MATCH(SMALL($V$4:$V$3183,2794),$V$4:$V$3183,0)),""))</f>
        <v/>
      </c>
      <c r="J2797">
        <f>IF($B2797="","",IF($D2797&gt;$F$2,"À venir",IF($E2797&lt;$D$2,"Passé","Dans la période")))</f>
        <v/>
      </c>
      <c r="K2797">
        <f>IF(OR($B2797="",NOT(ISNUMBER($D2797))),"",IF(AND($E2797&lt;$D$2,$G2797&lt;&gt;"X",$F2797&lt;&gt;"Réalisé",$F2797&lt;&gt;"Clôturé"),"RETARD",""))</f>
        <v/>
      </c>
      <c r="L2797">
        <f>IF(OR($B2797="",NOT(ISNUMBER($D2797))),"",IF(AND($D2797&gt;=$D$2,$D2797&lt;=$H$2,$G2797&lt;&gt;"X",$F2797&lt;&gt;"Réalisé",$F2797&lt;&gt;"Clôturé"),"≤ 7 j",""))</f>
        <v/>
      </c>
      <c r="M2797" s="29">
        <f>IF($B2797="","",IFERROR(INDEX($T$4:$T$3183,MATCH(SMALL($V$4:$V$3183,2794),$V$4:$V$3183,0)),""))</f>
        <v/>
      </c>
      <c r="O2797">
        <f>IF(INDEX(Suivi!$B:$B,2850)="","",INDEX(Suivi!$B:$B,2850))</f>
        <v/>
      </c>
      <c r="P2797">
        <f>IF($O2797="","",IF(INDEX(Suivi!$D:$D,2850)="",INDEX(Suivi!$C:$C,2850),INDEX(Suivi!$D:$D,2850)))</f>
        <v/>
      </c>
      <c r="Q2797">
        <f>IF($O2797="","",INDEX(Suivi!$E:$E,2850))</f>
        <v/>
      </c>
      <c r="R2797">
        <f>IF($O2797="","",INDEX(Suivi!$F:$F,2850))</f>
        <v/>
      </c>
      <c r="S2797">
        <f>IF($O2797="","",INDEX(Suivi!$G:$G,2850))</f>
        <v/>
      </c>
      <c r="T2797">
        <f>IF($O2797="","",IF(INDEX(Dossiers!$F$4:$F$63,53)="","",INDEX(Dossiers!$F$4:$F$63,53)))</f>
        <v/>
      </c>
      <c r="U2797">
        <f>IF($O2797="","",IF(INDEX(Dossiers!$G$4:$G$63,53)="","",INDEX(Dossiers!$G$4:$G$63,53)))</f>
        <v/>
      </c>
      <c r="V2797">
        <f>IF(OR($O2797="",NOT(ISNUMBER($Q2797))),"",$Q2797*1000000+2797)</f>
        <v/>
      </c>
      <c r="W2797" s="29">
        <f>IF($B2797="","",IFERROR(INDEX($U$4:$U$3183,MATCH(SMALL($V$4:$V$3183,2794),$V$4:$V$3183,0)),""))</f>
        <v/>
      </c>
    </row>
    <row r="2798">
      <c r="A2798">
        <f>IFERROR(INDEX($N$4:$N$3183,MATCH(SMALL($V$4:$V$3183,2795),$V$4:$V$3183,0)),"")</f>
        <v/>
      </c>
      <c r="B2798">
        <f>IFERROR(INDEX($O$4:$O$3183,MATCH(SMALL($V$4:$V$3183,2795),$V$4:$V$3183,0)),"")</f>
        <v/>
      </c>
      <c r="C2798">
        <f>IFERROR(INDEX($P$4:$P$3183,MATCH(SMALL($V$4:$V$3183,2795),$V$4:$V$3183,0)),"")</f>
        <v/>
      </c>
      <c r="D2798" s="29">
        <f>IFERROR(INDEX($Q$4:$Q$3183,MATCH(SMALL($V$4:$V$3183,2795),$V$4:$V$3183,0)),"")</f>
        <v/>
      </c>
      <c r="E2798" s="29">
        <f>IFERROR(INDEX($R$4:$R$3183,MATCH(SMALL($V$4:$V$3183,2795),$V$4:$V$3183,0)),"")</f>
        <v/>
      </c>
      <c r="F2798">
        <f>IFERROR(INDEX($S$4:$S$3183,MATCH(SMALL($V$4:$V$3183,2795),$V$4:$V$3183,0)),"")</f>
        <v/>
      </c>
      <c r="I2798" s="29">
        <f>IF($B2798="","",IFERROR(INDEX($U$4:$U$3183,MATCH(SMALL($V$4:$V$3183,2795),$V$4:$V$3183,0)),""))</f>
        <v/>
      </c>
      <c r="J2798">
        <f>IF($B2798="","",IF($D2798&gt;$F$2,"À venir",IF($E2798&lt;$D$2,"Passé","Dans la période")))</f>
        <v/>
      </c>
      <c r="K2798">
        <f>IF(OR($B2798="",NOT(ISNUMBER($D2798))),"",IF(AND($E2798&lt;$D$2,$G2798&lt;&gt;"X",$F2798&lt;&gt;"Réalisé",$F2798&lt;&gt;"Clôturé"),"RETARD",""))</f>
        <v/>
      </c>
      <c r="L2798">
        <f>IF(OR($B2798="",NOT(ISNUMBER($D2798))),"",IF(AND($D2798&gt;=$D$2,$D2798&lt;=$H$2,$G2798&lt;&gt;"X",$F2798&lt;&gt;"Réalisé",$F2798&lt;&gt;"Clôturé"),"≤ 7 j",""))</f>
        <v/>
      </c>
      <c r="M2798" s="29">
        <f>IF($B2798="","",IFERROR(INDEX($T$4:$T$3183,MATCH(SMALL($V$4:$V$3183,2795),$V$4:$V$3183,0)),""))</f>
        <v/>
      </c>
      <c r="O2798">
        <f>IF(INDEX(Suivi!$B:$B,2851)="","",INDEX(Suivi!$B:$B,2851))</f>
        <v/>
      </c>
      <c r="P2798">
        <f>IF($O2798="","",IF(INDEX(Suivi!$D:$D,2851)="",INDEX(Suivi!$C:$C,2851),INDEX(Suivi!$D:$D,2851)))</f>
        <v/>
      </c>
      <c r="Q2798">
        <f>IF($O2798="","",INDEX(Suivi!$E:$E,2851))</f>
        <v/>
      </c>
      <c r="R2798">
        <f>IF($O2798="","",INDEX(Suivi!$F:$F,2851))</f>
        <v/>
      </c>
      <c r="S2798">
        <f>IF($O2798="","",INDEX(Suivi!$G:$G,2851))</f>
        <v/>
      </c>
      <c r="T2798">
        <f>IF($O2798="","",IF(INDEX(Dossiers!$F$4:$F$63,53)="","",INDEX(Dossiers!$F$4:$F$63,53)))</f>
        <v/>
      </c>
      <c r="U2798">
        <f>IF($O2798="","",IF(INDEX(Dossiers!$G$4:$G$63,53)="","",INDEX(Dossiers!$G$4:$G$63,53)))</f>
        <v/>
      </c>
      <c r="V2798">
        <f>IF(OR($O2798="",NOT(ISNUMBER($Q2798))),"",$Q2798*1000000+2798)</f>
        <v/>
      </c>
      <c r="W2798" s="29">
        <f>IF($B2798="","",IFERROR(INDEX($U$4:$U$3183,MATCH(SMALL($V$4:$V$3183,2795),$V$4:$V$3183,0)),""))</f>
        <v/>
      </c>
    </row>
    <row r="2799">
      <c r="A2799">
        <f>IFERROR(INDEX($N$4:$N$3183,MATCH(SMALL($V$4:$V$3183,2796),$V$4:$V$3183,0)),"")</f>
        <v/>
      </c>
      <c r="B2799">
        <f>IFERROR(INDEX($O$4:$O$3183,MATCH(SMALL($V$4:$V$3183,2796),$V$4:$V$3183,0)),"")</f>
        <v/>
      </c>
      <c r="C2799">
        <f>IFERROR(INDEX($P$4:$P$3183,MATCH(SMALL($V$4:$V$3183,2796),$V$4:$V$3183,0)),"")</f>
        <v/>
      </c>
      <c r="D2799" s="29">
        <f>IFERROR(INDEX($Q$4:$Q$3183,MATCH(SMALL($V$4:$V$3183,2796),$V$4:$V$3183,0)),"")</f>
        <v/>
      </c>
      <c r="E2799" s="29">
        <f>IFERROR(INDEX($R$4:$R$3183,MATCH(SMALL($V$4:$V$3183,2796),$V$4:$V$3183,0)),"")</f>
        <v/>
      </c>
      <c r="F2799">
        <f>IFERROR(INDEX($S$4:$S$3183,MATCH(SMALL($V$4:$V$3183,2796),$V$4:$V$3183,0)),"")</f>
        <v/>
      </c>
      <c r="I2799" s="29">
        <f>IF($B2799="","",IFERROR(INDEX($U$4:$U$3183,MATCH(SMALL($V$4:$V$3183,2796),$V$4:$V$3183,0)),""))</f>
        <v/>
      </c>
      <c r="J2799">
        <f>IF($B2799="","",IF($D2799&gt;$F$2,"À venir",IF($E2799&lt;$D$2,"Passé","Dans la période")))</f>
        <v/>
      </c>
      <c r="K2799">
        <f>IF(OR($B2799="",NOT(ISNUMBER($D2799))),"",IF(AND($E2799&lt;$D$2,$G2799&lt;&gt;"X",$F2799&lt;&gt;"Réalisé",$F2799&lt;&gt;"Clôturé"),"RETARD",""))</f>
        <v/>
      </c>
      <c r="L2799">
        <f>IF(OR($B2799="",NOT(ISNUMBER($D2799))),"",IF(AND($D2799&gt;=$D$2,$D2799&lt;=$H$2,$G2799&lt;&gt;"X",$F2799&lt;&gt;"Réalisé",$F2799&lt;&gt;"Clôturé"),"≤ 7 j",""))</f>
        <v/>
      </c>
      <c r="M2799" s="29">
        <f>IF($B2799="","",IFERROR(INDEX($T$4:$T$3183,MATCH(SMALL($V$4:$V$3183,2796),$V$4:$V$3183,0)),""))</f>
        <v/>
      </c>
      <c r="O2799">
        <f>IF(INDEX(Suivi!$B:$B,2852)="","",INDEX(Suivi!$B:$B,2852))</f>
        <v/>
      </c>
      <c r="P2799">
        <f>IF($O2799="","",IF(INDEX(Suivi!$D:$D,2852)="",INDEX(Suivi!$C:$C,2852),INDEX(Suivi!$D:$D,2852)))</f>
        <v/>
      </c>
      <c r="Q2799">
        <f>IF($O2799="","",INDEX(Suivi!$E:$E,2852))</f>
        <v/>
      </c>
      <c r="R2799">
        <f>IF($O2799="","",INDEX(Suivi!$F:$F,2852))</f>
        <v/>
      </c>
      <c r="S2799">
        <f>IF($O2799="","",INDEX(Suivi!$G:$G,2852))</f>
        <v/>
      </c>
      <c r="T2799">
        <f>IF($O2799="","",IF(INDEX(Dossiers!$F$4:$F$63,53)="","",INDEX(Dossiers!$F$4:$F$63,53)))</f>
        <v/>
      </c>
      <c r="U2799">
        <f>IF($O2799="","",IF(INDEX(Dossiers!$G$4:$G$63,53)="","",INDEX(Dossiers!$G$4:$G$63,53)))</f>
        <v/>
      </c>
      <c r="V2799">
        <f>IF(OR($O2799="",NOT(ISNUMBER($Q2799))),"",$Q2799*1000000+2799)</f>
        <v/>
      </c>
      <c r="W2799" s="29">
        <f>IF($B2799="","",IFERROR(INDEX($U$4:$U$3183,MATCH(SMALL($V$4:$V$3183,2796),$V$4:$V$3183,0)),""))</f>
        <v/>
      </c>
    </row>
    <row r="2800">
      <c r="A2800">
        <f>IFERROR(INDEX($N$4:$N$3183,MATCH(SMALL($V$4:$V$3183,2797),$V$4:$V$3183,0)),"")</f>
        <v/>
      </c>
      <c r="B2800">
        <f>IFERROR(INDEX($O$4:$O$3183,MATCH(SMALL($V$4:$V$3183,2797),$V$4:$V$3183,0)),"")</f>
        <v/>
      </c>
      <c r="C2800">
        <f>IFERROR(INDEX($P$4:$P$3183,MATCH(SMALL($V$4:$V$3183,2797),$V$4:$V$3183,0)),"")</f>
        <v/>
      </c>
      <c r="D2800" s="29">
        <f>IFERROR(INDEX($Q$4:$Q$3183,MATCH(SMALL($V$4:$V$3183,2797),$V$4:$V$3183,0)),"")</f>
        <v/>
      </c>
      <c r="E2800" s="29">
        <f>IFERROR(INDEX($R$4:$R$3183,MATCH(SMALL($V$4:$V$3183,2797),$V$4:$V$3183,0)),"")</f>
        <v/>
      </c>
      <c r="F2800">
        <f>IFERROR(INDEX($S$4:$S$3183,MATCH(SMALL($V$4:$V$3183,2797),$V$4:$V$3183,0)),"")</f>
        <v/>
      </c>
      <c r="I2800" s="29">
        <f>IF($B2800="","",IFERROR(INDEX($U$4:$U$3183,MATCH(SMALL($V$4:$V$3183,2797),$V$4:$V$3183,0)),""))</f>
        <v/>
      </c>
      <c r="J2800">
        <f>IF($B2800="","",IF($D2800&gt;$F$2,"À venir",IF($E2800&lt;$D$2,"Passé","Dans la période")))</f>
        <v/>
      </c>
      <c r="K2800">
        <f>IF(OR($B2800="",NOT(ISNUMBER($D2800))),"",IF(AND($E2800&lt;$D$2,$G2800&lt;&gt;"X",$F2800&lt;&gt;"Réalisé",$F2800&lt;&gt;"Clôturé"),"RETARD",""))</f>
        <v/>
      </c>
      <c r="L2800">
        <f>IF(OR($B2800="",NOT(ISNUMBER($D2800))),"",IF(AND($D2800&gt;=$D$2,$D2800&lt;=$H$2,$G2800&lt;&gt;"X",$F2800&lt;&gt;"Réalisé",$F2800&lt;&gt;"Clôturé"),"≤ 7 j",""))</f>
        <v/>
      </c>
      <c r="M2800" s="29">
        <f>IF($B2800="","",IFERROR(INDEX($T$4:$T$3183,MATCH(SMALL($V$4:$V$3183,2797),$V$4:$V$3183,0)),""))</f>
        <v/>
      </c>
      <c r="O2800">
        <f>IF(INDEX(Suivi!$B:$B,2853)="","",INDEX(Suivi!$B:$B,2853))</f>
        <v/>
      </c>
      <c r="P2800">
        <f>IF($O2800="","",IF(INDEX(Suivi!$D:$D,2853)="",INDEX(Suivi!$C:$C,2853),INDEX(Suivi!$D:$D,2853)))</f>
        <v/>
      </c>
      <c r="Q2800">
        <f>IF($O2800="","",INDEX(Suivi!$E:$E,2853))</f>
        <v/>
      </c>
      <c r="R2800">
        <f>IF($O2800="","",INDEX(Suivi!$F:$F,2853))</f>
        <v/>
      </c>
      <c r="S2800">
        <f>IF($O2800="","",INDEX(Suivi!$G:$G,2853))</f>
        <v/>
      </c>
      <c r="T2800">
        <f>IF($O2800="","",IF(INDEX(Dossiers!$F$4:$F$63,53)="","",INDEX(Dossiers!$F$4:$F$63,53)))</f>
        <v/>
      </c>
      <c r="U2800">
        <f>IF($O2800="","",IF(INDEX(Dossiers!$G$4:$G$63,53)="","",INDEX(Dossiers!$G$4:$G$63,53)))</f>
        <v/>
      </c>
      <c r="V2800">
        <f>IF(OR($O2800="",NOT(ISNUMBER($Q2800))),"",$Q2800*1000000+2800)</f>
        <v/>
      </c>
      <c r="W2800" s="29">
        <f>IF($B2800="","",IFERROR(INDEX($U$4:$U$3183,MATCH(SMALL($V$4:$V$3183,2797),$V$4:$V$3183,0)),""))</f>
        <v/>
      </c>
    </row>
    <row r="2801">
      <c r="A2801">
        <f>IFERROR(INDEX($N$4:$N$3183,MATCH(SMALL($V$4:$V$3183,2798),$V$4:$V$3183,0)),"")</f>
        <v/>
      </c>
      <c r="B2801">
        <f>IFERROR(INDEX($O$4:$O$3183,MATCH(SMALL($V$4:$V$3183,2798),$V$4:$V$3183,0)),"")</f>
        <v/>
      </c>
      <c r="C2801">
        <f>IFERROR(INDEX($P$4:$P$3183,MATCH(SMALL($V$4:$V$3183,2798),$V$4:$V$3183,0)),"")</f>
        <v/>
      </c>
      <c r="D2801" s="29">
        <f>IFERROR(INDEX($Q$4:$Q$3183,MATCH(SMALL($V$4:$V$3183,2798),$V$4:$V$3183,0)),"")</f>
        <v/>
      </c>
      <c r="E2801" s="29">
        <f>IFERROR(INDEX($R$4:$R$3183,MATCH(SMALL($V$4:$V$3183,2798),$V$4:$V$3183,0)),"")</f>
        <v/>
      </c>
      <c r="F2801">
        <f>IFERROR(INDEX($S$4:$S$3183,MATCH(SMALL($V$4:$V$3183,2798),$V$4:$V$3183,0)),"")</f>
        <v/>
      </c>
      <c r="I2801" s="29">
        <f>IF($B2801="","",IFERROR(INDEX($U$4:$U$3183,MATCH(SMALL($V$4:$V$3183,2798),$V$4:$V$3183,0)),""))</f>
        <v/>
      </c>
      <c r="J2801">
        <f>IF($B2801="","",IF($D2801&gt;$F$2,"À venir",IF($E2801&lt;$D$2,"Passé","Dans la période")))</f>
        <v/>
      </c>
      <c r="K2801">
        <f>IF(OR($B2801="",NOT(ISNUMBER($D2801))),"",IF(AND($E2801&lt;$D$2,$G2801&lt;&gt;"X",$F2801&lt;&gt;"Réalisé",$F2801&lt;&gt;"Clôturé"),"RETARD",""))</f>
        <v/>
      </c>
      <c r="L2801">
        <f>IF(OR($B2801="",NOT(ISNUMBER($D2801))),"",IF(AND($D2801&gt;=$D$2,$D2801&lt;=$H$2,$G2801&lt;&gt;"X",$F2801&lt;&gt;"Réalisé",$F2801&lt;&gt;"Clôturé"),"≤ 7 j",""))</f>
        <v/>
      </c>
      <c r="M2801" s="29">
        <f>IF($B2801="","",IFERROR(INDEX($T$4:$T$3183,MATCH(SMALL($V$4:$V$3183,2798),$V$4:$V$3183,0)),""))</f>
        <v/>
      </c>
      <c r="O2801">
        <f>IF(INDEX(Suivi!$B:$B,2854)="","",INDEX(Suivi!$B:$B,2854))</f>
        <v/>
      </c>
      <c r="P2801">
        <f>IF($O2801="","",IF(INDEX(Suivi!$D:$D,2854)="",INDEX(Suivi!$C:$C,2854),INDEX(Suivi!$D:$D,2854)))</f>
        <v/>
      </c>
      <c r="Q2801">
        <f>IF($O2801="","",INDEX(Suivi!$E:$E,2854))</f>
        <v/>
      </c>
      <c r="R2801">
        <f>IF($O2801="","",INDEX(Suivi!$F:$F,2854))</f>
        <v/>
      </c>
      <c r="S2801">
        <f>IF($O2801="","",INDEX(Suivi!$G:$G,2854))</f>
        <v/>
      </c>
      <c r="T2801">
        <f>IF($O2801="","",IF(INDEX(Dossiers!$F$4:$F$63,53)="","",INDEX(Dossiers!$F$4:$F$63,53)))</f>
        <v/>
      </c>
      <c r="U2801">
        <f>IF($O2801="","",IF(INDEX(Dossiers!$G$4:$G$63,53)="","",INDEX(Dossiers!$G$4:$G$63,53)))</f>
        <v/>
      </c>
      <c r="V2801">
        <f>IF(OR($O2801="",NOT(ISNUMBER($Q2801))),"",$Q2801*1000000+2801)</f>
        <v/>
      </c>
      <c r="W2801" s="29">
        <f>IF($B2801="","",IFERROR(INDEX($U$4:$U$3183,MATCH(SMALL($V$4:$V$3183,2798),$V$4:$V$3183,0)),""))</f>
        <v/>
      </c>
    </row>
    <row r="2802">
      <c r="A2802">
        <f>IFERROR(INDEX($N$4:$N$3183,MATCH(SMALL($V$4:$V$3183,2799),$V$4:$V$3183,0)),"")</f>
        <v/>
      </c>
      <c r="B2802">
        <f>IFERROR(INDEX($O$4:$O$3183,MATCH(SMALL($V$4:$V$3183,2799),$V$4:$V$3183,0)),"")</f>
        <v/>
      </c>
      <c r="C2802">
        <f>IFERROR(INDEX($P$4:$P$3183,MATCH(SMALL($V$4:$V$3183,2799),$V$4:$V$3183,0)),"")</f>
        <v/>
      </c>
      <c r="D2802" s="29">
        <f>IFERROR(INDEX($Q$4:$Q$3183,MATCH(SMALL($V$4:$V$3183,2799),$V$4:$V$3183,0)),"")</f>
        <v/>
      </c>
      <c r="E2802" s="29">
        <f>IFERROR(INDEX($R$4:$R$3183,MATCH(SMALL($V$4:$V$3183,2799),$V$4:$V$3183,0)),"")</f>
        <v/>
      </c>
      <c r="F2802">
        <f>IFERROR(INDEX($S$4:$S$3183,MATCH(SMALL($V$4:$V$3183,2799),$V$4:$V$3183,0)),"")</f>
        <v/>
      </c>
      <c r="I2802" s="29">
        <f>IF($B2802="","",IFERROR(INDEX($U$4:$U$3183,MATCH(SMALL($V$4:$V$3183,2799),$V$4:$V$3183,0)),""))</f>
        <v/>
      </c>
      <c r="J2802">
        <f>IF($B2802="","",IF($D2802&gt;$F$2,"À venir",IF($E2802&lt;$D$2,"Passé","Dans la période")))</f>
        <v/>
      </c>
      <c r="K2802">
        <f>IF(OR($B2802="",NOT(ISNUMBER($D2802))),"",IF(AND($E2802&lt;$D$2,$G2802&lt;&gt;"X",$F2802&lt;&gt;"Réalisé",$F2802&lt;&gt;"Clôturé"),"RETARD",""))</f>
        <v/>
      </c>
      <c r="L2802">
        <f>IF(OR($B2802="",NOT(ISNUMBER($D2802))),"",IF(AND($D2802&gt;=$D$2,$D2802&lt;=$H$2,$G2802&lt;&gt;"X",$F2802&lt;&gt;"Réalisé",$F2802&lt;&gt;"Clôturé"),"≤ 7 j",""))</f>
        <v/>
      </c>
      <c r="M2802" s="29">
        <f>IF($B2802="","",IFERROR(INDEX($T$4:$T$3183,MATCH(SMALL($V$4:$V$3183,2799),$V$4:$V$3183,0)),""))</f>
        <v/>
      </c>
      <c r="O2802">
        <f>IF(INDEX(Suivi!$B:$B,2855)="","",INDEX(Suivi!$B:$B,2855))</f>
        <v/>
      </c>
      <c r="P2802">
        <f>IF($O2802="","",IF(INDEX(Suivi!$D:$D,2855)="",INDEX(Suivi!$C:$C,2855),INDEX(Suivi!$D:$D,2855)))</f>
        <v/>
      </c>
      <c r="Q2802">
        <f>IF($O2802="","",INDEX(Suivi!$E:$E,2855))</f>
        <v/>
      </c>
      <c r="R2802">
        <f>IF($O2802="","",INDEX(Suivi!$F:$F,2855))</f>
        <v/>
      </c>
      <c r="S2802">
        <f>IF($O2802="","",INDEX(Suivi!$G:$G,2855))</f>
        <v/>
      </c>
      <c r="T2802">
        <f>IF($O2802="","",IF(INDEX(Dossiers!$F$4:$F$63,53)="","",INDEX(Dossiers!$F$4:$F$63,53)))</f>
        <v/>
      </c>
      <c r="U2802">
        <f>IF($O2802="","",IF(INDEX(Dossiers!$G$4:$G$63,53)="","",INDEX(Dossiers!$G$4:$G$63,53)))</f>
        <v/>
      </c>
      <c r="V2802">
        <f>IF(OR($O2802="",NOT(ISNUMBER($Q2802))),"",$Q2802*1000000+2802)</f>
        <v/>
      </c>
      <c r="W2802" s="29">
        <f>IF($B2802="","",IFERROR(INDEX($U$4:$U$3183,MATCH(SMALL($V$4:$V$3183,2799),$V$4:$V$3183,0)),""))</f>
        <v/>
      </c>
    </row>
    <row r="2803">
      <c r="A2803">
        <f>IFERROR(INDEX($N$4:$N$3183,MATCH(SMALL($V$4:$V$3183,2800),$V$4:$V$3183,0)),"")</f>
        <v/>
      </c>
      <c r="B2803">
        <f>IFERROR(INDEX($O$4:$O$3183,MATCH(SMALL($V$4:$V$3183,2800),$V$4:$V$3183,0)),"")</f>
        <v/>
      </c>
      <c r="C2803">
        <f>IFERROR(INDEX($P$4:$P$3183,MATCH(SMALL($V$4:$V$3183,2800),$V$4:$V$3183,0)),"")</f>
        <v/>
      </c>
      <c r="D2803" s="29">
        <f>IFERROR(INDEX($Q$4:$Q$3183,MATCH(SMALL($V$4:$V$3183,2800),$V$4:$V$3183,0)),"")</f>
        <v/>
      </c>
      <c r="E2803" s="29">
        <f>IFERROR(INDEX($R$4:$R$3183,MATCH(SMALL($V$4:$V$3183,2800),$V$4:$V$3183,0)),"")</f>
        <v/>
      </c>
      <c r="F2803">
        <f>IFERROR(INDEX($S$4:$S$3183,MATCH(SMALL($V$4:$V$3183,2800),$V$4:$V$3183,0)),"")</f>
        <v/>
      </c>
      <c r="I2803" s="29">
        <f>IF($B2803="","",IFERROR(INDEX($U$4:$U$3183,MATCH(SMALL($V$4:$V$3183,2800),$V$4:$V$3183,0)),""))</f>
        <v/>
      </c>
      <c r="J2803">
        <f>IF($B2803="","",IF($D2803&gt;$F$2,"À venir",IF($E2803&lt;$D$2,"Passé","Dans la période")))</f>
        <v/>
      </c>
      <c r="K2803">
        <f>IF(OR($B2803="",NOT(ISNUMBER($D2803))),"",IF(AND($E2803&lt;$D$2,$G2803&lt;&gt;"X",$F2803&lt;&gt;"Réalisé",$F2803&lt;&gt;"Clôturé"),"RETARD",""))</f>
        <v/>
      </c>
      <c r="L2803">
        <f>IF(OR($B2803="",NOT(ISNUMBER($D2803))),"",IF(AND($D2803&gt;=$D$2,$D2803&lt;=$H$2,$G2803&lt;&gt;"X",$F2803&lt;&gt;"Réalisé",$F2803&lt;&gt;"Clôturé"),"≤ 7 j",""))</f>
        <v/>
      </c>
      <c r="M2803" s="29">
        <f>IF($B2803="","",IFERROR(INDEX($T$4:$T$3183,MATCH(SMALL($V$4:$V$3183,2800),$V$4:$V$3183,0)),""))</f>
        <v/>
      </c>
      <c r="O2803">
        <f>IF(INDEX(Suivi!$B:$B,2856)="","",INDEX(Suivi!$B:$B,2856))</f>
        <v/>
      </c>
      <c r="P2803">
        <f>IF($O2803="","",IF(INDEX(Suivi!$D:$D,2856)="",INDEX(Suivi!$C:$C,2856),INDEX(Suivi!$D:$D,2856)))</f>
        <v/>
      </c>
      <c r="Q2803">
        <f>IF($O2803="","",INDEX(Suivi!$E:$E,2856))</f>
        <v/>
      </c>
      <c r="R2803">
        <f>IF($O2803="","",INDEX(Suivi!$F:$F,2856))</f>
        <v/>
      </c>
      <c r="S2803">
        <f>IF($O2803="","",INDEX(Suivi!$G:$G,2856))</f>
        <v/>
      </c>
      <c r="T2803">
        <f>IF($O2803="","",IF(INDEX(Dossiers!$F$4:$F$63,53)="","",INDEX(Dossiers!$F$4:$F$63,53)))</f>
        <v/>
      </c>
      <c r="U2803">
        <f>IF($O2803="","",IF(INDEX(Dossiers!$G$4:$G$63,53)="","",INDEX(Dossiers!$G$4:$G$63,53)))</f>
        <v/>
      </c>
      <c r="V2803">
        <f>IF(OR($O2803="",NOT(ISNUMBER($Q2803))),"",$Q2803*1000000+2803)</f>
        <v/>
      </c>
      <c r="W2803" s="29">
        <f>IF($B2803="","",IFERROR(INDEX($U$4:$U$3183,MATCH(SMALL($V$4:$V$3183,2800),$V$4:$V$3183,0)),""))</f>
        <v/>
      </c>
    </row>
    <row r="2804">
      <c r="A2804">
        <f>IFERROR(INDEX($N$4:$N$3183,MATCH(SMALL($V$4:$V$3183,2801),$V$4:$V$3183,0)),"")</f>
        <v/>
      </c>
      <c r="B2804">
        <f>IFERROR(INDEX($O$4:$O$3183,MATCH(SMALL($V$4:$V$3183,2801),$V$4:$V$3183,0)),"")</f>
        <v/>
      </c>
      <c r="C2804">
        <f>IFERROR(INDEX($P$4:$P$3183,MATCH(SMALL($V$4:$V$3183,2801),$V$4:$V$3183,0)),"")</f>
        <v/>
      </c>
      <c r="D2804" s="29">
        <f>IFERROR(INDEX($Q$4:$Q$3183,MATCH(SMALL($V$4:$V$3183,2801),$V$4:$V$3183,0)),"")</f>
        <v/>
      </c>
      <c r="E2804" s="29">
        <f>IFERROR(INDEX($R$4:$R$3183,MATCH(SMALL($V$4:$V$3183,2801),$V$4:$V$3183,0)),"")</f>
        <v/>
      </c>
      <c r="F2804">
        <f>IFERROR(INDEX($S$4:$S$3183,MATCH(SMALL($V$4:$V$3183,2801),$V$4:$V$3183,0)),"")</f>
        <v/>
      </c>
      <c r="I2804" s="29">
        <f>IF($B2804="","",IFERROR(INDEX($U$4:$U$3183,MATCH(SMALL($V$4:$V$3183,2801),$V$4:$V$3183,0)),""))</f>
        <v/>
      </c>
      <c r="J2804">
        <f>IF($B2804="","",IF($D2804&gt;$F$2,"À venir",IF($E2804&lt;$D$2,"Passé","Dans la période")))</f>
        <v/>
      </c>
      <c r="K2804">
        <f>IF(OR($B2804="",NOT(ISNUMBER($D2804))),"",IF(AND($E2804&lt;$D$2,$G2804&lt;&gt;"X",$F2804&lt;&gt;"Réalisé",$F2804&lt;&gt;"Clôturé"),"RETARD",""))</f>
        <v/>
      </c>
      <c r="L2804">
        <f>IF(OR($B2804="",NOT(ISNUMBER($D2804))),"",IF(AND($D2804&gt;=$D$2,$D2804&lt;=$H$2,$G2804&lt;&gt;"X",$F2804&lt;&gt;"Réalisé",$F2804&lt;&gt;"Clôturé"),"≤ 7 j",""))</f>
        <v/>
      </c>
      <c r="M2804" s="29">
        <f>IF($B2804="","",IFERROR(INDEX($T$4:$T$3183,MATCH(SMALL($V$4:$V$3183,2801),$V$4:$V$3183,0)),""))</f>
        <v/>
      </c>
      <c r="O2804">
        <f>IF(INDEX(Suivi!$B:$B,2857)="","",INDEX(Suivi!$B:$B,2857))</f>
        <v/>
      </c>
      <c r="P2804">
        <f>IF($O2804="","",IF(INDEX(Suivi!$D:$D,2857)="",INDEX(Suivi!$C:$C,2857),INDEX(Suivi!$D:$D,2857)))</f>
        <v/>
      </c>
      <c r="Q2804">
        <f>IF($O2804="","",INDEX(Suivi!$E:$E,2857))</f>
        <v/>
      </c>
      <c r="R2804">
        <f>IF($O2804="","",INDEX(Suivi!$F:$F,2857))</f>
        <v/>
      </c>
      <c r="S2804">
        <f>IF($O2804="","",INDEX(Suivi!$G:$G,2857))</f>
        <v/>
      </c>
      <c r="T2804">
        <f>IF($O2804="","",IF(INDEX(Dossiers!$F$4:$F$63,53)="","",INDEX(Dossiers!$F$4:$F$63,53)))</f>
        <v/>
      </c>
      <c r="U2804">
        <f>IF($O2804="","",IF(INDEX(Dossiers!$G$4:$G$63,53)="","",INDEX(Dossiers!$G$4:$G$63,53)))</f>
        <v/>
      </c>
      <c r="V2804">
        <f>IF(OR($O2804="",NOT(ISNUMBER($Q2804))),"",$Q2804*1000000+2804)</f>
        <v/>
      </c>
      <c r="W2804" s="29">
        <f>IF($B2804="","",IFERROR(INDEX($U$4:$U$3183,MATCH(SMALL($V$4:$V$3183,2801),$V$4:$V$3183,0)),""))</f>
        <v/>
      </c>
    </row>
    <row r="2805">
      <c r="A2805">
        <f>IFERROR(INDEX($N$4:$N$3183,MATCH(SMALL($V$4:$V$3183,2802),$V$4:$V$3183,0)),"")</f>
        <v/>
      </c>
      <c r="B2805">
        <f>IFERROR(INDEX($O$4:$O$3183,MATCH(SMALL($V$4:$V$3183,2802),$V$4:$V$3183,0)),"")</f>
        <v/>
      </c>
      <c r="C2805">
        <f>IFERROR(INDEX($P$4:$P$3183,MATCH(SMALL($V$4:$V$3183,2802),$V$4:$V$3183,0)),"")</f>
        <v/>
      </c>
      <c r="D2805" s="29">
        <f>IFERROR(INDEX($Q$4:$Q$3183,MATCH(SMALL($V$4:$V$3183,2802),$V$4:$V$3183,0)),"")</f>
        <v/>
      </c>
      <c r="E2805" s="29">
        <f>IFERROR(INDEX($R$4:$R$3183,MATCH(SMALL($V$4:$V$3183,2802),$V$4:$V$3183,0)),"")</f>
        <v/>
      </c>
      <c r="F2805">
        <f>IFERROR(INDEX($S$4:$S$3183,MATCH(SMALL($V$4:$V$3183,2802),$V$4:$V$3183,0)),"")</f>
        <v/>
      </c>
      <c r="I2805" s="29">
        <f>IF($B2805="","",IFERROR(INDEX($U$4:$U$3183,MATCH(SMALL($V$4:$V$3183,2802),$V$4:$V$3183,0)),""))</f>
        <v/>
      </c>
      <c r="J2805">
        <f>IF($B2805="","",IF($D2805&gt;$F$2,"À venir",IF($E2805&lt;$D$2,"Passé","Dans la période")))</f>
        <v/>
      </c>
      <c r="K2805">
        <f>IF(OR($B2805="",NOT(ISNUMBER($D2805))),"",IF(AND($E2805&lt;$D$2,$G2805&lt;&gt;"X",$F2805&lt;&gt;"Réalisé",$F2805&lt;&gt;"Clôturé"),"RETARD",""))</f>
        <v/>
      </c>
      <c r="L2805">
        <f>IF(OR($B2805="",NOT(ISNUMBER($D2805))),"",IF(AND($D2805&gt;=$D$2,$D2805&lt;=$H$2,$G2805&lt;&gt;"X",$F2805&lt;&gt;"Réalisé",$F2805&lt;&gt;"Clôturé"),"≤ 7 j",""))</f>
        <v/>
      </c>
      <c r="M2805" s="29">
        <f>IF($B2805="","",IFERROR(INDEX($T$4:$T$3183,MATCH(SMALL($V$4:$V$3183,2802),$V$4:$V$3183,0)),""))</f>
        <v/>
      </c>
      <c r="O2805">
        <f>IF(INDEX(Suivi!$B:$B,2858)="","",INDEX(Suivi!$B:$B,2858))</f>
        <v/>
      </c>
      <c r="P2805">
        <f>IF($O2805="","",IF(INDEX(Suivi!$D:$D,2858)="",INDEX(Suivi!$C:$C,2858),INDEX(Suivi!$D:$D,2858)))</f>
        <v/>
      </c>
      <c r="Q2805">
        <f>IF($O2805="","",INDEX(Suivi!$E:$E,2858))</f>
        <v/>
      </c>
      <c r="R2805">
        <f>IF($O2805="","",INDEX(Suivi!$F:$F,2858))</f>
        <v/>
      </c>
      <c r="S2805">
        <f>IF($O2805="","",INDEX(Suivi!$G:$G,2858))</f>
        <v/>
      </c>
      <c r="T2805">
        <f>IF($O2805="","",IF(INDEX(Dossiers!$F$4:$F$63,53)="","",INDEX(Dossiers!$F$4:$F$63,53)))</f>
        <v/>
      </c>
      <c r="U2805">
        <f>IF($O2805="","",IF(INDEX(Dossiers!$G$4:$G$63,53)="","",INDEX(Dossiers!$G$4:$G$63,53)))</f>
        <v/>
      </c>
      <c r="V2805">
        <f>IF(OR($O2805="",NOT(ISNUMBER($Q2805))),"",$Q2805*1000000+2805)</f>
        <v/>
      </c>
      <c r="W2805" s="29">
        <f>IF($B2805="","",IFERROR(INDEX($U$4:$U$3183,MATCH(SMALL($V$4:$V$3183,2802),$V$4:$V$3183,0)),""))</f>
        <v/>
      </c>
    </row>
    <row r="2806">
      <c r="A2806">
        <f>IFERROR(INDEX($N$4:$N$3183,MATCH(SMALL($V$4:$V$3183,2803),$V$4:$V$3183,0)),"")</f>
        <v/>
      </c>
      <c r="B2806">
        <f>IFERROR(INDEX($O$4:$O$3183,MATCH(SMALL($V$4:$V$3183,2803),$V$4:$V$3183,0)),"")</f>
        <v/>
      </c>
      <c r="C2806">
        <f>IFERROR(INDEX($P$4:$P$3183,MATCH(SMALL($V$4:$V$3183,2803),$V$4:$V$3183,0)),"")</f>
        <v/>
      </c>
      <c r="D2806" s="29">
        <f>IFERROR(INDEX($Q$4:$Q$3183,MATCH(SMALL($V$4:$V$3183,2803),$V$4:$V$3183,0)),"")</f>
        <v/>
      </c>
      <c r="E2806" s="29">
        <f>IFERROR(INDEX($R$4:$R$3183,MATCH(SMALL($V$4:$V$3183,2803),$V$4:$V$3183,0)),"")</f>
        <v/>
      </c>
      <c r="F2806">
        <f>IFERROR(INDEX($S$4:$S$3183,MATCH(SMALL($V$4:$V$3183,2803),$V$4:$V$3183,0)),"")</f>
        <v/>
      </c>
      <c r="I2806" s="29">
        <f>IF($B2806="","",IFERROR(INDEX($U$4:$U$3183,MATCH(SMALL($V$4:$V$3183,2803),$V$4:$V$3183,0)),""))</f>
        <v/>
      </c>
      <c r="J2806">
        <f>IF($B2806="","",IF($D2806&gt;$F$2,"À venir",IF($E2806&lt;$D$2,"Passé","Dans la période")))</f>
        <v/>
      </c>
      <c r="K2806">
        <f>IF(OR($B2806="",NOT(ISNUMBER($D2806))),"",IF(AND($E2806&lt;$D$2,$G2806&lt;&gt;"X",$F2806&lt;&gt;"Réalisé",$F2806&lt;&gt;"Clôturé"),"RETARD",""))</f>
        <v/>
      </c>
      <c r="L2806">
        <f>IF(OR($B2806="",NOT(ISNUMBER($D2806))),"",IF(AND($D2806&gt;=$D$2,$D2806&lt;=$H$2,$G2806&lt;&gt;"X",$F2806&lt;&gt;"Réalisé",$F2806&lt;&gt;"Clôturé"),"≤ 7 j",""))</f>
        <v/>
      </c>
      <c r="M2806" s="29">
        <f>IF($B2806="","",IFERROR(INDEX($T$4:$T$3183,MATCH(SMALL($V$4:$V$3183,2803),$V$4:$V$3183,0)),""))</f>
        <v/>
      </c>
      <c r="O2806">
        <f>IF(INDEX(Suivi!$B:$B,2859)="","",INDEX(Suivi!$B:$B,2859))</f>
        <v/>
      </c>
      <c r="P2806">
        <f>IF($O2806="","",IF(INDEX(Suivi!$D:$D,2859)="",INDEX(Suivi!$C:$C,2859),INDEX(Suivi!$D:$D,2859)))</f>
        <v/>
      </c>
      <c r="Q2806">
        <f>IF($O2806="","",INDEX(Suivi!$E:$E,2859))</f>
        <v/>
      </c>
      <c r="R2806">
        <f>IF($O2806="","",INDEX(Suivi!$F:$F,2859))</f>
        <v/>
      </c>
      <c r="S2806">
        <f>IF($O2806="","",INDEX(Suivi!$G:$G,2859))</f>
        <v/>
      </c>
      <c r="T2806">
        <f>IF($O2806="","",IF(INDEX(Dossiers!$F$4:$F$63,53)="","",INDEX(Dossiers!$F$4:$F$63,53)))</f>
        <v/>
      </c>
      <c r="U2806">
        <f>IF($O2806="","",IF(INDEX(Dossiers!$G$4:$G$63,53)="","",INDEX(Dossiers!$G$4:$G$63,53)))</f>
        <v/>
      </c>
      <c r="V2806">
        <f>IF(OR($O2806="",NOT(ISNUMBER($Q2806))),"",$Q2806*1000000+2806)</f>
        <v/>
      </c>
      <c r="W2806" s="29">
        <f>IF($B2806="","",IFERROR(INDEX($U$4:$U$3183,MATCH(SMALL($V$4:$V$3183,2803),$V$4:$V$3183,0)),""))</f>
        <v/>
      </c>
    </row>
    <row r="2807">
      <c r="A2807">
        <f>IFERROR(INDEX($N$4:$N$3183,MATCH(SMALL($V$4:$V$3183,2804),$V$4:$V$3183,0)),"")</f>
        <v/>
      </c>
      <c r="B2807">
        <f>IFERROR(INDEX($O$4:$O$3183,MATCH(SMALL($V$4:$V$3183,2804),$V$4:$V$3183,0)),"")</f>
        <v/>
      </c>
      <c r="C2807">
        <f>IFERROR(INDEX($P$4:$P$3183,MATCH(SMALL($V$4:$V$3183,2804),$V$4:$V$3183,0)),"")</f>
        <v/>
      </c>
      <c r="D2807" s="29">
        <f>IFERROR(INDEX($Q$4:$Q$3183,MATCH(SMALL($V$4:$V$3183,2804),$V$4:$V$3183,0)),"")</f>
        <v/>
      </c>
      <c r="E2807" s="29">
        <f>IFERROR(INDEX($R$4:$R$3183,MATCH(SMALL($V$4:$V$3183,2804),$V$4:$V$3183,0)),"")</f>
        <v/>
      </c>
      <c r="F2807">
        <f>IFERROR(INDEX($S$4:$S$3183,MATCH(SMALL($V$4:$V$3183,2804),$V$4:$V$3183,0)),"")</f>
        <v/>
      </c>
      <c r="I2807" s="29">
        <f>IF($B2807="","",IFERROR(INDEX($U$4:$U$3183,MATCH(SMALL($V$4:$V$3183,2804),$V$4:$V$3183,0)),""))</f>
        <v/>
      </c>
      <c r="J2807">
        <f>IF($B2807="","",IF($D2807&gt;$F$2,"À venir",IF($E2807&lt;$D$2,"Passé","Dans la période")))</f>
        <v/>
      </c>
      <c r="K2807">
        <f>IF(OR($B2807="",NOT(ISNUMBER($D2807))),"",IF(AND($E2807&lt;$D$2,$G2807&lt;&gt;"X",$F2807&lt;&gt;"Réalisé",$F2807&lt;&gt;"Clôturé"),"RETARD",""))</f>
        <v/>
      </c>
      <c r="L2807">
        <f>IF(OR($B2807="",NOT(ISNUMBER($D2807))),"",IF(AND($D2807&gt;=$D$2,$D2807&lt;=$H$2,$G2807&lt;&gt;"X",$F2807&lt;&gt;"Réalisé",$F2807&lt;&gt;"Clôturé"),"≤ 7 j",""))</f>
        <v/>
      </c>
      <c r="M2807" s="29">
        <f>IF($B2807="","",IFERROR(INDEX($T$4:$T$3183,MATCH(SMALL($V$4:$V$3183,2804),$V$4:$V$3183,0)),""))</f>
        <v/>
      </c>
      <c r="O2807">
        <f>IF(INDEX(Suivi!$B:$B,2860)="","",INDEX(Suivi!$B:$B,2860))</f>
        <v/>
      </c>
      <c r="P2807">
        <f>IF($O2807="","",IF(INDEX(Suivi!$D:$D,2860)="",INDEX(Suivi!$C:$C,2860),INDEX(Suivi!$D:$D,2860)))</f>
        <v/>
      </c>
      <c r="Q2807">
        <f>IF($O2807="","",INDEX(Suivi!$E:$E,2860))</f>
        <v/>
      </c>
      <c r="R2807">
        <f>IF($O2807="","",INDEX(Suivi!$F:$F,2860))</f>
        <v/>
      </c>
      <c r="S2807">
        <f>IF($O2807="","",INDEX(Suivi!$G:$G,2860))</f>
        <v/>
      </c>
      <c r="T2807">
        <f>IF($O2807="","",IF(INDEX(Dossiers!$F$4:$F$63,53)="","",INDEX(Dossiers!$F$4:$F$63,53)))</f>
        <v/>
      </c>
      <c r="U2807">
        <f>IF($O2807="","",IF(INDEX(Dossiers!$G$4:$G$63,53)="","",INDEX(Dossiers!$G$4:$G$63,53)))</f>
        <v/>
      </c>
      <c r="V2807">
        <f>IF(OR($O2807="",NOT(ISNUMBER($Q2807))),"",$Q2807*1000000+2807)</f>
        <v/>
      </c>
      <c r="W2807" s="29">
        <f>IF($B2807="","",IFERROR(INDEX($U$4:$U$3183,MATCH(SMALL($V$4:$V$3183,2804),$V$4:$V$3183,0)),""))</f>
        <v/>
      </c>
    </row>
    <row r="2808">
      <c r="A2808">
        <f>IFERROR(INDEX($N$4:$N$3183,MATCH(SMALL($V$4:$V$3183,2805),$V$4:$V$3183,0)),"")</f>
        <v/>
      </c>
      <c r="B2808">
        <f>IFERROR(INDEX($O$4:$O$3183,MATCH(SMALL($V$4:$V$3183,2805),$V$4:$V$3183,0)),"")</f>
        <v/>
      </c>
      <c r="C2808">
        <f>IFERROR(INDEX($P$4:$P$3183,MATCH(SMALL($V$4:$V$3183,2805),$V$4:$V$3183,0)),"")</f>
        <v/>
      </c>
      <c r="D2808" s="29">
        <f>IFERROR(INDEX($Q$4:$Q$3183,MATCH(SMALL($V$4:$V$3183,2805),$V$4:$V$3183,0)),"")</f>
        <v/>
      </c>
      <c r="E2808" s="29">
        <f>IFERROR(INDEX($R$4:$R$3183,MATCH(SMALL($V$4:$V$3183,2805),$V$4:$V$3183,0)),"")</f>
        <v/>
      </c>
      <c r="F2808">
        <f>IFERROR(INDEX($S$4:$S$3183,MATCH(SMALL($V$4:$V$3183,2805),$V$4:$V$3183,0)),"")</f>
        <v/>
      </c>
      <c r="I2808" s="29">
        <f>IF($B2808="","",IFERROR(INDEX($U$4:$U$3183,MATCH(SMALL($V$4:$V$3183,2805),$V$4:$V$3183,0)),""))</f>
        <v/>
      </c>
      <c r="J2808">
        <f>IF($B2808="","",IF($D2808&gt;$F$2,"À venir",IF($E2808&lt;$D$2,"Passé","Dans la période")))</f>
        <v/>
      </c>
      <c r="K2808">
        <f>IF(OR($B2808="",NOT(ISNUMBER($D2808))),"",IF(AND($E2808&lt;$D$2,$G2808&lt;&gt;"X",$F2808&lt;&gt;"Réalisé",$F2808&lt;&gt;"Clôturé"),"RETARD",""))</f>
        <v/>
      </c>
      <c r="L2808">
        <f>IF(OR($B2808="",NOT(ISNUMBER($D2808))),"",IF(AND($D2808&gt;=$D$2,$D2808&lt;=$H$2,$G2808&lt;&gt;"X",$F2808&lt;&gt;"Réalisé",$F2808&lt;&gt;"Clôturé"),"≤ 7 j",""))</f>
        <v/>
      </c>
      <c r="M2808" s="29">
        <f>IF($B2808="","",IFERROR(INDEX($T$4:$T$3183,MATCH(SMALL($V$4:$V$3183,2805),$V$4:$V$3183,0)),""))</f>
        <v/>
      </c>
      <c r="O2808">
        <f>IF(INDEX(Suivi!$B:$B,2861)="","",INDEX(Suivi!$B:$B,2861))</f>
        <v/>
      </c>
      <c r="P2808">
        <f>IF($O2808="","",IF(INDEX(Suivi!$D:$D,2861)="",INDEX(Suivi!$C:$C,2861),INDEX(Suivi!$D:$D,2861)))</f>
        <v/>
      </c>
      <c r="Q2808">
        <f>IF($O2808="","",INDEX(Suivi!$E:$E,2861))</f>
        <v/>
      </c>
      <c r="R2808">
        <f>IF($O2808="","",INDEX(Suivi!$F:$F,2861))</f>
        <v/>
      </c>
      <c r="S2808">
        <f>IF($O2808="","",INDEX(Suivi!$G:$G,2861))</f>
        <v/>
      </c>
      <c r="T2808">
        <f>IF($O2808="","",IF(INDEX(Dossiers!$F$4:$F$63,53)="","",INDEX(Dossiers!$F$4:$F$63,53)))</f>
        <v/>
      </c>
      <c r="U2808">
        <f>IF($O2808="","",IF(INDEX(Dossiers!$G$4:$G$63,53)="","",INDEX(Dossiers!$G$4:$G$63,53)))</f>
        <v/>
      </c>
      <c r="V2808">
        <f>IF(OR($O2808="",NOT(ISNUMBER($Q2808))),"",$Q2808*1000000+2808)</f>
        <v/>
      </c>
      <c r="W2808" s="29">
        <f>IF($B2808="","",IFERROR(INDEX($U$4:$U$3183,MATCH(SMALL($V$4:$V$3183,2805),$V$4:$V$3183,0)),""))</f>
        <v/>
      </c>
    </row>
    <row r="2809">
      <c r="A2809">
        <f>IFERROR(INDEX($N$4:$N$3183,MATCH(SMALL($V$4:$V$3183,2806),$V$4:$V$3183,0)),"")</f>
        <v/>
      </c>
      <c r="B2809">
        <f>IFERROR(INDEX($O$4:$O$3183,MATCH(SMALL($V$4:$V$3183,2806),$V$4:$V$3183,0)),"")</f>
        <v/>
      </c>
      <c r="C2809">
        <f>IFERROR(INDEX($P$4:$P$3183,MATCH(SMALL($V$4:$V$3183,2806),$V$4:$V$3183,0)),"")</f>
        <v/>
      </c>
      <c r="D2809" s="29">
        <f>IFERROR(INDEX($Q$4:$Q$3183,MATCH(SMALL($V$4:$V$3183,2806),$V$4:$V$3183,0)),"")</f>
        <v/>
      </c>
      <c r="E2809" s="29">
        <f>IFERROR(INDEX($R$4:$R$3183,MATCH(SMALL($V$4:$V$3183,2806),$V$4:$V$3183,0)),"")</f>
        <v/>
      </c>
      <c r="F2809">
        <f>IFERROR(INDEX($S$4:$S$3183,MATCH(SMALL($V$4:$V$3183,2806),$V$4:$V$3183,0)),"")</f>
        <v/>
      </c>
      <c r="I2809" s="29">
        <f>IF($B2809="","",IFERROR(INDEX($U$4:$U$3183,MATCH(SMALL($V$4:$V$3183,2806),$V$4:$V$3183,0)),""))</f>
        <v/>
      </c>
      <c r="J2809">
        <f>IF($B2809="","",IF($D2809&gt;$F$2,"À venir",IF($E2809&lt;$D$2,"Passé","Dans la période")))</f>
        <v/>
      </c>
      <c r="K2809">
        <f>IF(OR($B2809="",NOT(ISNUMBER($D2809))),"",IF(AND($E2809&lt;$D$2,$G2809&lt;&gt;"X",$F2809&lt;&gt;"Réalisé",$F2809&lt;&gt;"Clôturé"),"RETARD",""))</f>
        <v/>
      </c>
      <c r="L2809">
        <f>IF(OR($B2809="",NOT(ISNUMBER($D2809))),"",IF(AND($D2809&gt;=$D$2,$D2809&lt;=$H$2,$G2809&lt;&gt;"X",$F2809&lt;&gt;"Réalisé",$F2809&lt;&gt;"Clôturé"),"≤ 7 j",""))</f>
        <v/>
      </c>
      <c r="M2809" s="29">
        <f>IF($B2809="","",IFERROR(INDEX($T$4:$T$3183,MATCH(SMALL($V$4:$V$3183,2806),$V$4:$V$3183,0)),""))</f>
        <v/>
      </c>
      <c r="O2809">
        <f>IF(INDEX(Suivi!$B:$B,2862)="","",INDEX(Suivi!$B:$B,2862))</f>
        <v/>
      </c>
      <c r="P2809">
        <f>IF($O2809="","",IF(INDEX(Suivi!$D:$D,2862)="",INDEX(Suivi!$C:$C,2862),INDEX(Suivi!$D:$D,2862)))</f>
        <v/>
      </c>
      <c r="Q2809">
        <f>IF($O2809="","",INDEX(Suivi!$E:$E,2862))</f>
        <v/>
      </c>
      <c r="R2809">
        <f>IF($O2809="","",INDEX(Suivi!$F:$F,2862))</f>
        <v/>
      </c>
      <c r="S2809">
        <f>IF($O2809="","",INDEX(Suivi!$G:$G,2862))</f>
        <v/>
      </c>
      <c r="T2809">
        <f>IF($O2809="","",IF(INDEX(Dossiers!$F$4:$F$63,53)="","",INDEX(Dossiers!$F$4:$F$63,53)))</f>
        <v/>
      </c>
      <c r="U2809">
        <f>IF($O2809="","",IF(INDEX(Dossiers!$G$4:$G$63,53)="","",INDEX(Dossiers!$G$4:$G$63,53)))</f>
        <v/>
      </c>
      <c r="V2809">
        <f>IF(OR($O2809="",NOT(ISNUMBER($Q2809))),"",$Q2809*1000000+2809)</f>
        <v/>
      </c>
      <c r="W2809" s="29">
        <f>IF($B2809="","",IFERROR(INDEX($U$4:$U$3183,MATCH(SMALL($V$4:$V$3183,2806),$V$4:$V$3183,0)),""))</f>
        <v/>
      </c>
    </row>
    <row r="2810">
      <c r="A2810">
        <f>IFERROR(INDEX($N$4:$N$3183,MATCH(SMALL($V$4:$V$3183,2807),$V$4:$V$3183,0)),"")</f>
        <v/>
      </c>
      <c r="B2810">
        <f>IFERROR(INDEX($O$4:$O$3183,MATCH(SMALL($V$4:$V$3183,2807),$V$4:$V$3183,0)),"")</f>
        <v/>
      </c>
      <c r="C2810">
        <f>IFERROR(INDEX($P$4:$P$3183,MATCH(SMALL($V$4:$V$3183,2807),$V$4:$V$3183,0)),"")</f>
        <v/>
      </c>
      <c r="D2810" s="29">
        <f>IFERROR(INDEX($Q$4:$Q$3183,MATCH(SMALL($V$4:$V$3183,2807),$V$4:$V$3183,0)),"")</f>
        <v/>
      </c>
      <c r="E2810" s="29">
        <f>IFERROR(INDEX($R$4:$R$3183,MATCH(SMALL($V$4:$V$3183,2807),$V$4:$V$3183,0)),"")</f>
        <v/>
      </c>
      <c r="F2810">
        <f>IFERROR(INDEX($S$4:$S$3183,MATCH(SMALL($V$4:$V$3183,2807),$V$4:$V$3183,0)),"")</f>
        <v/>
      </c>
      <c r="I2810" s="29">
        <f>IF($B2810="","",IFERROR(INDEX($U$4:$U$3183,MATCH(SMALL($V$4:$V$3183,2807),$V$4:$V$3183,0)),""))</f>
        <v/>
      </c>
      <c r="J2810">
        <f>IF($B2810="","",IF($D2810&gt;$F$2,"À venir",IF($E2810&lt;$D$2,"Passé","Dans la période")))</f>
        <v/>
      </c>
      <c r="K2810">
        <f>IF(OR($B2810="",NOT(ISNUMBER($D2810))),"",IF(AND($E2810&lt;$D$2,$G2810&lt;&gt;"X",$F2810&lt;&gt;"Réalisé",$F2810&lt;&gt;"Clôturé"),"RETARD",""))</f>
        <v/>
      </c>
      <c r="L2810">
        <f>IF(OR($B2810="",NOT(ISNUMBER($D2810))),"",IF(AND($D2810&gt;=$D$2,$D2810&lt;=$H$2,$G2810&lt;&gt;"X",$F2810&lt;&gt;"Réalisé",$F2810&lt;&gt;"Clôturé"),"≤ 7 j",""))</f>
        <v/>
      </c>
      <c r="M2810" s="29">
        <f>IF($B2810="","",IFERROR(INDEX($T$4:$T$3183,MATCH(SMALL($V$4:$V$3183,2807),$V$4:$V$3183,0)),""))</f>
        <v/>
      </c>
      <c r="O2810">
        <f>IF(INDEX(Suivi!$B:$B,2863)="","",INDEX(Suivi!$B:$B,2863))</f>
        <v/>
      </c>
      <c r="P2810">
        <f>IF($O2810="","",IF(INDEX(Suivi!$D:$D,2863)="",INDEX(Suivi!$C:$C,2863),INDEX(Suivi!$D:$D,2863)))</f>
        <v/>
      </c>
      <c r="Q2810">
        <f>IF($O2810="","",INDEX(Suivi!$E:$E,2863))</f>
        <v/>
      </c>
      <c r="R2810">
        <f>IF($O2810="","",INDEX(Suivi!$F:$F,2863))</f>
        <v/>
      </c>
      <c r="S2810">
        <f>IF($O2810="","",INDEX(Suivi!$G:$G,2863))</f>
        <v/>
      </c>
      <c r="T2810">
        <f>IF($O2810="","",IF(INDEX(Dossiers!$F$4:$F$63,53)="","",INDEX(Dossiers!$F$4:$F$63,53)))</f>
        <v/>
      </c>
      <c r="U2810">
        <f>IF($O2810="","",IF(INDEX(Dossiers!$G$4:$G$63,53)="","",INDEX(Dossiers!$G$4:$G$63,53)))</f>
        <v/>
      </c>
      <c r="V2810">
        <f>IF(OR($O2810="",NOT(ISNUMBER($Q2810))),"",$Q2810*1000000+2810)</f>
        <v/>
      </c>
      <c r="W2810" s="29">
        <f>IF($B2810="","",IFERROR(INDEX($U$4:$U$3183,MATCH(SMALL($V$4:$V$3183,2807),$V$4:$V$3183,0)),""))</f>
        <v/>
      </c>
    </row>
    <row r="2811">
      <c r="A2811">
        <f>IFERROR(INDEX($N$4:$N$3183,MATCH(SMALL($V$4:$V$3183,2808),$V$4:$V$3183,0)),"")</f>
        <v/>
      </c>
      <c r="B2811">
        <f>IFERROR(INDEX($O$4:$O$3183,MATCH(SMALL($V$4:$V$3183,2808),$V$4:$V$3183,0)),"")</f>
        <v/>
      </c>
      <c r="C2811">
        <f>IFERROR(INDEX($P$4:$P$3183,MATCH(SMALL($V$4:$V$3183,2808),$V$4:$V$3183,0)),"")</f>
        <v/>
      </c>
      <c r="D2811" s="29">
        <f>IFERROR(INDEX($Q$4:$Q$3183,MATCH(SMALL($V$4:$V$3183,2808),$V$4:$V$3183,0)),"")</f>
        <v/>
      </c>
      <c r="E2811" s="29">
        <f>IFERROR(INDEX($R$4:$R$3183,MATCH(SMALL($V$4:$V$3183,2808),$V$4:$V$3183,0)),"")</f>
        <v/>
      </c>
      <c r="F2811">
        <f>IFERROR(INDEX($S$4:$S$3183,MATCH(SMALL($V$4:$V$3183,2808),$V$4:$V$3183,0)),"")</f>
        <v/>
      </c>
      <c r="I2811" s="29">
        <f>IF($B2811="","",IFERROR(INDEX($U$4:$U$3183,MATCH(SMALL($V$4:$V$3183,2808),$V$4:$V$3183,0)),""))</f>
        <v/>
      </c>
      <c r="J2811">
        <f>IF($B2811="","",IF($D2811&gt;$F$2,"À venir",IF($E2811&lt;$D$2,"Passé","Dans la période")))</f>
        <v/>
      </c>
      <c r="K2811">
        <f>IF(OR($B2811="",NOT(ISNUMBER($D2811))),"",IF(AND($E2811&lt;$D$2,$G2811&lt;&gt;"X",$F2811&lt;&gt;"Réalisé",$F2811&lt;&gt;"Clôturé"),"RETARD",""))</f>
        <v/>
      </c>
      <c r="L2811">
        <f>IF(OR($B2811="",NOT(ISNUMBER($D2811))),"",IF(AND($D2811&gt;=$D$2,$D2811&lt;=$H$2,$G2811&lt;&gt;"X",$F2811&lt;&gt;"Réalisé",$F2811&lt;&gt;"Clôturé"),"≤ 7 j",""))</f>
        <v/>
      </c>
      <c r="M2811" s="29">
        <f>IF($B2811="","",IFERROR(INDEX($T$4:$T$3183,MATCH(SMALL($V$4:$V$3183,2808),$V$4:$V$3183,0)),""))</f>
        <v/>
      </c>
      <c r="O2811">
        <f>IF(INDEX(Suivi!$B:$B,2864)="","",INDEX(Suivi!$B:$B,2864))</f>
        <v/>
      </c>
      <c r="P2811">
        <f>IF($O2811="","",IF(INDEX(Suivi!$D:$D,2864)="",INDEX(Suivi!$C:$C,2864),INDEX(Suivi!$D:$D,2864)))</f>
        <v/>
      </c>
      <c r="Q2811">
        <f>IF($O2811="","",INDEX(Suivi!$E:$E,2864))</f>
        <v/>
      </c>
      <c r="R2811">
        <f>IF($O2811="","",INDEX(Suivi!$F:$F,2864))</f>
        <v/>
      </c>
      <c r="S2811">
        <f>IF($O2811="","",INDEX(Suivi!$G:$G,2864))</f>
        <v/>
      </c>
      <c r="T2811">
        <f>IF($O2811="","",IF(INDEX(Dossiers!$F$4:$F$63,53)="","",INDEX(Dossiers!$F$4:$F$63,53)))</f>
        <v/>
      </c>
      <c r="U2811">
        <f>IF($O2811="","",IF(INDEX(Dossiers!$G$4:$G$63,53)="","",INDEX(Dossiers!$G$4:$G$63,53)))</f>
        <v/>
      </c>
      <c r="V2811">
        <f>IF(OR($O2811="",NOT(ISNUMBER($Q2811))),"",$Q2811*1000000+2811)</f>
        <v/>
      </c>
      <c r="W2811" s="29">
        <f>IF($B2811="","",IFERROR(INDEX($U$4:$U$3183,MATCH(SMALL($V$4:$V$3183,2808),$V$4:$V$3183,0)),""))</f>
        <v/>
      </c>
    </row>
    <row r="2812">
      <c r="A2812">
        <f>IFERROR(INDEX($N$4:$N$3183,MATCH(SMALL($V$4:$V$3183,2809),$V$4:$V$3183,0)),"")</f>
        <v/>
      </c>
      <c r="B2812">
        <f>IFERROR(INDEX($O$4:$O$3183,MATCH(SMALL($V$4:$V$3183,2809),$V$4:$V$3183,0)),"")</f>
        <v/>
      </c>
      <c r="C2812">
        <f>IFERROR(INDEX($P$4:$P$3183,MATCH(SMALL($V$4:$V$3183,2809),$V$4:$V$3183,0)),"")</f>
        <v/>
      </c>
      <c r="D2812" s="29">
        <f>IFERROR(INDEX($Q$4:$Q$3183,MATCH(SMALL($V$4:$V$3183,2809),$V$4:$V$3183,0)),"")</f>
        <v/>
      </c>
      <c r="E2812" s="29">
        <f>IFERROR(INDEX($R$4:$R$3183,MATCH(SMALL($V$4:$V$3183,2809),$V$4:$V$3183,0)),"")</f>
        <v/>
      </c>
      <c r="F2812">
        <f>IFERROR(INDEX($S$4:$S$3183,MATCH(SMALL($V$4:$V$3183,2809),$V$4:$V$3183,0)),"")</f>
        <v/>
      </c>
      <c r="I2812" s="29">
        <f>IF($B2812="","",IFERROR(INDEX($U$4:$U$3183,MATCH(SMALL($V$4:$V$3183,2809),$V$4:$V$3183,0)),""))</f>
        <v/>
      </c>
      <c r="J2812">
        <f>IF($B2812="","",IF($D2812&gt;$F$2,"À venir",IF($E2812&lt;$D$2,"Passé","Dans la période")))</f>
        <v/>
      </c>
      <c r="K2812">
        <f>IF(OR($B2812="",NOT(ISNUMBER($D2812))),"",IF(AND($E2812&lt;$D$2,$G2812&lt;&gt;"X",$F2812&lt;&gt;"Réalisé",$F2812&lt;&gt;"Clôturé"),"RETARD",""))</f>
        <v/>
      </c>
      <c r="L2812">
        <f>IF(OR($B2812="",NOT(ISNUMBER($D2812))),"",IF(AND($D2812&gt;=$D$2,$D2812&lt;=$H$2,$G2812&lt;&gt;"X",$F2812&lt;&gt;"Réalisé",$F2812&lt;&gt;"Clôturé"),"≤ 7 j",""))</f>
        <v/>
      </c>
      <c r="M2812" s="29">
        <f>IF($B2812="","",IFERROR(INDEX($T$4:$T$3183,MATCH(SMALL($V$4:$V$3183,2809),$V$4:$V$3183,0)),""))</f>
        <v/>
      </c>
      <c r="O2812">
        <f>IF(INDEX(Suivi!$B:$B,2865)="","",INDEX(Suivi!$B:$B,2865))</f>
        <v/>
      </c>
      <c r="P2812">
        <f>IF($O2812="","",IF(INDEX(Suivi!$D:$D,2865)="",INDEX(Suivi!$C:$C,2865),INDEX(Suivi!$D:$D,2865)))</f>
        <v/>
      </c>
      <c r="Q2812">
        <f>IF($O2812="","",INDEX(Suivi!$E:$E,2865))</f>
        <v/>
      </c>
      <c r="R2812">
        <f>IF($O2812="","",INDEX(Suivi!$F:$F,2865))</f>
        <v/>
      </c>
      <c r="S2812">
        <f>IF($O2812="","",INDEX(Suivi!$G:$G,2865))</f>
        <v/>
      </c>
      <c r="T2812">
        <f>IF($O2812="","",IF(INDEX(Dossiers!$F$4:$F$63,53)="","",INDEX(Dossiers!$F$4:$F$63,53)))</f>
        <v/>
      </c>
      <c r="U2812">
        <f>IF($O2812="","",IF(INDEX(Dossiers!$G$4:$G$63,53)="","",INDEX(Dossiers!$G$4:$G$63,53)))</f>
        <v/>
      </c>
      <c r="V2812">
        <f>IF(OR($O2812="",NOT(ISNUMBER($Q2812))),"",$Q2812*1000000+2812)</f>
        <v/>
      </c>
      <c r="W2812" s="29">
        <f>IF($B2812="","",IFERROR(INDEX($U$4:$U$3183,MATCH(SMALL($V$4:$V$3183,2809),$V$4:$V$3183,0)),""))</f>
        <v/>
      </c>
    </row>
    <row r="2813">
      <c r="A2813">
        <f>IFERROR(INDEX($N$4:$N$3183,MATCH(SMALL($V$4:$V$3183,2810),$V$4:$V$3183,0)),"")</f>
        <v/>
      </c>
      <c r="B2813">
        <f>IFERROR(INDEX($O$4:$O$3183,MATCH(SMALL($V$4:$V$3183,2810),$V$4:$V$3183,0)),"")</f>
        <v/>
      </c>
      <c r="C2813">
        <f>IFERROR(INDEX($P$4:$P$3183,MATCH(SMALL($V$4:$V$3183,2810),$V$4:$V$3183,0)),"")</f>
        <v/>
      </c>
      <c r="D2813" s="29">
        <f>IFERROR(INDEX($Q$4:$Q$3183,MATCH(SMALL($V$4:$V$3183,2810),$V$4:$V$3183,0)),"")</f>
        <v/>
      </c>
      <c r="E2813" s="29">
        <f>IFERROR(INDEX($R$4:$R$3183,MATCH(SMALL($V$4:$V$3183,2810),$V$4:$V$3183,0)),"")</f>
        <v/>
      </c>
      <c r="F2813">
        <f>IFERROR(INDEX($S$4:$S$3183,MATCH(SMALL($V$4:$V$3183,2810),$V$4:$V$3183,0)),"")</f>
        <v/>
      </c>
      <c r="I2813" s="29">
        <f>IF($B2813="","",IFERROR(INDEX($U$4:$U$3183,MATCH(SMALL($V$4:$V$3183,2810),$V$4:$V$3183,0)),""))</f>
        <v/>
      </c>
      <c r="J2813">
        <f>IF($B2813="","",IF($D2813&gt;$F$2,"À venir",IF($E2813&lt;$D$2,"Passé","Dans la période")))</f>
        <v/>
      </c>
      <c r="K2813">
        <f>IF(OR($B2813="",NOT(ISNUMBER($D2813))),"",IF(AND($E2813&lt;$D$2,$G2813&lt;&gt;"X",$F2813&lt;&gt;"Réalisé",$F2813&lt;&gt;"Clôturé"),"RETARD",""))</f>
        <v/>
      </c>
      <c r="L2813">
        <f>IF(OR($B2813="",NOT(ISNUMBER($D2813))),"",IF(AND($D2813&gt;=$D$2,$D2813&lt;=$H$2,$G2813&lt;&gt;"X",$F2813&lt;&gt;"Réalisé",$F2813&lt;&gt;"Clôturé"),"≤ 7 j",""))</f>
        <v/>
      </c>
      <c r="M2813" s="29">
        <f>IF($B2813="","",IFERROR(INDEX($T$4:$T$3183,MATCH(SMALL($V$4:$V$3183,2810),$V$4:$V$3183,0)),""))</f>
        <v/>
      </c>
      <c r="O2813">
        <f>IF(INDEX(Suivi!$B:$B,2867)="","",INDEX(Suivi!$B:$B,2867))</f>
        <v/>
      </c>
      <c r="P2813">
        <f>IF($O2813="","",IF(INDEX(Suivi!$D:$D,2867)="",INDEX(Suivi!$C:$C,2867),INDEX(Suivi!$D:$D,2867)))</f>
        <v/>
      </c>
      <c r="Q2813">
        <f>IF($O2813="","",INDEX(Suivi!$E:$E,2867))</f>
        <v/>
      </c>
      <c r="R2813">
        <f>IF($O2813="","",INDEX(Suivi!$F:$F,2867))</f>
        <v/>
      </c>
      <c r="S2813">
        <f>IF($O2813="","",INDEX(Suivi!$G:$G,2867))</f>
        <v/>
      </c>
      <c r="T2813">
        <f>IF($O2813="","",IF(INDEX(Dossiers!$F$4:$F$63,54)="","",INDEX(Dossiers!$F$4:$F$63,54)))</f>
        <v/>
      </c>
      <c r="U2813">
        <f>IF($O2813="","",IF(INDEX(Dossiers!$G$4:$G$63,54)="","",INDEX(Dossiers!$G$4:$G$63,54)))</f>
        <v/>
      </c>
      <c r="V2813">
        <f>IF(OR($O2813="",NOT(ISNUMBER($Q2813))),"",$Q2813*1000000+2813)</f>
        <v/>
      </c>
      <c r="W2813" s="29">
        <f>IF($B2813="","",IFERROR(INDEX($U$4:$U$3183,MATCH(SMALL($V$4:$V$3183,2810),$V$4:$V$3183,0)),""))</f>
        <v/>
      </c>
    </row>
    <row r="2814">
      <c r="A2814">
        <f>IFERROR(INDEX($N$4:$N$3183,MATCH(SMALL($V$4:$V$3183,2811),$V$4:$V$3183,0)),"")</f>
        <v/>
      </c>
      <c r="B2814">
        <f>IFERROR(INDEX($O$4:$O$3183,MATCH(SMALL($V$4:$V$3183,2811),$V$4:$V$3183,0)),"")</f>
        <v/>
      </c>
      <c r="C2814">
        <f>IFERROR(INDEX($P$4:$P$3183,MATCH(SMALL($V$4:$V$3183,2811),$V$4:$V$3183,0)),"")</f>
        <v/>
      </c>
      <c r="D2814" s="29">
        <f>IFERROR(INDEX($Q$4:$Q$3183,MATCH(SMALL($V$4:$V$3183,2811),$V$4:$V$3183,0)),"")</f>
        <v/>
      </c>
      <c r="E2814" s="29">
        <f>IFERROR(INDEX($R$4:$R$3183,MATCH(SMALL($V$4:$V$3183,2811),$V$4:$V$3183,0)),"")</f>
        <v/>
      </c>
      <c r="F2814">
        <f>IFERROR(INDEX($S$4:$S$3183,MATCH(SMALL($V$4:$V$3183,2811),$V$4:$V$3183,0)),"")</f>
        <v/>
      </c>
      <c r="I2814" s="29">
        <f>IF($B2814="","",IFERROR(INDEX($U$4:$U$3183,MATCH(SMALL($V$4:$V$3183,2811),$V$4:$V$3183,0)),""))</f>
        <v/>
      </c>
      <c r="J2814">
        <f>IF($B2814="","",IF($D2814&gt;$F$2,"À venir",IF($E2814&lt;$D$2,"Passé","Dans la période")))</f>
        <v/>
      </c>
      <c r="K2814">
        <f>IF(OR($B2814="",NOT(ISNUMBER($D2814))),"",IF(AND($E2814&lt;$D$2,$G2814&lt;&gt;"X",$F2814&lt;&gt;"Réalisé",$F2814&lt;&gt;"Clôturé"),"RETARD",""))</f>
        <v/>
      </c>
      <c r="L2814">
        <f>IF(OR($B2814="",NOT(ISNUMBER($D2814))),"",IF(AND($D2814&gt;=$D$2,$D2814&lt;=$H$2,$G2814&lt;&gt;"X",$F2814&lt;&gt;"Réalisé",$F2814&lt;&gt;"Clôturé"),"≤ 7 j",""))</f>
        <v/>
      </c>
      <c r="M2814" s="29">
        <f>IF($B2814="","",IFERROR(INDEX($T$4:$T$3183,MATCH(SMALL($V$4:$V$3183,2811),$V$4:$V$3183,0)),""))</f>
        <v/>
      </c>
      <c r="O2814">
        <f>IF(INDEX(Suivi!$B:$B,2868)="","",INDEX(Suivi!$B:$B,2868))</f>
        <v/>
      </c>
      <c r="P2814">
        <f>IF($O2814="","",IF(INDEX(Suivi!$D:$D,2868)="",INDEX(Suivi!$C:$C,2868),INDEX(Suivi!$D:$D,2868)))</f>
        <v/>
      </c>
      <c r="Q2814">
        <f>IF($O2814="","",INDEX(Suivi!$E:$E,2868))</f>
        <v/>
      </c>
      <c r="R2814">
        <f>IF($O2814="","",INDEX(Suivi!$F:$F,2868))</f>
        <v/>
      </c>
      <c r="S2814">
        <f>IF($O2814="","",INDEX(Suivi!$G:$G,2868))</f>
        <v/>
      </c>
      <c r="T2814">
        <f>IF($O2814="","",IF(INDEX(Dossiers!$F$4:$F$63,54)="","",INDEX(Dossiers!$F$4:$F$63,54)))</f>
        <v/>
      </c>
      <c r="U2814">
        <f>IF($O2814="","",IF(INDEX(Dossiers!$G$4:$G$63,54)="","",INDEX(Dossiers!$G$4:$G$63,54)))</f>
        <v/>
      </c>
      <c r="V2814">
        <f>IF(OR($O2814="",NOT(ISNUMBER($Q2814))),"",$Q2814*1000000+2814)</f>
        <v/>
      </c>
      <c r="W2814" s="29">
        <f>IF($B2814="","",IFERROR(INDEX($U$4:$U$3183,MATCH(SMALL($V$4:$V$3183,2811),$V$4:$V$3183,0)),""))</f>
        <v/>
      </c>
    </row>
    <row r="2815">
      <c r="A2815">
        <f>IFERROR(INDEX($N$4:$N$3183,MATCH(SMALL($V$4:$V$3183,2812),$V$4:$V$3183,0)),"")</f>
        <v/>
      </c>
      <c r="B2815">
        <f>IFERROR(INDEX($O$4:$O$3183,MATCH(SMALL($V$4:$V$3183,2812),$V$4:$V$3183,0)),"")</f>
        <v/>
      </c>
      <c r="C2815">
        <f>IFERROR(INDEX($P$4:$P$3183,MATCH(SMALL($V$4:$V$3183,2812),$V$4:$V$3183,0)),"")</f>
        <v/>
      </c>
      <c r="D2815" s="29">
        <f>IFERROR(INDEX($Q$4:$Q$3183,MATCH(SMALL($V$4:$V$3183,2812),$V$4:$V$3183,0)),"")</f>
        <v/>
      </c>
      <c r="E2815" s="29">
        <f>IFERROR(INDEX($R$4:$R$3183,MATCH(SMALL($V$4:$V$3183,2812),$V$4:$V$3183,0)),"")</f>
        <v/>
      </c>
      <c r="F2815">
        <f>IFERROR(INDEX($S$4:$S$3183,MATCH(SMALL($V$4:$V$3183,2812),$V$4:$V$3183,0)),"")</f>
        <v/>
      </c>
      <c r="I2815" s="29">
        <f>IF($B2815="","",IFERROR(INDEX($U$4:$U$3183,MATCH(SMALL($V$4:$V$3183,2812),$V$4:$V$3183,0)),""))</f>
        <v/>
      </c>
      <c r="J2815">
        <f>IF($B2815="","",IF($D2815&gt;$F$2,"À venir",IF($E2815&lt;$D$2,"Passé","Dans la période")))</f>
        <v/>
      </c>
      <c r="K2815">
        <f>IF(OR($B2815="",NOT(ISNUMBER($D2815))),"",IF(AND($E2815&lt;$D$2,$G2815&lt;&gt;"X",$F2815&lt;&gt;"Réalisé",$F2815&lt;&gt;"Clôturé"),"RETARD",""))</f>
        <v/>
      </c>
      <c r="L2815">
        <f>IF(OR($B2815="",NOT(ISNUMBER($D2815))),"",IF(AND($D2815&gt;=$D$2,$D2815&lt;=$H$2,$G2815&lt;&gt;"X",$F2815&lt;&gt;"Réalisé",$F2815&lt;&gt;"Clôturé"),"≤ 7 j",""))</f>
        <v/>
      </c>
      <c r="M2815" s="29">
        <f>IF($B2815="","",IFERROR(INDEX($T$4:$T$3183,MATCH(SMALL($V$4:$V$3183,2812),$V$4:$V$3183,0)),""))</f>
        <v/>
      </c>
      <c r="O2815">
        <f>IF(INDEX(Suivi!$B:$B,2869)="","",INDEX(Suivi!$B:$B,2869))</f>
        <v/>
      </c>
      <c r="P2815">
        <f>IF($O2815="","",IF(INDEX(Suivi!$D:$D,2869)="",INDEX(Suivi!$C:$C,2869),INDEX(Suivi!$D:$D,2869)))</f>
        <v/>
      </c>
      <c r="Q2815">
        <f>IF($O2815="","",INDEX(Suivi!$E:$E,2869))</f>
        <v/>
      </c>
      <c r="R2815">
        <f>IF($O2815="","",INDEX(Suivi!$F:$F,2869))</f>
        <v/>
      </c>
      <c r="S2815">
        <f>IF($O2815="","",INDEX(Suivi!$G:$G,2869))</f>
        <v/>
      </c>
      <c r="T2815">
        <f>IF($O2815="","",IF(INDEX(Dossiers!$F$4:$F$63,54)="","",INDEX(Dossiers!$F$4:$F$63,54)))</f>
        <v/>
      </c>
      <c r="U2815">
        <f>IF($O2815="","",IF(INDEX(Dossiers!$G$4:$G$63,54)="","",INDEX(Dossiers!$G$4:$G$63,54)))</f>
        <v/>
      </c>
      <c r="V2815">
        <f>IF(OR($O2815="",NOT(ISNUMBER($Q2815))),"",$Q2815*1000000+2815)</f>
        <v/>
      </c>
      <c r="W2815" s="29">
        <f>IF($B2815="","",IFERROR(INDEX($U$4:$U$3183,MATCH(SMALL($V$4:$V$3183,2812),$V$4:$V$3183,0)),""))</f>
        <v/>
      </c>
    </row>
    <row r="2816">
      <c r="A2816">
        <f>IFERROR(INDEX($N$4:$N$3183,MATCH(SMALL($V$4:$V$3183,2813),$V$4:$V$3183,0)),"")</f>
        <v/>
      </c>
      <c r="B2816">
        <f>IFERROR(INDEX($O$4:$O$3183,MATCH(SMALL($V$4:$V$3183,2813),$V$4:$V$3183,0)),"")</f>
        <v/>
      </c>
      <c r="C2816">
        <f>IFERROR(INDEX($P$4:$P$3183,MATCH(SMALL($V$4:$V$3183,2813),$V$4:$V$3183,0)),"")</f>
        <v/>
      </c>
      <c r="D2816" s="29">
        <f>IFERROR(INDEX($Q$4:$Q$3183,MATCH(SMALL($V$4:$V$3183,2813),$V$4:$V$3183,0)),"")</f>
        <v/>
      </c>
      <c r="E2816" s="29">
        <f>IFERROR(INDEX($R$4:$R$3183,MATCH(SMALL($V$4:$V$3183,2813),$V$4:$V$3183,0)),"")</f>
        <v/>
      </c>
      <c r="F2816">
        <f>IFERROR(INDEX($S$4:$S$3183,MATCH(SMALL($V$4:$V$3183,2813),$V$4:$V$3183,0)),"")</f>
        <v/>
      </c>
      <c r="I2816" s="29">
        <f>IF($B2816="","",IFERROR(INDEX($U$4:$U$3183,MATCH(SMALL($V$4:$V$3183,2813),$V$4:$V$3183,0)),""))</f>
        <v/>
      </c>
      <c r="J2816">
        <f>IF($B2816="","",IF($D2816&gt;$F$2,"À venir",IF($E2816&lt;$D$2,"Passé","Dans la période")))</f>
        <v/>
      </c>
      <c r="K2816">
        <f>IF(OR($B2816="",NOT(ISNUMBER($D2816))),"",IF(AND($E2816&lt;$D$2,$G2816&lt;&gt;"X",$F2816&lt;&gt;"Réalisé",$F2816&lt;&gt;"Clôturé"),"RETARD",""))</f>
        <v/>
      </c>
      <c r="L2816">
        <f>IF(OR($B2816="",NOT(ISNUMBER($D2816))),"",IF(AND($D2816&gt;=$D$2,$D2816&lt;=$H$2,$G2816&lt;&gt;"X",$F2816&lt;&gt;"Réalisé",$F2816&lt;&gt;"Clôturé"),"≤ 7 j",""))</f>
        <v/>
      </c>
      <c r="M2816" s="29">
        <f>IF($B2816="","",IFERROR(INDEX($T$4:$T$3183,MATCH(SMALL($V$4:$V$3183,2813),$V$4:$V$3183,0)),""))</f>
        <v/>
      </c>
      <c r="O2816">
        <f>IF(INDEX(Suivi!$B:$B,2870)="","",INDEX(Suivi!$B:$B,2870))</f>
        <v/>
      </c>
      <c r="P2816">
        <f>IF($O2816="","",IF(INDEX(Suivi!$D:$D,2870)="",INDEX(Suivi!$C:$C,2870),INDEX(Suivi!$D:$D,2870)))</f>
        <v/>
      </c>
      <c r="Q2816">
        <f>IF($O2816="","",INDEX(Suivi!$E:$E,2870))</f>
        <v/>
      </c>
      <c r="R2816">
        <f>IF($O2816="","",INDEX(Suivi!$F:$F,2870))</f>
        <v/>
      </c>
      <c r="S2816">
        <f>IF($O2816="","",INDEX(Suivi!$G:$G,2870))</f>
        <v/>
      </c>
      <c r="T2816">
        <f>IF($O2816="","",IF(INDEX(Dossiers!$F$4:$F$63,54)="","",INDEX(Dossiers!$F$4:$F$63,54)))</f>
        <v/>
      </c>
      <c r="U2816">
        <f>IF($O2816="","",IF(INDEX(Dossiers!$G$4:$G$63,54)="","",INDEX(Dossiers!$G$4:$G$63,54)))</f>
        <v/>
      </c>
      <c r="V2816">
        <f>IF(OR($O2816="",NOT(ISNUMBER($Q2816))),"",$Q2816*1000000+2816)</f>
        <v/>
      </c>
      <c r="W2816" s="29">
        <f>IF($B2816="","",IFERROR(INDEX($U$4:$U$3183,MATCH(SMALL($V$4:$V$3183,2813),$V$4:$V$3183,0)),""))</f>
        <v/>
      </c>
    </row>
    <row r="2817">
      <c r="A2817">
        <f>IFERROR(INDEX($N$4:$N$3183,MATCH(SMALL($V$4:$V$3183,2814),$V$4:$V$3183,0)),"")</f>
        <v/>
      </c>
      <c r="B2817">
        <f>IFERROR(INDEX($O$4:$O$3183,MATCH(SMALL($V$4:$V$3183,2814),$V$4:$V$3183,0)),"")</f>
        <v/>
      </c>
      <c r="C2817">
        <f>IFERROR(INDEX($P$4:$P$3183,MATCH(SMALL($V$4:$V$3183,2814),$V$4:$V$3183,0)),"")</f>
        <v/>
      </c>
      <c r="D2817" s="29">
        <f>IFERROR(INDEX($Q$4:$Q$3183,MATCH(SMALL($V$4:$V$3183,2814),$V$4:$V$3183,0)),"")</f>
        <v/>
      </c>
      <c r="E2817" s="29">
        <f>IFERROR(INDEX($R$4:$R$3183,MATCH(SMALL($V$4:$V$3183,2814),$V$4:$V$3183,0)),"")</f>
        <v/>
      </c>
      <c r="F2817">
        <f>IFERROR(INDEX($S$4:$S$3183,MATCH(SMALL($V$4:$V$3183,2814),$V$4:$V$3183,0)),"")</f>
        <v/>
      </c>
      <c r="I2817" s="29">
        <f>IF($B2817="","",IFERROR(INDEX($U$4:$U$3183,MATCH(SMALL($V$4:$V$3183,2814),$V$4:$V$3183,0)),""))</f>
        <v/>
      </c>
      <c r="J2817">
        <f>IF($B2817="","",IF($D2817&gt;$F$2,"À venir",IF($E2817&lt;$D$2,"Passé","Dans la période")))</f>
        <v/>
      </c>
      <c r="K2817">
        <f>IF(OR($B2817="",NOT(ISNUMBER($D2817))),"",IF(AND($E2817&lt;$D$2,$G2817&lt;&gt;"X",$F2817&lt;&gt;"Réalisé",$F2817&lt;&gt;"Clôturé"),"RETARD",""))</f>
        <v/>
      </c>
      <c r="L2817">
        <f>IF(OR($B2817="",NOT(ISNUMBER($D2817))),"",IF(AND($D2817&gt;=$D$2,$D2817&lt;=$H$2,$G2817&lt;&gt;"X",$F2817&lt;&gt;"Réalisé",$F2817&lt;&gt;"Clôturé"),"≤ 7 j",""))</f>
        <v/>
      </c>
      <c r="M2817" s="29">
        <f>IF($B2817="","",IFERROR(INDEX($T$4:$T$3183,MATCH(SMALL($V$4:$V$3183,2814),$V$4:$V$3183,0)),""))</f>
        <v/>
      </c>
      <c r="O2817">
        <f>IF(INDEX(Suivi!$B:$B,2871)="","",INDEX(Suivi!$B:$B,2871))</f>
        <v/>
      </c>
      <c r="P2817">
        <f>IF($O2817="","",IF(INDEX(Suivi!$D:$D,2871)="",INDEX(Suivi!$C:$C,2871),INDEX(Suivi!$D:$D,2871)))</f>
        <v/>
      </c>
      <c r="Q2817">
        <f>IF($O2817="","",INDEX(Suivi!$E:$E,2871))</f>
        <v/>
      </c>
      <c r="R2817">
        <f>IF($O2817="","",INDEX(Suivi!$F:$F,2871))</f>
        <v/>
      </c>
      <c r="S2817">
        <f>IF($O2817="","",INDEX(Suivi!$G:$G,2871))</f>
        <v/>
      </c>
      <c r="T2817">
        <f>IF($O2817="","",IF(INDEX(Dossiers!$F$4:$F$63,54)="","",INDEX(Dossiers!$F$4:$F$63,54)))</f>
        <v/>
      </c>
      <c r="U2817">
        <f>IF($O2817="","",IF(INDEX(Dossiers!$G$4:$G$63,54)="","",INDEX(Dossiers!$G$4:$G$63,54)))</f>
        <v/>
      </c>
      <c r="V2817">
        <f>IF(OR($O2817="",NOT(ISNUMBER($Q2817))),"",$Q2817*1000000+2817)</f>
        <v/>
      </c>
      <c r="W2817" s="29">
        <f>IF($B2817="","",IFERROR(INDEX($U$4:$U$3183,MATCH(SMALL($V$4:$V$3183,2814),$V$4:$V$3183,0)),""))</f>
        <v/>
      </c>
    </row>
    <row r="2818">
      <c r="A2818">
        <f>IFERROR(INDEX($N$4:$N$3183,MATCH(SMALL($V$4:$V$3183,2815),$V$4:$V$3183,0)),"")</f>
        <v/>
      </c>
      <c r="B2818">
        <f>IFERROR(INDEX($O$4:$O$3183,MATCH(SMALL($V$4:$V$3183,2815),$V$4:$V$3183,0)),"")</f>
        <v/>
      </c>
      <c r="C2818">
        <f>IFERROR(INDEX($P$4:$P$3183,MATCH(SMALL($V$4:$V$3183,2815),$V$4:$V$3183,0)),"")</f>
        <v/>
      </c>
      <c r="D2818" s="29">
        <f>IFERROR(INDEX($Q$4:$Q$3183,MATCH(SMALL($V$4:$V$3183,2815),$V$4:$V$3183,0)),"")</f>
        <v/>
      </c>
      <c r="E2818" s="29">
        <f>IFERROR(INDEX($R$4:$R$3183,MATCH(SMALL($V$4:$V$3183,2815),$V$4:$V$3183,0)),"")</f>
        <v/>
      </c>
      <c r="F2818">
        <f>IFERROR(INDEX($S$4:$S$3183,MATCH(SMALL($V$4:$V$3183,2815),$V$4:$V$3183,0)),"")</f>
        <v/>
      </c>
      <c r="I2818" s="29">
        <f>IF($B2818="","",IFERROR(INDEX($U$4:$U$3183,MATCH(SMALL($V$4:$V$3183,2815),$V$4:$V$3183,0)),""))</f>
        <v/>
      </c>
      <c r="J2818">
        <f>IF($B2818="","",IF($D2818&gt;$F$2,"À venir",IF($E2818&lt;$D$2,"Passé","Dans la période")))</f>
        <v/>
      </c>
      <c r="K2818">
        <f>IF(OR($B2818="",NOT(ISNUMBER($D2818))),"",IF(AND($E2818&lt;$D$2,$G2818&lt;&gt;"X",$F2818&lt;&gt;"Réalisé",$F2818&lt;&gt;"Clôturé"),"RETARD",""))</f>
        <v/>
      </c>
      <c r="L2818">
        <f>IF(OR($B2818="",NOT(ISNUMBER($D2818))),"",IF(AND($D2818&gt;=$D$2,$D2818&lt;=$H$2,$G2818&lt;&gt;"X",$F2818&lt;&gt;"Réalisé",$F2818&lt;&gt;"Clôturé"),"≤ 7 j",""))</f>
        <v/>
      </c>
      <c r="M2818" s="29">
        <f>IF($B2818="","",IFERROR(INDEX($T$4:$T$3183,MATCH(SMALL($V$4:$V$3183,2815),$V$4:$V$3183,0)),""))</f>
        <v/>
      </c>
      <c r="O2818">
        <f>IF(INDEX(Suivi!$B:$B,2872)="","",INDEX(Suivi!$B:$B,2872))</f>
        <v/>
      </c>
      <c r="P2818">
        <f>IF($O2818="","",IF(INDEX(Suivi!$D:$D,2872)="",INDEX(Suivi!$C:$C,2872),INDEX(Suivi!$D:$D,2872)))</f>
        <v/>
      </c>
      <c r="Q2818">
        <f>IF($O2818="","",INDEX(Suivi!$E:$E,2872))</f>
        <v/>
      </c>
      <c r="R2818">
        <f>IF($O2818="","",INDEX(Suivi!$F:$F,2872))</f>
        <v/>
      </c>
      <c r="S2818">
        <f>IF($O2818="","",INDEX(Suivi!$G:$G,2872))</f>
        <v/>
      </c>
      <c r="T2818">
        <f>IF($O2818="","",IF(INDEX(Dossiers!$F$4:$F$63,54)="","",INDEX(Dossiers!$F$4:$F$63,54)))</f>
        <v/>
      </c>
      <c r="U2818">
        <f>IF($O2818="","",IF(INDEX(Dossiers!$G$4:$G$63,54)="","",INDEX(Dossiers!$G$4:$G$63,54)))</f>
        <v/>
      </c>
      <c r="V2818">
        <f>IF(OR($O2818="",NOT(ISNUMBER($Q2818))),"",$Q2818*1000000+2818)</f>
        <v/>
      </c>
      <c r="W2818" s="29">
        <f>IF($B2818="","",IFERROR(INDEX($U$4:$U$3183,MATCH(SMALL($V$4:$V$3183,2815),$V$4:$V$3183,0)),""))</f>
        <v/>
      </c>
    </row>
    <row r="2819">
      <c r="A2819">
        <f>IFERROR(INDEX($N$4:$N$3183,MATCH(SMALL($V$4:$V$3183,2816),$V$4:$V$3183,0)),"")</f>
        <v/>
      </c>
      <c r="B2819">
        <f>IFERROR(INDEX($O$4:$O$3183,MATCH(SMALL($V$4:$V$3183,2816),$V$4:$V$3183,0)),"")</f>
        <v/>
      </c>
      <c r="C2819">
        <f>IFERROR(INDEX($P$4:$P$3183,MATCH(SMALL($V$4:$V$3183,2816),$V$4:$V$3183,0)),"")</f>
        <v/>
      </c>
      <c r="D2819" s="29">
        <f>IFERROR(INDEX($Q$4:$Q$3183,MATCH(SMALL($V$4:$V$3183,2816),$V$4:$V$3183,0)),"")</f>
        <v/>
      </c>
      <c r="E2819" s="29">
        <f>IFERROR(INDEX($R$4:$R$3183,MATCH(SMALL($V$4:$V$3183,2816),$V$4:$V$3183,0)),"")</f>
        <v/>
      </c>
      <c r="F2819">
        <f>IFERROR(INDEX($S$4:$S$3183,MATCH(SMALL($V$4:$V$3183,2816),$V$4:$V$3183,0)),"")</f>
        <v/>
      </c>
      <c r="I2819" s="29">
        <f>IF($B2819="","",IFERROR(INDEX($U$4:$U$3183,MATCH(SMALL($V$4:$V$3183,2816),$V$4:$V$3183,0)),""))</f>
        <v/>
      </c>
      <c r="J2819">
        <f>IF($B2819="","",IF($D2819&gt;$F$2,"À venir",IF($E2819&lt;$D$2,"Passé","Dans la période")))</f>
        <v/>
      </c>
      <c r="K2819">
        <f>IF(OR($B2819="",NOT(ISNUMBER($D2819))),"",IF(AND($E2819&lt;$D$2,$G2819&lt;&gt;"X",$F2819&lt;&gt;"Réalisé",$F2819&lt;&gt;"Clôturé"),"RETARD",""))</f>
        <v/>
      </c>
      <c r="L2819">
        <f>IF(OR($B2819="",NOT(ISNUMBER($D2819))),"",IF(AND($D2819&gt;=$D$2,$D2819&lt;=$H$2,$G2819&lt;&gt;"X",$F2819&lt;&gt;"Réalisé",$F2819&lt;&gt;"Clôturé"),"≤ 7 j",""))</f>
        <v/>
      </c>
      <c r="M2819" s="29">
        <f>IF($B2819="","",IFERROR(INDEX($T$4:$T$3183,MATCH(SMALL($V$4:$V$3183,2816),$V$4:$V$3183,0)),""))</f>
        <v/>
      </c>
      <c r="O2819">
        <f>IF(INDEX(Suivi!$B:$B,2873)="","",INDEX(Suivi!$B:$B,2873))</f>
        <v/>
      </c>
      <c r="P2819">
        <f>IF($O2819="","",IF(INDEX(Suivi!$D:$D,2873)="",INDEX(Suivi!$C:$C,2873),INDEX(Suivi!$D:$D,2873)))</f>
        <v/>
      </c>
      <c r="Q2819">
        <f>IF($O2819="","",INDEX(Suivi!$E:$E,2873))</f>
        <v/>
      </c>
      <c r="R2819">
        <f>IF($O2819="","",INDEX(Suivi!$F:$F,2873))</f>
        <v/>
      </c>
      <c r="S2819">
        <f>IF($O2819="","",INDEX(Suivi!$G:$G,2873))</f>
        <v/>
      </c>
      <c r="T2819">
        <f>IF($O2819="","",IF(INDEX(Dossiers!$F$4:$F$63,54)="","",INDEX(Dossiers!$F$4:$F$63,54)))</f>
        <v/>
      </c>
      <c r="U2819">
        <f>IF($O2819="","",IF(INDEX(Dossiers!$G$4:$G$63,54)="","",INDEX(Dossiers!$G$4:$G$63,54)))</f>
        <v/>
      </c>
      <c r="V2819">
        <f>IF(OR($O2819="",NOT(ISNUMBER($Q2819))),"",$Q2819*1000000+2819)</f>
        <v/>
      </c>
      <c r="W2819" s="29">
        <f>IF($B2819="","",IFERROR(INDEX($U$4:$U$3183,MATCH(SMALL($V$4:$V$3183,2816),$V$4:$V$3183,0)),""))</f>
        <v/>
      </c>
    </row>
    <row r="2820">
      <c r="A2820">
        <f>IFERROR(INDEX($N$4:$N$3183,MATCH(SMALL($V$4:$V$3183,2817),$V$4:$V$3183,0)),"")</f>
        <v/>
      </c>
      <c r="B2820">
        <f>IFERROR(INDEX($O$4:$O$3183,MATCH(SMALL($V$4:$V$3183,2817),$V$4:$V$3183,0)),"")</f>
        <v/>
      </c>
      <c r="C2820">
        <f>IFERROR(INDEX($P$4:$P$3183,MATCH(SMALL($V$4:$V$3183,2817),$V$4:$V$3183,0)),"")</f>
        <v/>
      </c>
      <c r="D2820" s="29">
        <f>IFERROR(INDEX($Q$4:$Q$3183,MATCH(SMALL($V$4:$V$3183,2817),$V$4:$V$3183,0)),"")</f>
        <v/>
      </c>
      <c r="E2820" s="29">
        <f>IFERROR(INDEX($R$4:$R$3183,MATCH(SMALL($V$4:$V$3183,2817),$V$4:$V$3183,0)),"")</f>
        <v/>
      </c>
      <c r="F2820">
        <f>IFERROR(INDEX($S$4:$S$3183,MATCH(SMALL($V$4:$V$3183,2817),$V$4:$V$3183,0)),"")</f>
        <v/>
      </c>
      <c r="I2820" s="29">
        <f>IF($B2820="","",IFERROR(INDEX($U$4:$U$3183,MATCH(SMALL($V$4:$V$3183,2817),$V$4:$V$3183,0)),""))</f>
        <v/>
      </c>
      <c r="J2820">
        <f>IF($B2820="","",IF($D2820&gt;$F$2,"À venir",IF($E2820&lt;$D$2,"Passé","Dans la période")))</f>
        <v/>
      </c>
      <c r="K2820">
        <f>IF(OR($B2820="",NOT(ISNUMBER($D2820))),"",IF(AND($E2820&lt;$D$2,$G2820&lt;&gt;"X",$F2820&lt;&gt;"Réalisé",$F2820&lt;&gt;"Clôturé"),"RETARD",""))</f>
        <v/>
      </c>
      <c r="L2820">
        <f>IF(OR($B2820="",NOT(ISNUMBER($D2820))),"",IF(AND($D2820&gt;=$D$2,$D2820&lt;=$H$2,$G2820&lt;&gt;"X",$F2820&lt;&gt;"Réalisé",$F2820&lt;&gt;"Clôturé"),"≤ 7 j",""))</f>
        <v/>
      </c>
      <c r="M2820" s="29">
        <f>IF($B2820="","",IFERROR(INDEX($T$4:$T$3183,MATCH(SMALL($V$4:$V$3183,2817),$V$4:$V$3183,0)),""))</f>
        <v/>
      </c>
      <c r="O2820">
        <f>IF(INDEX(Suivi!$B:$B,2874)="","",INDEX(Suivi!$B:$B,2874))</f>
        <v/>
      </c>
      <c r="P2820">
        <f>IF($O2820="","",IF(INDEX(Suivi!$D:$D,2874)="",INDEX(Suivi!$C:$C,2874),INDEX(Suivi!$D:$D,2874)))</f>
        <v/>
      </c>
      <c r="Q2820">
        <f>IF($O2820="","",INDEX(Suivi!$E:$E,2874))</f>
        <v/>
      </c>
      <c r="R2820">
        <f>IF($O2820="","",INDEX(Suivi!$F:$F,2874))</f>
        <v/>
      </c>
      <c r="S2820">
        <f>IF($O2820="","",INDEX(Suivi!$G:$G,2874))</f>
        <v/>
      </c>
      <c r="T2820">
        <f>IF($O2820="","",IF(INDEX(Dossiers!$F$4:$F$63,54)="","",INDEX(Dossiers!$F$4:$F$63,54)))</f>
        <v/>
      </c>
      <c r="U2820">
        <f>IF($O2820="","",IF(INDEX(Dossiers!$G$4:$G$63,54)="","",INDEX(Dossiers!$G$4:$G$63,54)))</f>
        <v/>
      </c>
      <c r="V2820">
        <f>IF(OR($O2820="",NOT(ISNUMBER($Q2820))),"",$Q2820*1000000+2820)</f>
        <v/>
      </c>
      <c r="W2820" s="29">
        <f>IF($B2820="","",IFERROR(INDEX($U$4:$U$3183,MATCH(SMALL($V$4:$V$3183,2817),$V$4:$V$3183,0)),""))</f>
        <v/>
      </c>
    </row>
    <row r="2821">
      <c r="A2821">
        <f>IFERROR(INDEX($N$4:$N$3183,MATCH(SMALL($V$4:$V$3183,2818),$V$4:$V$3183,0)),"")</f>
        <v/>
      </c>
      <c r="B2821">
        <f>IFERROR(INDEX($O$4:$O$3183,MATCH(SMALL($V$4:$V$3183,2818),$V$4:$V$3183,0)),"")</f>
        <v/>
      </c>
      <c r="C2821">
        <f>IFERROR(INDEX($P$4:$P$3183,MATCH(SMALL($V$4:$V$3183,2818),$V$4:$V$3183,0)),"")</f>
        <v/>
      </c>
      <c r="D2821" s="29">
        <f>IFERROR(INDEX($Q$4:$Q$3183,MATCH(SMALL($V$4:$V$3183,2818),$V$4:$V$3183,0)),"")</f>
        <v/>
      </c>
      <c r="E2821" s="29">
        <f>IFERROR(INDEX($R$4:$R$3183,MATCH(SMALL($V$4:$V$3183,2818),$V$4:$V$3183,0)),"")</f>
        <v/>
      </c>
      <c r="F2821">
        <f>IFERROR(INDEX($S$4:$S$3183,MATCH(SMALL($V$4:$V$3183,2818),$V$4:$V$3183,0)),"")</f>
        <v/>
      </c>
      <c r="I2821" s="29">
        <f>IF($B2821="","",IFERROR(INDEX($U$4:$U$3183,MATCH(SMALL($V$4:$V$3183,2818),$V$4:$V$3183,0)),""))</f>
        <v/>
      </c>
      <c r="J2821">
        <f>IF($B2821="","",IF($D2821&gt;$F$2,"À venir",IF($E2821&lt;$D$2,"Passé","Dans la période")))</f>
        <v/>
      </c>
      <c r="K2821">
        <f>IF(OR($B2821="",NOT(ISNUMBER($D2821))),"",IF(AND($E2821&lt;$D$2,$G2821&lt;&gt;"X",$F2821&lt;&gt;"Réalisé",$F2821&lt;&gt;"Clôturé"),"RETARD",""))</f>
        <v/>
      </c>
      <c r="L2821">
        <f>IF(OR($B2821="",NOT(ISNUMBER($D2821))),"",IF(AND($D2821&gt;=$D$2,$D2821&lt;=$H$2,$G2821&lt;&gt;"X",$F2821&lt;&gt;"Réalisé",$F2821&lt;&gt;"Clôturé"),"≤ 7 j",""))</f>
        <v/>
      </c>
      <c r="M2821" s="29">
        <f>IF($B2821="","",IFERROR(INDEX($T$4:$T$3183,MATCH(SMALL($V$4:$V$3183,2818),$V$4:$V$3183,0)),""))</f>
        <v/>
      </c>
      <c r="O2821">
        <f>IF(INDEX(Suivi!$B:$B,2875)="","",INDEX(Suivi!$B:$B,2875))</f>
        <v/>
      </c>
      <c r="P2821">
        <f>IF($O2821="","",IF(INDEX(Suivi!$D:$D,2875)="",INDEX(Suivi!$C:$C,2875),INDEX(Suivi!$D:$D,2875)))</f>
        <v/>
      </c>
      <c r="Q2821">
        <f>IF($O2821="","",INDEX(Suivi!$E:$E,2875))</f>
        <v/>
      </c>
      <c r="R2821">
        <f>IF($O2821="","",INDEX(Suivi!$F:$F,2875))</f>
        <v/>
      </c>
      <c r="S2821">
        <f>IF($O2821="","",INDEX(Suivi!$G:$G,2875))</f>
        <v/>
      </c>
      <c r="T2821">
        <f>IF($O2821="","",IF(INDEX(Dossiers!$F$4:$F$63,54)="","",INDEX(Dossiers!$F$4:$F$63,54)))</f>
        <v/>
      </c>
      <c r="U2821">
        <f>IF($O2821="","",IF(INDEX(Dossiers!$G$4:$G$63,54)="","",INDEX(Dossiers!$G$4:$G$63,54)))</f>
        <v/>
      </c>
      <c r="V2821">
        <f>IF(OR($O2821="",NOT(ISNUMBER($Q2821))),"",$Q2821*1000000+2821)</f>
        <v/>
      </c>
      <c r="W2821" s="29">
        <f>IF($B2821="","",IFERROR(INDEX($U$4:$U$3183,MATCH(SMALL($V$4:$V$3183,2818),$V$4:$V$3183,0)),""))</f>
        <v/>
      </c>
    </row>
    <row r="2822">
      <c r="A2822">
        <f>IFERROR(INDEX($N$4:$N$3183,MATCH(SMALL($V$4:$V$3183,2819),$V$4:$V$3183,0)),"")</f>
        <v/>
      </c>
      <c r="B2822">
        <f>IFERROR(INDEX($O$4:$O$3183,MATCH(SMALL($V$4:$V$3183,2819),$V$4:$V$3183,0)),"")</f>
        <v/>
      </c>
      <c r="C2822">
        <f>IFERROR(INDEX($P$4:$P$3183,MATCH(SMALL($V$4:$V$3183,2819),$V$4:$V$3183,0)),"")</f>
        <v/>
      </c>
      <c r="D2822" s="29">
        <f>IFERROR(INDEX($Q$4:$Q$3183,MATCH(SMALL($V$4:$V$3183,2819),$V$4:$V$3183,0)),"")</f>
        <v/>
      </c>
      <c r="E2822" s="29">
        <f>IFERROR(INDEX($R$4:$R$3183,MATCH(SMALL($V$4:$V$3183,2819),$V$4:$V$3183,0)),"")</f>
        <v/>
      </c>
      <c r="F2822">
        <f>IFERROR(INDEX($S$4:$S$3183,MATCH(SMALL($V$4:$V$3183,2819),$V$4:$V$3183,0)),"")</f>
        <v/>
      </c>
      <c r="I2822" s="29">
        <f>IF($B2822="","",IFERROR(INDEX($U$4:$U$3183,MATCH(SMALL($V$4:$V$3183,2819),$V$4:$V$3183,0)),""))</f>
        <v/>
      </c>
      <c r="J2822">
        <f>IF($B2822="","",IF($D2822&gt;$F$2,"À venir",IF($E2822&lt;$D$2,"Passé","Dans la période")))</f>
        <v/>
      </c>
      <c r="K2822">
        <f>IF(OR($B2822="",NOT(ISNUMBER($D2822))),"",IF(AND($E2822&lt;$D$2,$G2822&lt;&gt;"X",$F2822&lt;&gt;"Réalisé",$F2822&lt;&gt;"Clôturé"),"RETARD",""))</f>
        <v/>
      </c>
      <c r="L2822">
        <f>IF(OR($B2822="",NOT(ISNUMBER($D2822))),"",IF(AND($D2822&gt;=$D$2,$D2822&lt;=$H$2,$G2822&lt;&gt;"X",$F2822&lt;&gt;"Réalisé",$F2822&lt;&gt;"Clôturé"),"≤ 7 j",""))</f>
        <v/>
      </c>
      <c r="M2822" s="29">
        <f>IF($B2822="","",IFERROR(INDEX($T$4:$T$3183,MATCH(SMALL($V$4:$V$3183,2819),$V$4:$V$3183,0)),""))</f>
        <v/>
      </c>
      <c r="O2822">
        <f>IF(INDEX(Suivi!$B:$B,2876)="","",INDEX(Suivi!$B:$B,2876))</f>
        <v/>
      </c>
      <c r="P2822">
        <f>IF($O2822="","",IF(INDEX(Suivi!$D:$D,2876)="",INDEX(Suivi!$C:$C,2876),INDEX(Suivi!$D:$D,2876)))</f>
        <v/>
      </c>
      <c r="Q2822">
        <f>IF($O2822="","",INDEX(Suivi!$E:$E,2876))</f>
        <v/>
      </c>
      <c r="R2822">
        <f>IF($O2822="","",INDEX(Suivi!$F:$F,2876))</f>
        <v/>
      </c>
      <c r="S2822">
        <f>IF($O2822="","",INDEX(Suivi!$G:$G,2876))</f>
        <v/>
      </c>
      <c r="T2822">
        <f>IF($O2822="","",IF(INDEX(Dossiers!$F$4:$F$63,54)="","",INDEX(Dossiers!$F$4:$F$63,54)))</f>
        <v/>
      </c>
      <c r="U2822">
        <f>IF($O2822="","",IF(INDEX(Dossiers!$G$4:$G$63,54)="","",INDEX(Dossiers!$G$4:$G$63,54)))</f>
        <v/>
      </c>
      <c r="V2822">
        <f>IF(OR($O2822="",NOT(ISNUMBER($Q2822))),"",$Q2822*1000000+2822)</f>
        <v/>
      </c>
      <c r="W2822" s="29">
        <f>IF($B2822="","",IFERROR(INDEX($U$4:$U$3183,MATCH(SMALL($V$4:$V$3183,2819),$V$4:$V$3183,0)),""))</f>
        <v/>
      </c>
    </row>
    <row r="2823">
      <c r="A2823">
        <f>IFERROR(INDEX($N$4:$N$3183,MATCH(SMALL($V$4:$V$3183,2820),$V$4:$V$3183,0)),"")</f>
        <v/>
      </c>
      <c r="B2823">
        <f>IFERROR(INDEX($O$4:$O$3183,MATCH(SMALL($V$4:$V$3183,2820),$V$4:$V$3183,0)),"")</f>
        <v/>
      </c>
      <c r="C2823">
        <f>IFERROR(INDEX($P$4:$P$3183,MATCH(SMALL($V$4:$V$3183,2820),$V$4:$V$3183,0)),"")</f>
        <v/>
      </c>
      <c r="D2823" s="29">
        <f>IFERROR(INDEX($Q$4:$Q$3183,MATCH(SMALL($V$4:$V$3183,2820),$V$4:$V$3183,0)),"")</f>
        <v/>
      </c>
      <c r="E2823" s="29">
        <f>IFERROR(INDEX($R$4:$R$3183,MATCH(SMALL($V$4:$V$3183,2820),$V$4:$V$3183,0)),"")</f>
        <v/>
      </c>
      <c r="F2823">
        <f>IFERROR(INDEX($S$4:$S$3183,MATCH(SMALL($V$4:$V$3183,2820),$V$4:$V$3183,0)),"")</f>
        <v/>
      </c>
      <c r="I2823" s="29">
        <f>IF($B2823="","",IFERROR(INDEX($U$4:$U$3183,MATCH(SMALL($V$4:$V$3183,2820),$V$4:$V$3183,0)),""))</f>
        <v/>
      </c>
      <c r="J2823">
        <f>IF($B2823="","",IF($D2823&gt;$F$2,"À venir",IF($E2823&lt;$D$2,"Passé","Dans la période")))</f>
        <v/>
      </c>
      <c r="K2823">
        <f>IF(OR($B2823="",NOT(ISNUMBER($D2823))),"",IF(AND($E2823&lt;$D$2,$G2823&lt;&gt;"X",$F2823&lt;&gt;"Réalisé",$F2823&lt;&gt;"Clôturé"),"RETARD",""))</f>
        <v/>
      </c>
      <c r="L2823">
        <f>IF(OR($B2823="",NOT(ISNUMBER($D2823))),"",IF(AND($D2823&gt;=$D$2,$D2823&lt;=$H$2,$G2823&lt;&gt;"X",$F2823&lt;&gt;"Réalisé",$F2823&lt;&gt;"Clôturé"),"≤ 7 j",""))</f>
        <v/>
      </c>
      <c r="M2823" s="29">
        <f>IF($B2823="","",IFERROR(INDEX($T$4:$T$3183,MATCH(SMALL($V$4:$V$3183,2820),$V$4:$V$3183,0)),""))</f>
        <v/>
      </c>
      <c r="O2823">
        <f>IF(INDEX(Suivi!$B:$B,2877)="","",INDEX(Suivi!$B:$B,2877))</f>
        <v/>
      </c>
      <c r="P2823">
        <f>IF($O2823="","",IF(INDEX(Suivi!$D:$D,2877)="",INDEX(Suivi!$C:$C,2877),INDEX(Suivi!$D:$D,2877)))</f>
        <v/>
      </c>
      <c r="Q2823">
        <f>IF($O2823="","",INDEX(Suivi!$E:$E,2877))</f>
        <v/>
      </c>
      <c r="R2823">
        <f>IF($O2823="","",INDEX(Suivi!$F:$F,2877))</f>
        <v/>
      </c>
      <c r="S2823">
        <f>IF($O2823="","",INDEX(Suivi!$G:$G,2877))</f>
        <v/>
      </c>
      <c r="T2823">
        <f>IF($O2823="","",IF(INDEX(Dossiers!$F$4:$F$63,54)="","",INDEX(Dossiers!$F$4:$F$63,54)))</f>
        <v/>
      </c>
      <c r="U2823">
        <f>IF($O2823="","",IF(INDEX(Dossiers!$G$4:$G$63,54)="","",INDEX(Dossiers!$G$4:$G$63,54)))</f>
        <v/>
      </c>
      <c r="V2823">
        <f>IF(OR($O2823="",NOT(ISNUMBER($Q2823))),"",$Q2823*1000000+2823)</f>
        <v/>
      </c>
      <c r="W2823" s="29">
        <f>IF($B2823="","",IFERROR(INDEX($U$4:$U$3183,MATCH(SMALL($V$4:$V$3183,2820),$V$4:$V$3183,0)),""))</f>
        <v/>
      </c>
    </row>
    <row r="2824">
      <c r="A2824">
        <f>IFERROR(INDEX($N$4:$N$3183,MATCH(SMALL($V$4:$V$3183,2821),$V$4:$V$3183,0)),"")</f>
        <v/>
      </c>
      <c r="B2824">
        <f>IFERROR(INDEX($O$4:$O$3183,MATCH(SMALL($V$4:$V$3183,2821),$V$4:$V$3183,0)),"")</f>
        <v/>
      </c>
      <c r="C2824">
        <f>IFERROR(INDEX($P$4:$P$3183,MATCH(SMALL($V$4:$V$3183,2821),$V$4:$V$3183,0)),"")</f>
        <v/>
      </c>
      <c r="D2824" s="29">
        <f>IFERROR(INDEX($Q$4:$Q$3183,MATCH(SMALL($V$4:$V$3183,2821),$V$4:$V$3183,0)),"")</f>
        <v/>
      </c>
      <c r="E2824" s="29">
        <f>IFERROR(INDEX($R$4:$R$3183,MATCH(SMALL($V$4:$V$3183,2821),$V$4:$V$3183,0)),"")</f>
        <v/>
      </c>
      <c r="F2824">
        <f>IFERROR(INDEX($S$4:$S$3183,MATCH(SMALL($V$4:$V$3183,2821),$V$4:$V$3183,0)),"")</f>
        <v/>
      </c>
      <c r="I2824" s="29">
        <f>IF($B2824="","",IFERROR(INDEX($U$4:$U$3183,MATCH(SMALL($V$4:$V$3183,2821),$V$4:$V$3183,0)),""))</f>
        <v/>
      </c>
      <c r="J2824">
        <f>IF($B2824="","",IF($D2824&gt;$F$2,"À venir",IF($E2824&lt;$D$2,"Passé","Dans la période")))</f>
        <v/>
      </c>
      <c r="K2824">
        <f>IF(OR($B2824="",NOT(ISNUMBER($D2824))),"",IF(AND($E2824&lt;$D$2,$G2824&lt;&gt;"X",$F2824&lt;&gt;"Réalisé",$F2824&lt;&gt;"Clôturé"),"RETARD",""))</f>
        <v/>
      </c>
      <c r="L2824">
        <f>IF(OR($B2824="",NOT(ISNUMBER($D2824))),"",IF(AND($D2824&gt;=$D$2,$D2824&lt;=$H$2,$G2824&lt;&gt;"X",$F2824&lt;&gt;"Réalisé",$F2824&lt;&gt;"Clôturé"),"≤ 7 j",""))</f>
        <v/>
      </c>
      <c r="M2824" s="29">
        <f>IF($B2824="","",IFERROR(INDEX($T$4:$T$3183,MATCH(SMALL($V$4:$V$3183,2821),$V$4:$V$3183,0)),""))</f>
        <v/>
      </c>
      <c r="O2824">
        <f>IF(INDEX(Suivi!$B:$B,2878)="","",INDEX(Suivi!$B:$B,2878))</f>
        <v/>
      </c>
      <c r="P2824">
        <f>IF($O2824="","",IF(INDEX(Suivi!$D:$D,2878)="",INDEX(Suivi!$C:$C,2878),INDEX(Suivi!$D:$D,2878)))</f>
        <v/>
      </c>
      <c r="Q2824">
        <f>IF($O2824="","",INDEX(Suivi!$E:$E,2878))</f>
        <v/>
      </c>
      <c r="R2824">
        <f>IF($O2824="","",INDEX(Suivi!$F:$F,2878))</f>
        <v/>
      </c>
      <c r="S2824">
        <f>IF($O2824="","",INDEX(Suivi!$G:$G,2878))</f>
        <v/>
      </c>
      <c r="T2824">
        <f>IF($O2824="","",IF(INDEX(Dossiers!$F$4:$F$63,54)="","",INDEX(Dossiers!$F$4:$F$63,54)))</f>
        <v/>
      </c>
      <c r="U2824">
        <f>IF($O2824="","",IF(INDEX(Dossiers!$G$4:$G$63,54)="","",INDEX(Dossiers!$G$4:$G$63,54)))</f>
        <v/>
      </c>
      <c r="V2824">
        <f>IF(OR($O2824="",NOT(ISNUMBER($Q2824))),"",$Q2824*1000000+2824)</f>
        <v/>
      </c>
      <c r="W2824" s="29">
        <f>IF($B2824="","",IFERROR(INDEX($U$4:$U$3183,MATCH(SMALL($V$4:$V$3183,2821),$V$4:$V$3183,0)),""))</f>
        <v/>
      </c>
    </row>
    <row r="2825">
      <c r="A2825">
        <f>IFERROR(INDEX($N$4:$N$3183,MATCH(SMALL($V$4:$V$3183,2822),$V$4:$V$3183,0)),"")</f>
        <v/>
      </c>
      <c r="B2825">
        <f>IFERROR(INDEX($O$4:$O$3183,MATCH(SMALL($V$4:$V$3183,2822),$V$4:$V$3183,0)),"")</f>
        <v/>
      </c>
      <c r="C2825">
        <f>IFERROR(INDEX($P$4:$P$3183,MATCH(SMALL($V$4:$V$3183,2822),$V$4:$V$3183,0)),"")</f>
        <v/>
      </c>
      <c r="D2825" s="29">
        <f>IFERROR(INDEX($Q$4:$Q$3183,MATCH(SMALL($V$4:$V$3183,2822),$V$4:$V$3183,0)),"")</f>
        <v/>
      </c>
      <c r="E2825" s="29">
        <f>IFERROR(INDEX($R$4:$R$3183,MATCH(SMALL($V$4:$V$3183,2822),$V$4:$V$3183,0)),"")</f>
        <v/>
      </c>
      <c r="F2825">
        <f>IFERROR(INDEX($S$4:$S$3183,MATCH(SMALL($V$4:$V$3183,2822),$V$4:$V$3183,0)),"")</f>
        <v/>
      </c>
      <c r="I2825" s="29">
        <f>IF($B2825="","",IFERROR(INDEX($U$4:$U$3183,MATCH(SMALL($V$4:$V$3183,2822),$V$4:$V$3183,0)),""))</f>
        <v/>
      </c>
      <c r="J2825">
        <f>IF($B2825="","",IF($D2825&gt;$F$2,"À venir",IF($E2825&lt;$D$2,"Passé","Dans la période")))</f>
        <v/>
      </c>
      <c r="K2825">
        <f>IF(OR($B2825="",NOT(ISNUMBER($D2825))),"",IF(AND($E2825&lt;$D$2,$G2825&lt;&gt;"X",$F2825&lt;&gt;"Réalisé",$F2825&lt;&gt;"Clôturé"),"RETARD",""))</f>
        <v/>
      </c>
      <c r="L2825">
        <f>IF(OR($B2825="",NOT(ISNUMBER($D2825))),"",IF(AND($D2825&gt;=$D$2,$D2825&lt;=$H$2,$G2825&lt;&gt;"X",$F2825&lt;&gt;"Réalisé",$F2825&lt;&gt;"Clôturé"),"≤ 7 j",""))</f>
        <v/>
      </c>
      <c r="M2825" s="29">
        <f>IF($B2825="","",IFERROR(INDEX($T$4:$T$3183,MATCH(SMALL($V$4:$V$3183,2822),$V$4:$V$3183,0)),""))</f>
        <v/>
      </c>
      <c r="O2825">
        <f>IF(INDEX(Suivi!$B:$B,2879)="","",INDEX(Suivi!$B:$B,2879))</f>
        <v/>
      </c>
      <c r="P2825">
        <f>IF($O2825="","",IF(INDEX(Suivi!$D:$D,2879)="",INDEX(Suivi!$C:$C,2879),INDEX(Suivi!$D:$D,2879)))</f>
        <v/>
      </c>
      <c r="Q2825">
        <f>IF($O2825="","",INDEX(Suivi!$E:$E,2879))</f>
        <v/>
      </c>
      <c r="R2825">
        <f>IF($O2825="","",INDEX(Suivi!$F:$F,2879))</f>
        <v/>
      </c>
      <c r="S2825">
        <f>IF($O2825="","",INDEX(Suivi!$G:$G,2879))</f>
        <v/>
      </c>
      <c r="T2825">
        <f>IF($O2825="","",IF(INDEX(Dossiers!$F$4:$F$63,54)="","",INDEX(Dossiers!$F$4:$F$63,54)))</f>
        <v/>
      </c>
      <c r="U2825">
        <f>IF($O2825="","",IF(INDEX(Dossiers!$G$4:$G$63,54)="","",INDEX(Dossiers!$G$4:$G$63,54)))</f>
        <v/>
      </c>
      <c r="V2825">
        <f>IF(OR($O2825="",NOT(ISNUMBER($Q2825))),"",$Q2825*1000000+2825)</f>
        <v/>
      </c>
      <c r="W2825" s="29">
        <f>IF($B2825="","",IFERROR(INDEX($U$4:$U$3183,MATCH(SMALL($V$4:$V$3183,2822),$V$4:$V$3183,0)),""))</f>
        <v/>
      </c>
    </row>
    <row r="2826">
      <c r="A2826">
        <f>IFERROR(INDEX($N$4:$N$3183,MATCH(SMALL($V$4:$V$3183,2823),$V$4:$V$3183,0)),"")</f>
        <v/>
      </c>
      <c r="B2826">
        <f>IFERROR(INDEX($O$4:$O$3183,MATCH(SMALL($V$4:$V$3183,2823),$V$4:$V$3183,0)),"")</f>
        <v/>
      </c>
      <c r="C2826">
        <f>IFERROR(INDEX($P$4:$P$3183,MATCH(SMALL($V$4:$V$3183,2823),$V$4:$V$3183,0)),"")</f>
        <v/>
      </c>
      <c r="D2826" s="29">
        <f>IFERROR(INDEX($Q$4:$Q$3183,MATCH(SMALL($V$4:$V$3183,2823),$V$4:$V$3183,0)),"")</f>
        <v/>
      </c>
      <c r="E2826" s="29">
        <f>IFERROR(INDEX($R$4:$R$3183,MATCH(SMALL($V$4:$V$3183,2823),$V$4:$V$3183,0)),"")</f>
        <v/>
      </c>
      <c r="F2826">
        <f>IFERROR(INDEX($S$4:$S$3183,MATCH(SMALL($V$4:$V$3183,2823),$V$4:$V$3183,0)),"")</f>
        <v/>
      </c>
      <c r="I2826" s="29">
        <f>IF($B2826="","",IFERROR(INDEX($U$4:$U$3183,MATCH(SMALL($V$4:$V$3183,2823),$V$4:$V$3183,0)),""))</f>
        <v/>
      </c>
      <c r="J2826">
        <f>IF($B2826="","",IF($D2826&gt;$F$2,"À venir",IF($E2826&lt;$D$2,"Passé","Dans la période")))</f>
        <v/>
      </c>
      <c r="K2826">
        <f>IF(OR($B2826="",NOT(ISNUMBER($D2826))),"",IF(AND($E2826&lt;$D$2,$G2826&lt;&gt;"X",$F2826&lt;&gt;"Réalisé",$F2826&lt;&gt;"Clôturé"),"RETARD",""))</f>
        <v/>
      </c>
      <c r="L2826">
        <f>IF(OR($B2826="",NOT(ISNUMBER($D2826))),"",IF(AND($D2826&gt;=$D$2,$D2826&lt;=$H$2,$G2826&lt;&gt;"X",$F2826&lt;&gt;"Réalisé",$F2826&lt;&gt;"Clôturé"),"≤ 7 j",""))</f>
        <v/>
      </c>
      <c r="M2826" s="29">
        <f>IF($B2826="","",IFERROR(INDEX($T$4:$T$3183,MATCH(SMALL($V$4:$V$3183,2823),$V$4:$V$3183,0)),""))</f>
        <v/>
      </c>
      <c r="O2826">
        <f>IF(INDEX(Suivi!$B:$B,2880)="","",INDEX(Suivi!$B:$B,2880))</f>
        <v/>
      </c>
      <c r="P2826">
        <f>IF($O2826="","",IF(INDEX(Suivi!$D:$D,2880)="",INDEX(Suivi!$C:$C,2880),INDEX(Suivi!$D:$D,2880)))</f>
        <v/>
      </c>
      <c r="Q2826">
        <f>IF($O2826="","",INDEX(Suivi!$E:$E,2880))</f>
        <v/>
      </c>
      <c r="R2826">
        <f>IF($O2826="","",INDEX(Suivi!$F:$F,2880))</f>
        <v/>
      </c>
      <c r="S2826">
        <f>IF($O2826="","",INDEX(Suivi!$G:$G,2880))</f>
        <v/>
      </c>
      <c r="T2826">
        <f>IF($O2826="","",IF(INDEX(Dossiers!$F$4:$F$63,54)="","",INDEX(Dossiers!$F$4:$F$63,54)))</f>
        <v/>
      </c>
      <c r="U2826">
        <f>IF($O2826="","",IF(INDEX(Dossiers!$G$4:$G$63,54)="","",INDEX(Dossiers!$G$4:$G$63,54)))</f>
        <v/>
      </c>
      <c r="V2826">
        <f>IF(OR($O2826="",NOT(ISNUMBER($Q2826))),"",$Q2826*1000000+2826)</f>
        <v/>
      </c>
      <c r="W2826" s="29">
        <f>IF($B2826="","",IFERROR(INDEX($U$4:$U$3183,MATCH(SMALL($V$4:$V$3183,2823),$V$4:$V$3183,0)),""))</f>
        <v/>
      </c>
    </row>
    <row r="2827">
      <c r="A2827">
        <f>IFERROR(INDEX($N$4:$N$3183,MATCH(SMALL($V$4:$V$3183,2824),$V$4:$V$3183,0)),"")</f>
        <v/>
      </c>
      <c r="B2827">
        <f>IFERROR(INDEX($O$4:$O$3183,MATCH(SMALL($V$4:$V$3183,2824),$V$4:$V$3183,0)),"")</f>
        <v/>
      </c>
      <c r="C2827">
        <f>IFERROR(INDEX($P$4:$P$3183,MATCH(SMALL($V$4:$V$3183,2824),$V$4:$V$3183,0)),"")</f>
        <v/>
      </c>
      <c r="D2827" s="29">
        <f>IFERROR(INDEX($Q$4:$Q$3183,MATCH(SMALL($V$4:$V$3183,2824),$V$4:$V$3183,0)),"")</f>
        <v/>
      </c>
      <c r="E2827" s="29">
        <f>IFERROR(INDEX($R$4:$R$3183,MATCH(SMALL($V$4:$V$3183,2824),$V$4:$V$3183,0)),"")</f>
        <v/>
      </c>
      <c r="F2827">
        <f>IFERROR(INDEX($S$4:$S$3183,MATCH(SMALL($V$4:$V$3183,2824),$V$4:$V$3183,0)),"")</f>
        <v/>
      </c>
      <c r="I2827" s="29">
        <f>IF($B2827="","",IFERROR(INDEX($U$4:$U$3183,MATCH(SMALL($V$4:$V$3183,2824),$V$4:$V$3183,0)),""))</f>
        <v/>
      </c>
      <c r="J2827">
        <f>IF($B2827="","",IF($D2827&gt;$F$2,"À venir",IF($E2827&lt;$D$2,"Passé","Dans la période")))</f>
        <v/>
      </c>
      <c r="K2827">
        <f>IF(OR($B2827="",NOT(ISNUMBER($D2827))),"",IF(AND($E2827&lt;$D$2,$G2827&lt;&gt;"X",$F2827&lt;&gt;"Réalisé",$F2827&lt;&gt;"Clôturé"),"RETARD",""))</f>
        <v/>
      </c>
      <c r="L2827">
        <f>IF(OR($B2827="",NOT(ISNUMBER($D2827))),"",IF(AND($D2827&gt;=$D$2,$D2827&lt;=$H$2,$G2827&lt;&gt;"X",$F2827&lt;&gt;"Réalisé",$F2827&lt;&gt;"Clôturé"),"≤ 7 j",""))</f>
        <v/>
      </c>
      <c r="M2827" s="29">
        <f>IF($B2827="","",IFERROR(INDEX($T$4:$T$3183,MATCH(SMALL($V$4:$V$3183,2824),$V$4:$V$3183,0)),""))</f>
        <v/>
      </c>
      <c r="O2827">
        <f>IF(INDEX(Suivi!$B:$B,2881)="","",INDEX(Suivi!$B:$B,2881))</f>
        <v/>
      </c>
      <c r="P2827">
        <f>IF($O2827="","",IF(INDEX(Suivi!$D:$D,2881)="",INDEX(Suivi!$C:$C,2881),INDEX(Suivi!$D:$D,2881)))</f>
        <v/>
      </c>
      <c r="Q2827">
        <f>IF($O2827="","",INDEX(Suivi!$E:$E,2881))</f>
        <v/>
      </c>
      <c r="R2827">
        <f>IF($O2827="","",INDEX(Suivi!$F:$F,2881))</f>
        <v/>
      </c>
      <c r="S2827">
        <f>IF($O2827="","",INDEX(Suivi!$G:$G,2881))</f>
        <v/>
      </c>
      <c r="T2827">
        <f>IF($O2827="","",IF(INDEX(Dossiers!$F$4:$F$63,54)="","",INDEX(Dossiers!$F$4:$F$63,54)))</f>
        <v/>
      </c>
      <c r="U2827">
        <f>IF($O2827="","",IF(INDEX(Dossiers!$G$4:$G$63,54)="","",INDEX(Dossiers!$G$4:$G$63,54)))</f>
        <v/>
      </c>
      <c r="V2827">
        <f>IF(OR($O2827="",NOT(ISNUMBER($Q2827))),"",$Q2827*1000000+2827)</f>
        <v/>
      </c>
      <c r="W2827" s="29">
        <f>IF($B2827="","",IFERROR(INDEX($U$4:$U$3183,MATCH(SMALL($V$4:$V$3183,2824),$V$4:$V$3183,0)),""))</f>
        <v/>
      </c>
    </row>
    <row r="2828">
      <c r="A2828">
        <f>IFERROR(INDEX($N$4:$N$3183,MATCH(SMALL($V$4:$V$3183,2825),$V$4:$V$3183,0)),"")</f>
        <v/>
      </c>
      <c r="B2828">
        <f>IFERROR(INDEX($O$4:$O$3183,MATCH(SMALL($V$4:$V$3183,2825),$V$4:$V$3183,0)),"")</f>
        <v/>
      </c>
      <c r="C2828">
        <f>IFERROR(INDEX($P$4:$P$3183,MATCH(SMALL($V$4:$V$3183,2825),$V$4:$V$3183,0)),"")</f>
        <v/>
      </c>
      <c r="D2828" s="29">
        <f>IFERROR(INDEX($Q$4:$Q$3183,MATCH(SMALL($V$4:$V$3183,2825),$V$4:$V$3183,0)),"")</f>
        <v/>
      </c>
      <c r="E2828" s="29">
        <f>IFERROR(INDEX($R$4:$R$3183,MATCH(SMALL($V$4:$V$3183,2825),$V$4:$V$3183,0)),"")</f>
        <v/>
      </c>
      <c r="F2828">
        <f>IFERROR(INDEX($S$4:$S$3183,MATCH(SMALL($V$4:$V$3183,2825),$V$4:$V$3183,0)),"")</f>
        <v/>
      </c>
      <c r="I2828" s="29">
        <f>IF($B2828="","",IFERROR(INDEX($U$4:$U$3183,MATCH(SMALL($V$4:$V$3183,2825),$V$4:$V$3183,0)),""))</f>
        <v/>
      </c>
      <c r="J2828">
        <f>IF($B2828="","",IF($D2828&gt;$F$2,"À venir",IF($E2828&lt;$D$2,"Passé","Dans la période")))</f>
        <v/>
      </c>
      <c r="K2828">
        <f>IF(OR($B2828="",NOT(ISNUMBER($D2828))),"",IF(AND($E2828&lt;$D$2,$G2828&lt;&gt;"X",$F2828&lt;&gt;"Réalisé",$F2828&lt;&gt;"Clôturé"),"RETARD",""))</f>
        <v/>
      </c>
      <c r="L2828">
        <f>IF(OR($B2828="",NOT(ISNUMBER($D2828))),"",IF(AND($D2828&gt;=$D$2,$D2828&lt;=$H$2,$G2828&lt;&gt;"X",$F2828&lt;&gt;"Réalisé",$F2828&lt;&gt;"Clôturé"),"≤ 7 j",""))</f>
        <v/>
      </c>
      <c r="M2828" s="29">
        <f>IF($B2828="","",IFERROR(INDEX($T$4:$T$3183,MATCH(SMALL($V$4:$V$3183,2825),$V$4:$V$3183,0)),""))</f>
        <v/>
      </c>
      <c r="O2828">
        <f>IF(INDEX(Suivi!$B:$B,2882)="","",INDEX(Suivi!$B:$B,2882))</f>
        <v/>
      </c>
      <c r="P2828">
        <f>IF($O2828="","",IF(INDEX(Suivi!$D:$D,2882)="",INDEX(Suivi!$C:$C,2882),INDEX(Suivi!$D:$D,2882)))</f>
        <v/>
      </c>
      <c r="Q2828">
        <f>IF($O2828="","",INDEX(Suivi!$E:$E,2882))</f>
        <v/>
      </c>
      <c r="R2828">
        <f>IF($O2828="","",INDEX(Suivi!$F:$F,2882))</f>
        <v/>
      </c>
      <c r="S2828">
        <f>IF($O2828="","",INDEX(Suivi!$G:$G,2882))</f>
        <v/>
      </c>
      <c r="T2828">
        <f>IF($O2828="","",IF(INDEX(Dossiers!$F$4:$F$63,54)="","",INDEX(Dossiers!$F$4:$F$63,54)))</f>
        <v/>
      </c>
      <c r="U2828">
        <f>IF($O2828="","",IF(INDEX(Dossiers!$G$4:$G$63,54)="","",INDEX(Dossiers!$G$4:$G$63,54)))</f>
        <v/>
      </c>
      <c r="V2828">
        <f>IF(OR($O2828="",NOT(ISNUMBER($Q2828))),"",$Q2828*1000000+2828)</f>
        <v/>
      </c>
      <c r="W2828" s="29">
        <f>IF($B2828="","",IFERROR(INDEX($U$4:$U$3183,MATCH(SMALL($V$4:$V$3183,2825),$V$4:$V$3183,0)),""))</f>
        <v/>
      </c>
    </row>
    <row r="2829">
      <c r="A2829">
        <f>IFERROR(INDEX($N$4:$N$3183,MATCH(SMALL($V$4:$V$3183,2826),$V$4:$V$3183,0)),"")</f>
        <v/>
      </c>
      <c r="B2829">
        <f>IFERROR(INDEX($O$4:$O$3183,MATCH(SMALL($V$4:$V$3183,2826),$V$4:$V$3183,0)),"")</f>
        <v/>
      </c>
      <c r="C2829">
        <f>IFERROR(INDEX($P$4:$P$3183,MATCH(SMALL($V$4:$V$3183,2826),$V$4:$V$3183,0)),"")</f>
        <v/>
      </c>
      <c r="D2829" s="29">
        <f>IFERROR(INDEX($Q$4:$Q$3183,MATCH(SMALL($V$4:$V$3183,2826),$V$4:$V$3183,0)),"")</f>
        <v/>
      </c>
      <c r="E2829" s="29">
        <f>IFERROR(INDEX($R$4:$R$3183,MATCH(SMALL($V$4:$V$3183,2826),$V$4:$V$3183,0)),"")</f>
        <v/>
      </c>
      <c r="F2829">
        <f>IFERROR(INDEX($S$4:$S$3183,MATCH(SMALL($V$4:$V$3183,2826),$V$4:$V$3183,0)),"")</f>
        <v/>
      </c>
      <c r="I2829" s="29">
        <f>IF($B2829="","",IFERROR(INDEX($U$4:$U$3183,MATCH(SMALL($V$4:$V$3183,2826),$V$4:$V$3183,0)),""))</f>
        <v/>
      </c>
      <c r="J2829">
        <f>IF($B2829="","",IF($D2829&gt;$F$2,"À venir",IF($E2829&lt;$D$2,"Passé","Dans la période")))</f>
        <v/>
      </c>
      <c r="K2829">
        <f>IF(OR($B2829="",NOT(ISNUMBER($D2829))),"",IF(AND($E2829&lt;$D$2,$G2829&lt;&gt;"X",$F2829&lt;&gt;"Réalisé",$F2829&lt;&gt;"Clôturé"),"RETARD",""))</f>
        <v/>
      </c>
      <c r="L2829">
        <f>IF(OR($B2829="",NOT(ISNUMBER($D2829))),"",IF(AND($D2829&gt;=$D$2,$D2829&lt;=$H$2,$G2829&lt;&gt;"X",$F2829&lt;&gt;"Réalisé",$F2829&lt;&gt;"Clôturé"),"≤ 7 j",""))</f>
        <v/>
      </c>
      <c r="M2829" s="29">
        <f>IF($B2829="","",IFERROR(INDEX($T$4:$T$3183,MATCH(SMALL($V$4:$V$3183,2826),$V$4:$V$3183,0)),""))</f>
        <v/>
      </c>
      <c r="O2829">
        <f>IF(INDEX(Suivi!$B:$B,2883)="","",INDEX(Suivi!$B:$B,2883))</f>
        <v/>
      </c>
      <c r="P2829">
        <f>IF($O2829="","",IF(INDEX(Suivi!$D:$D,2883)="",INDEX(Suivi!$C:$C,2883),INDEX(Suivi!$D:$D,2883)))</f>
        <v/>
      </c>
      <c r="Q2829">
        <f>IF($O2829="","",INDEX(Suivi!$E:$E,2883))</f>
        <v/>
      </c>
      <c r="R2829">
        <f>IF($O2829="","",INDEX(Suivi!$F:$F,2883))</f>
        <v/>
      </c>
      <c r="S2829">
        <f>IF($O2829="","",INDEX(Suivi!$G:$G,2883))</f>
        <v/>
      </c>
      <c r="T2829">
        <f>IF($O2829="","",IF(INDEX(Dossiers!$F$4:$F$63,54)="","",INDEX(Dossiers!$F$4:$F$63,54)))</f>
        <v/>
      </c>
      <c r="U2829">
        <f>IF($O2829="","",IF(INDEX(Dossiers!$G$4:$G$63,54)="","",INDEX(Dossiers!$G$4:$G$63,54)))</f>
        <v/>
      </c>
      <c r="V2829">
        <f>IF(OR($O2829="",NOT(ISNUMBER($Q2829))),"",$Q2829*1000000+2829)</f>
        <v/>
      </c>
      <c r="W2829" s="29">
        <f>IF($B2829="","",IFERROR(INDEX($U$4:$U$3183,MATCH(SMALL($V$4:$V$3183,2826),$V$4:$V$3183,0)),""))</f>
        <v/>
      </c>
    </row>
    <row r="2830">
      <c r="A2830">
        <f>IFERROR(INDEX($N$4:$N$3183,MATCH(SMALL($V$4:$V$3183,2827),$V$4:$V$3183,0)),"")</f>
        <v/>
      </c>
      <c r="B2830">
        <f>IFERROR(INDEX($O$4:$O$3183,MATCH(SMALL($V$4:$V$3183,2827),$V$4:$V$3183,0)),"")</f>
        <v/>
      </c>
      <c r="C2830">
        <f>IFERROR(INDEX($P$4:$P$3183,MATCH(SMALL($V$4:$V$3183,2827),$V$4:$V$3183,0)),"")</f>
        <v/>
      </c>
      <c r="D2830" s="29">
        <f>IFERROR(INDEX($Q$4:$Q$3183,MATCH(SMALL($V$4:$V$3183,2827),$V$4:$V$3183,0)),"")</f>
        <v/>
      </c>
      <c r="E2830" s="29">
        <f>IFERROR(INDEX($R$4:$R$3183,MATCH(SMALL($V$4:$V$3183,2827),$V$4:$V$3183,0)),"")</f>
        <v/>
      </c>
      <c r="F2830">
        <f>IFERROR(INDEX($S$4:$S$3183,MATCH(SMALL($V$4:$V$3183,2827),$V$4:$V$3183,0)),"")</f>
        <v/>
      </c>
      <c r="I2830" s="29">
        <f>IF($B2830="","",IFERROR(INDEX($U$4:$U$3183,MATCH(SMALL($V$4:$V$3183,2827),$V$4:$V$3183,0)),""))</f>
        <v/>
      </c>
      <c r="J2830">
        <f>IF($B2830="","",IF($D2830&gt;$F$2,"À venir",IF($E2830&lt;$D$2,"Passé","Dans la période")))</f>
        <v/>
      </c>
      <c r="K2830">
        <f>IF(OR($B2830="",NOT(ISNUMBER($D2830))),"",IF(AND($E2830&lt;$D$2,$G2830&lt;&gt;"X",$F2830&lt;&gt;"Réalisé",$F2830&lt;&gt;"Clôturé"),"RETARD",""))</f>
        <v/>
      </c>
      <c r="L2830">
        <f>IF(OR($B2830="",NOT(ISNUMBER($D2830))),"",IF(AND($D2830&gt;=$D$2,$D2830&lt;=$H$2,$G2830&lt;&gt;"X",$F2830&lt;&gt;"Réalisé",$F2830&lt;&gt;"Clôturé"),"≤ 7 j",""))</f>
        <v/>
      </c>
      <c r="M2830" s="29">
        <f>IF($B2830="","",IFERROR(INDEX($T$4:$T$3183,MATCH(SMALL($V$4:$V$3183,2827),$V$4:$V$3183,0)),""))</f>
        <v/>
      </c>
      <c r="O2830">
        <f>IF(INDEX(Suivi!$B:$B,2884)="","",INDEX(Suivi!$B:$B,2884))</f>
        <v/>
      </c>
      <c r="P2830">
        <f>IF($O2830="","",IF(INDEX(Suivi!$D:$D,2884)="",INDEX(Suivi!$C:$C,2884),INDEX(Suivi!$D:$D,2884)))</f>
        <v/>
      </c>
      <c r="Q2830">
        <f>IF($O2830="","",INDEX(Suivi!$E:$E,2884))</f>
        <v/>
      </c>
      <c r="R2830">
        <f>IF($O2830="","",INDEX(Suivi!$F:$F,2884))</f>
        <v/>
      </c>
      <c r="S2830">
        <f>IF($O2830="","",INDEX(Suivi!$G:$G,2884))</f>
        <v/>
      </c>
      <c r="T2830">
        <f>IF($O2830="","",IF(INDEX(Dossiers!$F$4:$F$63,54)="","",INDEX(Dossiers!$F$4:$F$63,54)))</f>
        <v/>
      </c>
      <c r="U2830">
        <f>IF($O2830="","",IF(INDEX(Dossiers!$G$4:$G$63,54)="","",INDEX(Dossiers!$G$4:$G$63,54)))</f>
        <v/>
      </c>
      <c r="V2830">
        <f>IF(OR($O2830="",NOT(ISNUMBER($Q2830))),"",$Q2830*1000000+2830)</f>
        <v/>
      </c>
      <c r="W2830" s="29">
        <f>IF($B2830="","",IFERROR(INDEX($U$4:$U$3183,MATCH(SMALL($V$4:$V$3183,2827),$V$4:$V$3183,0)),""))</f>
        <v/>
      </c>
    </row>
    <row r="2831">
      <c r="A2831">
        <f>IFERROR(INDEX($N$4:$N$3183,MATCH(SMALL($V$4:$V$3183,2828),$V$4:$V$3183,0)),"")</f>
        <v/>
      </c>
      <c r="B2831">
        <f>IFERROR(INDEX($O$4:$O$3183,MATCH(SMALL($V$4:$V$3183,2828),$V$4:$V$3183,0)),"")</f>
        <v/>
      </c>
      <c r="C2831">
        <f>IFERROR(INDEX($P$4:$P$3183,MATCH(SMALL($V$4:$V$3183,2828),$V$4:$V$3183,0)),"")</f>
        <v/>
      </c>
      <c r="D2831" s="29">
        <f>IFERROR(INDEX($Q$4:$Q$3183,MATCH(SMALL($V$4:$V$3183,2828),$V$4:$V$3183,0)),"")</f>
        <v/>
      </c>
      <c r="E2831" s="29">
        <f>IFERROR(INDEX($R$4:$R$3183,MATCH(SMALL($V$4:$V$3183,2828),$V$4:$V$3183,0)),"")</f>
        <v/>
      </c>
      <c r="F2831">
        <f>IFERROR(INDEX($S$4:$S$3183,MATCH(SMALL($V$4:$V$3183,2828),$V$4:$V$3183,0)),"")</f>
        <v/>
      </c>
      <c r="I2831" s="29">
        <f>IF($B2831="","",IFERROR(INDEX($U$4:$U$3183,MATCH(SMALL($V$4:$V$3183,2828),$V$4:$V$3183,0)),""))</f>
        <v/>
      </c>
      <c r="J2831">
        <f>IF($B2831="","",IF($D2831&gt;$F$2,"À venir",IF($E2831&lt;$D$2,"Passé","Dans la période")))</f>
        <v/>
      </c>
      <c r="K2831">
        <f>IF(OR($B2831="",NOT(ISNUMBER($D2831))),"",IF(AND($E2831&lt;$D$2,$G2831&lt;&gt;"X",$F2831&lt;&gt;"Réalisé",$F2831&lt;&gt;"Clôturé"),"RETARD",""))</f>
        <v/>
      </c>
      <c r="L2831">
        <f>IF(OR($B2831="",NOT(ISNUMBER($D2831))),"",IF(AND($D2831&gt;=$D$2,$D2831&lt;=$H$2,$G2831&lt;&gt;"X",$F2831&lt;&gt;"Réalisé",$F2831&lt;&gt;"Clôturé"),"≤ 7 j",""))</f>
        <v/>
      </c>
      <c r="M2831" s="29">
        <f>IF($B2831="","",IFERROR(INDEX($T$4:$T$3183,MATCH(SMALL($V$4:$V$3183,2828),$V$4:$V$3183,0)),""))</f>
        <v/>
      </c>
      <c r="O2831">
        <f>IF(INDEX(Suivi!$B:$B,2885)="","",INDEX(Suivi!$B:$B,2885))</f>
        <v/>
      </c>
      <c r="P2831">
        <f>IF($O2831="","",IF(INDEX(Suivi!$D:$D,2885)="",INDEX(Suivi!$C:$C,2885),INDEX(Suivi!$D:$D,2885)))</f>
        <v/>
      </c>
      <c r="Q2831">
        <f>IF($O2831="","",INDEX(Suivi!$E:$E,2885))</f>
        <v/>
      </c>
      <c r="R2831">
        <f>IF($O2831="","",INDEX(Suivi!$F:$F,2885))</f>
        <v/>
      </c>
      <c r="S2831">
        <f>IF($O2831="","",INDEX(Suivi!$G:$G,2885))</f>
        <v/>
      </c>
      <c r="T2831">
        <f>IF($O2831="","",IF(INDEX(Dossiers!$F$4:$F$63,54)="","",INDEX(Dossiers!$F$4:$F$63,54)))</f>
        <v/>
      </c>
      <c r="U2831">
        <f>IF($O2831="","",IF(INDEX(Dossiers!$G$4:$G$63,54)="","",INDEX(Dossiers!$G$4:$G$63,54)))</f>
        <v/>
      </c>
      <c r="V2831">
        <f>IF(OR($O2831="",NOT(ISNUMBER($Q2831))),"",$Q2831*1000000+2831)</f>
        <v/>
      </c>
      <c r="W2831" s="29">
        <f>IF($B2831="","",IFERROR(INDEX($U$4:$U$3183,MATCH(SMALL($V$4:$V$3183,2828),$V$4:$V$3183,0)),""))</f>
        <v/>
      </c>
    </row>
    <row r="2832">
      <c r="A2832">
        <f>IFERROR(INDEX($N$4:$N$3183,MATCH(SMALL($V$4:$V$3183,2829),$V$4:$V$3183,0)),"")</f>
        <v/>
      </c>
      <c r="B2832">
        <f>IFERROR(INDEX($O$4:$O$3183,MATCH(SMALL($V$4:$V$3183,2829),$V$4:$V$3183,0)),"")</f>
        <v/>
      </c>
      <c r="C2832">
        <f>IFERROR(INDEX($P$4:$P$3183,MATCH(SMALL($V$4:$V$3183,2829),$V$4:$V$3183,0)),"")</f>
        <v/>
      </c>
      <c r="D2832" s="29">
        <f>IFERROR(INDEX($Q$4:$Q$3183,MATCH(SMALL($V$4:$V$3183,2829),$V$4:$V$3183,0)),"")</f>
        <v/>
      </c>
      <c r="E2832" s="29">
        <f>IFERROR(INDEX($R$4:$R$3183,MATCH(SMALL($V$4:$V$3183,2829),$V$4:$V$3183,0)),"")</f>
        <v/>
      </c>
      <c r="F2832">
        <f>IFERROR(INDEX($S$4:$S$3183,MATCH(SMALL($V$4:$V$3183,2829),$V$4:$V$3183,0)),"")</f>
        <v/>
      </c>
      <c r="I2832" s="29">
        <f>IF($B2832="","",IFERROR(INDEX($U$4:$U$3183,MATCH(SMALL($V$4:$V$3183,2829),$V$4:$V$3183,0)),""))</f>
        <v/>
      </c>
      <c r="J2832">
        <f>IF($B2832="","",IF($D2832&gt;$F$2,"À venir",IF($E2832&lt;$D$2,"Passé","Dans la période")))</f>
        <v/>
      </c>
      <c r="K2832">
        <f>IF(OR($B2832="",NOT(ISNUMBER($D2832))),"",IF(AND($E2832&lt;$D$2,$G2832&lt;&gt;"X",$F2832&lt;&gt;"Réalisé",$F2832&lt;&gt;"Clôturé"),"RETARD",""))</f>
        <v/>
      </c>
      <c r="L2832">
        <f>IF(OR($B2832="",NOT(ISNUMBER($D2832))),"",IF(AND($D2832&gt;=$D$2,$D2832&lt;=$H$2,$G2832&lt;&gt;"X",$F2832&lt;&gt;"Réalisé",$F2832&lt;&gt;"Clôturé"),"≤ 7 j",""))</f>
        <v/>
      </c>
      <c r="M2832" s="29">
        <f>IF($B2832="","",IFERROR(INDEX($T$4:$T$3183,MATCH(SMALL($V$4:$V$3183,2829),$V$4:$V$3183,0)),""))</f>
        <v/>
      </c>
      <c r="O2832">
        <f>IF(INDEX(Suivi!$B:$B,2886)="","",INDEX(Suivi!$B:$B,2886))</f>
        <v/>
      </c>
      <c r="P2832">
        <f>IF($O2832="","",IF(INDEX(Suivi!$D:$D,2886)="",INDEX(Suivi!$C:$C,2886),INDEX(Suivi!$D:$D,2886)))</f>
        <v/>
      </c>
      <c r="Q2832">
        <f>IF($O2832="","",INDEX(Suivi!$E:$E,2886))</f>
        <v/>
      </c>
      <c r="R2832">
        <f>IF($O2832="","",INDEX(Suivi!$F:$F,2886))</f>
        <v/>
      </c>
      <c r="S2832">
        <f>IF($O2832="","",INDEX(Suivi!$G:$G,2886))</f>
        <v/>
      </c>
      <c r="T2832">
        <f>IF($O2832="","",IF(INDEX(Dossiers!$F$4:$F$63,54)="","",INDEX(Dossiers!$F$4:$F$63,54)))</f>
        <v/>
      </c>
      <c r="U2832">
        <f>IF($O2832="","",IF(INDEX(Dossiers!$G$4:$G$63,54)="","",INDEX(Dossiers!$G$4:$G$63,54)))</f>
        <v/>
      </c>
      <c r="V2832">
        <f>IF(OR($O2832="",NOT(ISNUMBER($Q2832))),"",$Q2832*1000000+2832)</f>
        <v/>
      </c>
      <c r="W2832" s="29">
        <f>IF($B2832="","",IFERROR(INDEX($U$4:$U$3183,MATCH(SMALL($V$4:$V$3183,2829),$V$4:$V$3183,0)),""))</f>
        <v/>
      </c>
    </row>
    <row r="2833">
      <c r="A2833">
        <f>IFERROR(INDEX($N$4:$N$3183,MATCH(SMALL($V$4:$V$3183,2830),$V$4:$V$3183,0)),"")</f>
        <v/>
      </c>
      <c r="B2833">
        <f>IFERROR(INDEX($O$4:$O$3183,MATCH(SMALL($V$4:$V$3183,2830),$V$4:$V$3183,0)),"")</f>
        <v/>
      </c>
      <c r="C2833">
        <f>IFERROR(INDEX($P$4:$P$3183,MATCH(SMALL($V$4:$V$3183,2830),$V$4:$V$3183,0)),"")</f>
        <v/>
      </c>
      <c r="D2833" s="29">
        <f>IFERROR(INDEX($Q$4:$Q$3183,MATCH(SMALL($V$4:$V$3183,2830),$V$4:$V$3183,0)),"")</f>
        <v/>
      </c>
      <c r="E2833" s="29">
        <f>IFERROR(INDEX($R$4:$R$3183,MATCH(SMALL($V$4:$V$3183,2830),$V$4:$V$3183,0)),"")</f>
        <v/>
      </c>
      <c r="F2833">
        <f>IFERROR(INDEX($S$4:$S$3183,MATCH(SMALL($V$4:$V$3183,2830),$V$4:$V$3183,0)),"")</f>
        <v/>
      </c>
      <c r="I2833" s="29">
        <f>IF($B2833="","",IFERROR(INDEX($U$4:$U$3183,MATCH(SMALL($V$4:$V$3183,2830),$V$4:$V$3183,0)),""))</f>
        <v/>
      </c>
      <c r="J2833">
        <f>IF($B2833="","",IF($D2833&gt;$F$2,"À venir",IF($E2833&lt;$D$2,"Passé","Dans la période")))</f>
        <v/>
      </c>
      <c r="K2833">
        <f>IF(OR($B2833="",NOT(ISNUMBER($D2833))),"",IF(AND($E2833&lt;$D$2,$G2833&lt;&gt;"X",$F2833&lt;&gt;"Réalisé",$F2833&lt;&gt;"Clôturé"),"RETARD",""))</f>
        <v/>
      </c>
      <c r="L2833">
        <f>IF(OR($B2833="",NOT(ISNUMBER($D2833))),"",IF(AND($D2833&gt;=$D$2,$D2833&lt;=$H$2,$G2833&lt;&gt;"X",$F2833&lt;&gt;"Réalisé",$F2833&lt;&gt;"Clôturé"),"≤ 7 j",""))</f>
        <v/>
      </c>
      <c r="M2833" s="29">
        <f>IF($B2833="","",IFERROR(INDEX($T$4:$T$3183,MATCH(SMALL($V$4:$V$3183,2830),$V$4:$V$3183,0)),""))</f>
        <v/>
      </c>
      <c r="O2833">
        <f>IF(INDEX(Suivi!$B:$B,2887)="","",INDEX(Suivi!$B:$B,2887))</f>
        <v/>
      </c>
      <c r="P2833">
        <f>IF($O2833="","",IF(INDEX(Suivi!$D:$D,2887)="",INDEX(Suivi!$C:$C,2887),INDEX(Suivi!$D:$D,2887)))</f>
        <v/>
      </c>
      <c r="Q2833">
        <f>IF($O2833="","",INDEX(Suivi!$E:$E,2887))</f>
        <v/>
      </c>
      <c r="R2833">
        <f>IF($O2833="","",INDEX(Suivi!$F:$F,2887))</f>
        <v/>
      </c>
      <c r="S2833">
        <f>IF($O2833="","",INDEX(Suivi!$G:$G,2887))</f>
        <v/>
      </c>
      <c r="T2833">
        <f>IF($O2833="","",IF(INDEX(Dossiers!$F$4:$F$63,54)="","",INDEX(Dossiers!$F$4:$F$63,54)))</f>
        <v/>
      </c>
      <c r="U2833">
        <f>IF($O2833="","",IF(INDEX(Dossiers!$G$4:$G$63,54)="","",INDEX(Dossiers!$G$4:$G$63,54)))</f>
        <v/>
      </c>
      <c r="V2833">
        <f>IF(OR($O2833="",NOT(ISNUMBER($Q2833))),"",$Q2833*1000000+2833)</f>
        <v/>
      </c>
      <c r="W2833" s="29">
        <f>IF($B2833="","",IFERROR(INDEX($U$4:$U$3183,MATCH(SMALL($V$4:$V$3183,2830),$V$4:$V$3183,0)),""))</f>
        <v/>
      </c>
    </row>
    <row r="2834">
      <c r="A2834">
        <f>IFERROR(INDEX($N$4:$N$3183,MATCH(SMALL($V$4:$V$3183,2831),$V$4:$V$3183,0)),"")</f>
        <v/>
      </c>
      <c r="B2834">
        <f>IFERROR(INDEX($O$4:$O$3183,MATCH(SMALL($V$4:$V$3183,2831),$V$4:$V$3183,0)),"")</f>
        <v/>
      </c>
      <c r="C2834">
        <f>IFERROR(INDEX($P$4:$P$3183,MATCH(SMALL($V$4:$V$3183,2831),$V$4:$V$3183,0)),"")</f>
        <v/>
      </c>
      <c r="D2834" s="29">
        <f>IFERROR(INDEX($Q$4:$Q$3183,MATCH(SMALL($V$4:$V$3183,2831),$V$4:$V$3183,0)),"")</f>
        <v/>
      </c>
      <c r="E2834" s="29">
        <f>IFERROR(INDEX($R$4:$R$3183,MATCH(SMALL($V$4:$V$3183,2831),$V$4:$V$3183,0)),"")</f>
        <v/>
      </c>
      <c r="F2834">
        <f>IFERROR(INDEX($S$4:$S$3183,MATCH(SMALL($V$4:$V$3183,2831),$V$4:$V$3183,0)),"")</f>
        <v/>
      </c>
      <c r="I2834" s="29">
        <f>IF($B2834="","",IFERROR(INDEX($U$4:$U$3183,MATCH(SMALL($V$4:$V$3183,2831),$V$4:$V$3183,0)),""))</f>
        <v/>
      </c>
      <c r="J2834">
        <f>IF($B2834="","",IF($D2834&gt;$F$2,"À venir",IF($E2834&lt;$D$2,"Passé","Dans la période")))</f>
        <v/>
      </c>
      <c r="K2834">
        <f>IF(OR($B2834="",NOT(ISNUMBER($D2834))),"",IF(AND($E2834&lt;$D$2,$G2834&lt;&gt;"X",$F2834&lt;&gt;"Réalisé",$F2834&lt;&gt;"Clôturé"),"RETARD",""))</f>
        <v/>
      </c>
      <c r="L2834">
        <f>IF(OR($B2834="",NOT(ISNUMBER($D2834))),"",IF(AND($D2834&gt;=$D$2,$D2834&lt;=$H$2,$G2834&lt;&gt;"X",$F2834&lt;&gt;"Réalisé",$F2834&lt;&gt;"Clôturé"),"≤ 7 j",""))</f>
        <v/>
      </c>
      <c r="M2834" s="29">
        <f>IF($B2834="","",IFERROR(INDEX($T$4:$T$3183,MATCH(SMALL($V$4:$V$3183,2831),$V$4:$V$3183,0)),""))</f>
        <v/>
      </c>
      <c r="O2834">
        <f>IF(INDEX(Suivi!$B:$B,2888)="","",INDEX(Suivi!$B:$B,2888))</f>
        <v/>
      </c>
      <c r="P2834">
        <f>IF($O2834="","",IF(INDEX(Suivi!$D:$D,2888)="",INDEX(Suivi!$C:$C,2888),INDEX(Suivi!$D:$D,2888)))</f>
        <v/>
      </c>
      <c r="Q2834">
        <f>IF($O2834="","",INDEX(Suivi!$E:$E,2888))</f>
        <v/>
      </c>
      <c r="R2834">
        <f>IF($O2834="","",INDEX(Suivi!$F:$F,2888))</f>
        <v/>
      </c>
      <c r="S2834">
        <f>IF($O2834="","",INDEX(Suivi!$G:$G,2888))</f>
        <v/>
      </c>
      <c r="T2834">
        <f>IF($O2834="","",IF(INDEX(Dossiers!$F$4:$F$63,54)="","",INDEX(Dossiers!$F$4:$F$63,54)))</f>
        <v/>
      </c>
      <c r="U2834">
        <f>IF($O2834="","",IF(INDEX(Dossiers!$G$4:$G$63,54)="","",INDEX(Dossiers!$G$4:$G$63,54)))</f>
        <v/>
      </c>
      <c r="V2834">
        <f>IF(OR($O2834="",NOT(ISNUMBER($Q2834))),"",$Q2834*1000000+2834)</f>
        <v/>
      </c>
      <c r="W2834" s="29">
        <f>IF($B2834="","",IFERROR(INDEX($U$4:$U$3183,MATCH(SMALL($V$4:$V$3183,2831),$V$4:$V$3183,0)),""))</f>
        <v/>
      </c>
    </row>
    <row r="2835">
      <c r="A2835">
        <f>IFERROR(INDEX($N$4:$N$3183,MATCH(SMALL($V$4:$V$3183,2832),$V$4:$V$3183,0)),"")</f>
        <v/>
      </c>
      <c r="B2835">
        <f>IFERROR(INDEX($O$4:$O$3183,MATCH(SMALL($V$4:$V$3183,2832),$V$4:$V$3183,0)),"")</f>
        <v/>
      </c>
      <c r="C2835">
        <f>IFERROR(INDEX($P$4:$P$3183,MATCH(SMALL($V$4:$V$3183,2832),$V$4:$V$3183,0)),"")</f>
        <v/>
      </c>
      <c r="D2835" s="29">
        <f>IFERROR(INDEX($Q$4:$Q$3183,MATCH(SMALL($V$4:$V$3183,2832),$V$4:$V$3183,0)),"")</f>
        <v/>
      </c>
      <c r="E2835" s="29">
        <f>IFERROR(INDEX($R$4:$R$3183,MATCH(SMALL($V$4:$V$3183,2832),$V$4:$V$3183,0)),"")</f>
        <v/>
      </c>
      <c r="F2835">
        <f>IFERROR(INDEX($S$4:$S$3183,MATCH(SMALL($V$4:$V$3183,2832),$V$4:$V$3183,0)),"")</f>
        <v/>
      </c>
      <c r="I2835" s="29">
        <f>IF($B2835="","",IFERROR(INDEX($U$4:$U$3183,MATCH(SMALL($V$4:$V$3183,2832),$V$4:$V$3183,0)),""))</f>
        <v/>
      </c>
      <c r="J2835">
        <f>IF($B2835="","",IF($D2835&gt;$F$2,"À venir",IF($E2835&lt;$D$2,"Passé","Dans la période")))</f>
        <v/>
      </c>
      <c r="K2835">
        <f>IF(OR($B2835="",NOT(ISNUMBER($D2835))),"",IF(AND($E2835&lt;$D$2,$G2835&lt;&gt;"X",$F2835&lt;&gt;"Réalisé",$F2835&lt;&gt;"Clôturé"),"RETARD",""))</f>
        <v/>
      </c>
      <c r="L2835">
        <f>IF(OR($B2835="",NOT(ISNUMBER($D2835))),"",IF(AND($D2835&gt;=$D$2,$D2835&lt;=$H$2,$G2835&lt;&gt;"X",$F2835&lt;&gt;"Réalisé",$F2835&lt;&gt;"Clôturé"),"≤ 7 j",""))</f>
        <v/>
      </c>
      <c r="M2835" s="29">
        <f>IF($B2835="","",IFERROR(INDEX($T$4:$T$3183,MATCH(SMALL($V$4:$V$3183,2832),$V$4:$V$3183,0)),""))</f>
        <v/>
      </c>
      <c r="O2835">
        <f>IF(INDEX(Suivi!$B:$B,2889)="","",INDEX(Suivi!$B:$B,2889))</f>
        <v/>
      </c>
      <c r="P2835">
        <f>IF($O2835="","",IF(INDEX(Suivi!$D:$D,2889)="",INDEX(Suivi!$C:$C,2889),INDEX(Suivi!$D:$D,2889)))</f>
        <v/>
      </c>
      <c r="Q2835">
        <f>IF($O2835="","",INDEX(Suivi!$E:$E,2889))</f>
        <v/>
      </c>
      <c r="R2835">
        <f>IF($O2835="","",INDEX(Suivi!$F:$F,2889))</f>
        <v/>
      </c>
      <c r="S2835">
        <f>IF($O2835="","",INDEX(Suivi!$G:$G,2889))</f>
        <v/>
      </c>
      <c r="T2835">
        <f>IF($O2835="","",IF(INDEX(Dossiers!$F$4:$F$63,54)="","",INDEX(Dossiers!$F$4:$F$63,54)))</f>
        <v/>
      </c>
      <c r="U2835">
        <f>IF($O2835="","",IF(INDEX(Dossiers!$G$4:$G$63,54)="","",INDEX(Dossiers!$G$4:$G$63,54)))</f>
        <v/>
      </c>
      <c r="V2835">
        <f>IF(OR($O2835="",NOT(ISNUMBER($Q2835))),"",$Q2835*1000000+2835)</f>
        <v/>
      </c>
      <c r="W2835" s="29">
        <f>IF($B2835="","",IFERROR(INDEX($U$4:$U$3183,MATCH(SMALL($V$4:$V$3183,2832),$V$4:$V$3183,0)),""))</f>
        <v/>
      </c>
    </row>
    <row r="2836">
      <c r="A2836">
        <f>IFERROR(INDEX($N$4:$N$3183,MATCH(SMALL($V$4:$V$3183,2833),$V$4:$V$3183,0)),"")</f>
        <v/>
      </c>
      <c r="B2836">
        <f>IFERROR(INDEX($O$4:$O$3183,MATCH(SMALL($V$4:$V$3183,2833),$V$4:$V$3183,0)),"")</f>
        <v/>
      </c>
      <c r="C2836">
        <f>IFERROR(INDEX($P$4:$P$3183,MATCH(SMALL($V$4:$V$3183,2833),$V$4:$V$3183,0)),"")</f>
        <v/>
      </c>
      <c r="D2836" s="29">
        <f>IFERROR(INDEX($Q$4:$Q$3183,MATCH(SMALL($V$4:$V$3183,2833),$V$4:$V$3183,0)),"")</f>
        <v/>
      </c>
      <c r="E2836" s="29">
        <f>IFERROR(INDEX($R$4:$R$3183,MATCH(SMALL($V$4:$V$3183,2833),$V$4:$V$3183,0)),"")</f>
        <v/>
      </c>
      <c r="F2836">
        <f>IFERROR(INDEX($S$4:$S$3183,MATCH(SMALL($V$4:$V$3183,2833),$V$4:$V$3183,0)),"")</f>
        <v/>
      </c>
      <c r="I2836" s="29">
        <f>IF($B2836="","",IFERROR(INDEX($U$4:$U$3183,MATCH(SMALL($V$4:$V$3183,2833),$V$4:$V$3183,0)),""))</f>
        <v/>
      </c>
      <c r="J2836">
        <f>IF($B2836="","",IF($D2836&gt;$F$2,"À venir",IF($E2836&lt;$D$2,"Passé","Dans la période")))</f>
        <v/>
      </c>
      <c r="K2836">
        <f>IF(OR($B2836="",NOT(ISNUMBER($D2836))),"",IF(AND($E2836&lt;$D$2,$G2836&lt;&gt;"X",$F2836&lt;&gt;"Réalisé",$F2836&lt;&gt;"Clôturé"),"RETARD",""))</f>
        <v/>
      </c>
      <c r="L2836">
        <f>IF(OR($B2836="",NOT(ISNUMBER($D2836))),"",IF(AND($D2836&gt;=$D$2,$D2836&lt;=$H$2,$G2836&lt;&gt;"X",$F2836&lt;&gt;"Réalisé",$F2836&lt;&gt;"Clôturé"),"≤ 7 j",""))</f>
        <v/>
      </c>
      <c r="M2836" s="29">
        <f>IF($B2836="","",IFERROR(INDEX($T$4:$T$3183,MATCH(SMALL($V$4:$V$3183,2833),$V$4:$V$3183,0)),""))</f>
        <v/>
      </c>
      <c r="O2836">
        <f>IF(INDEX(Suivi!$B:$B,2890)="","",INDEX(Suivi!$B:$B,2890))</f>
        <v/>
      </c>
      <c r="P2836">
        <f>IF($O2836="","",IF(INDEX(Suivi!$D:$D,2890)="",INDEX(Suivi!$C:$C,2890),INDEX(Suivi!$D:$D,2890)))</f>
        <v/>
      </c>
      <c r="Q2836">
        <f>IF($O2836="","",INDEX(Suivi!$E:$E,2890))</f>
        <v/>
      </c>
      <c r="R2836">
        <f>IF($O2836="","",INDEX(Suivi!$F:$F,2890))</f>
        <v/>
      </c>
      <c r="S2836">
        <f>IF($O2836="","",INDEX(Suivi!$G:$G,2890))</f>
        <v/>
      </c>
      <c r="T2836">
        <f>IF($O2836="","",IF(INDEX(Dossiers!$F$4:$F$63,54)="","",INDEX(Dossiers!$F$4:$F$63,54)))</f>
        <v/>
      </c>
      <c r="U2836">
        <f>IF($O2836="","",IF(INDEX(Dossiers!$G$4:$G$63,54)="","",INDEX(Dossiers!$G$4:$G$63,54)))</f>
        <v/>
      </c>
      <c r="V2836">
        <f>IF(OR($O2836="",NOT(ISNUMBER($Q2836))),"",$Q2836*1000000+2836)</f>
        <v/>
      </c>
      <c r="W2836" s="29">
        <f>IF($B2836="","",IFERROR(INDEX($U$4:$U$3183,MATCH(SMALL($V$4:$V$3183,2833),$V$4:$V$3183,0)),""))</f>
        <v/>
      </c>
    </row>
    <row r="2837">
      <c r="A2837">
        <f>IFERROR(INDEX($N$4:$N$3183,MATCH(SMALL($V$4:$V$3183,2834),$V$4:$V$3183,0)),"")</f>
        <v/>
      </c>
      <c r="B2837">
        <f>IFERROR(INDEX($O$4:$O$3183,MATCH(SMALL($V$4:$V$3183,2834),$V$4:$V$3183,0)),"")</f>
        <v/>
      </c>
      <c r="C2837">
        <f>IFERROR(INDEX($P$4:$P$3183,MATCH(SMALL($V$4:$V$3183,2834),$V$4:$V$3183,0)),"")</f>
        <v/>
      </c>
      <c r="D2837" s="29">
        <f>IFERROR(INDEX($Q$4:$Q$3183,MATCH(SMALL($V$4:$V$3183,2834),$V$4:$V$3183,0)),"")</f>
        <v/>
      </c>
      <c r="E2837" s="29">
        <f>IFERROR(INDEX($R$4:$R$3183,MATCH(SMALL($V$4:$V$3183,2834),$V$4:$V$3183,0)),"")</f>
        <v/>
      </c>
      <c r="F2837">
        <f>IFERROR(INDEX($S$4:$S$3183,MATCH(SMALL($V$4:$V$3183,2834),$V$4:$V$3183,0)),"")</f>
        <v/>
      </c>
      <c r="I2837" s="29">
        <f>IF($B2837="","",IFERROR(INDEX($U$4:$U$3183,MATCH(SMALL($V$4:$V$3183,2834),$V$4:$V$3183,0)),""))</f>
        <v/>
      </c>
      <c r="J2837">
        <f>IF($B2837="","",IF($D2837&gt;$F$2,"À venir",IF($E2837&lt;$D$2,"Passé","Dans la période")))</f>
        <v/>
      </c>
      <c r="K2837">
        <f>IF(OR($B2837="",NOT(ISNUMBER($D2837))),"",IF(AND($E2837&lt;$D$2,$G2837&lt;&gt;"X",$F2837&lt;&gt;"Réalisé",$F2837&lt;&gt;"Clôturé"),"RETARD",""))</f>
        <v/>
      </c>
      <c r="L2837">
        <f>IF(OR($B2837="",NOT(ISNUMBER($D2837))),"",IF(AND($D2837&gt;=$D$2,$D2837&lt;=$H$2,$G2837&lt;&gt;"X",$F2837&lt;&gt;"Réalisé",$F2837&lt;&gt;"Clôturé"),"≤ 7 j",""))</f>
        <v/>
      </c>
      <c r="M2837" s="29">
        <f>IF($B2837="","",IFERROR(INDEX($T$4:$T$3183,MATCH(SMALL($V$4:$V$3183,2834),$V$4:$V$3183,0)),""))</f>
        <v/>
      </c>
      <c r="O2837">
        <f>IF(INDEX(Suivi!$B:$B,2891)="","",INDEX(Suivi!$B:$B,2891))</f>
        <v/>
      </c>
      <c r="P2837">
        <f>IF($O2837="","",IF(INDEX(Suivi!$D:$D,2891)="",INDEX(Suivi!$C:$C,2891),INDEX(Suivi!$D:$D,2891)))</f>
        <v/>
      </c>
      <c r="Q2837">
        <f>IF($O2837="","",INDEX(Suivi!$E:$E,2891))</f>
        <v/>
      </c>
      <c r="R2837">
        <f>IF($O2837="","",INDEX(Suivi!$F:$F,2891))</f>
        <v/>
      </c>
      <c r="S2837">
        <f>IF($O2837="","",INDEX(Suivi!$G:$G,2891))</f>
        <v/>
      </c>
      <c r="T2837">
        <f>IF($O2837="","",IF(INDEX(Dossiers!$F$4:$F$63,54)="","",INDEX(Dossiers!$F$4:$F$63,54)))</f>
        <v/>
      </c>
      <c r="U2837">
        <f>IF($O2837="","",IF(INDEX(Dossiers!$G$4:$G$63,54)="","",INDEX(Dossiers!$G$4:$G$63,54)))</f>
        <v/>
      </c>
      <c r="V2837">
        <f>IF(OR($O2837="",NOT(ISNUMBER($Q2837))),"",$Q2837*1000000+2837)</f>
        <v/>
      </c>
      <c r="W2837" s="29">
        <f>IF($B2837="","",IFERROR(INDEX($U$4:$U$3183,MATCH(SMALL($V$4:$V$3183,2834),$V$4:$V$3183,0)),""))</f>
        <v/>
      </c>
    </row>
    <row r="2838">
      <c r="A2838">
        <f>IFERROR(INDEX($N$4:$N$3183,MATCH(SMALL($V$4:$V$3183,2835),$V$4:$V$3183,0)),"")</f>
        <v/>
      </c>
      <c r="B2838">
        <f>IFERROR(INDEX($O$4:$O$3183,MATCH(SMALL($V$4:$V$3183,2835),$V$4:$V$3183,0)),"")</f>
        <v/>
      </c>
      <c r="C2838">
        <f>IFERROR(INDEX($P$4:$P$3183,MATCH(SMALL($V$4:$V$3183,2835),$V$4:$V$3183,0)),"")</f>
        <v/>
      </c>
      <c r="D2838" s="29">
        <f>IFERROR(INDEX($Q$4:$Q$3183,MATCH(SMALL($V$4:$V$3183,2835),$V$4:$V$3183,0)),"")</f>
        <v/>
      </c>
      <c r="E2838" s="29">
        <f>IFERROR(INDEX($R$4:$R$3183,MATCH(SMALL($V$4:$V$3183,2835),$V$4:$V$3183,0)),"")</f>
        <v/>
      </c>
      <c r="F2838">
        <f>IFERROR(INDEX($S$4:$S$3183,MATCH(SMALL($V$4:$V$3183,2835),$V$4:$V$3183,0)),"")</f>
        <v/>
      </c>
      <c r="I2838" s="29">
        <f>IF($B2838="","",IFERROR(INDEX($U$4:$U$3183,MATCH(SMALL($V$4:$V$3183,2835),$V$4:$V$3183,0)),""))</f>
        <v/>
      </c>
      <c r="J2838">
        <f>IF($B2838="","",IF($D2838&gt;$F$2,"À venir",IF($E2838&lt;$D$2,"Passé","Dans la période")))</f>
        <v/>
      </c>
      <c r="K2838">
        <f>IF(OR($B2838="",NOT(ISNUMBER($D2838))),"",IF(AND($E2838&lt;$D$2,$G2838&lt;&gt;"X",$F2838&lt;&gt;"Réalisé",$F2838&lt;&gt;"Clôturé"),"RETARD",""))</f>
        <v/>
      </c>
      <c r="L2838">
        <f>IF(OR($B2838="",NOT(ISNUMBER($D2838))),"",IF(AND($D2838&gt;=$D$2,$D2838&lt;=$H$2,$G2838&lt;&gt;"X",$F2838&lt;&gt;"Réalisé",$F2838&lt;&gt;"Clôturé"),"≤ 7 j",""))</f>
        <v/>
      </c>
      <c r="M2838" s="29">
        <f>IF($B2838="","",IFERROR(INDEX($T$4:$T$3183,MATCH(SMALL($V$4:$V$3183,2835),$V$4:$V$3183,0)),""))</f>
        <v/>
      </c>
      <c r="O2838">
        <f>IF(INDEX(Suivi!$B:$B,2892)="","",INDEX(Suivi!$B:$B,2892))</f>
        <v/>
      </c>
      <c r="P2838">
        <f>IF($O2838="","",IF(INDEX(Suivi!$D:$D,2892)="",INDEX(Suivi!$C:$C,2892),INDEX(Suivi!$D:$D,2892)))</f>
        <v/>
      </c>
      <c r="Q2838">
        <f>IF($O2838="","",INDEX(Suivi!$E:$E,2892))</f>
        <v/>
      </c>
      <c r="R2838">
        <f>IF($O2838="","",INDEX(Suivi!$F:$F,2892))</f>
        <v/>
      </c>
      <c r="S2838">
        <f>IF($O2838="","",INDEX(Suivi!$G:$G,2892))</f>
        <v/>
      </c>
      <c r="T2838">
        <f>IF($O2838="","",IF(INDEX(Dossiers!$F$4:$F$63,54)="","",INDEX(Dossiers!$F$4:$F$63,54)))</f>
        <v/>
      </c>
      <c r="U2838">
        <f>IF($O2838="","",IF(INDEX(Dossiers!$G$4:$G$63,54)="","",INDEX(Dossiers!$G$4:$G$63,54)))</f>
        <v/>
      </c>
      <c r="V2838">
        <f>IF(OR($O2838="",NOT(ISNUMBER($Q2838))),"",$Q2838*1000000+2838)</f>
        <v/>
      </c>
      <c r="W2838" s="29">
        <f>IF($B2838="","",IFERROR(INDEX($U$4:$U$3183,MATCH(SMALL($V$4:$V$3183,2835),$V$4:$V$3183,0)),""))</f>
        <v/>
      </c>
    </row>
    <row r="2839">
      <c r="A2839">
        <f>IFERROR(INDEX($N$4:$N$3183,MATCH(SMALL($V$4:$V$3183,2836),$V$4:$V$3183,0)),"")</f>
        <v/>
      </c>
      <c r="B2839">
        <f>IFERROR(INDEX($O$4:$O$3183,MATCH(SMALL($V$4:$V$3183,2836),$V$4:$V$3183,0)),"")</f>
        <v/>
      </c>
      <c r="C2839">
        <f>IFERROR(INDEX($P$4:$P$3183,MATCH(SMALL($V$4:$V$3183,2836),$V$4:$V$3183,0)),"")</f>
        <v/>
      </c>
      <c r="D2839" s="29">
        <f>IFERROR(INDEX($Q$4:$Q$3183,MATCH(SMALL($V$4:$V$3183,2836),$V$4:$V$3183,0)),"")</f>
        <v/>
      </c>
      <c r="E2839" s="29">
        <f>IFERROR(INDEX($R$4:$R$3183,MATCH(SMALL($V$4:$V$3183,2836),$V$4:$V$3183,0)),"")</f>
        <v/>
      </c>
      <c r="F2839">
        <f>IFERROR(INDEX($S$4:$S$3183,MATCH(SMALL($V$4:$V$3183,2836),$V$4:$V$3183,0)),"")</f>
        <v/>
      </c>
      <c r="I2839" s="29">
        <f>IF($B2839="","",IFERROR(INDEX($U$4:$U$3183,MATCH(SMALL($V$4:$V$3183,2836),$V$4:$V$3183,0)),""))</f>
        <v/>
      </c>
      <c r="J2839">
        <f>IF($B2839="","",IF($D2839&gt;$F$2,"À venir",IF($E2839&lt;$D$2,"Passé","Dans la période")))</f>
        <v/>
      </c>
      <c r="K2839">
        <f>IF(OR($B2839="",NOT(ISNUMBER($D2839))),"",IF(AND($E2839&lt;$D$2,$G2839&lt;&gt;"X",$F2839&lt;&gt;"Réalisé",$F2839&lt;&gt;"Clôturé"),"RETARD",""))</f>
        <v/>
      </c>
      <c r="L2839">
        <f>IF(OR($B2839="",NOT(ISNUMBER($D2839))),"",IF(AND($D2839&gt;=$D$2,$D2839&lt;=$H$2,$G2839&lt;&gt;"X",$F2839&lt;&gt;"Réalisé",$F2839&lt;&gt;"Clôturé"),"≤ 7 j",""))</f>
        <v/>
      </c>
      <c r="M2839" s="29">
        <f>IF($B2839="","",IFERROR(INDEX($T$4:$T$3183,MATCH(SMALL($V$4:$V$3183,2836),$V$4:$V$3183,0)),""))</f>
        <v/>
      </c>
      <c r="O2839">
        <f>IF(INDEX(Suivi!$B:$B,2893)="","",INDEX(Suivi!$B:$B,2893))</f>
        <v/>
      </c>
      <c r="P2839">
        <f>IF($O2839="","",IF(INDEX(Suivi!$D:$D,2893)="",INDEX(Suivi!$C:$C,2893),INDEX(Suivi!$D:$D,2893)))</f>
        <v/>
      </c>
      <c r="Q2839">
        <f>IF($O2839="","",INDEX(Suivi!$E:$E,2893))</f>
        <v/>
      </c>
      <c r="R2839">
        <f>IF($O2839="","",INDEX(Suivi!$F:$F,2893))</f>
        <v/>
      </c>
      <c r="S2839">
        <f>IF($O2839="","",INDEX(Suivi!$G:$G,2893))</f>
        <v/>
      </c>
      <c r="T2839">
        <f>IF($O2839="","",IF(INDEX(Dossiers!$F$4:$F$63,54)="","",INDEX(Dossiers!$F$4:$F$63,54)))</f>
        <v/>
      </c>
      <c r="U2839">
        <f>IF($O2839="","",IF(INDEX(Dossiers!$G$4:$G$63,54)="","",INDEX(Dossiers!$G$4:$G$63,54)))</f>
        <v/>
      </c>
      <c r="V2839">
        <f>IF(OR($O2839="",NOT(ISNUMBER($Q2839))),"",$Q2839*1000000+2839)</f>
        <v/>
      </c>
      <c r="W2839" s="29">
        <f>IF($B2839="","",IFERROR(INDEX($U$4:$U$3183,MATCH(SMALL($V$4:$V$3183,2836),$V$4:$V$3183,0)),""))</f>
        <v/>
      </c>
    </row>
    <row r="2840">
      <c r="A2840">
        <f>IFERROR(INDEX($N$4:$N$3183,MATCH(SMALL($V$4:$V$3183,2837),$V$4:$V$3183,0)),"")</f>
        <v/>
      </c>
      <c r="B2840">
        <f>IFERROR(INDEX($O$4:$O$3183,MATCH(SMALL($V$4:$V$3183,2837),$V$4:$V$3183,0)),"")</f>
        <v/>
      </c>
      <c r="C2840">
        <f>IFERROR(INDEX($P$4:$P$3183,MATCH(SMALL($V$4:$V$3183,2837),$V$4:$V$3183,0)),"")</f>
        <v/>
      </c>
      <c r="D2840" s="29">
        <f>IFERROR(INDEX($Q$4:$Q$3183,MATCH(SMALL($V$4:$V$3183,2837),$V$4:$V$3183,0)),"")</f>
        <v/>
      </c>
      <c r="E2840" s="29">
        <f>IFERROR(INDEX($R$4:$R$3183,MATCH(SMALL($V$4:$V$3183,2837),$V$4:$V$3183,0)),"")</f>
        <v/>
      </c>
      <c r="F2840">
        <f>IFERROR(INDEX($S$4:$S$3183,MATCH(SMALL($V$4:$V$3183,2837),$V$4:$V$3183,0)),"")</f>
        <v/>
      </c>
      <c r="I2840" s="29">
        <f>IF($B2840="","",IFERROR(INDEX($U$4:$U$3183,MATCH(SMALL($V$4:$V$3183,2837),$V$4:$V$3183,0)),""))</f>
        <v/>
      </c>
      <c r="J2840">
        <f>IF($B2840="","",IF($D2840&gt;$F$2,"À venir",IF($E2840&lt;$D$2,"Passé","Dans la période")))</f>
        <v/>
      </c>
      <c r="K2840">
        <f>IF(OR($B2840="",NOT(ISNUMBER($D2840))),"",IF(AND($E2840&lt;$D$2,$G2840&lt;&gt;"X",$F2840&lt;&gt;"Réalisé",$F2840&lt;&gt;"Clôturé"),"RETARD",""))</f>
        <v/>
      </c>
      <c r="L2840">
        <f>IF(OR($B2840="",NOT(ISNUMBER($D2840))),"",IF(AND($D2840&gt;=$D$2,$D2840&lt;=$H$2,$G2840&lt;&gt;"X",$F2840&lt;&gt;"Réalisé",$F2840&lt;&gt;"Clôturé"),"≤ 7 j",""))</f>
        <v/>
      </c>
      <c r="M2840" s="29">
        <f>IF($B2840="","",IFERROR(INDEX($T$4:$T$3183,MATCH(SMALL($V$4:$V$3183,2837),$V$4:$V$3183,0)),""))</f>
        <v/>
      </c>
      <c r="O2840">
        <f>IF(INDEX(Suivi!$B:$B,2894)="","",INDEX(Suivi!$B:$B,2894))</f>
        <v/>
      </c>
      <c r="P2840">
        <f>IF($O2840="","",IF(INDEX(Suivi!$D:$D,2894)="",INDEX(Suivi!$C:$C,2894),INDEX(Suivi!$D:$D,2894)))</f>
        <v/>
      </c>
      <c r="Q2840">
        <f>IF($O2840="","",INDEX(Suivi!$E:$E,2894))</f>
        <v/>
      </c>
      <c r="R2840">
        <f>IF($O2840="","",INDEX(Suivi!$F:$F,2894))</f>
        <v/>
      </c>
      <c r="S2840">
        <f>IF($O2840="","",INDEX(Suivi!$G:$G,2894))</f>
        <v/>
      </c>
      <c r="T2840">
        <f>IF($O2840="","",IF(INDEX(Dossiers!$F$4:$F$63,54)="","",INDEX(Dossiers!$F$4:$F$63,54)))</f>
        <v/>
      </c>
      <c r="U2840">
        <f>IF($O2840="","",IF(INDEX(Dossiers!$G$4:$G$63,54)="","",INDEX(Dossiers!$G$4:$G$63,54)))</f>
        <v/>
      </c>
      <c r="V2840">
        <f>IF(OR($O2840="",NOT(ISNUMBER($Q2840))),"",$Q2840*1000000+2840)</f>
        <v/>
      </c>
      <c r="W2840" s="29">
        <f>IF($B2840="","",IFERROR(INDEX($U$4:$U$3183,MATCH(SMALL($V$4:$V$3183,2837),$V$4:$V$3183,0)),""))</f>
        <v/>
      </c>
    </row>
    <row r="2841">
      <c r="A2841">
        <f>IFERROR(INDEX($N$4:$N$3183,MATCH(SMALL($V$4:$V$3183,2838),$V$4:$V$3183,0)),"")</f>
        <v/>
      </c>
      <c r="B2841">
        <f>IFERROR(INDEX($O$4:$O$3183,MATCH(SMALL($V$4:$V$3183,2838),$V$4:$V$3183,0)),"")</f>
        <v/>
      </c>
      <c r="C2841">
        <f>IFERROR(INDEX($P$4:$P$3183,MATCH(SMALL($V$4:$V$3183,2838),$V$4:$V$3183,0)),"")</f>
        <v/>
      </c>
      <c r="D2841" s="29">
        <f>IFERROR(INDEX($Q$4:$Q$3183,MATCH(SMALL($V$4:$V$3183,2838),$V$4:$V$3183,0)),"")</f>
        <v/>
      </c>
      <c r="E2841" s="29">
        <f>IFERROR(INDEX($R$4:$R$3183,MATCH(SMALL($V$4:$V$3183,2838),$V$4:$V$3183,0)),"")</f>
        <v/>
      </c>
      <c r="F2841">
        <f>IFERROR(INDEX($S$4:$S$3183,MATCH(SMALL($V$4:$V$3183,2838),$V$4:$V$3183,0)),"")</f>
        <v/>
      </c>
      <c r="I2841" s="29">
        <f>IF($B2841="","",IFERROR(INDEX($U$4:$U$3183,MATCH(SMALL($V$4:$V$3183,2838),$V$4:$V$3183,0)),""))</f>
        <v/>
      </c>
      <c r="J2841">
        <f>IF($B2841="","",IF($D2841&gt;$F$2,"À venir",IF($E2841&lt;$D$2,"Passé","Dans la période")))</f>
        <v/>
      </c>
      <c r="K2841">
        <f>IF(OR($B2841="",NOT(ISNUMBER($D2841))),"",IF(AND($E2841&lt;$D$2,$G2841&lt;&gt;"X",$F2841&lt;&gt;"Réalisé",$F2841&lt;&gt;"Clôturé"),"RETARD",""))</f>
        <v/>
      </c>
      <c r="L2841">
        <f>IF(OR($B2841="",NOT(ISNUMBER($D2841))),"",IF(AND($D2841&gt;=$D$2,$D2841&lt;=$H$2,$G2841&lt;&gt;"X",$F2841&lt;&gt;"Réalisé",$F2841&lt;&gt;"Clôturé"),"≤ 7 j",""))</f>
        <v/>
      </c>
      <c r="M2841" s="29">
        <f>IF($B2841="","",IFERROR(INDEX($T$4:$T$3183,MATCH(SMALL($V$4:$V$3183,2838),$V$4:$V$3183,0)),""))</f>
        <v/>
      </c>
      <c r="O2841">
        <f>IF(INDEX(Suivi!$B:$B,2895)="","",INDEX(Suivi!$B:$B,2895))</f>
        <v/>
      </c>
      <c r="P2841">
        <f>IF($O2841="","",IF(INDEX(Suivi!$D:$D,2895)="",INDEX(Suivi!$C:$C,2895),INDEX(Suivi!$D:$D,2895)))</f>
        <v/>
      </c>
      <c r="Q2841">
        <f>IF($O2841="","",INDEX(Suivi!$E:$E,2895))</f>
        <v/>
      </c>
      <c r="R2841">
        <f>IF($O2841="","",INDEX(Suivi!$F:$F,2895))</f>
        <v/>
      </c>
      <c r="S2841">
        <f>IF($O2841="","",INDEX(Suivi!$G:$G,2895))</f>
        <v/>
      </c>
      <c r="T2841">
        <f>IF($O2841="","",IF(INDEX(Dossiers!$F$4:$F$63,54)="","",INDEX(Dossiers!$F$4:$F$63,54)))</f>
        <v/>
      </c>
      <c r="U2841">
        <f>IF($O2841="","",IF(INDEX(Dossiers!$G$4:$G$63,54)="","",INDEX(Dossiers!$G$4:$G$63,54)))</f>
        <v/>
      </c>
      <c r="V2841">
        <f>IF(OR($O2841="",NOT(ISNUMBER($Q2841))),"",$Q2841*1000000+2841)</f>
        <v/>
      </c>
      <c r="W2841" s="29">
        <f>IF($B2841="","",IFERROR(INDEX($U$4:$U$3183,MATCH(SMALL($V$4:$V$3183,2838),$V$4:$V$3183,0)),""))</f>
        <v/>
      </c>
    </row>
    <row r="2842">
      <c r="A2842">
        <f>IFERROR(INDEX($N$4:$N$3183,MATCH(SMALL($V$4:$V$3183,2839),$V$4:$V$3183,0)),"")</f>
        <v/>
      </c>
      <c r="B2842">
        <f>IFERROR(INDEX($O$4:$O$3183,MATCH(SMALL($V$4:$V$3183,2839),$V$4:$V$3183,0)),"")</f>
        <v/>
      </c>
      <c r="C2842">
        <f>IFERROR(INDEX($P$4:$P$3183,MATCH(SMALL($V$4:$V$3183,2839),$V$4:$V$3183,0)),"")</f>
        <v/>
      </c>
      <c r="D2842" s="29">
        <f>IFERROR(INDEX($Q$4:$Q$3183,MATCH(SMALL($V$4:$V$3183,2839),$V$4:$V$3183,0)),"")</f>
        <v/>
      </c>
      <c r="E2842" s="29">
        <f>IFERROR(INDEX($R$4:$R$3183,MATCH(SMALL($V$4:$V$3183,2839),$V$4:$V$3183,0)),"")</f>
        <v/>
      </c>
      <c r="F2842">
        <f>IFERROR(INDEX($S$4:$S$3183,MATCH(SMALL($V$4:$V$3183,2839),$V$4:$V$3183,0)),"")</f>
        <v/>
      </c>
      <c r="I2842" s="29">
        <f>IF($B2842="","",IFERROR(INDEX($U$4:$U$3183,MATCH(SMALL($V$4:$V$3183,2839),$V$4:$V$3183,0)),""))</f>
        <v/>
      </c>
      <c r="J2842">
        <f>IF($B2842="","",IF($D2842&gt;$F$2,"À venir",IF($E2842&lt;$D$2,"Passé","Dans la période")))</f>
        <v/>
      </c>
      <c r="K2842">
        <f>IF(OR($B2842="",NOT(ISNUMBER($D2842))),"",IF(AND($E2842&lt;$D$2,$G2842&lt;&gt;"X",$F2842&lt;&gt;"Réalisé",$F2842&lt;&gt;"Clôturé"),"RETARD",""))</f>
        <v/>
      </c>
      <c r="L2842">
        <f>IF(OR($B2842="",NOT(ISNUMBER($D2842))),"",IF(AND($D2842&gt;=$D$2,$D2842&lt;=$H$2,$G2842&lt;&gt;"X",$F2842&lt;&gt;"Réalisé",$F2842&lt;&gt;"Clôturé"),"≤ 7 j",""))</f>
        <v/>
      </c>
      <c r="M2842" s="29">
        <f>IF($B2842="","",IFERROR(INDEX($T$4:$T$3183,MATCH(SMALL($V$4:$V$3183,2839),$V$4:$V$3183,0)),""))</f>
        <v/>
      </c>
      <c r="O2842">
        <f>IF(INDEX(Suivi!$B:$B,2896)="","",INDEX(Suivi!$B:$B,2896))</f>
        <v/>
      </c>
      <c r="P2842">
        <f>IF($O2842="","",IF(INDEX(Suivi!$D:$D,2896)="",INDEX(Suivi!$C:$C,2896),INDEX(Suivi!$D:$D,2896)))</f>
        <v/>
      </c>
      <c r="Q2842">
        <f>IF($O2842="","",INDEX(Suivi!$E:$E,2896))</f>
        <v/>
      </c>
      <c r="R2842">
        <f>IF($O2842="","",INDEX(Suivi!$F:$F,2896))</f>
        <v/>
      </c>
      <c r="S2842">
        <f>IF($O2842="","",INDEX(Suivi!$G:$G,2896))</f>
        <v/>
      </c>
      <c r="T2842">
        <f>IF($O2842="","",IF(INDEX(Dossiers!$F$4:$F$63,54)="","",INDEX(Dossiers!$F$4:$F$63,54)))</f>
        <v/>
      </c>
      <c r="U2842">
        <f>IF($O2842="","",IF(INDEX(Dossiers!$G$4:$G$63,54)="","",INDEX(Dossiers!$G$4:$G$63,54)))</f>
        <v/>
      </c>
      <c r="V2842">
        <f>IF(OR($O2842="",NOT(ISNUMBER($Q2842))),"",$Q2842*1000000+2842)</f>
        <v/>
      </c>
      <c r="W2842" s="29">
        <f>IF($B2842="","",IFERROR(INDEX($U$4:$U$3183,MATCH(SMALL($V$4:$V$3183,2839),$V$4:$V$3183,0)),""))</f>
        <v/>
      </c>
    </row>
    <row r="2843">
      <c r="A2843">
        <f>IFERROR(INDEX($N$4:$N$3183,MATCH(SMALL($V$4:$V$3183,2840),$V$4:$V$3183,0)),"")</f>
        <v/>
      </c>
      <c r="B2843">
        <f>IFERROR(INDEX($O$4:$O$3183,MATCH(SMALL($V$4:$V$3183,2840),$V$4:$V$3183,0)),"")</f>
        <v/>
      </c>
      <c r="C2843">
        <f>IFERROR(INDEX($P$4:$P$3183,MATCH(SMALL($V$4:$V$3183,2840),$V$4:$V$3183,0)),"")</f>
        <v/>
      </c>
      <c r="D2843" s="29">
        <f>IFERROR(INDEX($Q$4:$Q$3183,MATCH(SMALL($V$4:$V$3183,2840),$V$4:$V$3183,0)),"")</f>
        <v/>
      </c>
      <c r="E2843" s="29">
        <f>IFERROR(INDEX($R$4:$R$3183,MATCH(SMALL($V$4:$V$3183,2840),$V$4:$V$3183,0)),"")</f>
        <v/>
      </c>
      <c r="F2843">
        <f>IFERROR(INDEX($S$4:$S$3183,MATCH(SMALL($V$4:$V$3183,2840),$V$4:$V$3183,0)),"")</f>
        <v/>
      </c>
      <c r="I2843" s="29">
        <f>IF($B2843="","",IFERROR(INDEX($U$4:$U$3183,MATCH(SMALL($V$4:$V$3183,2840),$V$4:$V$3183,0)),""))</f>
        <v/>
      </c>
      <c r="J2843">
        <f>IF($B2843="","",IF($D2843&gt;$F$2,"À venir",IF($E2843&lt;$D$2,"Passé","Dans la période")))</f>
        <v/>
      </c>
      <c r="K2843">
        <f>IF(OR($B2843="",NOT(ISNUMBER($D2843))),"",IF(AND($E2843&lt;$D$2,$G2843&lt;&gt;"X",$F2843&lt;&gt;"Réalisé",$F2843&lt;&gt;"Clôturé"),"RETARD",""))</f>
        <v/>
      </c>
      <c r="L2843">
        <f>IF(OR($B2843="",NOT(ISNUMBER($D2843))),"",IF(AND($D2843&gt;=$D$2,$D2843&lt;=$H$2,$G2843&lt;&gt;"X",$F2843&lt;&gt;"Réalisé",$F2843&lt;&gt;"Clôturé"),"≤ 7 j",""))</f>
        <v/>
      </c>
      <c r="M2843" s="29">
        <f>IF($B2843="","",IFERROR(INDEX($T$4:$T$3183,MATCH(SMALL($V$4:$V$3183,2840),$V$4:$V$3183,0)),""))</f>
        <v/>
      </c>
      <c r="O2843">
        <f>IF(INDEX(Suivi!$B:$B,2897)="","",INDEX(Suivi!$B:$B,2897))</f>
        <v/>
      </c>
      <c r="P2843">
        <f>IF($O2843="","",IF(INDEX(Suivi!$D:$D,2897)="",INDEX(Suivi!$C:$C,2897),INDEX(Suivi!$D:$D,2897)))</f>
        <v/>
      </c>
      <c r="Q2843">
        <f>IF($O2843="","",INDEX(Suivi!$E:$E,2897))</f>
        <v/>
      </c>
      <c r="R2843">
        <f>IF($O2843="","",INDEX(Suivi!$F:$F,2897))</f>
        <v/>
      </c>
      <c r="S2843">
        <f>IF($O2843="","",INDEX(Suivi!$G:$G,2897))</f>
        <v/>
      </c>
      <c r="T2843">
        <f>IF($O2843="","",IF(INDEX(Dossiers!$F$4:$F$63,54)="","",INDEX(Dossiers!$F$4:$F$63,54)))</f>
        <v/>
      </c>
      <c r="U2843">
        <f>IF($O2843="","",IF(INDEX(Dossiers!$G$4:$G$63,54)="","",INDEX(Dossiers!$G$4:$G$63,54)))</f>
        <v/>
      </c>
      <c r="V2843">
        <f>IF(OR($O2843="",NOT(ISNUMBER($Q2843))),"",$Q2843*1000000+2843)</f>
        <v/>
      </c>
      <c r="W2843" s="29">
        <f>IF($B2843="","",IFERROR(INDEX($U$4:$U$3183,MATCH(SMALL($V$4:$V$3183,2840),$V$4:$V$3183,0)),""))</f>
        <v/>
      </c>
    </row>
    <row r="2844">
      <c r="A2844">
        <f>IFERROR(INDEX($N$4:$N$3183,MATCH(SMALL($V$4:$V$3183,2841),$V$4:$V$3183,0)),"")</f>
        <v/>
      </c>
      <c r="B2844">
        <f>IFERROR(INDEX($O$4:$O$3183,MATCH(SMALL($V$4:$V$3183,2841),$V$4:$V$3183,0)),"")</f>
        <v/>
      </c>
      <c r="C2844">
        <f>IFERROR(INDEX($P$4:$P$3183,MATCH(SMALL($V$4:$V$3183,2841),$V$4:$V$3183,0)),"")</f>
        <v/>
      </c>
      <c r="D2844" s="29">
        <f>IFERROR(INDEX($Q$4:$Q$3183,MATCH(SMALL($V$4:$V$3183,2841),$V$4:$V$3183,0)),"")</f>
        <v/>
      </c>
      <c r="E2844" s="29">
        <f>IFERROR(INDEX($R$4:$R$3183,MATCH(SMALL($V$4:$V$3183,2841),$V$4:$V$3183,0)),"")</f>
        <v/>
      </c>
      <c r="F2844">
        <f>IFERROR(INDEX($S$4:$S$3183,MATCH(SMALL($V$4:$V$3183,2841),$V$4:$V$3183,0)),"")</f>
        <v/>
      </c>
      <c r="I2844" s="29">
        <f>IF($B2844="","",IFERROR(INDEX($U$4:$U$3183,MATCH(SMALL($V$4:$V$3183,2841),$V$4:$V$3183,0)),""))</f>
        <v/>
      </c>
      <c r="J2844">
        <f>IF($B2844="","",IF($D2844&gt;$F$2,"À venir",IF($E2844&lt;$D$2,"Passé","Dans la période")))</f>
        <v/>
      </c>
      <c r="K2844">
        <f>IF(OR($B2844="",NOT(ISNUMBER($D2844))),"",IF(AND($E2844&lt;$D$2,$G2844&lt;&gt;"X",$F2844&lt;&gt;"Réalisé",$F2844&lt;&gt;"Clôturé"),"RETARD",""))</f>
        <v/>
      </c>
      <c r="L2844">
        <f>IF(OR($B2844="",NOT(ISNUMBER($D2844))),"",IF(AND($D2844&gt;=$D$2,$D2844&lt;=$H$2,$G2844&lt;&gt;"X",$F2844&lt;&gt;"Réalisé",$F2844&lt;&gt;"Clôturé"),"≤ 7 j",""))</f>
        <v/>
      </c>
      <c r="M2844" s="29">
        <f>IF($B2844="","",IFERROR(INDEX($T$4:$T$3183,MATCH(SMALL($V$4:$V$3183,2841),$V$4:$V$3183,0)),""))</f>
        <v/>
      </c>
      <c r="O2844">
        <f>IF(INDEX(Suivi!$B:$B,2898)="","",INDEX(Suivi!$B:$B,2898))</f>
        <v/>
      </c>
      <c r="P2844">
        <f>IF($O2844="","",IF(INDEX(Suivi!$D:$D,2898)="",INDEX(Suivi!$C:$C,2898),INDEX(Suivi!$D:$D,2898)))</f>
        <v/>
      </c>
      <c r="Q2844">
        <f>IF($O2844="","",INDEX(Suivi!$E:$E,2898))</f>
        <v/>
      </c>
      <c r="R2844">
        <f>IF($O2844="","",INDEX(Suivi!$F:$F,2898))</f>
        <v/>
      </c>
      <c r="S2844">
        <f>IF($O2844="","",INDEX(Suivi!$G:$G,2898))</f>
        <v/>
      </c>
      <c r="T2844">
        <f>IF($O2844="","",IF(INDEX(Dossiers!$F$4:$F$63,54)="","",INDEX(Dossiers!$F$4:$F$63,54)))</f>
        <v/>
      </c>
      <c r="U2844">
        <f>IF($O2844="","",IF(INDEX(Dossiers!$G$4:$G$63,54)="","",INDEX(Dossiers!$G$4:$G$63,54)))</f>
        <v/>
      </c>
      <c r="V2844">
        <f>IF(OR($O2844="",NOT(ISNUMBER($Q2844))),"",$Q2844*1000000+2844)</f>
        <v/>
      </c>
      <c r="W2844" s="29">
        <f>IF($B2844="","",IFERROR(INDEX($U$4:$U$3183,MATCH(SMALL($V$4:$V$3183,2841),$V$4:$V$3183,0)),""))</f>
        <v/>
      </c>
    </row>
    <row r="2845">
      <c r="A2845">
        <f>IFERROR(INDEX($N$4:$N$3183,MATCH(SMALL($V$4:$V$3183,2842),$V$4:$V$3183,0)),"")</f>
        <v/>
      </c>
      <c r="B2845">
        <f>IFERROR(INDEX($O$4:$O$3183,MATCH(SMALL($V$4:$V$3183,2842),$V$4:$V$3183,0)),"")</f>
        <v/>
      </c>
      <c r="C2845">
        <f>IFERROR(INDEX($P$4:$P$3183,MATCH(SMALL($V$4:$V$3183,2842),$V$4:$V$3183,0)),"")</f>
        <v/>
      </c>
      <c r="D2845" s="29">
        <f>IFERROR(INDEX($Q$4:$Q$3183,MATCH(SMALL($V$4:$V$3183,2842),$V$4:$V$3183,0)),"")</f>
        <v/>
      </c>
      <c r="E2845" s="29">
        <f>IFERROR(INDEX($R$4:$R$3183,MATCH(SMALL($V$4:$V$3183,2842),$V$4:$V$3183,0)),"")</f>
        <v/>
      </c>
      <c r="F2845">
        <f>IFERROR(INDEX($S$4:$S$3183,MATCH(SMALL($V$4:$V$3183,2842),$V$4:$V$3183,0)),"")</f>
        <v/>
      </c>
      <c r="I2845" s="29">
        <f>IF($B2845="","",IFERROR(INDEX($U$4:$U$3183,MATCH(SMALL($V$4:$V$3183,2842),$V$4:$V$3183,0)),""))</f>
        <v/>
      </c>
      <c r="J2845">
        <f>IF($B2845="","",IF($D2845&gt;$F$2,"À venir",IF($E2845&lt;$D$2,"Passé","Dans la période")))</f>
        <v/>
      </c>
      <c r="K2845">
        <f>IF(OR($B2845="",NOT(ISNUMBER($D2845))),"",IF(AND($E2845&lt;$D$2,$G2845&lt;&gt;"X",$F2845&lt;&gt;"Réalisé",$F2845&lt;&gt;"Clôturé"),"RETARD",""))</f>
        <v/>
      </c>
      <c r="L2845">
        <f>IF(OR($B2845="",NOT(ISNUMBER($D2845))),"",IF(AND($D2845&gt;=$D$2,$D2845&lt;=$H$2,$G2845&lt;&gt;"X",$F2845&lt;&gt;"Réalisé",$F2845&lt;&gt;"Clôturé"),"≤ 7 j",""))</f>
        <v/>
      </c>
      <c r="M2845" s="29">
        <f>IF($B2845="","",IFERROR(INDEX($T$4:$T$3183,MATCH(SMALL($V$4:$V$3183,2842),$V$4:$V$3183,0)),""))</f>
        <v/>
      </c>
      <c r="O2845">
        <f>IF(INDEX(Suivi!$B:$B,2899)="","",INDEX(Suivi!$B:$B,2899))</f>
        <v/>
      </c>
      <c r="P2845">
        <f>IF($O2845="","",IF(INDEX(Suivi!$D:$D,2899)="",INDEX(Suivi!$C:$C,2899),INDEX(Suivi!$D:$D,2899)))</f>
        <v/>
      </c>
      <c r="Q2845">
        <f>IF($O2845="","",INDEX(Suivi!$E:$E,2899))</f>
        <v/>
      </c>
      <c r="R2845">
        <f>IF($O2845="","",INDEX(Suivi!$F:$F,2899))</f>
        <v/>
      </c>
      <c r="S2845">
        <f>IF($O2845="","",INDEX(Suivi!$G:$G,2899))</f>
        <v/>
      </c>
      <c r="T2845">
        <f>IF($O2845="","",IF(INDEX(Dossiers!$F$4:$F$63,54)="","",INDEX(Dossiers!$F$4:$F$63,54)))</f>
        <v/>
      </c>
      <c r="U2845">
        <f>IF($O2845="","",IF(INDEX(Dossiers!$G$4:$G$63,54)="","",INDEX(Dossiers!$G$4:$G$63,54)))</f>
        <v/>
      </c>
      <c r="V2845">
        <f>IF(OR($O2845="",NOT(ISNUMBER($Q2845))),"",$Q2845*1000000+2845)</f>
        <v/>
      </c>
      <c r="W2845" s="29">
        <f>IF($B2845="","",IFERROR(INDEX($U$4:$U$3183,MATCH(SMALL($V$4:$V$3183,2842),$V$4:$V$3183,0)),""))</f>
        <v/>
      </c>
    </row>
    <row r="2846">
      <c r="A2846">
        <f>IFERROR(INDEX($N$4:$N$3183,MATCH(SMALL($V$4:$V$3183,2843),$V$4:$V$3183,0)),"")</f>
        <v/>
      </c>
      <c r="B2846">
        <f>IFERROR(INDEX($O$4:$O$3183,MATCH(SMALL($V$4:$V$3183,2843),$V$4:$V$3183,0)),"")</f>
        <v/>
      </c>
      <c r="C2846">
        <f>IFERROR(INDEX($P$4:$P$3183,MATCH(SMALL($V$4:$V$3183,2843),$V$4:$V$3183,0)),"")</f>
        <v/>
      </c>
      <c r="D2846" s="29">
        <f>IFERROR(INDEX($Q$4:$Q$3183,MATCH(SMALL($V$4:$V$3183,2843),$V$4:$V$3183,0)),"")</f>
        <v/>
      </c>
      <c r="E2846" s="29">
        <f>IFERROR(INDEX($R$4:$R$3183,MATCH(SMALL($V$4:$V$3183,2843),$V$4:$V$3183,0)),"")</f>
        <v/>
      </c>
      <c r="F2846">
        <f>IFERROR(INDEX($S$4:$S$3183,MATCH(SMALL($V$4:$V$3183,2843),$V$4:$V$3183,0)),"")</f>
        <v/>
      </c>
      <c r="I2846" s="29">
        <f>IF($B2846="","",IFERROR(INDEX($U$4:$U$3183,MATCH(SMALL($V$4:$V$3183,2843),$V$4:$V$3183,0)),""))</f>
        <v/>
      </c>
      <c r="J2846">
        <f>IF($B2846="","",IF($D2846&gt;$F$2,"À venir",IF($E2846&lt;$D$2,"Passé","Dans la période")))</f>
        <v/>
      </c>
      <c r="K2846">
        <f>IF(OR($B2846="",NOT(ISNUMBER($D2846))),"",IF(AND($E2846&lt;$D$2,$G2846&lt;&gt;"X",$F2846&lt;&gt;"Réalisé",$F2846&lt;&gt;"Clôturé"),"RETARD",""))</f>
        <v/>
      </c>
      <c r="L2846">
        <f>IF(OR($B2846="",NOT(ISNUMBER($D2846))),"",IF(AND($D2846&gt;=$D$2,$D2846&lt;=$H$2,$G2846&lt;&gt;"X",$F2846&lt;&gt;"Réalisé",$F2846&lt;&gt;"Clôturé"),"≤ 7 j",""))</f>
        <v/>
      </c>
      <c r="M2846" s="29">
        <f>IF($B2846="","",IFERROR(INDEX($T$4:$T$3183,MATCH(SMALL($V$4:$V$3183,2843),$V$4:$V$3183,0)),""))</f>
        <v/>
      </c>
      <c r="O2846">
        <f>IF(INDEX(Suivi!$B:$B,2900)="","",INDEX(Suivi!$B:$B,2900))</f>
        <v/>
      </c>
      <c r="P2846">
        <f>IF($O2846="","",IF(INDEX(Suivi!$D:$D,2900)="",INDEX(Suivi!$C:$C,2900),INDEX(Suivi!$D:$D,2900)))</f>
        <v/>
      </c>
      <c r="Q2846">
        <f>IF($O2846="","",INDEX(Suivi!$E:$E,2900))</f>
        <v/>
      </c>
      <c r="R2846">
        <f>IF($O2846="","",INDEX(Suivi!$F:$F,2900))</f>
        <v/>
      </c>
      <c r="S2846">
        <f>IF($O2846="","",INDEX(Suivi!$G:$G,2900))</f>
        <v/>
      </c>
      <c r="T2846">
        <f>IF($O2846="","",IF(INDEX(Dossiers!$F$4:$F$63,54)="","",INDEX(Dossiers!$F$4:$F$63,54)))</f>
        <v/>
      </c>
      <c r="U2846">
        <f>IF($O2846="","",IF(INDEX(Dossiers!$G$4:$G$63,54)="","",INDEX(Dossiers!$G$4:$G$63,54)))</f>
        <v/>
      </c>
      <c r="V2846">
        <f>IF(OR($O2846="",NOT(ISNUMBER($Q2846))),"",$Q2846*1000000+2846)</f>
        <v/>
      </c>
      <c r="W2846" s="29">
        <f>IF($B2846="","",IFERROR(INDEX($U$4:$U$3183,MATCH(SMALL($V$4:$V$3183,2843),$V$4:$V$3183,0)),""))</f>
        <v/>
      </c>
    </row>
    <row r="2847">
      <c r="A2847">
        <f>IFERROR(INDEX($N$4:$N$3183,MATCH(SMALL($V$4:$V$3183,2844),$V$4:$V$3183,0)),"")</f>
        <v/>
      </c>
      <c r="B2847">
        <f>IFERROR(INDEX($O$4:$O$3183,MATCH(SMALL($V$4:$V$3183,2844),$V$4:$V$3183,0)),"")</f>
        <v/>
      </c>
      <c r="C2847">
        <f>IFERROR(INDEX($P$4:$P$3183,MATCH(SMALL($V$4:$V$3183,2844),$V$4:$V$3183,0)),"")</f>
        <v/>
      </c>
      <c r="D2847" s="29">
        <f>IFERROR(INDEX($Q$4:$Q$3183,MATCH(SMALL($V$4:$V$3183,2844),$V$4:$V$3183,0)),"")</f>
        <v/>
      </c>
      <c r="E2847" s="29">
        <f>IFERROR(INDEX($R$4:$R$3183,MATCH(SMALL($V$4:$V$3183,2844),$V$4:$V$3183,0)),"")</f>
        <v/>
      </c>
      <c r="F2847">
        <f>IFERROR(INDEX($S$4:$S$3183,MATCH(SMALL($V$4:$V$3183,2844),$V$4:$V$3183,0)),"")</f>
        <v/>
      </c>
      <c r="I2847" s="29">
        <f>IF($B2847="","",IFERROR(INDEX($U$4:$U$3183,MATCH(SMALL($V$4:$V$3183,2844),$V$4:$V$3183,0)),""))</f>
        <v/>
      </c>
      <c r="J2847">
        <f>IF($B2847="","",IF($D2847&gt;$F$2,"À venir",IF($E2847&lt;$D$2,"Passé","Dans la période")))</f>
        <v/>
      </c>
      <c r="K2847">
        <f>IF(OR($B2847="",NOT(ISNUMBER($D2847))),"",IF(AND($E2847&lt;$D$2,$G2847&lt;&gt;"X",$F2847&lt;&gt;"Réalisé",$F2847&lt;&gt;"Clôturé"),"RETARD",""))</f>
        <v/>
      </c>
      <c r="L2847">
        <f>IF(OR($B2847="",NOT(ISNUMBER($D2847))),"",IF(AND($D2847&gt;=$D$2,$D2847&lt;=$H$2,$G2847&lt;&gt;"X",$F2847&lt;&gt;"Réalisé",$F2847&lt;&gt;"Clôturé"),"≤ 7 j",""))</f>
        <v/>
      </c>
      <c r="M2847" s="29">
        <f>IF($B2847="","",IFERROR(INDEX($T$4:$T$3183,MATCH(SMALL($V$4:$V$3183,2844),$V$4:$V$3183,0)),""))</f>
        <v/>
      </c>
      <c r="O2847">
        <f>IF(INDEX(Suivi!$B:$B,2901)="","",INDEX(Suivi!$B:$B,2901))</f>
        <v/>
      </c>
      <c r="P2847">
        <f>IF($O2847="","",IF(INDEX(Suivi!$D:$D,2901)="",INDEX(Suivi!$C:$C,2901),INDEX(Suivi!$D:$D,2901)))</f>
        <v/>
      </c>
      <c r="Q2847">
        <f>IF($O2847="","",INDEX(Suivi!$E:$E,2901))</f>
        <v/>
      </c>
      <c r="R2847">
        <f>IF($O2847="","",INDEX(Suivi!$F:$F,2901))</f>
        <v/>
      </c>
      <c r="S2847">
        <f>IF($O2847="","",INDEX(Suivi!$G:$G,2901))</f>
        <v/>
      </c>
      <c r="T2847">
        <f>IF($O2847="","",IF(INDEX(Dossiers!$F$4:$F$63,54)="","",INDEX(Dossiers!$F$4:$F$63,54)))</f>
        <v/>
      </c>
      <c r="U2847">
        <f>IF($O2847="","",IF(INDEX(Dossiers!$G$4:$G$63,54)="","",INDEX(Dossiers!$G$4:$G$63,54)))</f>
        <v/>
      </c>
      <c r="V2847">
        <f>IF(OR($O2847="",NOT(ISNUMBER($Q2847))),"",$Q2847*1000000+2847)</f>
        <v/>
      </c>
      <c r="W2847" s="29">
        <f>IF($B2847="","",IFERROR(INDEX($U$4:$U$3183,MATCH(SMALL($V$4:$V$3183,2844),$V$4:$V$3183,0)),""))</f>
        <v/>
      </c>
    </row>
    <row r="2848">
      <c r="A2848">
        <f>IFERROR(INDEX($N$4:$N$3183,MATCH(SMALL($V$4:$V$3183,2845),$V$4:$V$3183,0)),"")</f>
        <v/>
      </c>
      <c r="B2848">
        <f>IFERROR(INDEX($O$4:$O$3183,MATCH(SMALL($V$4:$V$3183,2845),$V$4:$V$3183,0)),"")</f>
        <v/>
      </c>
      <c r="C2848">
        <f>IFERROR(INDEX($P$4:$P$3183,MATCH(SMALL($V$4:$V$3183,2845),$V$4:$V$3183,0)),"")</f>
        <v/>
      </c>
      <c r="D2848" s="29">
        <f>IFERROR(INDEX($Q$4:$Q$3183,MATCH(SMALL($V$4:$V$3183,2845),$V$4:$V$3183,0)),"")</f>
        <v/>
      </c>
      <c r="E2848" s="29">
        <f>IFERROR(INDEX($R$4:$R$3183,MATCH(SMALL($V$4:$V$3183,2845),$V$4:$V$3183,0)),"")</f>
        <v/>
      </c>
      <c r="F2848">
        <f>IFERROR(INDEX($S$4:$S$3183,MATCH(SMALL($V$4:$V$3183,2845),$V$4:$V$3183,0)),"")</f>
        <v/>
      </c>
      <c r="I2848" s="29">
        <f>IF($B2848="","",IFERROR(INDEX($U$4:$U$3183,MATCH(SMALL($V$4:$V$3183,2845),$V$4:$V$3183,0)),""))</f>
        <v/>
      </c>
      <c r="J2848">
        <f>IF($B2848="","",IF($D2848&gt;$F$2,"À venir",IF($E2848&lt;$D$2,"Passé","Dans la période")))</f>
        <v/>
      </c>
      <c r="K2848">
        <f>IF(OR($B2848="",NOT(ISNUMBER($D2848))),"",IF(AND($E2848&lt;$D$2,$G2848&lt;&gt;"X",$F2848&lt;&gt;"Réalisé",$F2848&lt;&gt;"Clôturé"),"RETARD",""))</f>
        <v/>
      </c>
      <c r="L2848">
        <f>IF(OR($B2848="",NOT(ISNUMBER($D2848))),"",IF(AND($D2848&gt;=$D$2,$D2848&lt;=$H$2,$G2848&lt;&gt;"X",$F2848&lt;&gt;"Réalisé",$F2848&lt;&gt;"Clôturé"),"≤ 7 j",""))</f>
        <v/>
      </c>
      <c r="M2848" s="29">
        <f>IF($B2848="","",IFERROR(INDEX($T$4:$T$3183,MATCH(SMALL($V$4:$V$3183,2845),$V$4:$V$3183,0)),""))</f>
        <v/>
      </c>
      <c r="O2848">
        <f>IF(INDEX(Suivi!$B:$B,2902)="","",INDEX(Suivi!$B:$B,2902))</f>
        <v/>
      </c>
      <c r="P2848">
        <f>IF($O2848="","",IF(INDEX(Suivi!$D:$D,2902)="",INDEX(Suivi!$C:$C,2902),INDEX(Suivi!$D:$D,2902)))</f>
        <v/>
      </c>
      <c r="Q2848">
        <f>IF($O2848="","",INDEX(Suivi!$E:$E,2902))</f>
        <v/>
      </c>
      <c r="R2848">
        <f>IF($O2848="","",INDEX(Suivi!$F:$F,2902))</f>
        <v/>
      </c>
      <c r="S2848">
        <f>IF($O2848="","",INDEX(Suivi!$G:$G,2902))</f>
        <v/>
      </c>
      <c r="T2848">
        <f>IF($O2848="","",IF(INDEX(Dossiers!$F$4:$F$63,54)="","",INDEX(Dossiers!$F$4:$F$63,54)))</f>
        <v/>
      </c>
      <c r="U2848">
        <f>IF($O2848="","",IF(INDEX(Dossiers!$G$4:$G$63,54)="","",INDEX(Dossiers!$G$4:$G$63,54)))</f>
        <v/>
      </c>
      <c r="V2848">
        <f>IF(OR($O2848="",NOT(ISNUMBER($Q2848))),"",$Q2848*1000000+2848)</f>
        <v/>
      </c>
      <c r="W2848" s="29">
        <f>IF($B2848="","",IFERROR(INDEX($U$4:$U$3183,MATCH(SMALL($V$4:$V$3183,2845),$V$4:$V$3183,0)),""))</f>
        <v/>
      </c>
    </row>
    <row r="2849">
      <c r="A2849">
        <f>IFERROR(INDEX($N$4:$N$3183,MATCH(SMALL($V$4:$V$3183,2846),$V$4:$V$3183,0)),"")</f>
        <v/>
      </c>
      <c r="B2849">
        <f>IFERROR(INDEX($O$4:$O$3183,MATCH(SMALL($V$4:$V$3183,2846),$V$4:$V$3183,0)),"")</f>
        <v/>
      </c>
      <c r="C2849">
        <f>IFERROR(INDEX($P$4:$P$3183,MATCH(SMALL($V$4:$V$3183,2846),$V$4:$V$3183,0)),"")</f>
        <v/>
      </c>
      <c r="D2849" s="29">
        <f>IFERROR(INDEX($Q$4:$Q$3183,MATCH(SMALL($V$4:$V$3183,2846),$V$4:$V$3183,0)),"")</f>
        <v/>
      </c>
      <c r="E2849" s="29">
        <f>IFERROR(INDEX($R$4:$R$3183,MATCH(SMALL($V$4:$V$3183,2846),$V$4:$V$3183,0)),"")</f>
        <v/>
      </c>
      <c r="F2849">
        <f>IFERROR(INDEX($S$4:$S$3183,MATCH(SMALL($V$4:$V$3183,2846),$V$4:$V$3183,0)),"")</f>
        <v/>
      </c>
      <c r="I2849" s="29">
        <f>IF($B2849="","",IFERROR(INDEX($U$4:$U$3183,MATCH(SMALL($V$4:$V$3183,2846),$V$4:$V$3183,0)),""))</f>
        <v/>
      </c>
      <c r="J2849">
        <f>IF($B2849="","",IF($D2849&gt;$F$2,"À venir",IF($E2849&lt;$D$2,"Passé","Dans la période")))</f>
        <v/>
      </c>
      <c r="K2849">
        <f>IF(OR($B2849="",NOT(ISNUMBER($D2849))),"",IF(AND($E2849&lt;$D$2,$G2849&lt;&gt;"X",$F2849&lt;&gt;"Réalisé",$F2849&lt;&gt;"Clôturé"),"RETARD",""))</f>
        <v/>
      </c>
      <c r="L2849">
        <f>IF(OR($B2849="",NOT(ISNUMBER($D2849))),"",IF(AND($D2849&gt;=$D$2,$D2849&lt;=$H$2,$G2849&lt;&gt;"X",$F2849&lt;&gt;"Réalisé",$F2849&lt;&gt;"Clôturé"),"≤ 7 j",""))</f>
        <v/>
      </c>
      <c r="M2849" s="29">
        <f>IF($B2849="","",IFERROR(INDEX($T$4:$T$3183,MATCH(SMALL($V$4:$V$3183,2846),$V$4:$V$3183,0)),""))</f>
        <v/>
      </c>
      <c r="O2849">
        <f>IF(INDEX(Suivi!$B:$B,2903)="","",INDEX(Suivi!$B:$B,2903))</f>
        <v/>
      </c>
      <c r="P2849">
        <f>IF($O2849="","",IF(INDEX(Suivi!$D:$D,2903)="",INDEX(Suivi!$C:$C,2903),INDEX(Suivi!$D:$D,2903)))</f>
        <v/>
      </c>
      <c r="Q2849">
        <f>IF($O2849="","",INDEX(Suivi!$E:$E,2903))</f>
        <v/>
      </c>
      <c r="R2849">
        <f>IF($O2849="","",INDEX(Suivi!$F:$F,2903))</f>
        <v/>
      </c>
      <c r="S2849">
        <f>IF($O2849="","",INDEX(Suivi!$G:$G,2903))</f>
        <v/>
      </c>
      <c r="T2849">
        <f>IF($O2849="","",IF(INDEX(Dossiers!$F$4:$F$63,54)="","",INDEX(Dossiers!$F$4:$F$63,54)))</f>
        <v/>
      </c>
      <c r="U2849">
        <f>IF($O2849="","",IF(INDEX(Dossiers!$G$4:$G$63,54)="","",INDEX(Dossiers!$G$4:$G$63,54)))</f>
        <v/>
      </c>
      <c r="V2849">
        <f>IF(OR($O2849="",NOT(ISNUMBER($Q2849))),"",$Q2849*1000000+2849)</f>
        <v/>
      </c>
      <c r="W2849" s="29">
        <f>IF($B2849="","",IFERROR(INDEX($U$4:$U$3183,MATCH(SMALL($V$4:$V$3183,2846),$V$4:$V$3183,0)),""))</f>
        <v/>
      </c>
    </row>
    <row r="2850">
      <c r="A2850">
        <f>IFERROR(INDEX($N$4:$N$3183,MATCH(SMALL($V$4:$V$3183,2847),$V$4:$V$3183,0)),"")</f>
        <v/>
      </c>
      <c r="B2850">
        <f>IFERROR(INDEX($O$4:$O$3183,MATCH(SMALL($V$4:$V$3183,2847),$V$4:$V$3183,0)),"")</f>
        <v/>
      </c>
      <c r="C2850">
        <f>IFERROR(INDEX($P$4:$P$3183,MATCH(SMALL($V$4:$V$3183,2847),$V$4:$V$3183,0)),"")</f>
        <v/>
      </c>
      <c r="D2850" s="29">
        <f>IFERROR(INDEX($Q$4:$Q$3183,MATCH(SMALL($V$4:$V$3183,2847),$V$4:$V$3183,0)),"")</f>
        <v/>
      </c>
      <c r="E2850" s="29">
        <f>IFERROR(INDEX($R$4:$R$3183,MATCH(SMALL($V$4:$V$3183,2847),$V$4:$V$3183,0)),"")</f>
        <v/>
      </c>
      <c r="F2850">
        <f>IFERROR(INDEX($S$4:$S$3183,MATCH(SMALL($V$4:$V$3183,2847),$V$4:$V$3183,0)),"")</f>
        <v/>
      </c>
      <c r="I2850" s="29">
        <f>IF($B2850="","",IFERROR(INDEX($U$4:$U$3183,MATCH(SMALL($V$4:$V$3183,2847),$V$4:$V$3183,0)),""))</f>
        <v/>
      </c>
      <c r="J2850">
        <f>IF($B2850="","",IF($D2850&gt;$F$2,"À venir",IF($E2850&lt;$D$2,"Passé","Dans la période")))</f>
        <v/>
      </c>
      <c r="K2850">
        <f>IF(OR($B2850="",NOT(ISNUMBER($D2850))),"",IF(AND($E2850&lt;$D$2,$G2850&lt;&gt;"X",$F2850&lt;&gt;"Réalisé",$F2850&lt;&gt;"Clôturé"),"RETARD",""))</f>
        <v/>
      </c>
      <c r="L2850">
        <f>IF(OR($B2850="",NOT(ISNUMBER($D2850))),"",IF(AND($D2850&gt;=$D$2,$D2850&lt;=$H$2,$G2850&lt;&gt;"X",$F2850&lt;&gt;"Réalisé",$F2850&lt;&gt;"Clôturé"),"≤ 7 j",""))</f>
        <v/>
      </c>
      <c r="M2850" s="29">
        <f>IF($B2850="","",IFERROR(INDEX($T$4:$T$3183,MATCH(SMALL($V$4:$V$3183,2847),$V$4:$V$3183,0)),""))</f>
        <v/>
      </c>
      <c r="O2850">
        <f>IF(INDEX(Suivi!$B:$B,2904)="","",INDEX(Suivi!$B:$B,2904))</f>
        <v/>
      </c>
      <c r="P2850">
        <f>IF($O2850="","",IF(INDEX(Suivi!$D:$D,2904)="",INDEX(Suivi!$C:$C,2904),INDEX(Suivi!$D:$D,2904)))</f>
        <v/>
      </c>
      <c r="Q2850">
        <f>IF($O2850="","",INDEX(Suivi!$E:$E,2904))</f>
        <v/>
      </c>
      <c r="R2850">
        <f>IF($O2850="","",INDEX(Suivi!$F:$F,2904))</f>
        <v/>
      </c>
      <c r="S2850">
        <f>IF($O2850="","",INDEX(Suivi!$G:$G,2904))</f>
        <v/>
      </c>
      <c r="T2850">
        <f>IF($O2850="","",IF(INDEX(Dossiers!$F$4:$F$63,54)="","",INDEX(Dossiers!$F$4:$F$63,54)))</f>
        <v/>
      </c>
      <c r="U2850">
        <f>IF($O2850="","",IF(INDEX(Dossiers!$G$4:$G$63,54)="","",INDEX(Dossiers!$G$4:$G$63,54)))</f>
        <v/>
      </c>
      <c r="V2850">
        <f>IF(OR($O2850="",NOT(ISNUMBER($Q2850))),"",$Q2850*1000000+2850)</f>
        <v/>
      </c>
      <c r="W2850" s="29">
        <f>IF($B2850="","",IFERROR(INDEX($U$4:$U$3183,MATCH(SMALL($V$4:$V$3183,2847),$V$4:$V$3183,0)),""))</f>
        <v/>
      </c>
    </row>
    <row r="2851">
      <c r="A2851">
        <f>IFERROR(INDEX($N$4:$N$3183,MATCH(SMALL($V$4:$V$3183,2848),$V$4:$V$3183,0)),"")</f>
        <v/>
      </c>
      <c r="B2851">
        <f>IFERROR(INDEX($O$4:$O$3183,MATCH(SMALL($V$4:$V$3183,2848),$V$4:$V$3183,0)),"")</f>
        <v/>
      </c>
      <c r="C2851">
        <f>IFERROR(INDEX($P$4:$P$3183,MATCH(SMALL($V$4:$V$3183,2848),$V$4:$V$3183,0)),"")</f>
        <v/>
      </c>
      <c r="D2851" s="29">
        <f>IFERROR(INDEX($Q$4:$Q$3183,MATCH(SMALL($V$4:$V$3183,2848),$V$4:$V$3183,0)),"")</f>
        <v/>
      </c>
      <c r="E2851" s="29">
        <f>IFERROR(INDEX($R$4:$R$3183,MATCH(SMALL($V$4:$V$3183,2848),$V$4:$V$3183,0)),"")</f>
        <v/>
      </c>
      <c r="F2851">
        <f>IFERROR(INDEX($S$4:$S$3183,MATCH(SMALL($V$4:$V$3183,2848),$V$4:$V$3183,0)),"")</f>
        <v/>
      </c>
      <c r="I2851" s="29">
        <f>IF($B2851="","",IFERROR(INDEX($U$4:$U$3183,MATCH(SMALL($V$4:$V$3183,2848),$V$4:$V$3183,0)),""))</f>
        <v/>
      </c>
      <c r="J2851">
        <f>IF($B2851="","",IF($D2851&gt;$F$2,"À venir",IF($E2851&lt;$D$2,"Passé","Dans la période")))</f>
        <v/>
      </c>
      <c r="K2851">
        <f>IF(OR($B2851="",NOT(ISNUMBER($D2851))),"",IF(AND($E2851&lt;$D$2,$G2851&lt;&gt;"X",$F2851&lt;&gt;"Réalisé",$F2851&lt;&gt;"Clôturé"),"RETARD",""))</f>
        <v/>
      </c>
      <c r="L2851">
        <f>IF(OR($B2851="",NOT(ISNUMBER($D2851))),"",IF(AND($D2851&gt;=$D$2,$D2851&lt;=$H$2,$G2851&lt;&gt;"X",$F2851&lt;&gt;"Réalisé",$F2851&lt;&gt;"Clôturé"),"≤ 7 j",""))</f>
        <v/>
      </c>
      <c r="M2851" s="29">
        <f>IF($B2851="","",IFERROR(INDEX($T$4:$T$3183,MATCH(SMALL($V$4:$V$3183,2848),$V$4:$V$3183,0)),""))</f>
        <v/>
      </c>
      <c r="O2851">
        <f>IF(INDEX(Suivi!$B:$B,2905)="","",INDEX(Suivi!$B:$B,2905))</f>
        <v/>
      </c>
      <c r="P2851">
        <f>IF($O2851="","",IF(INDEX(Suivi!$D:$D,2905)="",INDEX(Suivi!$C:$C,2905),INDEX(Suivi!$D:$D,2905)))</f>
        <v/>
      </c>
      <c r="Q2851">
        <f>IF($O2851="","",INDEX(Suivi!$E:$E,2905))</f>
        <v/>
      </c>
      <c r="R2851">
        <f>IF($O2851="","",INDEX(Suivi!$F:$F,2905))</f>
        <v/>
      </c>
      <c r="S2851">
        <f>IF($O2851="","",INDEX(Suivi!$G:$G,2905))</f>
        <v/>
      </c>
      <c r="T2851">
        <f>IF($O2851="","",IF(INDEX(Dossiers!$F$4:$F$63,54)="","",INDEX(Dossiers!$F$4:$F$63,54)))</f>
        <v/>
      </c>
      <c r="U2851">
        <f>IF($O2851="","",IF(INDEX(Dossiers!$G$4:$G$63,54)="","",INDEX(Dossiers!$G$4:$G$63,54)))</f>
        <v/>
      </c>
      <c r="V2851">
        <f>IF(OR($O2851="",NOT(ISNUMBER($Q2851))),"",$Q2851*1000000+2851)</f>
        <v/>
      </c>
      <c r="W2851" s="29">
        <f>IF($B2851="","",IFERROR(INDEX($U$4:$U$3183,MATCH(SMALL($V$4:$V$3183,2848),$V$4:$V$3183,0)),""))</f>
        <v/>
      </c>
    </row>
    <row r="2852">
      <c r="A2852">
        <f>IFERROR(INDEX($N$4:$N$3183,MATCH(SMALL($V$4:$V$3183,2849),$V$4:$V$3183,0)),"")</f>
        <v/>
      </c>
      <c r="B2852">
        <f>IFERROR(INDEX($O$4:$O$3183,MATCH(SMALL($V$4:$V$3183,2849),$V$4:$V$3183,0)),"")</f>
        <v/>
      </c>
      <c r="C2852">
        <f>IFERROR(INDEX($P$4:$P$3183,MATCH(SMALL($V$4:$V$3183,2849),$V$4:$V$3183,0)),"")</f>
        <v/>
      </c>
      <c r="D2852" s="29">
        <f>IFERROR(INDEX($Q$4:$Q$3183,MATCH(SMALL($V$4:$V$3183,2849),$V$4:$V$3183,0)),"")</f>
        <v/>
      </c>
      <c r="E2852" s="29">
        <f>IFERROR(INDEX($R$4:$R$3183,MATCH(SMALL($V$4:$V$3183,2849),$V$4:$V$3183,0)),"")</f>
        <v/>
      </c>
      <c r="F2852">
        <f>IFERROR(INDEX($S$4:$S$3183,MATCH(SMALL($V$4:$V$3183,2849),$V$4:$V$3183,0)),"")</f>
        <v/>
      </c>
      <c r="I2852" s="29">
        <f>IF($B2852="","",IFERROR(INDEX($U$4:$U$3183,MATCH(SMALL($V$4:$V$3183,2849),$V$4:$V$3183,0)),""))</f>
        <v/>
      </c>
      <c r="J2852">
        <f>IF($B2852="","",IF($D2852&gt;$F$2,"À venir",IF($E2852&lt;$D$2,"Passé","Dans la période")))</f>
        <v/>
      </c>
      <c r="K2852">
        <f>IF(OR($B2852="",NOT(ISNUMBER($D2852))),"",IF(AND($E2852&lt;$D$2,$G2852&lt;&gt;"X",$F2852&lt;&gt;"Réalisé",$F2852&lt;&gt;"Clôturé"),"RETARD",""))</f>
        <v/>
      </c>
      <c r="L2852">
        <f>IF(OR($B2852="",NOT(ISNUMBER($D2852))),"",IF(AND($D2852&gt;=$D$2,$D2852&lt;=$H$2,$G2852&lt;&gt;"X",$F2852&lt;&gt;"Réalisé",$F2852&lt;&gt;"Clôturé"),"≤ 7 j",""))</f>
        <v/>
      </c>
      <c r="M2852" s="29">
        <f>IF($B2852="","",IFERROR(INDEX($T$4:$T$3183,MATCH(SMALL($V$4:$V$3183,2849),$V$4:$V$3183,0)),""))</f>
        <v/>
      </c>
      <c r="O2852">
        <f>IF(INDEX(Suivi!$B:$B,2906)="","",INDEX(Suivi!$B:$B,2906))</f>
        <v/>
      </c>
      <c r="P2852">
        <f>IF($O2852="","",IF(INDEX(Suivi!$D:$D,2906)="",INDEX(Suivi!$C:$C,2906),INDEX(Suivi!$D:$D,2906)))</f>
        <v/>
      </c>
      <c r="Q2852">
        <f>IF($O2852="","",INDEX(Suivi!$E:$E,2906))</f>
        <v/>
      </c>
      <c r="R2852">
        <f>IF($O2852="","",INDEX(Suivi!$F:$F,2906))</f>
        <v/>
      </c>
      <c r="S2852">
        <f>IF($O2852="","",INDEX(Suivi!$G:$G,2906))</f>
        <v/>
      </c>
      <c r="T2852">
        <f>IF($O2852="","",IF(INDEX(Dossiers!$F$4:$F$63,54)="","",INDEX(Dossiers!$F$4:$F$63,54)))</f>
        <v/>
      </c>
      <c r="U2852">
        <f>IF($O2852="","",IF(INDEX(Dossiers!$G$4:$G$63,54)="","",INDEX(Dossiers!$G$4:$G$63,54)))</f>
        <v/>
      </c>
      <c r="V2852">
        <f>IF(OR($O2852="",NOT(ISNUMBER($Q2852))),"",$Q2852*1000000+2852)</f>
        <v/>
      </c>
      <c r="W2852" s="29">
        <f>IF($B2852="","",IFERROR(INDEX($U$4:$U$3183,MATCH(SMALL($V$4:$V$3183,2849),$V$4:$V$3183,0)),""))</f>
        <v/>
      </c>
    </row>
    <row r="2853">
      <c r="A2853">
        <f>IFERROR(INDEX($N$4:$N$3183,MATCH(SMALL($V$4:$V$3183,2850),$V$4:$V$3183,0)),"")</f>
        <v/>
      </c>
      <c r="B2853">
        <f>IFERROR(INDEX($O$4:$O$3183,MATCH(SMALL($V$4:$V$3183,2850),$V$4:$V$3183,0)),"")</f>
        <v/>
      </c>
      <c r="C2853">
        <f>IFERROR(INDEX($P$4:$P$3183,MATCH(SMALL($V$4:$V$3183,2850),$V$4:$V$3183,0)),"")</f>
        <v/>
      </c>
      <c r="D2853" s="29">
        <f>IFERROR(INDEX($Q$4:$Q$3183,MATCH(SMALL($V$4:$V$3183,2850),$V$4:$V$3183,0)),"")</f>
        <v/>
      </c>
      <c r="E2853" s="29">
        <f>IFERROR(INDEX($R$4:$R$3183,MATCH(SMALL($V$4:$V$3183,2850),$V$4:$V$3183,0)),"")</f>
        <v/>
      </c>
      <c r="F2853">
        <f>IFERROR(INDEX($S$4:$S$3183,MATCH(SMALL($V$4:$V$3183,2850),$V$4:$V$3183,0)),"")</f>
        <v/>
      </c>
      <c r="I2853" s="29">
        <f>IF($B2853="","",IFERROR(INDEX($U$4:$U$3183,MATCH(SMALL($V$4:$V$3183,2850),$V$4:$V$3183,0)),""))</f>
        <v/>
      </c>
      <c r="J2853">
        <f>IF($B2853="","",IF($D2853&gt;$F$2,"À venir",IF($E2853&lt;$D$2,"Passé","Dans la période")))</f>
        <v/>
      </c>
      <c r="K2853">
        <f>IF(OR($B2853="",NOT(ISNUMBER($D2853))),"",IF(AND($E2853&lt;$D$2,$G2853&lt;&gt;"X",$F2853&lt;&gt;"Réalisé",$F2853&lt;&gt;"Clôturé"),"RETARD",""))</f>
        <v/>
      </c>
      <c r="L2853">
        <f>IF(OR($B2853="",NOT(ISNUMBER($D2853))),"",IF(AND($D2853&gt;=$D$2,$D2853&lt;=$H$2,$G2853&lt;&gt;"X",$F2853&lt;&gt;"Réalisé",$F2853&lt;&gt;"Clôturé"),"≤ 7 j",""))</f>
        <v/>
      </c>
      <c r="M2853" s="29">
        <f>IF($B2853="","",IFERROR(INDEX($T$4:$T$3183,MATCH(SMALL($V$4:$V$3183,2850),$V$4:$V$3183,0)),""))</f>
        <v/>
      </c>
      <c r="O2853">
        <f>IF(INDEX(Suivi!$B:$B,2907)="","",INDEX(Suivi!$B:$B,2907))</f>
        <v/>
      </c>
      <c r="P2853">
        <f>IF($O2853="","",IF(INDEX(Suivi!$D:$D,2907)="",INDEX(Suivi!$C:$C,2907),INDEX(Suivi!$D:$D,2907)))</f>
        <v/>
      </c>
      <c r="Q2853">
        <f>IF($O2853="","",INDEX(Suivi!$E:$E,2907))</f>
        <v/>
      </c>
      <c r="R2853">
        <f>IF($O2853="","",INDEX(Suivi!$F:$F,2907))</f>
        <v/>
      </c>
      <c r="S2853">
        <f>IF($O2853="","",INDEX(Suivi!$G:$G,2907))</f>
        <v/>
      </c>
      <c r="T2853">
        <f>IF($O2853="","",IF(INDEX(Dossiers!$F$4:$F$63,54)="","",INDEX(Dossiers!$F$4:$F$63,54)))</f>
        <v/>
      </c>
      <c r="U2853">
        <f>IF($O2853="","",IF(INDEX(Dossiers!$G$4:$G$63,54)="","",INDEX(Dossiers!$G$4:$G$63,54)))</f>
        <v/>
      </c>
      <c r="V2853">
        <f>IF(OR($O2853="",NOT(ISNUMBER($Q2853))),"",$Q2853*1000000+2853)</f>
        <v/>
      </c>
      <c r="W2853" s="29">
        <f>IF($B2853="","",IFERROR(INDEX($U$4:$U$3183,MATCH(SMALL($V$4:$V$3183,2850),$V$4:$V$3183,0)),""))</f>
        <v/>
      </c>
    </row>
    <row r="2854">
      <c r="A2854">
        <f>IFERROR(INDEX($N$4:$N$3183,MATCH(SMALL($V$4:$V$3183,2851),$V$4:$V$3183,0)),"")</f>
        <v/>
      </c>
      <c r="B2854">
        <f>IFERROR(INDEX($O$4:$O$3183,MATCH(SMALL($V$4:$V$3183,2851),$V$4:$V$3183,0)),"")</f>
        <v/>
      </c>
      <c r="C2854">
        <f>IFERROR(INDEX($P$4:$P$3183,MATCH(SMALL($V$4:$V$3183,2851),$V$4:$V$3183,0)),"")</f>
        <v/>
      </c>
      <c r="D2854" s="29">
        <f>IFERROR(INDEX($Q$4:$Q$3183,MATCH(SMALL($V$4:$V$3183,2851),$V$4:$V$3183,0)),"")</f>
        <v/>
      </c>
      <c r="E2854" s="29">
        <f>IFERROR(INDEX($R$4:$R$3183,MATCH(SMALL($V$4:$V$3183,2851),$V$4:$V$3183,0)),"")</f>
        <v/>
      </c>
      <c r="F2854">
        <f>IFERROR(INDEX($S$4:$S$3183,MATCH(SMALL($V$4:$V$3183,2851),$V$4:$V$3183,0)),"")</f>
        <v/>
      </c>
      <c r="I2854" s="29">
        <f>IF($B2854="","",IFERROR(INDEX($U$4:$U$3183,MATCH(SMALL($V$4:$V$3183,2851),$V$4:$V$3183,0)),""))</f>
        <v/>
      </c>
      <c r="J2854">
        <f>IF($B2854="","",IF($D2854&gt;$F$2,"À venir",IF($E2854&lt;$D$2,"Passé","Dans la période")))</f>
        <v/>
      </c>
      <c r="K2854">
        <f>IF(OR($B2854="",NOT(ISNUMBER($D2854))),"",IF(AND($E2854&lt;$D$2,$G2854&lt;&gt;"X",$F2854&lt;&gt;"Réalisé",$F2854&lt;&gt;"Clôturé"),"RETARD",""))</f>
        <v/>
      </c>
      <c r="L2854">
        <f>IF(OR($B2854="",NOT(ISNUMBER($D2854))),"",IF(AND($D2854&gt;=$D$2,$D2854&lt;=$H$2,$G2854&lt;&gt;"X",$F2854&lt;&gt;"Réalisé",$F2854&lt;&gt;"Clôturé"),"≤ 7 j",""))</f>
        <v/>
      </c>
      <c r="M2854" s="29">
        <f>IF($B2854="","",IFERROR(INDEX($T$4:$T$3183,MATCH(SMALL($V$4:$V$3183,2851),$V$4:$V$3183,0)),""))</f>
        <v/>
      </c>
      <c r="O2854">
        <f>IF(INDEX(Suivi!$B:$B,2908)="","",INDEX(Suivi!$B:$B,2908))</f>
        <v/>
      </c>
      <c r="P2854">
        <f>IF($O2854="","",IF(INDEX(Suivi!$D:$D,2908)="",INDEX(Suivi!$C:$C,2908),INDEX(Suivi!$D:$D,2908)))</f>
        <v/>
      </c>
      <c r="Q2854">
        <f>IF($O2854="","",INDEX(Suivi!$E:$E,2908))</f>
        <v/>
      </c>
      <c r="R2854">
        <f>IF($O2854="","",INDEX(Suivi!$F:$F,2908))</f>
        <v/>
      </c>
      <c r="S2854">
        <f>IF($O2854="","",INDEX(Suivi!$G:$G,2908))</f>
        <v/>
      </c>
      <c r="T2854">
        <f>IF($O2854="","",IF(INDEX(Dossiers!$F$4:$F$63,54)="","",INDEX(Dossiers!$F$4:$F$63,54)))</f>
        <v/>
      </c>
      <c r="U2854">
        <f>IF($O2854="","",IF(INDEX(Dossiers!$G$4:$G$63,54)="","",INDEX(Dossiers!$G$4:$G$63,54)))</f>
        <v/>
      </c>
      <c r="V2854">
        <f>IF(OR($O2854="",NOT(ISNUMBER($Q2854))),"",$Q2854*1000000+2854)</f>
        <v/>
      </c>
      <c r="W2854" s="29">
        <f>IF($B2854="","",IFERROR(INDEX($U$4:$U$3183,MATCH(SMALL($V$4:$V$3183,2851),$V$4:$V$3183,0)),""))</f>
        <v/>
      </c>
    </row>
    <row r="2855">
      <c r="A2855">
        <f>IFERROR(INDEX($N$4:$N$3183,MATCH(SMALL($V$4:$V$3183,2852),$V$4:$V$3183,0)),"")</f>
        <v/>
      </c>
      <c r="B2855">
        <f>IFERROR(INDEX($O$4:$O$3183,MATCH(SMALL($V$4:$V$3183,2852),$V$4:$V$3183,0)),"")</f>
        <v/>
      </c>
      <c r="C2855">
        <f>IFERROR(INDEX($P$4:$P$3183,MATCH(SMALL($V$4:$V$3183,2852),$V$4:$V$3183,0)),"")</f>
        <v/>
      </c>
      <c r="D2855" s="29">
        <f>IFERROR(INDEX($Q$4:$Q$3183,MATCH(SMALL($V$4:$V$3183,2852),$V$4:$V$3183,0)),"")</f>
        <v/>
      </c>
      <c r="E2855" s="29">
        <f>IFERROR(INDEX($R$4:$R$3183,MATCH(SMALL($V$4:$V$3183,2852),$V$4:$V$3183,0)),"")</f>
        <v/>
      </c>
      <c r="F2855">
        <f>IFERROR(INDEX($S$4:$S$3183,MATCH(SMALL($V$4:$V$3183,2852),$V$4:$V$3183,0)),"")</f>
        <v/>
      </c>
      <c r="I2855" s="29">
        <f>IF($B2855="","",IFERROR(INDEX($U$4:$U$3183,MATCH(SMALL($V$4:$V$3183,2852),$V$4:$V$3183,0)),""))</f>
        <v/>
      </c>
      <c r="J2855">
        <f>IF($B2855="","",IF($D2855&gt;$F$2,"À venir",IF($E2855&lt;$D$2,"Passé","Dans la période")))</f>
        <v/>
      </c>
      <c r="K2855">
        <f>IF(OR($B2855="",NOT(ISNUMBER($D2855))),"",IF(AND($E2855&lt;$D$2,$G2855&lt;&gt;"X",$F2855&lt;&gt;"Réalisé",$F2855&lt;&gt;"Clôturé"),"RETARD",""))</f>
        <v/>
      </c>
      <c r="L2855">
        <f>IF(OR($B2855="",NOT(ISNUMBER($D2855))),"",IF(AND($D2855&gt;=$D$2,$D2855&lt;=$H$2,$G2855&lt;&gt;"X",$F2855&lt;&gt;"Réalisé",$F2855&lt;&gt;"Clôturé"),"≤ 7 j",""))</f>
        <v/>
      </c>
      <c r="M2855" s="29">
        <f>IF($B2855="","",IFERROR(INDEX($T$4:$T$3183,MATCH(SMALL($V$4:$V$3183,2852),$V$4:$V$3183,0)),""))</f>
        <v/>
      </c>
      <c r="O2855">
        <f>IF(INDEX(Suivi!$B:$B,2909)="","",INDEX(Suivi!$B:$B,2909))</f>
        <v/>
      </c>
      <c r="P2855">
        <f>IF($O2855="","",IF(INDEX(Suivi!$D:$D,2909)="",INDEX(Suivi!$C:$C,2909),INDEX(Suivi!$D:$D,2909)))</f>
        <v/>
      </c>
      <c r="Q2855">
        <f>IF($O2855="","",INDEX(Suivi!$E:$E,2909))</f>
        <v/>
      </c>
      <c r="R2855">
        <f>IF($O2855="","",INDEX(Suivi!$F:$F,2909))</f>
        <v/>
      </c>
      <c r="S2855">
        <f>IF($O2855="","",INDEX(Suivi!$G:$G,2909))</f>
        <v/>
      </c>
      <c r="T2855">
        <f>IF($O2855="","",IF(INDEX(Dossiers!$F$4:$F$63,54)="","",INDEX(Dossiers!$F$4:$F$63,54)))</f>
        <v/>
      </c>
      <c r="U2855">
        <f>IF($O2855="","",IF(INDEX(Dossiers!$G$4:$G$63,54)="","",INDEX(Dossiers!$G$4:$G$63,54)))</f>
        <v/>
      </c>
      <c r="V2855">
        <f>IF(OR($O2855="",NOT(ISNUMBER($Q2855))),"",$Q2855*1000000+2855)</f>
        <v/>
      </c>
      <c r="W2855" s="29">
        <f>IF($B2855="","",IFERROR(INDEX($U$4:$U$3183,MATCH(SMALL($V$4:$V$3183,2852),$V$4:$V$3183,0)),""))</f>
        <v/>
      </c>
    </row>
    <row r="2856">
      <c r="A2856">
        <f>IFERROR(INDEX($N$4:$N$3183,MATCH(SMALL($V$4:$V$3183,2853),$V$4:$V$3183,0)),"")</f>
        <v/>
      </c>
      <c r="B2856">
        <f>IFERROR(INDEX($O$4:$O$3183,MATCH(SMALL($V$4:$V$3183,2853),$V$4:$V$3183,0)),"")</f>
        <v/>
      </c>
      <c r="C2856">
        <f>IFERROR(INDEX($P$4:$P$3183,MATCH(SMALL($V$4:$V$3183,2853),$V$4:$V$3183,0)),"")</f>
        <v/>
      </c>
      <c r="D2856" s="29">
        <f>IFERROR(INDEX($Q$4:$Q$3183,MATCH(SMALL($V$4:$V$3183,2853),$V$4:$V$3183,0)),"")</f>
        <v/>
      </c>
      <c r="E2856" s="29">
        <f>IFERROR(INDEX($R$4:$R$3183,MATCH(SMALL($V$4:$V$3183,2853),$V$4:$V$3183,0)),"")</f>
        <v/>
      </c>
      <c r="F2856">
        <f>IFERROR(INDEX($S$4:$S$3183,MATCH(SMALL($V$4:$V$3183,2853),$V$4:$V$3183,0)),"")</f>
        <v/>
      </c>
      <c r="I2856" s="29">
        <f>IF($B2856="","",IFERROR(INDEX($U$4:$U$3183,MATCH(SMALL($V$4:$V$3183,2853),$V$4:$V$3183,0)),""))</f>
        <v/>
      </c>
      <c r="J2856">
        <f>IF($B2856="","",IF($D2856&gt;$F$2,"À venir",IF($E2856&lt;$D$2,"Passé","Dans la période")))</f>
        <v/>
      </c>
      <c r="K2856">
        <f>IF(OR($B2856="",NOT(ISNUMBER($D2856))),"",IF(AND($E2856&lt;$D$2,$G2856&lt;&gt;"X",$F2856&lt;&gt;"Réalisé",$F2856&lt;&gt;"Clôturé"),"RETARD",""))</f>
        <v/>
      </c>
      <c r="L2856">
        <f>IF(OR($B2856="",NOT(ISNUMBER($D2856))),"",IF(AND($D2856&gt;=$D$2,$D2856&lt;=$H$2,$G2856&lt;&gt;"X",$F2856&lt;&gt;"Réalisé",$F2856&lt;&gt;"Clôturé"),"≤ 7 j",""))</f>
        <v/>
      </c>
      <c r="M2856" s="29">
        <f>IF($B2856="","",IFERROR(INDEX($T$4:$T$3183,MATCH(SMALL($V$4:$V$3183,2853),$V$4:$V$3183,0)),""))</f>
        <v/>
      </c>
      <c r="O2856">
        <f>IF(INDEX(Suivi!$B:$B,2910)="","",INDEX(Suivi!$B:$B,2910))</f>
        <v/>
      </c>
      <c r="P2856">
        <f>IF($O2856="","",IF(INDEX(Suivi!$D:$D,2910)="",INDEX(Suivi!$C:$C,2910),INDEX(Suivi!$D:$D,2910)))</f>
        <v/>
      </c>
      <c r="Q2856">
        <f>IF($O2856="","",INDEX(Suivi!$E:$E,2910))</f>
        <v/>
      </c>
      <c r="R2856">
        <f>IF($O2856="","",INDEX(Suivi!$F:$F,2910))</f>
        <v/>
      </c>
      <c r="S2856">
        <f>IF($O2856="","",INDEX(Suivi!$G:$G,2910))</f>
        <v/>
      </c>
      <c r="T2856">
        <f>IF($O2856="","",IF(INDEX(Dossiers!$F$4:$F$63,54)="","",INDEX(Dossiers!$F$4:$F$63,54)))</f>
        <v/>
      </c>
      <c r="U2856">
        <f>IF($O2856="","",IF(INDEX(Dossiers!$G$4:$G$63,54)="","",INDEX(Dossiers!$G$4:$G$63,54)))</f>
        <v/>
      </c>
      <c r="V2856">
        <f>IF(OR($O2856="",NOT(ISNUMBER($Q2856))),"",$Q2856*1000000+2856)</f>
        <v/>
      </c>
      <c r="W2856" s="29">
        <f>IF($B2856="","",IFERROR(INDEX($U$4:$U$3183,MATCH(SMALL($V$4:$V$3183,2853),$V$4:$V$3183,0)),""))</f>
        <v/>
      </c>
    </row>
    <row r="2857">
      <c r="A2857">
        <f>IFERROR(INDEX($N$4:$N$3183,MATCH(SMALL($V$4:$V$3183,2854),$V$4:$V$3183,0)),"")</f>
        <v/>
      </c>
      <c r="B2857">
        <f>IFERROR(INDEX($O$4:$O$3183,MATCH(SMALL($V$4:$V$3183,2854),$V$4:$V$3183,0)),"")</f>
        <v/>
      </c>
      <c r="C2857">
        <f>IFERROR(INDEX($P$4:$P$3183,MATCH(SMALL($V$4:$V$3183,2854),$V$4:$V$3183,0)),"")</f>
        <v/>
      </c>
      <c r="D2857" s="29">
        <f>IFERROR(INDEX($Q$4:$Q$3183,MATCH(SMALL($V$4:$V$3183,2854),$V$4:$V$3183,0)),"")</f>
        <v/>
      </c>
      <c r="E2857" s="29">
        <f>IFERROR(INDEX($R$4:$R$3183,MATCH(SMALL($V$4:$V$3183,2854),$V$4:$V$3183,0)),"")</f>
        <v/>
      </c>
      <c r="F2857">
        <f>IFERROR(INDEX($S$4:$S$3183,MATCH(SMALL($V$4:$V$3183,2854),$V$4:$V$3183,0)),"")</f>
        <v/>
      </c>
      <c r="I2857" s="29">
        <f>IF($B2857="","",IFERROR(INDEX($U$4:$U$3183,MATCH(SMALL($V$4:$V$3183,2854),$V$4:$V$3183,0)),""))</f>
        <v/>
      </c>
      <c r="J2857">
        <f>IF($B2857="","",IF($D2857&gt;$F$2,"À venir",IF($E2857&lt;$D$2,"Passé","Dans la période")))</f>
        <v/>
      </c>
      <c r="K2857">
        <f>IF(OR($B2857="",NOT(ISNUMBER($D2857))),"",IF(AND($E2857&lt;$D$2,$G2857&lt;&gt;"X",$F2857&lt;&gt;"Réalisé",$F2857&lt;&gt;"Clôturé"),"RETARD",""))</f>
        <v/>
      </c>
      <c r="L2857">
        <f>IF(OR($B2857="",NOT(ISNUMBER($D2857))),"",IF(AND($D2857&gt;=$D$2,$D2857&lt;=$H$2,$G2857&lt;&gt;"X",$F2857&lt;&gt;"Réalisé",$F2857&lt;&gt;"Clôturé"),"≤ 7 j",""))</f>
        <v/>
      </c>
      <c r="M2857" s="29">
        <f>IF($B2857="","",IFERROR(INDEX($T$4:$T$3183,MATCH(SMALL($V$4:$V$3183,2854),$V$4:$V$3183,0)),""))</f>
        <v/>
      </c>
      <c r="O2857">
        <f>IF(INDEX(Suivi!$B:$B,2911)="","",INDEX(Suivi!$B:$B,2911))</f>
        <v/>
      </c>
      <c r="P2857">
        <f>IF($O2857="","",IF(INDEX(Suivi!$D:$D,2911)="",INDEX(Suivi!$C:$C,2911),INDEX(Suivi!$D:$D,2911)))</f>
        <v/>
      </c>
      <c r="Q2857">
        <f>IF($O2857="","",INDEX(Suivi!$E:$E,2911))</f>
        <v/>
      </c>
      <c r="R2857">
        <f>IF($O2857="","",INDEX(Suivi!$F:$F,2911))</f>
        <v/>
      </c>
      <c r="S2857">
        <f>IF($O2857="","",INDEX(Suivi!$G:$G,2911))</f>
        <v/>
      </c>
      <c r="T2857">
        <f>IF($O2857="","",IF(INDEX(Dossiers!$F$4:$F$63,54)="","",INDEX(Dossiers!$F$4:$F$63,54)))</f>
        <v/>
      </c>
      <c r="U2857">
        <f>IF($O2857="","",IF(INDEX(Dossiers!$G$4:$G$63,54)="","",INDEX(Dossiers!$G$4:$G$63,54)))</f>
        <v/>
      </c>
      <c r="V2857">
        <f>IF(OR($O2857="",NOT(ISNUMBER($Q2857))),"",$Q2857*1000000+2857)</f>
        <v/>
      </c>
      <c r="W2857" s="29">
        <f>IF($B2857="","",IFERROR(INDEX($U$4:$U$3183,MATCH(SMALL($V$4:$V$3183,2854),$V$4:$V$3183,0)),""))</f>
        <v/>
      </c>
    </row>
    <row r="2858">
      <c r="A2858">
        <f>IFERROR(INDEX($N$4:$N$3183,MATCH(SMALL($V$4:$V$3183,2855),$V$4:$V$3183,0)),"")</f>
        <v/>
      </c>
      <c r="B2858">
        <f>IFERROR(INDEX($O$4:$O$3183,MATCH(SMALL($V$4:$V$3183,2855),$V$4:$V$3183,0)),"")</f>
        <v/>
      </c>
      <c r="C2858">
        <f>IFERROR(INDEX($P$4:$P$3183,MATCH(SMALL($V$4:$V$3183,2855),$V$4:$V$3183,0)),"")</f>
        <v/>
      </c>
      <c r="D2858" s="29">
        <f>IFERROR(INDEX($Q$4:$Q$3183,MATCH(SMALL($V$4:$V$3183,2855),$V$4:$V$3183,0)),"")</f>
        <v/>
      </c>
      <c r="E2858" s="29">
        <f>IFERROR(INDEX($R$4:$R$3183,MATCH(SMALL($V$4:$V$3183,2855),$V$4:$V$3183,0)),"")</f>
        <v/>
      </c>
      <c r="F2858">
        <f>IFERROR(INDEX($S$4:$S$3183,MATCH(SMALL($V$4:$V$3183,2855),$V$4:$V$3183,0)),"")</f>
        <v/>
      </c>
      <c r="I2858" s="29">
        <f>IF($B2858="","",IFERROR(INDEX($U$4:$U$3183,MATCH(SMALL($V$4:$V$3183,2855),$V$4:$V$3183,0)),""))</f>
        <v/>
      </c>
      <c r="J2858">
        <f>IF($B2858="","",IF($D2858&gt;$F$2,"À venir",IF($E2858&lt;$D$2,"Passé","Dans la période")))</f>
        <v/>
      </c>
      <c r="K2858">
        <f>IF(OR($B2858="",NOT(ISNUMBER($D2858))),"",IF(AND($E2858&lt;$D$2,$G2858&lt;&gt;"X",$F2858&lt;&gt;"Réalisé",$F2858&lt;&gt;"Clôturé"),"RETARD",""))</f>
        <v/>
      </c>
      <c r="L2858">
        <f>IF(OR($B2858="",NOT(ISNUMBER($D2858))),"",IF(AND($D2858&gt;=$D$2,$D2858&lt;=$H$2,$G2858&lt;&gt;"X",$F2858&lt;&gt;"Réalisé",$F2858&lt;&gt;"Clôturé"),"≤ 7 j",""))</f>
        <v/>
      </c>
      <c r="M2858" s="29">
        <f>IF($B2858="","",IFERROR(INDEX($T$4:$T$3183,MATCH(SMALL($V$4:$V$3183,2855),$V$4:$V$3183,0)),""))</f>
        <v/>
      </c>
      <c r="O2858">
        <f>IF(INDEX(Suivi!$B:$B,2912)="","",INDEX(Suivi!$B:$B,2912))</f>
        <v/>
      </c>
      <c r="P2858">
        <f>IF($O2858="","",IF(INDEX(Suivi!$D:$D,2912)="",INDEX(Suivi!$C:$C,2912),INDEX(Suivi!$D:$D,2912)))</f>
        <v/>
      </c>
      <c r="Q2858">
        <f>IF($O2858="","",INDEX(Suivi!$E:$E,2912))</f>
        <v/>
      </c>
      <c r="R2858">
        <f>IF($O2858="","",INDEX(Suivi!$F:$F,2912))</f>
        <v/>
      </c>
      <c r="S2858">
        <f>IF($O2858="","",INDEX(Suivi!$G:$G,2912))</f>
        <v/>
      </c>
      <c r="T2858">
        <f>IF($O2858="","",IF(INDEX(Dossiers!$F$4:$F$63,54)="","",INDEX(Dossiers!$F$4:$F$63,54)))</f>
        <v/>
      </c>
      <c r="U2858">
        <f>IF($O2858="","",IF(INDEX(Dossiers!$G$4:$G$63,54)="","",INDEX(Dossiers!$G$4:$G$63,54)))</f>
        <v/>
      </c>
      <c r="V2858">
        <f>IF(OR($O2858="",NOT(ISNUMBER($Q2858))),"",$Q2858*1000000+2858)</f>
        <v/>
      </c>
      <c r="W2858" s="29">
        <f>IF($B2858="","",IFERROR(INDEX($U$4:$U$3183,MATCH(SMALL($V$4:$V$3183,2855),$V$4:$V$3183,0)),""))</f>
        <v/>
      </c>
    </row>
    <row r="2859">
      <c r="A2859">
        <f>IFERROR(INDEX($N$4:$N$3183,MATCH(SMALL($V$4:$V$3183,2856),$V$4:$V$3183,0)),"")</f>
        <v/>
      </c>
      <c r="B2859">
        <f>IFERROR(INDEX($O$4:$O$3183,MATCH(SMALL($V$4:$V$3183,2856),$V$4:$V$3183,0)),"")</f>
        <v/>
      </c>
      <c r="C2859">
        <f>IFERROR(INDEX($P$4:$P$3183,MATCH(SMALL($V$4:$V$3183,2856),$V$4:$V$3183,0)),"")</f>
        <v/>
      </c>
      <c r="D2859" s="29">
        <f>IFERROR(INDEX($Q$4:$Q$3183,MATCH(SMALL($V$4:$V$3183,2856),$V$4:$V$3183,0)),"")</f>
        <v/>
      </c>
      <c r="E2859" s="29">
        <f>IFERROR(INDEX($R$4:$R$3183,MATCH(SMALL($V$4:$V$3183,2856),$V$4:$V$3183,0)),"")</f>
        <v/>
      </c>
      <c r="F2859">
        <f>IFERROR(INDEX($S$4:$S$3183,MATCH(SMALL($V$4:$V$3183,2856),$V$4:$V$3183,0)),"")</f>
        <v/>
      </c>
      <c r="I2859" s="29">
        <f>IF($B2859="","",IFERROR(INDEX($U$4:$U$3183,MATCH(SMALL($V$4:$V$3183,2856),$V$4:$V$3183,0)),""))</f>
        <v/>
      </c>
      <c r="J2859">
        <f>IF($B2859="","",IF($D2859&gt;$F$2,"À venir",IF($E2859&lt;$D$2,"Passé","Dans la période")))</f>
        <v/>
      </c>
      <c r="K2859">
        <f>IF(OR($B2859="",NOT(ISNUMBER($D2859))),"",IF(AND($E2859&lt;$D$2,$G2859&lt;&gt;"X",$F2859&lt;&gt;"Réalisé",$F2859&lt;&gt;"Clôturé"),"RETARD",""))</f>
        <v/>
      </c>
      <c r="L2859">
        <f>IF(OR($B2859="",NOT(ISNUMBER($D2859))),"",IF(AND($D2859&gt;=$D$2,$D2859&lt;=$H$2,$G2859&lt;&gt;"X",$F2859&lt;&gt;"Réalisé",$F2859&lt;&gt;"Clôturé"),"≤ 7 j",""))</f>
        <v/>
      </c>
      <c r="M2859" s="29">
        <f>IF($B2859="","",IFERROR(INDEX($T$4:$T$3183,MATCH(SMALL($V$4:$V$3183,2856),$V$4:$V$3183,0)),""))</f>
        <v/>
      </c>
      <c r="O2859">
        <f>IF(INDEX(Suivi!$B:$B,2913)="","",INDEX(Suivi!$B:$B,2913))</f>
        <v/>
      </c>
      <c r="P2859">
        <f>IF($O2859="","",IF(INDEX(Suivi!$D:$D,2913)="",INDEX(Suivi!$C:$C,2913),INDEX(Suivi!$D:$D,2913)))</f>
        <v/>
      </c>
      <c r="Q2859">
        <f>IF($O2859="","",INDEX(Suivi!$E:$E,2913))</f>
        <v/>
      </c>
      <c r="R2859">
        <f>IF($O2859="","",INDEX(Suivi!$F:$F,2913))</f>
        <v/>
      </c>
      <c r="S2859">
        <f>IF($O2859="","",INDEX(Suivi!$G:$G,2913))</f>
        <v/>
      </c>
      <c r="T2859">
        <f>IF($O2859="","",IF(INDEX(Dossiers!$F$4:$F$63,54)="","",INDEX(Dossiers!$F$4:$F$63,54)))</f>
        <v/>
      </c>
      <c r="U2859">
        <f>IF($O2859="","",IF(INDEX(Dossiers!$G$4:$G$63,54)="","",INDEX(Dossiers!$G$4:$G$63,54)))</f>
        <v/>
      </c>
      <c r="V2859">
        <f>IF(OR($O2859="",NOT(ISNUMBER($Q2859))),"",$Q2859*1000000+2859)</f>
        <v/>
      </c>
      <c r="W2859" s="29">
        <f>IF($B2859="","",IFERROR(INDEX($U$4:$U$3183,MATCH(SMALL($V$4:$V$3183,2856),$V$4:$V$3183,0)),""))</f>
        <v/>
      </c>
    </row>
    <row r="2860">
      <c r="A2860">
        <f>IFERROR(INDEX($N$4:$N$3183,MATCH(SMALL($V$4:$V$3183,2857),$V$4:$V$3183,0)),"")</f>
        <v/>
      </c>
      <c r="B2860">
        <f>IFERROR(INDEX($O$4:$O$3183,MATCH(SMALL($V$4:$V$3183,2857),$V$4:$V$3183,0)),"")</f>
        <v/>
      </c>
      <c r="C2860">
        <f>IFERROR(INDEX($P$4:$P$3183,MATCH(SMALL($V$4:$V$3183,2857),$V$4:$V$3183,0)),"")</f>
        <v/>
      </c>
      <c r="D2860" s="29">
        <f>IFERROR(INDEX($Q$4:$Q$3183,MATCH(SMALL($V$4:$V$3183,2857),$V$4:$V$3183,0)),"")</f>
        <v/>
      </c>
      <c r="E2860" s="29">
        <f>IFERROR(INDEX($R$4:$R$3183,MATCH(SMALL($V$4:$V$3183,2857),$V$4:$V$3183,0)),"")</f>
        <v/>
      </c>
      <c r="F2860">
        <f>IFERROR(INDEX($S$4:$S$3183,MATCH(SMALL($V$4:$V$3183,2857),$V$4:$V$3183,0)),"")</f>
        <v/>
      </c>
      <c r="I2860" s="29">
        <f>IF($B2860="","",IFERROR(INDEX($U$4:$U$3183,MATCH(SMALL($V$4:$V$3183,2857),$V$4:$V$3183,0)),""))</f>
        <v/>
      </c>
      <c r="J2860">
        <f>IF($B2860="","",IF($D2860&gt;$F$2,"À venir",IF($E2860&lt;$D$2,"Passé","Dans la période")))</f>
        <v/>
      </c>
      <c r="K2860">
        <f>IF(OR($B2860="",NOT(ISNUMBER($D2860))),"",IF(AND($E2860&lt;$D$2,$G2860&lt;&gt;"X",$F2860&lt;&gt;"Réalisé",$F2860&lt;&gt;"Clôturé"),"RETARD",""))</f>
        <v/>
      </c>
      <c r="L2860">
        <f>IF(OR($B2860="",NOT(ISNUMBER($D2860))),"",IF(AND($D2860&gt;=$D$2,$D2860&lt;=$H$2,$G2860&lt;&gt;"X",$F2860&lt;&gt;"Réalisé",$F2860&lt;&gt;"Clôturé"),"≤ 7 j",""))</f>
        <v/>
      </c>
      <c r="M2860" s="29">
        <f>IF($B2860="","",IFERROR(INDEX($T$4:$T$3183,MATCH(SMALL($V$4:$V$3183,2857),$V$4:$V$3183,0)),""))</f>
        <v/>
      </c>
      <c r="O2860">
        <f>IF(INDEX(Suivi!$B:$B,2914)="","",INDEX(Suivi!$B:$B,2914))</f>
        <v/>
      </c>
      <c r="P2860">
        <f>IF($O2860="","",IF(INDEX(Suivi!$D:$D,2914)="",INDEX(Suivi!$C:$C,2914),INDEX(Suivi!$D:$D,2914)))</f>
        <v/>
      </c>
      <c r="Q2860">
        <f>IF($O2860="","",INDEX(Suivi!$E:$E,2914))</f>
        <v/>
      </c>
      <c r="R2860">
        <f>IF($O2860="","",INDEX(Suivi!$F:$F,2914))</f>
        <v/>
      </c>
      <c r="S2860">
        <f>IF($O2860="","",INDEX(Suivi!$G:$G,2914))</f>
        <v/>
      </c>
      <c r="T2860">
        <f>IF($O2860="","",IF(INDEX(Dossiers!$F$4:$F$63,54)="","",INDEX(Dossiers!$F$4:$F$63,54)))</f>
        <v/>
      </c>
      <c r="U2860">
        <f>IF($O2860="","",IF(INDEX(Dossiers!$G$4:$G$63,54)="","",INDEX(Dossiers!$G$4:$G$63,54)))</f>
        <v/>
      </c>
      <c r="V2860">
        <f>IF(OR($O2860="",NOT(ISNUMBER($Q2860))),"",$Q2860*1000000+2860)</f>
        <v/>
      </c>
      <c r="W2860" s="29">
        <f>IF($B2860="","",IFERROR(INDEX($U$4:$U$3183,MATCH(SMALL($V$4:$V$3183,2857),$V$4:$V$3183,0)),""))</f>
        <v/>
      </c>
    </row>
    <row r="2861">
      <c r="A2861">
        <f>IFERROR(INDEX($N$4:$N$3183,MATCH(SMALL($V$4:$V$3183,2858),$V$4:$V$3183,0)),"")</f>
        <v/>
      </c>
      <c r="B2861">
        <f>IFERROR(INDEX($O$4:$O$3183,MATCH(SMALL($V$4:$V$3183,2858),$V$4:$V$3183,0)),"")</f>
        <v/>
      </c>
      <c r="C2861">
        <f>IFERROR(INDEX($P$4:$P$3183,MATCH(SMALL($V$4:$V$3183,2858),$V$4:$V$3183,0)),"")</f>
        <v/>
      </c>
      <c r="D2861" s="29">
        <f>IFERROR(INDEX($Q$4:$Q$3183,MATCH(SMALL($V$4:$V$3183,2858),$V$4:$V$3183,0)),"")</f>
        <v/>
      </c>
      <c r="E2861" s="29">
        <f>IFERROR(INDEX($R$4:$R$3183,MATCH(SMALL($V$4:$V$3183,2858),$V$4:$V$3183,0)),"")</f>
        <v/>
      </c>
      <c r="F2861">
        <f>IFERROR(INDEX($S$4:$S$3183,MATCH(SMALL($V$4:$V$3183,2858),$V$4:$V$3183,0)),"")</f>
        <v/>
      </c>
      <c r="I2861" s="29">
        <f>IF($B2861="","",IFERROR(INDEX($U$4:$U$3183,MATCH(SMALL($V$4:$V$3183,2858),$V$4:$V$3183,0)),""))</f>
        <v/>
      </c>
      <c r="J2861">
        <f>IF($B2861="","",IF($D2861&gt;$F$2,"À venir",IF($E2861&lt;$D$2,"Passé","Dans la période")))</f>
        <v/>
      </c>
      <c r="K2861">
        <f>IF(OR($B2861="",NOT(ISNUMBER($D2861))),"",IF(AND($E2861&lt;$D$2,$G2861&lt;&gt;"X",$F2861&lt;&gt;"Réalisé",$F2861&lt;&gt;"Clôturé"),"RETARD",""))</f>
        <v/>
      </c>
      <c r="L2861">
        <f>IF(OR($B2861="",NOT(ISNUMBER($D2861))),"",IF(AND($D2861&gt;=$D$2,$D2861&lt;=$H$2,$G2861&lt;&gt;"X",$F2861&lt;&gt;"Réalisé",$F2861&lt;&gt;"Clôturé"),"≤ 7 j",""))</f>
        <v/>
      </c>
      <c r="M2861" s="29">
        <f>IF($B2861="","",IFERROR(INDEX($T$4:$T$3183,MATCH(SMALL($V$4:$V$3183,2858),$V$4:$V$3183,0)),""))</f>
        <v/>
      </c>
      <c r="O2861">
        <f>IF(INDEX(Suivi!$B:$B,2915)="","",INDEX(Suivi!$B:$B,2915))</f>
        <v/>
      </c>
      <c r="P2861">
        <f>IF($O2861="","",IF(INDEX(Suivi!$D:$D,2915)="",INDEX(Suivi!$C:$C,2915),INDEX(Suivi!$D:$D,2915)))</f>
        <v/>
      </c>
      <c r="Q2861">
        <f>IF($O2861="","",INDEX(Suivi!$E:$E,2915))</f>
        <v/>
      </c>
      <c r="R2861">
        <f>IF($O2861="","",INDEX(Suivi!$F:$F,2915))</f>
        <v/>
      </c>
      <c r="S2861">
        <f>IF($O2861="","",INDEX(Suivi!$G:$G,2915))</f>
        <v/>
      </c>
      <c r="T2861">
        <f>IF($O2861="","",IF(INDEX(Dossiers!$F$4:$F$63,54)="","",INDEX(Dossiers!$F$4:$F$63,54)))</f>
        <v/>
      </c>
      <c r="U2861">
        <f>IF($O2861="","",IF(INDEX(Dossiers!$G$4:$G$63,54)="","",INDEX(Dossiers!$G$4:$G$63,54)))</f>
        <v/>
      </c>
      <c r="V2861">
        <f>IF(OR($O2861="",NOT(ISNUMBER($Q2861))),"",$Q2861*1000000+2861)</f>
        <v/>
      </c>
      <c r="W2861" s="29">
        <f>IF($B2861="","",IFERROR(INDEX($U$4:$U$3183,MATCH(SMALL($V$4:$V$3183,2858),$V$4:$V$3183,0)),""))</f>
        <v/>
      </c>
    </row>
    <row r="2862">
      <c r="A2862">
        <f>IFERROR(INDEX($N$4:$N$3183,MATCH(SMALL($V$4:$V$3183,2859),$V$4:$V$3183,0)),"")</f>
        <v/>
      </c>
      <c r="B2862">
        <f>IFERROR(INDEX($O$4:$O$3183,MATCH(SMALL($V$4:$V$3183,2859),$V$4:$V$3183,0)),"")</f>
        <v/>
      </c>
      <c r="C2862">
        <f>IFERROR(INDEX($P$4:$P$3183,MATCH(SMALL($V$4:$V$3183,2859),$V$4:$V$3183,0)),"")</f>
        <v/>
      </c>
      <c r="D2862" s="29">
        <f>IFERROR(INDEX($Q$4:$Q$3183,MATCH(SMALL($V$4:$V$3183,2859),$V$4:$V$3183,0)),"")</f>
        <v/>
      </c>
      <c r="E2862" s="29">
        <f>IFERROR(INDEX($R$4:$R$3183,MATCH(SMALL($V$4:$V$3183,2859),$V$4:$V$3183,0)),"")</f>
        <v/>
      </c>
      <c r="F2862">
        <f>IFERROR(INDEX($S$4:$S$3183,MATCH(SMALL($V$4:$V$3183,2859),$V$4:$V$3183,0)),"")</f>
        <v/>
      </c>
      <c r="I2862" s="29">
        <f>IF($B2862="","",IFERROR(INDEX($U$4:$U$3183,MATCH(SMALL($V$4:$V$3183,2859),$V$4:$V$3183,0)),""))</f>
        <v/>
      </c>
      <c r="J2862">
        <f>IF($B2862="","",IF($D2862&gt;$F$2,"À venir",IF($E2862&lt;$D$2,"Passé","Dans la période")))</f>
        <v/>
      </c>
      <c r="K2862">
        <f>IF(OR($B2862="",NOT(ISNUMBER($D2862))),"",IF(AND($E2862&lt;$D$2,$G2862&lt;&gt;"X",$F2862&lt;&gt;"Réalisé",$F2862&lt;&gt;"Clôturé"),"RETARD",""))</f>
        <v/>
      </c>
      <c r="L2862">
        <f>IF(OR($B2862="",NOT(ISNUMBER($D2862))),"",IF(AND($D2862&gt;=$D$2,$D2862&lt;=$H$2,$G2862&lt;&gt;"X",$F2862&lt;&gt;"Réalisé",$F2862&lt;&gt;"Clôturé"),"≤ 7 j",""))</f>
        <v/>
      </c>
      <c r="M2862" s="29">
        <f>IF($B2862="","",IFERROR(INDEX($T$4:$T$3183,MATCH(SMALL($V$4:$V$3183,2859),$V$4:$V$3183,0)),""))</f>
        <v/>
      </c>
      <c r="O2862">
        <f>IF(INDEX(Suivi!$B:$B,2916)="","",INDEX(Suivi!$B:$B,2916))</f>
        <v/>
      </c>
      <c r="P2862">
        <f>IF($O2862="","",IF(INDEX(Suivi!$D:$D,2916)="",INDEX(Suivi!$C:$C,2916),INDEX(Suivi!$D:$D,2916)))</f>
        <v/>
      </c>
      <c r="Q2862">
        <f>IF($O2862="","",INDEX(Suivi!$E:$E,2916))</f>
        <v/>
      </c>
      <c r="R2862">
        <f>IF($O2862="","",INDEX(Suivi!$F:$F,2916))</f>
        <v/>
      </c>
      <c r="S2862">
        <f>IF($O2862="","",INDEX(Suivi!$G:$G,2916))</f>
        <v/>
      </c>
      <c r="T2862">
        <f>IF($O2862="","",IF(INDEX(Dossiers!$F$4:$F$63,54)="","",INDEX(Dossiers!$F$4:$F$63,54)))</f>
        <v/>
      </c>
      <c r="U2862">
        <f>IF($O2862="","",IF(INDEX(Dossiers!$G$4:$G$63,54)="","",INDEX(Dossiers!$G$4:$G$63,54)))</f>
        <v/>
      </c>
      <c r="V2862">
        <f>IF(OR($O2862="",NOT(ISNUMBER($Q2862))),"",$Q2862*1000000+2862)</f>
        <v/>
      </c>
      <c r="W2862" s="29">
        <f>IF($B2862="","",IFERROR(INDEX($U$4:$U$3183,MATCH(SMALL($V$4:$V$3183,2859),$V$4:$V$3183,0)),""))</f>
        <v/>
      </c>
    </row>
    <row r="2863">
      <c r="A2863">
        <f>IFERROR(INDEX($N$4:$N$3183,MATCH(SMALL($V$4:$V$3183,2860),$V$4:$V$3183,0)),"")</f>
        <v/>
      </c>
      <c r="B2863">
        <f>IFERROR(INDEX($O$4:$O$3183,MATCH(SMALL($V$4:$V$3183,2860),$V$4:$V$3183,0)),"")</f>
        <v/>
      </c>
      <c r="C2863">
        <f>IFERROR(INDEX($P$4:$P$3183,MATCH(SMALL($V$4:$V$3183,2860),$V$4:$V$3183,0)),"")</f>
        <v/>
      </c>
      <c r="D2863" s="29">
        <f>IFERROR(INDEX($Q$4:$Q$3183,MATCH(SMALL($V$4:$V$3183,2860),$V$4:$V$3183,0)),"")</f>
        <v/>
      </c>
      <c r="E2863" s="29">
        <f>IFERROR(INDEX($R$4:$R$3183,MATCH(SMALL($V$4:$V$3183,2860),$V$4:$V$3183,0)),"")</f>
        <v/>
      </c>
      <c r="F2863">
        <f>IFERROR(INDEX($S$4:$S$3183,MATCH(SMALL($V$4:$V$3183,2860),$V$4:$V$3183,0)),"")</f>
        <v/>
      </c>
      <c r="I2863" s="29">
        <f>IF($B2863="","",IFERROR(INDEX($U$4:$U$3183,MATCH(SMALL($V$4:$V$3183,2860),$V$4:$V$3183,0)),""))</f>
        <v/>
      </c>
      <c r="J2863">
        <f>IF($B2863="","",IF($D2863&gt;$F$2,"À venir",IF($E2863&lt;$D$2,"Passé","Dans la période")))</f>
        <v/>
      </c>
      <c r="K2863">
        <f>IF(OR($B2863="",NOT(ISNUMBER($D2863))),"",IF(AND($E2863&lt;$D$2,$G2863&lt;&gt;"X",$F2863&lt;&gt;"Réalisé",$F2863&lt;&gt;"Clôturé"),"RETARD",""))</f>
        <v/>
      </c>
      <c r="L2863">
        <f>IF(OR($B2863="",NOT(ISNUMBER($D2863))),"",IF(AND($D2863&gt;=$D$2,$D2863&lt;=$H$2,$G2863&lt;&gt;"X",$F2863&lt;&gt;"Réalisé",$F2863&lt;&gt;"Clôturé"),"≤ 7 j",""))</f>
        <v/>
      </c>
      <c r="M2863" s="29">
        <f>IF($B2863="","",IFERROR(INDEX($T$4:$T$3183,MATCH(SMALL($V$4:$V$3183,2860),$V$4:$V$3183,0)),""))</f>
        <v/>
      </c>
      <c r="O2863">
        <f>IF(INDEX(Suivi!$B:$B,2917)="","",INDEX(Suivi!$B:$B,2917))</f>
        <v/>
      </c>
      <c r="P2863">
        <f>IF($O2863="","",IF(INDEX(Suivi!$D:$D,2917)="",INDEX(Suivi!$C:$C,2917),INDEX(Suivi!$D:$D,2917)))</f>
        <v/>
      </c>
      <c r="Q2863">
        <f>IF($O2863="","",INDEX(Suivi!$E:$E,2917))</f>
        <v/>
      </c>
      <c r="R2863">
        <f>IF($O2863="","",INDEX(Suivi!$F:$F,2917))</f>
        <v/>
      </c>
      <c r="S2863">
        <f>IF($O2863="","",INDEX(Suivi!$G:$G,2917))</f>
        <v/>
      </c>
      <c r="T2863">
        <f>IF($O2863="","",IF(INDEX(Dossiers!$F$4:$F$63,54)="","",INDEX(Dossiers!$F$4:$F$63,54)))</f>
        <v/>
      </c>
      <c r="U2863">
        <f>IF($O2863="","",IF(INDEX(Dossiers!$G$4:$G$63,54)="","",INDEX(Dossiers!$G$4:$G$63,54)))</f>
        <v/>
      </c>
      <c r="V2863">
        <f>IF(OR($O2863="",NOT(ISNUMBER($Q2863))),"",$Q2863*1000000+2863)</f>
        <v/>
      </c>
      <c r="W2863" s="29">
        <f>IF($B2863="","",IFERROR(INDEX($U$4:$U$3183,MATCH(SMALL($V$4:$V$3183,2860),$V$4:$V$3183,0)),""))</f>
        <v/>
      </c>
    </row>
    <row r="2864">
      <c r="A2864">
        <f>IFERROR(INDEX($N$4:$N$3183,MATCH(SMALL($V$4:$V$3183,2861),$V$4:$V$3183,0)),"")</f>
        <v/>
      </c>
      <c r="B2864">
        <f>IFERROR(INDEX($O$4:$O$3183,MATCH(SMALL($V$4:$V$3183,2861),$V$4:$V$3183,0)),"")</f>
        <v/>
      </c>
      <c r="C2864">
        <f>IFERROR(INDEX($P$4:$P$3183,MATCH(SMALL($V$4:$V$3183,2861),$V$4:$V$3183,0)),"")</f>
        <v/>
      </c>
      <c r="D2864" s="29">
        <f>IFERROR(INDEX($Q$4:$Q$3183,MATCH(SMALL($V$4:$V$3183,2861),$V$4:$V$3183,0)),"")</f>
        <v/>
      </c>
      <c r="E2864" s="29">
        <f>IFERROR(INDEX($R$4:$R$3183,MATCH(SMALL($V$4:$V$3183,2861),$V$4:$V$3183,0)),"")</f>
        <v/>
      </c>
      <c r="F2864">
        <f>IFERROR(INDEX($S$4:$S$3183,MATCH(SMALL($V$4:$V$3183,2861),$V$4:$V$3183,0)),"")</f>
        <v/>
      </c>
      <c r="I2864" s="29">
        <f>IF($B2864="","",IFERROR(INDEX($U$4:$U$3183,MATCH(SMALL($V$4:$V$3183,2861),$V$4:$V$3183,0)),""))</f>
        <v/>
      </c>
      <c r="J2864">
        <f>IF($B2864="","",IF($D2864&gt;$F$2,"À venir",IF($E2864&lt;$D$2,"Passé","Dans la période")))</f>
        <v/>
      </c>
      <c r="K2864">
        <f>IF(OR($B2864="",NOT(ISNUMBER($D2864))),"",IF(AND($E2864&lt;$D$2,$G2864&lt;&gt;"X",$F2864&lt;&gt;"Réalisé",$F2864&lt;&gt;"Clôturé"),"RETARD",""))</f>
        <v/>
      </c>
      <c r="L2864">
        <f>IF(OR($B2864="",NOT(ISNUMBER($D2864))),"",IF(AND($D2864&gt;=$D$2,$D2864&lt;=$H$2,$G2864&lt;&gt;"X",$F2864&lt;&gt;"Réalisé",$F2864&lt;&gt;"Clôturé"),"≤ 7 j",""))</f>
        <v/>
      </c>
      <c r="M2864" s="29">
        <f>IF($B2864="","",IFERROR(INDEX($T$4:$T$3183,MATCH(SMALL($V$4:$V$3183,2861),$V$4:$V$3183,0)),""))</f>
        <v/>
      </c>
      <c r="O2864">
        <f>IF(INDEX(Suivi!$B:$B,2918)="","",INDEX(Suivi!$B:$B,2918))</f>
        <v/>
      </c>
      <c r="P2864">
        <f>IF($O2864="","",IF(INDEX(Suivi!$D:$D,2918)="",INDEX(Suivi!$C:$C,2918),INDEX(Suivi!$D:$D,2918)))</f>
        <v/>
      </c>
      <c r="Q2864">
        <f>IF($O2864="","",INDEX(Suivi!$E:$E,2918))</f>
        <v/>
      </c>
      <c r="R2864">
        <f>IF($O2864="","",INDEX(Suivi!$F:$F,2918))</f>
        <v/>
      </c>
      <c r="S2864">
        <f>IF($O2864="","",INDEX(Suivi!$G:$G,2918))</f>
        <v/>
      </c>
      <c r="T2864">
        <f>IF($O2864="","",IF(INDEX(Dossiers!$F$4:$F$63,54)="","",INDEX(Dossiers!$F$4:$F$63,54)))</f>
        <v/>
      </c>
      <c r="U2864">
        <f>IF($O2864="","",IF(INDEX(Dossiers!$G$4:$G$63,54)="","",INDEX(Dossiers!$G$4:$G$63,54)))</f>
        <v/>
      </c>
      <c r="V2864">
        <f>IF(OR($O2864="",NOT(ISNUMBER($Q2864))),"",$Q2864*1000000+2864)</f>
        <v/>
      </c>
      <c r="W2864" s="29">
        <f>IF($B2864="","",IFERROR(INDEX($U$4:$U$3183,MATCH(SMALL($V$4:$V$3183,2861),$V$4:$V$3183,0)),""))</f>
        <v/>
      </c>
    </row>
    <row r="2865">
      <c r="A2865">
        <f>IFERROR(INDEX($N$4:$N$3183,MATCH(SMALL($V$4:$V$3183,2862),$V$4:$V$3183,0)),"")</f>
        <v/>
      </c>
      <c r="B2865">
        <f>IFERROR(INDEX($O$4:$O$3183,MATCH(SMALL($V$4:$V$3183,2862),$V$4:$V$3183,0)),"")</f>
        <v/>
      </c>
      <c r="C2865">
        <f>IFERROR(INDEX($P$4:$P$3183,MATCH(SMALL($V$4:$V$3183,2862),$V$4:$V$3183,0)),"")</f>
        <v/>
      </c>
      <c r="D2865" s="29">
        <f>IFERROR(INDEX($Q$4:$Q$3183,MATCH(SMALL($V$4:$V$3183,2862),$V$4:$V$3183,0)),"")</f>
        <v/>
      </c>
      <c r="E2865" s="29">
        <f>IFERROR(INDEX($R$4:$R$3183,MATCH(SMALL($V$4:$V$3183,2862),$V$4:$V$3183,0)),"")</f>
        <v/>
      </c>
      <c r="F2865">
        <f>IFERROR(INDEX($S$4:$S$3183,MATCH(SMALL($V$4:$V$3183,2862),$V$4:$V$3183,0)),"")</f>
        <v/>
      </c>
      <c r="I2865" s="29">
        <f>IF($B2865="","",IFERROR(INDEX($U$4:$U$3183,MATCH(SMALL($V$4:$V$3183,2862),$V$4:$V$3183,0)),""))</f>
        <v/>
      </c>
      <c r="J2865">
        <f>IF($B2865="","",IF($D2865&gt;$F$2,"À venir",IF($E2865&lt;$D$2,"Passé","Dans la période")))</f>
        <v/>
      </c>
      <c r="K2865">
        <f>IF(OR($B2865="",NOT(ISNUMBER($D2865))),"",IF(AND($E2865&lt;$D$2,$G2865&lt;&gt;"X",$F2865&lt;&gt;"Réalisé",$F2865&lt;&gt;"Clôturé"),"RETARD",""))</f>
        <v/>
      </c>
      <c r="L2865">
        <f>IF(OR($B2865="",NOT(ISNUMBER($D2865))),"",IF(AND($D2865&gt;=$D$2,$D2865&lt;=$H$2,$G2865&lt;&gt;"X",$F2865&lt;&gt;"Réalisé",$F2865&lt;&gt;"Clôturé"),"≤ 7 j",""))</f>
        <v/>
      </c>
      <c r="M2865" s="29">
        <f>IF($B2865="","",IFERROR(INDEX($T$4:$T$3183,MATCH(SMALL($V$4:$V$3183,2862),$V$4:$V$3183,0)),""))</f>
        <v/>
      </c>
      <c r="O2865">
        <f>IF(INDEX(Suivi!$B:$B,2919)="","",INDEX(Suivi!$B:$B,2919))</f>
        <v/>
      </c>
      <c r="P2865">
        <f>IF($O2865="","",IF(INDEX(Suivi!$D:$D,2919)="",INDEX(Suivi!$C:$C,2919),INDEX(Suivi!$D:$D,2919)))</f>
        <v/>
      </c>
      <c r="Q2865">
        <f>IF($O2865="","",INDEX(Suivi!$E:$E,2919))</f>
        <v/>
      </c>
      <c r="R2865">
        <f>IF($O2865="","",INDEX(Suivi!$F:$F,2919))</f>
        <v/>
      </c>
      <c r="S2865">
        <f>IF($O2865="","",INDEX(Suivi!$G:$G,2919))</f>
        <v/>
      </c>
      <c r="T2865">
        <f>IF($O2865="","",IF(INDEX(Dossiers!$F$4:$F$63,54)="","",INDEX(Dossiers!$F$4:$F$63,54)))</f>
        <v/>
      </c>
      <c r="U2865">
        <f>IF($O2865="","",IF(INDEX(Dossiers!$G$4:$G$63,54)="","",INDEX(Dossiers!$G$4:$G$63,54)))</f>
        <v/>
      </c>
      <c r="V2865">
        <f>IF(OR($O2865="",NOT(ISNUMBER($Q2865))),"",$Q2865*1000000+2865)</f>
        <v/>
      </c>
      <c r="W2865" s="29">
        <f>IF($B2865="","",IFERROR(INDEX($U$4:$U$3183,MATCH(SMALL($V$4:$V$3183,2862),$V$4:$V$3183,0)),""))</f>
        <v/>
      </c>
    </row>
    <row r="2866">
      <c r="A2866">
        <f>IFERROR(INDEX($N$4:$N$3183,MATCH(SMALL($V$4:$V$3183,2863),$V$4:$V$3183,0)),"")</f>
        <v/>
      </c>
      <c r="B2866">
        <f>IFERROR(INDEX($O$4:$O$3183,MATCH(SMALL($V$4:$V$3183,2863),$V$4:$V$3183,0)),"")</f>
        <v/>
      </c>
      <c r="C2866">
        <f>IFERROR(INDEX($P$4:$P$3183,MATCH(SMALL($V$4:$V$3183,2863),$V$4:$V$3183,0)),"")</f>
        <v/>
      </c>
      <c r="D2866" s="29">
        <f>IFERROR(INDEX($Q$4:$Q$3183,MATCH(SMALL($V$4:$V$3183,2863),$V$4:$V$3183,0)),"")</f>
        <v/>
      </c>
      <c r="E2866" s="29">
        <f>IFERROR(INDEX($R$4:$R$3183,MATCH(SMALL($V$4:$V$3183,2863),$V$4:$V$3183,0)),"")</f>
        <v/>
      </c>
      <c r="F2866">
        <f>IFERROR(INDEX($S$4:$S$3183,MATCH(SMALL($V$4:$V$3183,2863),$V$4:$V$3183,0)),"")</f>
        <v/>
      </c>
      <c r="I2866" s="29">
        <f>IF($B2866="","",IFERROR(INDEX($U$4:$U$3183,MATCH(SMALL($V$4:$V$3183,2863),$V$4:$V$3183,0)),""))</f>
        <v/>
      </c>
      <c r="J2866">
        <f>IF($B2866="","",IF($D2866&gt;$F$2,"À venir",IF($E2866&lt;$D$2,"Passé","Dans la période")))</f>
        <v/>
      </c>
      <c r="K2866">
        <f>IF(OR($B2866="",NOT(ISNUMBER($D2866))),"",IF(AND($E2866&lt;$D$2,$G2866&lt;&gt;"X",$F2866&lt;&gt;"Réalisé",$F2866&lt;&gt;"Clôturé"),"RETARD",""))</f>
        <v/>
      </c>
      <c r="L2866">
        <f>IF(OR($B2866="",NOT(ISNUMBER($D2866))),"",IF(AND($D2866&gt;=$D$2,$D2866&lt;=$H$2,$G2866&lt;&gt;"X",$F2866&lt;&gt;"Réalisé",$F2866&lt;&gt;"Clôturé"),"≤ 7 j",""))</f>
        <v/>
      </c>
      <c r="M2866" s="29">
        <f>IF($B2866="","",IFERROR(INDEX($T$4:$T$3183,MATCH(SMALL($V$4:$V$3183,2863),$V$4:$V$3183,0)),""))</f>
        <v/>
      </c>
      <c r="O2866">
        <f>IF(INDEX(Suivi!$B:$B,2921)="","",INDEX(Suivi!$B:$B,2921))</f>
        <v/>
      </c>
      <c r="P2866">
        <f>IF($O2866="","",IF(INDEX(Suivi!$D:$D,2921)="",INDEX(Suivi!$C:$C,2921),INDEX(Suivi!$D:$D,2921)))</f>
        <v/>
      </c>
      <c r="Q2866">
        <f>IF($O2866="","",INDEX(Suivi!$E:$E,2921))</f>
        <v/>
      </c>
      <c r="R2866">
        <f>IF($O2866="","",INDEX(Suivi!$F:$F,2921))</f>
        <v/>
      </c>
      <c r="S2866">
        <f>IF($O2866="","",INDEX(Suivi!$G:$G,2921))</f>
        <v/>
      </c>
      <c r="T2866">
        <f>IF($O2866="","",IF(INDEX(Dossiers!$F$4:$F$63,55)="","",INDEX(Dossiers!$F$4:$F$63,55)))</f>
        <v/>
      </c>
      <c r="U2866">
        <f>IF($O2866="","",IF(INDEX(Dossiers!$G$4:$G$63,55)="","",INDEX(Dossiers!$G$4:$G$63,55)))</f>
        <v/>
      </c>
      <c r="V2866">
        <f>IF(OR($O2866="",NOT(ISNUMBER($Q2866))),"",$Q2866*1000000+2866)</f>
        <v/>
      </c>
      <c r="W2866" s="29">
        <f>IF($B2866="","",IFERROR(INDEX($U$4:$U$3183,MATCH(SMALL($V$4:$V$3183,2863),$V$4:$V$3183,0)),""))</f>
        <v/>
      </c>
    </row>
    <row r="2867">
      <c r="A2867">
        <f>IFERROR(INDEX($N$4:$N$3183,MATCH(SMALL($V$4:$V$3183,2864),$V$4:$V$3183,0)),"")</f>
        <v/>
      </c>
      <c r="B2867">
        <f>IFERROR(INDEX($O$4:$O$3183,MATCH(SMALL($V$4:$V$3183,2864),$V$4:$V$3183,0)),"")</f>
        <v/>
      </c>
      <c r="C2867">
        <f>IFERROR(INDEX($P$4:$P$3183,MATCH(SMALL($V$4:$V$3183,2864),$V$4:$V$3183,0)),"")</f>
        <v/>
      </c>
      <c r="D2867" s="29">
        <f>IFERROR(INDEX($Q$4:$Q$3183,MATCH(SMALL($V$4:$V$3183,2864),$V$4:$V$3183,0)),"")</f>
        <v/>
      </c>
      <c r="E2867" s="29">
        <f>IFERROR(INDEX($R$4:$R$3183,MATCH(SMALL($V$4:$V$3183,2864),$V$4:$V$3183,0)),"")</f>
        <v/>
      </c>
      <c r="F2867">
        <f>IFERROR(INDEX($S$4:$S$3183,MATCH(SMALL($V$4:$V$3183,2864),$V$4:$V$3183,0)),"")</f>
        <v/>
      </c>
      <c r="I2867" s="29">
        <f>IF($B2867="","",IFERROR(INDEX($U$4:$U$3183,MATCH(SMALL($V$4:$V$3183,2864),$V$4:$V$3183,0)),""))</f>
        <v/>
      </c>
      <c r="J2867">
        <f>IF($B2867="","",IF($D2867&gt;$F$2,"À venir",IF($E2867&lt;$D$2,"Passé","Dans la période")))</f>
        <v/>
      </c>
      <c r="K2867">
        <f>IF(OR($B2867="",NOT(ISNUMBER($D2867))),"",IF(AND($E2867&lt;$D$2,$G2867&lt;&gt;"X",$F2867&lt;&gt;"Réalisé",$F2867&lt;&gt;"Clôturé"),"RETARD",""))</f>
        <v/>
      </c>
      <c r="L2867">
        <f>IF(OR($B2867="",NOT(ISNUMBER($D2867))),"",IF(AND($D2867&gt;=$D$2,$D2867&lt;=$H$2,$G2867&lt;&gt;"X",$F2867&lt;&gt;"Réalisé",$F2867&lt;&gt;"Clôturé"),"≤ 7 j",""))</f>
        <v/>
      </c>
      <c r="M2867" s="29">
        <f>IF($B2867="","",IFERROR(INDEX($T$4:$T$3183,MATCH(SMALL($V$4:$V$3183,2864),$V$4:$V$3183,0)),""))</f>
        <v/>
      </c>
      <c r="O2867">
        <f>IF(INDEX(Suivi!$B:$B,2922)="","",INDEX(Suivi!$B:$B,2922))</f>
        <v/>
      </c>
      <c r="P2867">
        <f>IF($O2867="","",IF(INDEX(Suivi!$D:$D,2922)="",INDEX(Suivi!$C:$C,2922),INDEX(Suivi!$D:$D,2922)))</f>
        <v/>
      </c>
      <c r="Q2867">
        <f>IF($O2867="","",INDEX(Suivi!$E:$E,2922))</f>
        <v/>
      </c>
      <c r="R2867">
        <f>IF($O2867="","",INDEX(Suivi!$F:$F,2922))</f>
        <v/>
      </c>
      <c r="S2867">
        <f>IF($O2867="","",INDEX(Suivi!$G:$G,2922))</f>
        <v/>
      </c>
      <c r="T2867">
        <f>IF($O2867="","",IF(INDEX(Dossiers!$F$4:$F$63,55)="","",INDEX(Dossiers!$F$4:$F$63,55)))</f>
        <v/>
      </c>
      <c r="U2867">
        <f>IF($O2867="","",IF(INDEX(Dossiers!$G$4:$G$63,55)="","",INDEX(Dossiers!$G$4:$G$63,55)))</f>
        <v/>
      </c>
      <c r="V2867">
        <f>IF(OR($O2867="",NOT(ISNUMBER($Q2867))),"",$Q2867*1000000+2867)</f>
        <v/>
      </c>
      <c r="W2867" s="29">
        <f>IF($B2867="","",IFERROR(INDEX($U$4:$U$3183,MATCH(SMALL($V$4:$V$3183,2864),$V$4:$V$3183,0)),""))</f>
        <v/>
      </c>
    </row>
    <row r="2868">
      <c r="A2868">
        <f>IFERROR(INDEX($N$4:$N$3183,MATCH(SMALL($V$4:$V$3183,2865),$V$4:$V$3183,0)),"")</f>
        <v/>
      </c>
      <c r="B2868">
        <f>IFERROR(INDEX($O$4:$O$3183,MATCH(SMALL($V$4:$V$3183,2865),$V$4:$V$3183,0)),"")</f>
        <v/>
      </c>
      <c r="C2868">
        <f>IFERROR(INDEX($P$4:$P$3183,MATCH(SMALL($V$4:$V$3183,2865),$V$4:$V$3183,0)),"")</f>
        <v/>
      </c>
      <c r="D2868" s="29">
        <f>IFERROR(INDEX($Q$4:$Q$3183,MATCH(SMALL($V$4:$V$3183,2865),$V$4:$V$3183,0)),"")</f>
        <v/>
      </c>
      <c r="E2868" s="29">
        <f>IFERROR(INDEX($R$4:$R$3183,MATCH(SMALL($V$4:$V$3183,2865),$V$4:$V$3183,0)),"")</f>
        <v/>
      </c>
      <c r="F2868">
        <f>IFERROR(INDEX($S$4:$S$3183,MATCH(SMALL($V$4:$V$3183,2865),$V$4:$V$3183,0)),"")</f>
        <v/>
      </c>
      <c r="I2868" s="29">
        <f>IF($B2868="","",IFERROR(INDEX($U$4:$U$3183,MATCH(SMALL($V$4:$V$3183,2865),$V$4:$V$3183,0)),""))</f>
        <v/>
      </c>
      <c r="J2868">
        <f>IF($B2868="","",IF($D2868&gt;$F$2,"À venir",IF($E2868&lt;$D$2,"Passé","Dans la période")))</f>
        <v/>
      </c>
      <c r="K2868">
        <f>IF(OR($B2868="",NOT(ISNUMBER($D2868))),"",IF(AND($E2868&lt;$D$2,$G2868&lt;&gt;"X",$F2868&lt;&gt;"Réalisé",$F2868&lt;&gt;"Clôturé"),"RETARD",""))</f>
        <v/>
      </c>
      <c r="L2868">
        <f>IF(OR($B2868="",NOT(ISNUMBER($D2868))),"",IF(AND($D2868&gt;=$D$2,$D2868&lt;=$H$2,$G2868&lt;&gt;"X",$F2868&lt;&gt;"Réalisé",$F2868&lt;&gt;"Clôturé"),"≤ 7 j",""))</f>
        <v/>
      </c>
      <c r="M2868" s="29">
        <f>IF($B2868="","",IFERROR(INDEX($T$4:$T$3183,MATCH(SMALL($V$4:$V$3183,2865),$V$4:$V$3183,0)),""))</f>
        <v/>
      </c>
      <c r="O2868">
        <f>IF(INDEX(Suivi!$B:$B,2923)="","",INDEX(Suivi!$B:$B,2923))</f>
        <v/>
      </c>
      <c r="P2868">
        <f>IF($O2868="","",IF(INDEX(Suivi!$D:$D,2923)="",INDEX(Suivi!$C:$C,2923),INDEX(Suivi!$D:$D,2923)))</f>
        <v/>
      </c>
      <c r="Q2868">
        <f>IF($O2868="","",INDEX(Suivi!$E:$E,2923))</f>
        <v/>
      </c>
      <c r="R2868">
        <f>IF($O2868="","",INDEX(Suivi!$F:$F,2923))</f>
        <v/>
      </c>
      <c r="S2868">
        <f>IF($O2868="","",INDEX(Suivi!$G:$G,2923))</f>
        <v/>
      </c>
      <c r="T2868">
        <f>IF($O2868="","",IF(INDEX(Dossiers!$F$4:$F$63,55)="","",INDEX(Dossiers!$F$4:$F$63,55)))</f>
        <v/>
      </c>
      <c r="U2868">
        <f>IF($O2868="","",IF(INDEX(Dossiers!$G$4:$G$63,55)="","",INDEX(Dossiers!$G$4:$G$63,55)))</f>
        <v/>
      </c>
      <c r="V2868">
        <f>IF(OR($O2868="",NOT(ISNUMBER($Q2868))),"",$Q2868*1000000+2868)</f>
        <v/>
      </c>
      <c r="W2868" s="29">
        <f>IF($B2868="","",IFERROR(INDEX($U$4:$U$3183,MATCH(SMALL($V$4:$V$3183,2865),$V$4:$V$3183,0)),""))</f>
        <v/>
      </c>
    </row>
    <row r="2869">
      <c r="A2869">
        <f>IFERROR(INDEX($N$4:$N$3183,MATCH(SMALL($V$4:$V$3183,2866),$V$4:$V$3183,0)),"")</f>
        <v/>
      </c>
      <c r="B2869">
        <f>IFERROR(INDEX($O$4:$O$3183,MATCH(SMALL($V$4:$V$3183,2866),$V$4:$V$3183,0)),"")</f>
        <v/>
      </c>
      <c r="C2869">
        <f>IFERROR(INDEX($P$4:$P$3183,MATCH(SMALL($V$4:$V$3183,2866),$V$4:$V$3183,0)),"")</f>
        <v/>
      </c>
      <c r="D2869" s="29">
        <f>IFERROR(INDEX($Q$4:$Q$3183,MATCH(SMALL($V$4:$V$3183,2866),$V$4:$V$3183,0)),"")</f>
        <v/>
      </c>
      <c r="E2869" s="29">
        <f>IFERROR(INDEX($R$4:$R$3183,MATCH(SMALL($V$4:$V$3183,2866),$V$4:$V$3183,0)),"")</f>
        <v/>
      </c>
      <c r="F2869">
        <f>IFERROR(INDEX($S$4:$S$3183,MATCH(SMALL($V$4:$V$3183,2866),$V$4:$V$3183,0)),"")</f>
        <v/>
      </c>
      <c r="I2869" s="29">
        <f>IF($B2869="","",IFERROR(INDEX($U$4:$U$3183,MATCH(SMALL($V$4:$V$3183,2866),$V$4:$V$3183,0)),""))</f>
        <v/>
      </c>
      <c r="J2869">
        <f>IF($B2869="","",IF($D2869&gt;$F$2,"À venir",IF($E2869&lt;$D$2,"Passé","Dans la période")))</f>
        <v/>
      </c>
      <c r="K2869">
        <f>IF(OR($B2869="",NOT(ISNUMBER($D2869))),"",IF(AND($E2869&lt;$D$2,$G2869&lt;&gt;"X",$F2869&lt;&gt;"Réalisé",$F2869&lt;&gt;"Clôturé"),"RETARD",""))</f>
        <v/>
      </c>
      <c r="L2869">
        <f>IF(OR($B2869="",NOT(ISNUMBER($D2869))),"",IF(AND($D2869&gt;=$D$2,$D2869&lt;=$H$2,$G2869&lt;&gt;"X",$F2869&lt;&gt;"Réalisé",$F2869&lt;&gt;"Clôturé"),"≤ 7 j",""))</f>
        <v/>
      </c>
      <c r="M2869" s="29">
        <f>IF($B2869="","",IFERROR(INDEX($T$4:$T$3183,MATCH(SMALL($V$4:$V$3183,2866),$V$4:$V$3183,0)),""))</f>
        <v/>
      </c>
      <c r="O2869">
        <f>IF(INDEX(Suivi!$B:$B,2924)="","",INDEX(Suivi!$B:$B,2924))</f>
        <v/>
      </c>
      <c r="P2869">
        <f>IF($O2869="","",IF(INDEX(Suivi!$D:$D,2924)="",INDEX(Suivi!$C:$C,2924),INDEX(Suivi!$D:$D,2924)))</f>
        <v/>
      </c>
      <c r="Q2869">
        <f>IF($O2869="","",INDEX(Suivi!$E:$E,2924))</f>
        <v/>
      </c>
      <c r="R2869">
        <f>IF($O2869="","",INDEX(Suivi!$F:$F,2924))</f>
        <v/>
      </c>
      <c r="S2869">
        <f>IF($O2869="","",INDEX(Suivi!$G:$G,2924))</f>
        <v/>
      </c>
      <c r="T2869">
        <f>IF($O2869="","",IF(INDEX(Dossiers!$F$4:$F$63,55)="","",INDEX(Dossiers!$F$4:$F$63,55)))</f>
        <v/>
      </c>
      <c r="U2869">
        <f>IF($O2869="","",IF(INDEX(Dossiers!$G$4:$G$63,55)="","",INDEX(Dossiers!$G$4:$G$63,55)))</f>
        <v/>
      </c>
      <c r="V2869">
        <f>IF(OR($O2869="",NOT(ISNUMBER($Q2869))),"",$Q2869*1000000+2869)</f>
        <v/>
      </c>
      <c r="W2869" s="29">
        <f>IF($B2869="","",IFERROR(INDEX($U$4:$U$3183,MATCH(SMALL($V$4:$V$3183,2866),$V$4:$V$3183,0)),""))</f>
        <v/>
      </c>
    </row>
    <row r="2870">
      <c r="A2870">
        <f>IFERROR(INDEX($N$4:$N$3183,MATCH(SMALL($V$4:$V$3183,2867),$V$4:$V$3183,0)),"")</f>
        <v/>
      </c>
      <c r="B2870">
        <f>IFERROR(INDEX($O$4:$O$3183,MATCH(SMALL($V$4:$V$3183,2867),$V$4:$V$3183,0)),"")</f>
        <v/>
      </c>
      <c r="C2870">
        <f>IFERROR(INDEX($P$4:$P$3183,MATCH(SMALL($V$4:$V$3183,2867),$V$4:$V$3183,0)),"")</f>
        <v/>
      </c>
      <c r="D2870" s="29">
        <f>IFERROR(INDEX($Q$4:$Q$3183,MATCH(SMALL($V$4:$V$3183,2867),$V$4:$V$3183,0)),"")</f>
        <v/>
      </c>
      <c r="E2870" s="29">
        <f>IFERROR(INDEX($R$4:$R$3183,MATCH(SMALL($V$4:$V$3183,2867),$V$4:$V$3183,0)),"")</f>
        <v/>
      </c>
      <c r="F2870">
        <f>IFERROR(INDEX($S$4:$S$3183,MATCH(SMALL($V$4:$V$3183,2867),$V$4:$V$3183,0)),"")</f>
        <v/>
      </c>
      <c r="I2870" s="29">
        <f>IF($B2870="","",IFERROR(INDEX($U$4:$U$3183,MATCH(SMALL($V$4:$V$3183,2867),$V$4:$V$3183,0)),""))</f>
        <v/>
      </c>
      <c r="J2870">
        <f>IF($B2870="","",IF($D2870&gt;$F$2,"À venir",IF($E2870&lt;$D$2,"Passé","Dans la période")))</f>
        <v/>
      </c>
      <c r="K2870">
        <f>IF(OR($B2870="",NOT(ISNUMBER($D2870))),"",IF(AND($E2870&lt;$D$2,$G2870&lt;&gt;"X",$F2870&lt;&gt;"Réalisé",$F2870&lt;&gt;"Clôturé"),"RETARD",""))</f>
        <v/>
      </c>
      <c r="L2870">
        <f>IF(OR($B2870="",NOT(ISNUMBER($D2870))),"",IF(AND($D2870&gt;=$D$2,$D2870&lt;=$H$2,$G2870&lt;&gt;"X",$F2870&lt;&gt;"Réalisé",$F2870&lt;&gt;"Clôturé"),"≤ 7 j",""))</f>
        <v/>
      </c>
      <c r="M2870" s="29">
        <f>IF($B2870="","",IFERROR(INDEX($T$4:$T$3183,MATCH(SMALL($V$4:$V$3183,2867),$V$4:$V$3183,0)),""))</f>
        <v/>
      </c>
      <c r="O2870">
        <f>IF(INDEX(Suivi!$B:$B,2925)="","",INDEX(Suivi!$B:$B,2925))</f>
        <v/>
      </c>
      <c r="P2870">
        <f>IF($O2870="","",IF(INDEX(Suivi!$D:$D,2925)="",INDEX(Suivi!$C:$C,2925),INDEX(Suivi!$D:$D,2925)))</f>
        <v/>
      </c>
      <c r="Q2870">
        <f>IF($O2870="","",INDEX(Suivi!$E:$E,2925))</f>
        <v/>
      </c>
      <c r="R2870">
        <f>IF($O2870="","",INDEX(Suivi!$F:$F,2925))</f>
        <v/>
      </c>
      <c r="S2870">
        <f>IF($O2870="","",INDEX(Suivi!$G:$G,2925))</f>
        <v/>
      </c>
      <c r="T2870">
        <f>IF($O2870="","",IF(INDEX(Dossiers!$F$4:$F$63,55)="","",INDEX(Dossiers!$F$4:$F$63,55)))</f>
        <v/>
      </c>
      <c r="U2870">
        <f>IF($O2870="","",IF(INDEX(Dossiers!$G$4:$G$63,55)="","",INDEX(Dossiers!$G$4:$G$63,55)))</f>
        <v/>
      </c>
      <c r="V2870">
        <f>IF(OR($O2870="",NOT(ISNUMBER($Q2870))),"",$Q2870*1000000+2870)</f>
        <v/>
      </c>
      <c r="W2870" s="29">
        <f>IF($B2870="","",IFERROR(INDEX($U$4:$U$3183,MATCH(SMALL($V$4:$V$3183,2867),$V$4:$V$3183,0)),""))</f>
        <v/>
      </c>
    </row>
    <row r="2871">
      <c r="A2871">
        <f>IFERROR(INDEX($N$4:$N$3183,MATCH(SMALL($V$4:$V$3183,2868),$V$4:$V$3183,0)),"")</f>
        <v/>
      </c>
      <c r="B2871">
        <f>IFERROR(INDEX($O$4:$O$3183,MATCH(SMALL($V$4:$V$3183,2868),$V$4:$V$3183,0)),"")</f>
        <v/>
      </c>
      <c r="C2871">
        <f>IFERROR(INDEX($P$4:$P$3183,MATCH(SMALL($V$4:$V$3183,2868),$V$4:$V$3183,0)),"")</f>
        <v/>
      </c>
      <c r="D2871" s="29">
        <f>IFERROR(INDEX($Q$4:$Q$3183,MATCH(SMALL($V$4:$V$3183,2868),$V$4:$V$3183,0)),"")</f>
        <v/>
      </c>
      <c r="E2871" s="29">
        <f>IFERROR(INDEX($R$4:$R$3183,MATCH(SMALL($V$4:$V$3183,2868),$V$4:$V$3183,0)),"")</f>
        <v/>
      </c>
      <c r="F2871">
        <f>IFERROR(INDEX($S$4:$S$3183,MATCH(SMALL($V$4:$V$3183,2868),$V$4:$V$3183,0)),"")</f>
        <v/>
      </c>
      <c r="I2871" s="29">
        <f>IF($B2871="","",IFERROR(INDEX($U$4:$U$3183,MATCH(SMALL($V$4:$V$3183,2868),$V$4:$V$3183,0)),""))</f>
        <v/>
      </c>
      <c r="J2871">
        <f>IF($B2871="","",IF($D2871&gt;$F$2,"À venir",IF($E2871&lt;$D$2,"Passé","Dans la période")))</f>
        <v/>
      </c>
      <c r="K2871">
        <f>IF(OR($B2871="",NOT(ISNUMBER($D2871))),"",IF(AND($E2871&lt;$D$2,$G2871&lt;&gt;"X",$F2871&lt;&gt;"Réalisé",$F2871&lt;&gt;"Clôturé"),"RETARD",""))</f>
        <v/>
      </c>
      <c r="L2871">
        <f>IF(OR($B2871="",NOT(ISNUMBER($D2871))),"",IF(AND($D2871&gt;=$D$2,$D2871&lt;=$H$2,$G2871&lt;&gt;"X",$F2871&lt;&gt;"Réalisé",$F2871&lt;&gt;"Clôturé"),"≤ 7 j",""))</f>
        <v/>
      </c>
      <c r="M2871" s="29">
        <f>IF($B2871="","",IFERROR(INDEX($T$4:$T$3183,MATCH(SMALL($V$4:$V$3183,2868),$V$4:$V$3183,0)),""))</f>
        <v/>
      </c>
      <c r="O2871">
        <f>IF(INDEX(Suivi!$B:$B,2926)="","",INDEX(Suivi!$B:$B,2926))</f>
        <v/>
      </c>
      <c r="P2871">
        <f>IF($O2871="","",IF(INDEX(Suivi!$D:$D,2926)="",INDEX(Suivi!$C:$C,2926),INDEX(Suivi!$D:$D,2926)))</f>
        <v/>
      </c>
      <c r="Q2871">
        <f>IF($O2871="","",INDEX(Suivi!$E:$E,2926))</f>
        <v/>
      </c>
      <c r="R2871">
        <f>IF($O2871="","",INDEX(Suivi!$F:$F,2926))</f>
        <v/>
      </c>
      <c r="S2871">
        <f>IF($O2871="","",INDEX(Suivi!$G:$G,2926))</f>
        <v/>
      </c>
      <c r="T2871">
        <f>IF($O2871="","",IF(INDEX(Dossiers!$F$4:$F$63,55)="","",INDEX(Dossiers!$F$4:$F$63,55)))</f>
        <v/>
      </c>
      <c r="U2871">
        <f>IF($O2871="","",IF(INDEX(Dossiers!$G$4:$G$63,55)="","",INDEX(Dossiers!$G$4:$G$63,55)))</f>
        <v/>
      </c>
      <c r="V2871">
        <f>IF(OR($O2871="",NOT(ISNUMBER($Q2871))),"",$Q2871*1000000+2871)</f>
        <v/>
      </c>
      <c r="W2871" s="29">
        <f>IF($B2871="","",IFERROR(INDEX($U$4:$U$3183,MATCH(SMALL($V$4:$V$3183,2868),$V$4:$V$3183,0)),""))</f>
        <v/>
      </c>
    </row>
    <row r="2872">
      <c r="A2872">
        <f>IFERROR(INDEX($N$4:$N$3183,MATCH(SMALL($V$4:$V$3183,2869),$V$4:$V$3183,0)),"")</f>
        <v/>
      </c>
      <c r="B2872">
        <f>IFERROR(INDEX($O$4:$O$3183,MATCH(SMALL($V$4:$V$3183,2869),$V$4:$V$3183,0)),"")</f>
        <v/>
      </c>
      <c r="C2872">
        <f>IFERROR(INDEX($P$4:$P$3183,MATCH(SMALL($V$4:$V$3183,2869),$V$4:$V$3183,0)),"")</f>
        <v/>
      </c>
      <c r="D2872" s="29">
        <f>IFERROR(INDEX($Q$4:$Q$3183,MATCH(SMALL($V$4:$V$3183,2869),$V$4:$V$3183,0)),"")</f>
        <v/>
      </c>
      <c r="E2872" s="29">
        <f>IFERROR(INDEX($R$4:$R$3183,MATCH(SMALL($V$4:$V$3183,2869),$V$4:$V$3183,0)),"")</f>
        <v/>
      </c>
      <c r="F2872">
        <f>IFERROR(INDEX($S$4:$S$3183,MATCH(SMALL($V$4:$V$3183,2869),$V$4:$V$3183,0)),"")</f>
        <v/>
      </c>
      <c r="I2872" s="29">
        <f>IF($B2872="","",IFERROR(INDEX($U$4:$U$3183,MATCH(SMALL($V$4:$V$3183,2869),$V$4:$V$3183,0)),""))</f>
        <v/>
      </c>
      <c r="J2872">
        <f>IF($B2872="","",IF($D2872&gt;$F$2,"À venir",IF($E2872&lt;$D$2,"Passé","Dans la période")))</f>
        <v/>
      </c>
      <c r="K2872">
        <f>IF(OR($B2872="",NOT(ISNUMBER($D2872))),"",IF(AND($E2872&lt;$D$2,$G2872&lt;&gt;"X",$F2872&lt;&gt;"Réalisé",$F2872&lt;&gt;"Clôturé"),"RETARD",""))</f>
        <v/>
      </c>
      <c r="L2872">
        <f>IF(OR($B2872="",NOT(ISNUMBER($D2872))),"",IF(AND($D2872&gt;=$D$2,$D2872&lt;=$H$2,$G2872&lt;&gt;"X",$F2872&lt;&gt;"Réalisé",$F2872&lt;&gt;"Clôturé"),"≤ 7 j",""))</f>
        <v/>
      </c>
      <c r="M2872" s="29">
        <f>IF($B2872="","",IFERROR(INDEX($T$4:$T$3183,MATCH(SMALL($V$4:$V$3183,2869),$V$4:$V$3183,0)),""))</f>
        <v/>
      </c>
      <c r="O2872">
        <f>IF(INDEX(Suivi!$B:$B,2927)="","",INDEX(Suivi!$B:$B,2927))</f>
        <v/>
      </c>
      <c r="P2872">
        <f>IF($O2872="","",IF(INDEX(Suivi!$D:$D,2927)="",INDEX(Suivi!$C:$C,2927),INDEX(Suivi!$D:$D,2927)))</f>
        <v/>
      </c>
      <c r="Q2872">
        <f>IF($O2872="","",INDEX(Suivi!$E:$E,2927))</f>
        <v/>
      </c>
      <c r="R2872">
        <f>IF($O2872="","",INDEX(Suivi!$F:$F,2927))</f>
        <v/>
      </c>
      <c r="S2872">
        <f>IF($O2872="","",INDEX(Suivi!$G:$G,2927))</f>
        <v/>
      </c>
      <c r="T2872">
        <f>IF($O2872="","",IF(INDEX(Dossiers!$F$4:$F$63,55)="","",INDEX(Dossiers!$F$4:$F$63,55)))</f>
        <v/>
      </c>
      <c r="U2872">
        <f>IF($O2872="","",IF(INDEX(Dossiers!$G$4:$G$63,55)="","",INDEX(Dossiers!$G$4:$G$63,55)))</f>
        <v/>
      </c>
      <c r="V2872">
        <f>IF(OR($O2872="",NOT(ISNUMBER($Q2872))),"",$Q2872*1000000+2872)</f>
        <v/>
      </c>
      <c r="W2872" s="29">
        <f>IF($B2872="","",IFERROR(INDEX($U$4:$U$3183,MATCH(SMALL($V$4:$V$3183,2869),$V$4:$V$3183,0)),""))</f>
        <v/>
      </c>
    </row>
    <row r="2873">
      <c r="A2873">
        <f>IFERROR(INDEX($N$4:$N$3183,MATCH(SMALL($V$4:$V$3183,2870),$V$4:$V$3183,0)),"")</f>
        <v/>
      </c>
      <c r="B2873">
        <f>IFERROR(INDEX($O$4:$O$3183,MATCH(SMALL($V$4:$V$3183,2870),$V$4:$V$3183,0)),"")</f>
        <v/>
      </c>
      <c r="C2873">
        <f>IFERROR(INDEX($P$4:$P$3183,MATCH(SMALL($V$4:$V$3183,2870),$V$4:$V$3183,0)),"")</f>
        <v/>
      </c>
      <c r="D2873" s="29">
        <f>IFERROR(INDEX($Q$4:$Q$3183,MATCH(SMALL($V$4:$V$3183,2870),$V$4:$V$3183,0)),"")</f>
        <v/>
      </c>
      <c r="E2873" s="29">
        <f>IFERROR(INDEX($R$4:$R$3183,MATCH(SMALL($V$4:$V$3183,2870),$V$4:$V$3183,0)),"")</f>
        <v/>
      </c>
      <c r="F2873">
        <f>IFERROR(INDEX($S$4:$S$3183,MATCH(SMALL($V$4:$V$3183,2870),$V$4:$V$3183,0)),"")</f>
        <v/>
      </c>
      <c r="I2873" s="29">
        <f>IF($B2873="","",IFERROR(INDEX($U$4:$U$3183,MATCH(SMALL($V$4:$V$3183,2870),$V$4:$V$3183,0)),""))</f>
        <v/>
      </c>
      <c r="J2873">
        <f>IF($B2873="","",IF($D2873&gt;$F$2,"À venir",IF($E2873&lt;$D$2,"Passé","Dans la période")))</f>
        <v/>
      </c>
      <c r="K2873">
        <f>IF(OR($B2873="",NOT(ISNUMBER($D2873))),"",IF(AND($E2873&lt;$D$2,$G2873&lt;&gt;"X",$F2873&lt;&gt;"Réalisé",$F2873&lt;&gt;"Clôturé"),"RETARD",""))</f>
        <v/>
      </c>
      <c r="L2873">
        <f>IF(OR($B2873="",NOT(ISNUMBER($D2873))),"",IF(AND($D2873&gt;=$D$2,$D2873&lt;=$H$2,$G2873&lt;&gt;"X",$F2873&lt;&gt;"Réalisé",$F2873&lt;&gt;"Clôturé"),"≤ 7 j",""))</f>
        <v/>
      </c>
      <c r="M2873" s="29">
        <f>IF($B2873="","",IFERROR(INDEX($T$4:$T$3183,MATCH(SMALL($V$4:$V$3183,2870),$V$4:$V$3183,0)),""))</f>
        <v/>
      </c>
      <c r="O2873">
        <f>IF(INDEX(Suivi!$B:$B,2928)="","",INDEX(Suivi!$B:$B,2928))</f>
        <v/>
      </c>
      <c r="P2873">
        <f>IF($O2873="","",IF(INDEX(Suivi!$D:$D,2928)="",INDEX(Suivi!$C:$C,2928),INDEX(Suivi!$D:$D,2928)))</f>
        <v/>
      </c>
      <c r="Q2873">
        <f>IF($O2873="","",INDEX(Suivi!$E:$E,2928))</f>
        <v/>
      </c>
      <c r="R2873">
        <f>IF($O2873="","",INDEX(Suivi!$F:$F,2928))</f>
        <v/>
      </c>
      <c r="S2873">
        <f>IF($O2873="","",INDEX(Suivi!$G:$G,2928))</f>
        <v/>
      </c>
      <c r="T2873">
        <f>IF($O2873="","",IF(INDEX(Dossiers!$F$4:$F$63,55)="","",INDEX(Dossiers!$F$4:$F$63,55)))</f>
        <v/>
      </c>
      <c r="U2873">
        <f>IF($O2873="","",IF(INDEX(Dossiers!$G$4:$G$63,55)="","",INDEX(Dossiers!$G$4:$G$63,55)))</f>
        <v/>
      </c>
      <c r="V2873">
        <f>IF(OR($O2873="",NOT(ISNUMBER($Q2873))),"",$Q2873*1000000+2873)</f>
        <v/>
      </c>
      <c r="W2873" s="29">
        <f>IF($B2873="","",IFERROR(INDEX($U$4:$U$3183,MATCH(SMALL($V$4:$V$3183,2870),$V$4:$V$3183,0)),""))</f>
        <v/>
      </c>
    </row>
    <row r="2874">
      <c r="A2874">
        <f>IFERROR(INDEX($N$4:$N$3183,MATCH(SMALL($V$4:$V$3183,2871),$V$4:$V$3183,0)),"")</f>
        <v/>
      </c>
      <c r="B2874">
        <f>IFERROR(INDEX($O$4:$O$3183,MATCH(SMALL($V$4:$V$3183,2871),$V$4:$V$3183,0)),"")</f>
        <v/>
      </c>
      <c r="C2874">
        <f>IFERROR(INDEX($P$4:$P$3183,MATCH(SMALL($V$4:$V$3183,2871),$V$4:$V$3183,0)),"")</f>
        <v/>
      </c>
      <c r="D2874" s="29">
        <f>IFERROR(INDEX($Q$4:$Q$3183,MATCH(SMALL($V$4:$V$3183,2871),$V$4:$V$3183,0)),"")</f>
        <v/>
      </c>
      <c r="E2874" s="29">
        <f>IFERROR(INDEX($R$4:$R$3183,MATCH(SMALL($V$4:$V$3183,2871),$V$4:$V$3183,0)),"")</f>
        <v/>
      </c>
      <c r="F2874">
        <f>IFERROR(INDEX($S$4:$S$3183,MATCH(SMALL($V$4:$V$3183,2871),$V$4:$V$3183,0)),"")</f>
        <v/>
      </c>
      <c r="I2874" s="29">
        <f>IF($B2874="","",IFERROR(INDEX($U$4:$U$3183,MATCH(SMALL($V$4:$V$3183,2871),$V$4:$V$3183,0)),""))</f>
        <v/>
      </c>
      <c r="J2874">
        <f>IF($B2874="","",IF($D2874&gt;$F$2,"À venir",IF($E2874&lt;$D$2,"Passé","Dans la période")))</f>
        <v/>
      </c>
      <c r="K2874">
        <f>IF(OR($B2874="",NOT(ISNUMBER($D2874))),"",IF(AND($E2874&lt;$D$2,$G2874&lt;&gt;"X",$F2874&lt;&gt;"Réalisé",$F2874&lt;&gt;"Clôturé"),"RETARD",""))</f>
        <v/>
      </c>
      <c r="L2874">
        <f>IF(OR($B2874="",NOT(ISNUMBER($D2874))),"",IF(AND($D2874&gt;=$D$2,$D2874&lt;=$H$2,$G2874&lt;&gt;"X",$F2874&lt;&gt;"Réalisé",$F2874&lt;&gt;"Clôturé"),"≤ 7 j",""))</f>
        <v/>
      </c>
      <c r="M2874" s="29">
        <f>IF($B2874="","",IFERROR(INDEX($T$4:$T$3183,MATCH(SMALL($V$4:$V$3183,2871),$V$4:$V$3183,0)),""))</f>
        <v/>
      </c>
      <c r="O2874">
        <f>IF(INDEX(Suivi!$B:$B,2929)="","",INDEX(Suivi!$B:$B,2929))</f>
        <v/>
      </c>
      <c r="P2874">
        <f>IF($O2874="","",IF(INDEX(Suivi!$D:$D,2929)="",INDEX(Suivi!$C:$C,2929),INDEX(Suivi!$D:$D,2929)))</f>
        <v/>
      </c>
      <c r="Q2874">
        <f>IF($O2874="","",INDEX(Suivi!$E:$E,2929))</f>
        <v/>
      </c>
      <c r="R2874">
        <f>IF($O2874="","",INDEX(Suivi!$F:$F,2929))</f>
        <v/>
      </c>
      <c r="S2874">
        <f>IF($O2874="","",INDEX(Suivi!$G:$G,2929))</f>
        <v/>
      </c>
      <c r="T2874">
        <f>IF($O2874="","",IF(INDEX(Dossiers!$F$4:$F$63,55)="","",INDEX(Dossiers!$F$4:$F$63,55)))</f>
        <v/>
      </c>
      <c r="U2874">
        <f>IF($O2874="","",IF(INDEX(Dossiers!$G$4:$G$63,55)="","",INDEX(Dossiers!$G$4:$G$63,55)))</f>
        <v/>
      </c>
      <c r="V2874">
        <f>IF(OR($O2874="",NOT(ISNUMBER($Q2874))),"",$Q2874*1000000+2874)</f>
        <v/>
      </c>
      <c r="W2874" s="29">
        <f>IF($B2874="","",IFERROR(INDEX($U$4:$U$3183,MATCH(SMALL($V$4:$V$3183,2871),$V$4:$V$3183,0)),""))</f>
        <v/>
      </c>
    </row>
    <row r="2875">
      <c r="A2875">
        <f>IFERROR(INDEX($N$4:$N$3183,MATCH(SMALL($V$4:$V$3183,2872),$V$4:$V$3183,0)),"")</f>
        <v/>
      </c>
      <c r="B2875">
        <f>IFERROR(INDEX($O$4:$O$3183,MATCH(SMALL($V$4:$V$3183,2872),$V$4:$V$3183,0)),"")</f>
        <v/>
      </c>
      <c r="C2875">
        <f>IFERROR(INDEX($P$4:$P$3183,MATCH(SMALL($V$4:$V$3183,2872),$V$4:$V$3183,0)),"")</f>
        <v/>
      </c>
      <c r="D2875" s="29">
        <f>IFERROR(INDEX($Q$4:$Q$3183,MATCH(SMALL($V$4:$V$3183,2872),$V$4:$V$3183,0)),"")</f>
        <v/>
      </c>
      <c r="E2875" s="29">
        <f>IFERROR(INDEX($R$4:$R$3183,MATCH(SMALL($V$4:$V$3183,2872),$V$4:$V$3183,0)),"")</f>
        <v/>
      </c>
      <c r="F2875">
        <f>IFERROR(INDEX($S$4:$S$3183,MATCH(SMALL($V$4:$V$3183,2872),$V$4:$V$3183,0)),"")</f>
        <v/>
      </c>
      <c r="I2875" s="29">
        <f>IF($B2875="","",IFERROR(INDEX($U$4:$U$3183,MATCH(SMALL($V$4:$V$3183,2872),$V$4:$V$3183,0)),""))</f>
        <v/>
      </c>
      <c r="J2875">
        <f>IF($B2875="","",IF($D2875&gt;$F$2,"À venir",IF($E2875&lt;$D$2,"Passé","Dans la période")))</f>
        <v/>
      </c>
      <c r="K2875">
        <f>IF(OR($B2875="",NOT(ISNUMBER($D2875))),"",IF(AND($E2875&lt;$D$2,$G2875&lt;&gt;"X",$F2875&lt;&gt;"Réalisé",$F2875&lt;&gt;"Clôturé"),"RETARD",""))</f>
        <v/>
      </c>
      <c r="L2875">
        <f>IF(OR($B2875="",NOT(ISNUMBER($D2875))),"",IF(AND($D2875&gt;=$D$2,$D2875&lt;=$H$2,$G2875&lt;&gt;"X",$F2875&lt;&gt;"Réalisé",$F2875&lt;&gt;"Clôturé"),"≤ 7 j",""))</f>
        <v/>
      </c>
      <c r="M2875" s="29">
        <f>IF($B2875="","",IFERROR(INDEX($T$4:$T$3183,MATCH(SMALL($V$4:$V$3183,2872),$V$4:$V$3183,0)),""))</f>
        <v/>
      </c>
      <c r="O2875">
        <f>IF(INDEX(Suivi!$B:$B,2930)="","",INDEX(Suivi!$B:$B,2930))</f>
        <v/>
      </c>
      <c r="P2875">
        <f>IF($O2875="","",IF(INDEX(Suivi!$D:$D,2930)="",INDEX(Suivi!$C:$C,2930),INDEX(Suivi!$D:$D,2930)))</f>
        <v/>
      </c>
      <c r="Q2875">
        <f>IF($O2875="","",INDEX(Suivi!$E:$E,2930))</f>
        <v/>
      </c>
      <c r="R2875">
        <f>IF($O2875="","",INDEX(Suivi!$F:$F,2930))</f>
        <v/>
      </c>
      <c r="S2875">
        <f>IF($O2875="","",INDEX(Suivi!$G:$G,2930))</f>
        <v/>
      </c>
      <c r="T2875">
        <f>IF($O2875="","",IF(INDEX(Dossiers!$F$4:$F$63,55)="","",INDEX(Dossiers!$F$4:$F$63,55)))</f>
        <v/>
      </c>
      <c r="U2875">
        <f>IF($O2875="","",IF(INDEX(Dossiers!$G$4:$G$63,55)="","",INDEX(Dossiers!$G$4:$G$63,55)))</f>
        <v/>
      </c>
      <c r="V2875">
        <f>IF(OR($O2875="",NOT(ISNUMBER($Q2875))),"",$Q2875*1000000+2875)</f>
        <v/>
      </c>
      <c r="W2875" s="29">
        <f>IF($B2875="","",IFERROR(INDEX($U$4:$U$3183,MATCH(SMALL($V$4:$V$3183,2872),$V$4:$V$3183,0)),""))</f>
        <v/>
      </c>
    </row>
    <row r="2876">
      <c r="A2876">
        <f>IFERROR(INDEX($N$4:$N$3183,MATCH(SMALL($V$4:$V$3183,2873),$V$4:$V$3183,0)),"")</f>
        <v/>
      </c>
      <c r="B2876">
        <f>IFERROR(INDEX($O$4:$O$3183,MATCH(SMALL($V$4:$V$3183,2873),$V$4:$V$3183,0)),"")</f>
        <v/>
      </c>
      <c r="C2876">
        <f>IFERROR(INDEX($P$4:$P$3183,MATCH(SMALL($V$4:$V$3183,2873),$V$4:$V$3183,0)),"")</f>
        <v/>
      </c>
      <c r="D2876" s="29">
        <f>IFERROR(INDEX($Q$4:$Q$3183,MATCH(SMALL($V$4:$V$3183,2873),$V$4:$V$3183,0)),"")</f>
        <v/>
      </c>
      <c r="E2876" s="29">
        <f>IFERROR(INDEX($R$4:$R$3183,MATCH(SMALL($V$4:$V$3183,2873),$V$4:$V$3183,0)),"")</f>
        <v/>
      </c>
      <c r="F2876">
        <f>IFERROR(INDEX($S$4:$S$3183,MATCH(SMALL($V$4:$V$3183,2873),$V$4:$V$3183,0)),"")</f>
        <v/>
      </c>
      <c r="I2876" s="29">
        <f>IF($B2876="","",IFERROR(INDEX($U$4:$U$3183,MATCH(SMALL($V$4:$V$3183,2873),$V$4:$V$3183,0)),""))</f>
        <v/>
      </c>
      <c r="J2876">
        <f>IF($B2876="","",IF($D2876&gt;$F$2,"À venir",IF($E2876&lt;$D$2,"Passé","Dans la période")))</f>
        <v/>
      </c>
      <c r="K2876">
        <f>IF(OR($B2876="",NOT(ISNUMBER($D2876))),"",IF(AND($E2876&lt;$D$2,$G2876&lt;&gt;"X",$F2876&lt;&gt;"Réalisé",$F2876&lt;&gt;"Clôturé"),"RETARD",""))</f>
        <v/>
      </c>
      <c r="L2876">
        <f>IF(OR($B2876="",NOT(ISNUMBER($D2876))),"",IF(AND($D2876&gt;=$D$2,$D2876&lt;=$H$2,$G2876&lt;&gt;"X",$F2876&lt;&gt;"Réalisé",$F2876&lt;&gt;"Clôturé"),"≤ 7 j",""))</f>
        <v/>
      </c>
      <c r="M2876" s="29">
        <f>IF($B2876="","",IFERROR(INDEX($T$4:$T$3183,MATCH(SMALL($V$4:$V$3183,2873),$V$4:$V$3183,0)),""))</f>
        <v/>
      </c>
      <c r="O2876">
        <f>IF(INDEX(Suivi!$B:$B,2931)="","",INDEX(Suivi!$B:$B,2931))</f>
        <v/>
      </c>
      <c r="P2876">
        <f>IF($O2876="","",IF(INDEX(Suivi!$D:$D,2931)="",INDEX(Suivi!$C:$C,2931),INDEX(Suivi!$D:$D,2931)))</f>
        <v/>
      </c>
      <c r="Q2876">
        <f>IF($O2876="","",INDEX(Suivi!$E:$E,2931))</f>
        <v/>
      </c>
      <c r="R2876">
        <f>IF($O2876="","",INDEX(Suivi!$F:$F,2931))</f>
        <v/>
      </c>
      <c r="S2876">
        <f>IF($O2876="","",INDEX(Suivi!$G:$G,2931))</f>
        <v/>
      </c>
      <c r="T2876">
        <f>IF($O2876="","",IF(INDEX(Dossiers!$F$4:$F$63,55)="","",INDEX(Dossiers!$F$4:$F$63,55)))</f>
        <v/>
      </c>
      <c r="U2876">
        <f>IF($O2876="","",IF(INDEX(Dossiers!$G$4:$G$63,55)="","",INDEX(Dossiers!$G$4:$G$63,55)))</f>
        <v/>
      </c>
      <c r="V2876">
        <f>IF(OR($O2876="",NOT(ISNUMBER($Q2876))),"",$Q2876*1000000+2876)</f>
        <v/>
      </c>
      <c r="W2876" s="29">
        <f>IF($B2876="","",IFERROR(INDEX($U$4:$U$3183,MATCH(SMALL($V$4:$V$3183,2873),$V$4:$V$3183,0)),""))</f>
        <v/>
      </c>
    </row>
    <row r="2877">
      <c r="A2877">
        <f>IFERROR(INDEX($N$4:$N$3183,MATCH(SMALL($V$4:$V$3183,2874),$V$4:$V$3183,0)),"")</f>
        <v/>
      </c>
      <c r="B2877">
        <f>IFERROR(INDEX($O$4:$O$3183,MATCH(SMALL($V$4:$V$3183,2874),$V$4:$V$3183,0)),"")</f>
        <v/>
      </c>
      <c r="C2877">
        <f>IFERROR(INDEX($P$4:$P$3183,MATCH(SMALL($V$4:$V$3183,2874),$V$4:$V$3183,0)),"")</f>
        <v/>
      </c>
      <c r="D2877" s="29">
        <f>IFERROR(INDEX($Q$4:$Q$3183,MATCH(SMALL($V$4:$V$3183,2874),$V$4:$V$3183,0)),"")</f>
        <v/>
      </c>
      <c r="E2877" s="29">
        <f>IFERROR(INDEX($R$4:$R$3183,MATCH(SMALL($V$4:$V$3183,2874),$V$4:$V$3183,0)),"")</f>
        <v/>
      </c>
      <c r="F2877">
        <f>IFERROR(INDEX($S$4:$S$3183,MATCH(SMALL($V$4:$V$3183,2874),$V$4:$V$3183,0)),"")</f>
        <v/>
      </c>
      <c r="I2877" s="29">
        <f>IF($B2877="","",IFERROR(INDEX($U$4:$U$3183,MATCH(SMALL($V$4:$V$3183,2874),$V$4:$V$3183,0)),""))</f>
        <v/>
      </c>
      <c r="J2877">
        <f>IF($B2877="","",IF($D2877&gt;$F$2,"À venir",IF($E2877&lt;$D$2,"Passé","Dans la période")))</f>
        <v/>
      </c>
      <c r="K2877">
        <f>IF(OR($B2877="",NOT(ISNUMBER($D2877))),"",IF(AND($E2877&lt;$D$2,$G2877&lt;&gt;"X",$F2877&lt;&gt;"Réalisé",$F2877&lt;&gt;"Clôturé"),"RETARD",""))</f>
        <v/>
      </c>
      <c r="L2877">
        <f>IF(OR($B2877="",NOT(ISNUMBER($D2877))),"",IF(AND($D2877&gt;=$D$2,$D2877&lt;=$H$2,$G2877&lt;&gt;"X",$F2877&lt;&gt;"Réalisé",$F2877&lt;&gt;"Clôturé"),"≤ 7 j",""))</f>
        <v/>
      </c>
      <c r="M2877" s="29">
        <f>IF($B2877="","",IFERROR(INDEX($T$4:$T$3183,MATCH(SMALL($V$4:$V$3183,2874),$V$4:$V$3183,0)),""))</f>
        <v/>
      </c>
      <c r="O2877">
        <f>IF(INDEX(Suivi!$B:$B,2932)="","",INDEX(Suivi!$B:$B,2932))</f>
        <v/>
      </c>
      <c r="P2877">
        <f>IF($O2877="","",IF(INDEX(Suivi!$D:$D,2932)="",INDEX(Suivi!$C:$C,2932),INDEX(Suivi!$D:$D,2932)))</f>
        <v/>
      </c>
      <c r="Q2877">
        <f>IF($O2877="","",INDEX(Suivi!$E:$E,2932))</f>
        <v/>
      </c>
      <c r="R2877">
        <f>IF($O2877="","",INDEX(Suivi!$F:$F,2932))</f>
        <v/>
      </c>
      <c r="S2877">
        <f>IF($O2877="","",INDEX(Suivi!$G:$G,2932))</f>
        <v/>
      </c>
      <c r="T2877">
        <f>IF($O2877="","",IF(INDEX(Dossiers!$F$4:$F$63,55)="","",INDEX(Dossiers!$F$4:$F$63,55)))</f>
        <v/>
      </c>
      <c r="U2877">
        <f>IF($O2877="","",IF(INDEX(Dossiers!$G$4:$G$63,55)="","",INDEX(Dossiers!$G$4:$G$63,55)))</f>
        <v/>
      </c>
      <c r="V2877">
        <f>IF(OR($O2877="",NOT(ISNUMBER($Q2877))),"",$Q2877*1000000+2877)</f>
        <v/>
      </c>
      <c r="W2877" s="29">
        <f>IF($B2877="","",IFERROR(INDEX($U$4:$U$3183,MATCH(SMALL($V$4:$V$3183,2874),$V$4:$V$3183,0)),""))</f>
        <v/>
      </c>
    </row>
    <row r="2878">
      <c r="A2878">
        <f>IFERROR(INDEX($N$4:$N$3183,MATCH(SMALL($V$4:$V$3183,2875),$V$4:$V$3183,0)),"")</f>
        <v/>
      </c>
      <c r="B2878">
        <f>IFERROR(INDEX($O$4:$O$3183,MATCH(SMALL($V$4:$V$3183,2875),$V$4:$V$3183,0)),"")</f>
        <v/>
      </c>
      <c r="C2878">
        <f>IFERROR(INDEX($P$4:$P$3183,MATCH(SMALL($V$4:$V$3183,2875),$V$4:$V$3183,0)),"")</f>
        <v/>
      </c>
      <c r="D2878" s="29">
        <f>IFERROR(INDEX($Q$4:$Q$3183,MATCH(SMALL($V$4:$V$3183,2875),$V$4:$V$3183,0)),"")</f>
        <v/>
      </c>
      <c r="E2878" s="29">
        <f>IFERROR(INDEX($R$4:$R$3183,MATCH(SMALL($V$4:$V$3183,2875),$V$4:$V$3183,0)),"")</f>
        <v/>
      </c>
      <c r="F2878">
        <f>IFERROR(INDEX($S$4:$S$3183,MATCH(SMALL($V$4:$V$3183,2875),$V$4:$V$3183,0)),"")</f>
        <v/>
      </c>
      <c r="I2878" s="29">
        <f>IF($B2878="","",IFERROR(INDEX($U$4:$U$3183,MATCH(SMALL($V$4:$V$3183,2875),$V$4:$V$3183,0)),""))</f>
        <v/>
      </c>
      <c r="J2878">
        <f>IF($B2878="","",IF($D2878&gt;$F$2,"À venir",IF($E2878&lt;$D$2,"Passé","Dans la période")))</f>
        <v/>
      </c>
      <c r="K2878">
        <f>IF(OR($B2878="",NOT(ISNUMBER($D2878))),"",IF(AND($E2878&lt;$D$2,$G2878&lt;&gt;"X",$F2878&lt;&gt;"Réalisé",$F2878&lt;&gt;"Clôturé"),"RETARD",""))</f>
        <v/>
      </c>
      <c r="L2878">
        <f>IF(OR($B2878="",NOT(ISNUMBER($D2878))),"",IF(AND($D2878&gt;=$D$2,$D2878&lt;=$H$2,$G2878&lt;&gt;"X",$F2878&lt;&gt;"Réalisé",$F2878&lt;&gt;"Clôturé"),"≤ 7 j",""))</f>
        <v/>
      </c>
      <c r="M2878" s="29">
        <f>IF($B2878="","",IFERROR(INDEX($T$4:$T$3183,MATCH(SMALL($V$4:$V$3183,2875),$V$4:$V$3183,0)),""))</f>
        <v/>
      </c>
      <c r="O2878">
        <f>IF(INDEX(Suivi!$B:$B,2933)="","",INDEX(Suivi!$B:$B,2933))</f>
        <v/>
      </c>
      <c r="P2878">
        <f>IF($O2878="","",IF(INDEX(Suivi!$D:$D,2933)="",INDEX(Suivi!$C:$C,2933),INDEX(Suivi!$D:$D,2933)))</f>
        <v/>
      </c>
      <c r="Q2878">
        <f>IF($O2878="","",INDEX(Suivi!$E:$E,2933))</f>
        <v/>
      </c>
      <c r="R2878">
        <f>IF($O2878="","",INDEX(Suivi!$F:$F,2933))</f>
        <v/>
      </c>
      <c r="S2878">
        <f>IF($O2878="","",INDEX(Suivi!$G:$G,2933))</f>
        <v/>
      </c>
      <c r="T2878">
        <f>IF($O2878="","",IF(INDEX(Dossiers!$F$4:$F$63,55)="","",INDEX(Dossiers!$F$4:$F$63,55)))</f>
        <v/>
      </c>
      <c r="U2878">
        <f>IF($O2878="","",IF(INDEX(Dossiers!$G$4:$G$63,55)="","",INDEX(Dossiers!$G$4:$G$63,55)))</f>
        <v/>
      </c>
      <c r="V2878">
        <f>IF(OR($O2878="",NOT(ISNUMBER($Q2878))),"",$Q2878*1000000+2878)</f>
        <v/>
      </c>
      <c r="W2878" s="29">
        <f>IF($B2878="","",IFERROR(INDEX($U$4:$U$3183,MATCH(SMALL($V$4:$V$3183,2875),$V$4:$V$3183,0)),""))</f>
        <v/>
      </c>
    </row>
    <row r="2879">
      <c r="A2879">
        <f>IFERROR(INDEX($N$4:$N$3183,MATCH(SMALL($V$4:$V$3183,2876),$V$4:$V$3183,0)),"")</f>
        <v/>
      </c>
      <c r="B2879">
        <f>IFERROR(INDEX($O$4:$O$3183,MATCH(SMALL($V$4:$V$3183,2876),$V$4:$V$3183,0)),"")</f>
        <v/>
      </c>
      <c r="C2879">
        <f>IFERROR(INDEX($P$4:$P$3183,MATCH(SMALL($V$4:$V$3183,2876),$V$4:$V$3183,0)),"")</f>
        <v/>
      </c>
      <c r="D2879" s="29">
        <f>IFERROR(INDEX($Q$4:$Q$3183,MATCH(SMALL($V$4:$V$3183,2876),$V$4:$V$3183,0)),"")</f>
        <v/>
      </c>
      <c r="E2879" s="29">
        <f>IFERROR(INDEX($R$4:$R$3183,MATCH(SMALL($V$4:$V$3183,2876),$V$4:$V$3183,0)),"")</f>
        <v/>
      </c>
      <c r="F2879">
        <f>IFERROR(INDEX($S$4:$S$3183,MATCH(SMALL($V$4:$V$3183,2876),$V$4:$V$3183,0)),"")</f>
        <v/>
      </c>
      <c r="I2879" s="29">
        <f>IF($B2879="","",IFERROR(INDEX($U$4:$U$3183,MATCH(SMALL($V$4:$V$3183,2876),$V$4:$V$3183,0)),""))</f>
        <v/>
      </c>
      <c r="J2879">
        <f>IF($B2879="","",IF($D2879&gt;$F$2,"À venir",IF($E2879&lt;$D$2,"Passé","Dans la période")))</f>
        <v/>
      </c>
      <c r="K2879">
        <f>IF(OR($B2879="",NOT(ISNUMBER($D2879))),"",IF(AND($E2879&lt;$D$2,$G2879&lt;&gt;"X",$F2879&lt;&gt;"Réalisé",$F2879&lt;&gt;"Clôturé"),"RETARD",""))</f>
        <v/>
      </c>
      <c r="L2879">
        <f>IF(OR($B2879="",NOT(ISNUMBER($D2879))),"",IF(AND($D2879&gt;=$D$2,$D2879&lt;=$H$2,$G2879&lt;&gt;"X",$F2879&lt;&gt;"Réalisé",$F2879&lt;&gt;"Clôturé"),"≤ 7 j",""))</f>
        <v/>
      </c>
      <c r="M2879" s="29">
        <f>IF($B2879="","",IFERROR(INDEX($T$4:$T$3183,MATCH(SMALL($V$4:$V$3183,2876),$V$4:$V$3183,0)),""))</f>
        <v/>
      </c>
      <c r="O2879">
        <f>IF(INDEX(Suivi!$B:$B,2934)="","",INDEX(Suivi!$B:$B,2934))</f>
        <v/>
      </c>
      <c r="P2879">
        <f>IF($O2879="","",IF(INDEX(Suivi!$D:$D,2934)="",INDEX(Suivi!$C:$C,2934),INDEX(Suivi!$D:$D,2934)))</f>
        <v/>
      </c>
      <c r="Q2879">
        <f>IF($O2879="","",INDEX(Suivi!$E:$E,2934))</f>
        <v/>
      </c>
      <c r="R2879">
        <f>IF($O2879="","",INDEX(Suivi!$F:$F,2934))</f>
        <v/>
      </c>
      <c r="S2879">
        <f>IF($O2879="","",INDEX(Suivi!$G:$G,2934))</f>
        <v/>
      </c>
      <c r="T2879">
        <f>IF($O2879="","",IF(INDEX(Dossiers!$F$4:$F$63,55)="","",INDEX(Dossiers!$F$4:$F$63,55)))</f>
        <v/>
      </c>
      <c r="U2879">
        <f>IF($O2879="","",IF(INDEX(Dossiers!$G$4:$G$63,55)="","",INDEX(Dossiers!$G$4:$G$63,55)))</f>
        <v/>
      </c>
      <c r="V2879">
        <f>IF(OR($O2879="",NOT(ISNUMBER($Q2879))),"",$Q2879*1000000+2879)</f>
        <v/>
      </c>
      <c r="W2879" s="29">
        <f>IF($B2879="","",IFERROR(INDEX($U$4:$U$3183,MATCH(SMALL($V$4:$V$3183,2876),$V$4:$V$3183,0)),""))</f>
        <v/>
      </c>
    </row>
    <row r="2880">
      <c r="A2880">
        <f>IFERROR(INDEX($N$4:$N$3183,MATCH(SMALL($V$4:$V$3183,2877),$V$4:$V$3183,0)),"")</f>
        <v/>
      </c>
      <c r="B2880">
        <f>IFERROR(INDEX($O$4:$O$3183,MATCH(SMALL($V$4:$V$3183,2877),$V$4:$V$3183,0)),"")</f>
        <v/>
      </c>
      <c r="C2880">
        <f>IFERROR(INDEX($P$4:$P$3183,MATCH(SMALL($V$4:$V$3183,2877),$V$4:$V$3183,0)),"")</f>
        <v/>
      </c>
      <c r="D2880" s="29">
        <f>IFERROR(INDEX($Q$4:$Q$3183,MATCH(SMALL($V$4:$V$3183,2877),$V$4:$V$3183,0)),"")</f>
        <v/>
      </c>
      <c r="E2880" s="29">
        <f>IFERROR(INDEX($R$4:$R$3183,MATCH(SMALL($V$4:$V$3183,2877),$V$4:$V$3183,0)),"")</f>
        <v/>
      </c>
      <c r="F2880">
        <f>IFERROR(INDEX($S$4:$S$3183,MATCH(SMALL($V$4:$V$3183,2877),$V$4:$V$3183,0)),"")</f>
        <v/>
      </c>
      <c r="I2880" s="29">
        <f>IF($B2880="","",IFERROR(INDEX($U$4:$U$3183,MATCH(SMALL($V$4:$V$3183,2877),$V$4:$V$3183,0)),""))</f>
        <v/>
      </c>
      <c r="J2880">
        <f>IF($B2880="","",IF($D2880&gt;$F$2,"À venir",IF($E2880&lt;$D$2,"Passé","Dans la période")))</f>
        <v/>
      </c>
      <c r="K2880">
        <f>IF(OR($B2880="",NOT(ISNUMBER($D2880))),"",IF(AND($E2880&lt;$D$2,$G2880&lt;&gt;"X",$F2880&lt;&gt;"Réalisé",$F2880&lt;&gt;"Clôturé"),"RETARD",""))</f>
        <v/>
      </c>
      <c r="L2880">
        <f>IF(OR($B2880="",NOT(ISNUMBER($D2880))),"",IF(AND($D2880&gt;=$D$2,$D2880&lt;=$H$2,$G2880&lt;&gt;"X",$F2880&lt;&gt;"Réalisé",$F2880&lt;&gt;"Clôturé"),"≤ 7 j",""))</f>
        <v/>
      </c>
      <c r="M2880" s="29">
        <f>IF($B2880="","",IFERROR(INDEX($T$4:$T$3183,MATCH(SMALL($V$4:$V$3183,2877),$V$4:$V$3183,0)),""))</f>
        <v/>
      </c>
      <c r="O2880">
        <f>IF(INDEX(Suivi!$B:$B,2935)="","",INDEX(Suivi!$B:$B,2935))</f>
        <v/>
      </c>
      <c r="P2880">
        <f>IF($O2880="","",IF(INDEX(Suivi!$D:$D,2935)="",INDEX(Suivi!$C:$C,2935),INDEX(Suivi!$D:$D,2935)))</f>
        <v/>
      </c>
      <c r="Q2880">
        <f>IF($O2880="","",INDEX(Suivi!$E:$E,2935))</f>
        <v/>
      </c>
      <c r="R2880">
        <f>IF($O2880="","",INDEX(Suivi!$F:$F,2935))</f>
        <v/>
      </c>
      <c r="S2880">
        <f>IF($O2880="","",INDEX(Suivi!$G:$G,2935))</f>
        <v/>
      </c>
      <c r="T2880">
        <f>IF($O2880="","",IF(INDEX(Dossiers!$F$4:$F$63,55)="","",INDEX(Dossiers!$F$4:$F$63,55)))</f>
        <v/>
      </c>
      <c r="U2880">
        <f>IF($O2880="","",IF(INDEX(Dossiers!$G$4:$G$63,55)="","",INDEX(Dossiers!$G$4:$G$63,55)))</f>
        <v/>
      </c>
      <c r="V2880">
        <f>IF(OR($O2880="",NOT(ISNUMBER($Q2880))),"",$Q2880*1000000+2880)</f>
        <v/>
      </c>
      <c r="W2880" s="29">
        <f>IF($B2880="","",IFERROR(INDEX($U$4:$U$3183,MATCH(SMALL($V$4:$V$3183,2877),$V$4:$V$3183,0)),""))</f>
        <v/>
      </c>
    </row>
    <row r="2881">
      <c r="A2881">
        <f>IFERROR(INDEX($N$4:$N$3183,MATCH(SMALL($V$4:$V$3183,2878),$V$4:$V$3183,0)),"")</f>
        <v/>
      </c>
      <c r="B2881">
        <f>IFERROR(INDEX($O$4:$O$3183,MATCH(SMALL($V$4:$V$3183,2878),$V$4:$V$3183,0)),"")</f>
        <v/>
      </c>
      <c r="C2881">
        <f>IFERROR(INDEX($P$4:$P$3183,MATCH(SMALL($V$4:$V$3183,2878),$V$4:$V$3183,0)),"")</f>
        <v/>
      </c>
      <c r="D2881" s="29">
        <f>IFERROR(INDEX($Q$4:$Q$3183,MATCH(SMALL($V$4:$V$3183,2878),$V$4:$V$3183,0)),"")</f>
        <v/>
      </c>
      <c r="E2881" s="29">
        <f>IFERROR(INDEX($R$4:$R$3183,MATCH(SMALL($V$4:$V$3183,2878),$V$4:$V$3183,0)),"")</f>
        <v/>
      </c>
      <c r="F2881">
        <f>IFERROR(INDEX($S$4:$S$3183,MATCH(SMALL($V$4:$V$3183,2878),$V$4:$V$3183,0)),"")</f>
        <v/>
      </c>
      <c r="I2881" s="29">
        <f>IF($B2881="","",IFERROR(INDEX($U$4:$U$3183,MATCH(SMALL($V$4:$V$3183,2878),$V$4:$V$3183,0)),""))</f>
        <v/>
      </c>
      <c r="J2881">
        <f>IF($B2881="","",IF($D2881&gt;$F$2,"À venir",IF($E2881&lt;$D$2,"Passé","Dans la période")))</f>
        <v/>
      </c>
      <c r="K2881">
        <f>IF(OR($B2881="",NOT(ISNUMBER($D2881))),"",IF(AND($E2881&lt;$D$2,$G2881&lt;&gt;"X",$F2881&lt;&gt;"Réalisé",$F2881&lt;&gt;"Clôturé"),"RETARD",""))</f>
        <v/>
      </c>
      <c r="L2881">
        <f>IF(OR($B2881="",NOT(ISNUMBER($D2881))),"",IF(AND($D2881&gt;=$D$2,$D2881&lt;=$H$2,$G2881&lt;&gt;"X",$F2881&lt;&gt;"Réalisé",$F2881&lt;&gt;"Clôturé"),"≤ 7 j",""))</f>
        <v/>
      </c>
      <c r="M2881" s="29">
        <f>IF($B2881="","",IFERROR(INDEX($T$4:$T$3183,MATCH(SMALL($V$4:$V$3183,2878),$V$4:$V$3183,0)),""))</f>
        <v/>
      </c>
      <c r="O2881">
        <f>IF(INDEX(Suivi!$B:$B,2936)="","",INDEX(Suivi!$B:$B,2936))</f>
        <v/>
      </c>
      <c r="P2881">
        <f>IF($O2881="","",IF(INDEX(Suivi!$D:$D,2936)="",INDEX(Suivi!$C:$C,2936),INDEX(Suivi!$D:$D,2936)))</f>
        <v/>
      </c>
      <c r="Q2881">
        <f>IF($O2881="","",INDEX(Suivi!$E:$E,2936))</f>
        <v/>
      </c>
      <c r="R2881">
        <f>IF($O2881="","",INDEX(Suivi!$F:$F,2936))</f>
        <v/>
      </c>
      <c r="S2881">
        <f>IF($O2881="","",INDEX(Suivi!$G:$G,2936))</f>
        <v/>
      </c>
      <c r="T2881">
        <f>IF($O2881="","",IF(INDEX(Dossiers!$F$4:$F$63,55)="","",INDEX(Dossiers!$F$4:$F$63,55)))</f>
        <v/>
      </c>
      <c r="U2881">
        <f>IF($O2881="","",IF(INDEX(Dossiers!$G$4:$G$63,55)="","",INDEX(Dossiers!$G$4:$G$63,55)))</f>
        <v/>
      </c>
      <c r="V2881">
        <f>IF(OR($O2881="",NOT(ISNUMBER($Q2881))),"",$Q2881*1000000+2881)</f>
        <v/>
      </c>
      <c r="W2881" s="29">
        <f>IF($B2881="","",IFERROR(INDEX($U$4:$U$3183,MATCH(SMALL($V$4:$V$3183,2878),$V$4:$V$3183,0)),""))</f>
        <v/>
      </c>
    </row>
    <row r="2882">
      <c r="A2882">
        <f>IFERROR(INDEX($N$4:$N$3183,MATCH(SMALL($V$4:$V$3183,2879),$V$4:$V$3183,0)),"")</f>
        <v/>
      </c>
      <c r="B2882">
        <f>IFERROR(INDEX($O$4:$O$3183,MATCH(SMALL($V$4:$V$3183,2879),$V$4:$V$3183,0)),"")</f>
        <v/>
      </c>
      <c r="C2882">
        <f>IFERROR(INDEX($P$4:$P$3183,MATCH(SMALL($V$4:$V$3183,2879),$V$4:$V$3183,0)),"")</f>
        <v/>
      </c>
      <c r="D2882" s="29">
        <f>IFERROR(INDEX($Q$4:$Q$3183,MATCH(SMALL($V$4:$V$3183,2879),$V$4:$V$3183,0)),"")</f>
        <v/>
      </c>
      <c r="E2882" s="29">
        <f>IFERROR(INDEX($R$4:$R$3183,MATCH(SMALL($V$4:$V$3183,2879),$V$4:$V$3183,0)),"")</f>
        <v/>
      </c>
      <c r="F2882">
        <f>IFERROR(INDEX($S$4:$S$3183,MATCH(SMALL($V$4:$V$3183,2879),$V$4:$V$3183,0)),"")</f>
        <v/>
      </c>
      <c r="I2882" s="29">
        <f>IF($B2882="","",IFERROR(INDEX($U$4:$U$3183,MATCH(SMALL($V$4:$V$3183,2879),$V$4:$V$3183,0)),""))</f>
        <v/>
      </c>
      <c r="J2882">
        <f>IF($B2882="","",IF($D2882&gt;$F$2,"À venir",IF($E2882&lt;$D$2,"Passé","Dans la période")))</f>
        <v/>
      </c>
      <c r="K2882">
        <f>IF(OR($B2882="",NOT(ISNUMBER($D2882))),"",IF(AND($E2882&lt;$D$2,$G2882&lt;&gt;"X",$F2882&lt;&gt;"Réalisé",$F2882&lt;&gt;"Clôturé"),"RETARD",""))</f>
        <v/>
      </c>
      <c r="L2882">
        <f>IF(OR($B2882="",NOT(ISNUMBER($D2882))),"",IF(AND($D2882&gt;=$D$2,$D2882&lt;=$H$2,$G2882&lt;&gt;"X",$F2882&lt;&gt;"Réalisé",$F2882&lt;&gt;"Clôturé"),"≤ 7 j",""))</f>
        <v/>
      </c>
      <c r="M2882" s="29">
        <f>IF($B2882="","",IFERROR(INDEX($T$4:$T$3183,MATCH(SMALL($V$4:$V$3183,2879),$V$4:$V$3183,0)),""))</f>
        <v/>
      </c>
      <c r="O2882">
        <f>IF(INDEX(Suivi!$B:$B,2937)="","",INDEX(Suivi!$B:$B,2937))</f>
        <v/>
      </c>
      <c r="P2882">
        <f>IF($O2882="","",IF(INDEX(Suivi!$D:$D,2937)="",INDEX(Suivi!$C:$C,2937),INDEX(Suivi!$D:$D,2937)))</f>
        <v/>
      </c>
      <c r="Q2882">
        <f>IF($O2882="","",INDEX(Suivi!$E:$E,2937))</f>
        <v/>
      </c>
      <c r="R2882">
        <f>IF($O2882="","",INDEX(Suivi!$F:$F,2937))</f>
        <v/>
      </c>
      <c r="S2882">
        <f>IF($O2882="","",INDEX(Suivi!$G:$G,2937))</f>
        <v/>
      </c>
      <c r="T2882">
        <f>IF($O2882="","",IF(INDEX(Dossiers!$F$4:$F$63,55)="","",INDEX(Dossiers!$F$4:$F$63,55)))</f>
        <v/>
      </c>
      <c r="U2882">
        <f>IF($O2882="","",IF(INDEX(Dossiers!$G$4:$G$63,55)="","",INDEX(Dossiers!$G$4:$G$63,55)))</f>
        <v/>
      </c>
      <c r="V2882">
        <f>IF(OR($O2882="",NOT(ISNUMBER($Q2882))),"",$Q2882*1000000+2882)</f>
        <v/>
      </c>
      <c r="W2882" s="29">
        <f>IF($B2882="","",IFERROR(INDEX($U$4:$U$3183,MATCH(SMALL($V$4:$V$3183,2879),$V$4:$V$3183,0)),""))</f>
        <v/>
      </c>
    </row>
    <row r="2883">
      <c r="A2883">
        <f>IFERROR(INDEX($N$4:$N$3183,MATCH(SMALL($V$4:$V$3183,2880),$V$4:$V$3183,0)),"")</f>
        <v/>
      </c>
      <c r="B2883">
        <f>IFERROR(INDEX($O$4:$O$3183,MATCH(SMALL($V$4:$V$3183,2880),$V$4:$V$3183,0)),"")</f>
        <v/>
      </c>
      <c r="C2883">
        <f>IFERROR(INDEX($P$4:$P$3183,MATCH(SMALL($V$4:$V$3183,2880),$V$4:$V$3183,0)),"")</f>
        <v/>
      </c>
      <c r="D2883" s="29">
        <f>IFERROR(INDEX($Q$4:$Q$3183,MATCH(SMALL($V$4:$V$3183,2880),$V$4:$V$3183,0)),"")</f>
        <v/>
      </c>
      <c r="E2883" s="29">
        <f>IFERROR(INDEX($R$4:$R$3183,MATCH(SMALL($V$4:$V$3183,2880),$V$4:$V$3183,0)),"")</f>
        <v/>
      </c>
      <c r="F2883">
        <f>IFERROR(INDEX($S$4:$S$3183,MATCH(SMALL($V$4:$V$3183,2880),$V$4:$V$3183,0)),"")</f>
        <v/>
      </c>
      <c r="I2883" s="29">
        <f>IF($B2883="","",IFERROR(INDEX($U$4:$U$3183,MATCH(SMALL($V$4:$V$3183,2880),$V$4:$V$3183,0)),""))</f>
        <v/>
      </c>
      <c r="J2883">
        <f>IF($B2883="","",IF($D2883&gt;$F$2,"À venir",IF($E2883&lt;$D$2,"Passé","Dans la période")))</f>
        <v/>
      </c>
      <c r="K2883">
        <f>IF(OR($B2883="",NOT(ISNUMBER($D2883))),"",IF(AND($E2883&lt;$D$2,$G2883&lt;&gt;"X",$F2883&lt;&gt;"Réalisé",$F2883&lt;&gt;"Clôturé"),"RETARD",""))</f>
        <v/>
      </c>
      <c r="L2883">
        <f>IF(OR($B2883="",NOT(ISNUMBER($D2883))),"",IF(AND($D2883&gt;=$D$2,$D2883&lt;=$H$2,$G2883&lt;&gt;"X",$F2883&lt;&gt;"Réalisé",$F2883&lt;&gt;"Clôturé"),"≤ 7 j",""))</f>
        <v/>
      </c>
      <c r="M2883" s="29">
        <f>IF($B2883="","",IFERROR(INDEX($T$4:$T$3183,MATCH(SMALL($V$4:$V$3183,2880),$V$4:$V$3183,0)),""))</f>
        <v/>
      </c>
      <c r="O2883">
        <f>IF(INDEX(Suivi!$B:$B,2938)="","",INDEX(Suivi!$B:$B,2938))</f>
        <v/>
      </c>
      <c r="P2883">
        <f>IF($O2883="","",IF(INDEX(Suivi!$D:$D,2938)="",INDEX(Suivi!$C:$C,2938),INDEX(Suivi!$D:$D,2938)))</f>
        <v/>
      </c>
      <c r="Q2883">
        <f>IF($O2883="","",INDEX(Suivi!$E:$E,2938))</f>
        <v/>
      </c>
      <c r="R2883">
        <f>IF($O2883="","",INDEX(Suivi!$F:$F,2938))</f>
        <v/>
      </c>
      <c r="S2883">
        <f>IF($O2883="","",INDEX(Suivi!$G:$G,2938))</f>
        <v/>
      </c>
      <c r="T2883">
        <f>IF($O2883="","",IF(INDEX(Dossiers!$F$4:$F$63,55)="","",INDEX(Dossiers!$F$4:$F$63,55)))</f>
        <v/>
      </c>
      <c r="U2883">
        <f>IF($O2883="","",IF(INDEX(Dossiers!$G$4:$G$63,55)="","",INDEX(Dossiers!$G$4:$G$63,55)))</f>
        <v/>
      </c>
      <c r="V2883">
        <f>IF(OR($O2883="",NOT(ISNUMBER($Q2883))),"",$Q2883*1000000+2883)</f>
        <v/>
      </c>
      <c r="W2883" s="29">
        <f>IF($B2883="","",IFERROR(INDEX($U$4:$U$3183,MATCH(SMALL($V$4:$V$3183,2880),$V$4:$V$3183,0)),""))</f>
        <v/>
      </c>
    </row>
    <row r="2884">
      <c r="A2884">
        <f>IFERROR(INDEX($N$4:$N$3183,MATCH(SMALL($V$4:$V$3183,2881),$V$4:$V$3183,0)),"")</f>
        <v/>
      </c>
      <c r="B2884">
        <f>IFERROR(INDEX($O$4:$O$3183,MATCH(SMALL($V$4:$V$3183,2881),$V$4:$V$3183,0)),"")</f>
        <v/>
      </c>
      <c r="C2884">
        <f>IFERROR(INDEX($P$4:$P$3183,MATCH(SMALL($V$4:$V$3183,2881),$V$4:$V$3183,0)),"")</f>
        <v/>
      </c>
      <c r="D2884" s="29">
        <f>IFERROR(INDEX($Q$4:$Q$3183,MATCH(SMALL($V$4:$V$3183,2881),$V$4:$V$3183,0)),"")</f>
        <v/>
      </c>
      <c r="E2884" s="29">
        <f>IFERROR(INDEX($R$4:$R$3183,MATCH(SMALL($V$4:$V$3183,2881),$V$4:$V$3183,0)),"")</f>
        <v/>
      </c>
      <c r="F2884">
        <f>IFERROR(INDEX($S$4:$S$3183,MATCH(SMALL($V$4:$V$3183,2881),$V$4:$V$3183,0)),"")</f>
        <v/>
      </c>
      <c r="I2884" s="29">
        <f>IF($B2884="","",IFERROR(INDEX($U$4:$U$3183,MATCH(SMALL($V$4:$V$3183,2881),$V$4:$V$3183,0)),""))</f>
        <v/>
      </c>
      <c r="J2884">
        <f>IF($B2884="","",IF($D2884&gt;$F$2,"À venir",IF($E2884&lt;$D$2,"Passé","Dans la période")))</f>
        <v/>
      </c>
      <c r="K2884">
        <f>IF(OR($B2884="",NOT(ISNUMBER($D2884))),"",IF(AND($E2884&lt;$D$2,$G2884&lt;&gt;"X",$F2884&lt;&gt;"Réalisé",$F2884&lt;&gt;"Clôturé"),"RETARD",""))</f>
        <v/>
      </c>
      <c r="L2884">
        <f>IF(OR($B2884="",NOT(ISNUMBER($D2884))),"",IF(AND($D2884&gt;=$D$2,$D2884&lt;=$H$2,$G2884&lt;&gt;"X",$F2884&lt;&gt;"Réalisé",$F2884&lt;&gt;"Clôturé"),"≤ 7 j",""))</f>
        <v/>
      </c>
      <c r="M2884" s="29">
        <f>IF($B2884="","",IFERROR(INDEX($T$4:$T$3183,MATCH(SMALL($V$4:$V$3183,2881),$V$4:$V$3183,0)),""))</f>
        <v/>
      </c>
      <c r="O2884">
        <f>IF(INDEX(Suivi!$B:$B,2939)="","",INDEX(Suivi!$B:$B,2939))</f>
        <v/>
      </c>
      <c r="P2884">
        <f>IF($O2884="","",IF(INDEX(Suivi!$D:$D,2939)="",INDEX(Suivi!$C:$C,2939),INDEX(Suivi!$D:$D,2939)))</f>
        <v/>
      </c>
      <c r="Q2884">
        <f>IF($O2884="","",INDEX(Suivi!$E:$E,2939))</f>
        <v/>
      </c>
      <c r="R2884">
        <f>IF($O2884="","",INDEX(Suivi!$F:$F,2939))</f>
        <v/>
      </c>
      <c r="S2884">
        <f>IF($O2884="","",INDEX(Suivi!$G:$G,2939))</f>
        <v/>
      </c>
      <c r="T2884">
        <f>IF($O2884="","",IF(INDEX(Dossiers!$F$4:$F$63,55)="","",INDEX(Dossiers!$F$4:$F$63,55)))</f>
        <v/>
      </c>
      <c r="U2884">
        <f>IF($O2884="","",IF(INDEX(Dossiers!$G$4:$G$63,55)="","",INDEX(Dossiers!$G$4:$G$63,55)))</f>
        <v/>
      </c>
      <c r="V2884">
        <f>IF(OR($O2884="",NOT(ISNUMBER($Q2884))),"",$Q2884*1000000+2884)</f>
        <v/>
      </c>
      <c r="W2884" s="29">
        <f>IF($B2884="","",IFERROR(INDEX($U$4:$U$3183,MATCH(SMALL($V$4:$V$3183,2881),$V$4:$V$3183,0)),""))</f>
        <v/>
      </c>
    </row>
    <row r="2885">
      <c r="A2885">
        <f>IFERROR(INDEX($N$4:$N$3183,MATCH(SMALL($V$4:$V$3183,2882),$V$4:$V$3183,0)),"")</f>
        <v/>
      </c>
      <c r="B2885">
        <f>IFERROR(INDEX($O$4:$O$3183,MATCH(SMALL($V$4:$V$3183,2882),$V$4:$V$3183,0)),"")</f>
        <v/>
      </c>
      <c r="C2885">
        <f>IFERROR(INDEX($P$4:$P$3183,MATCH(SMALL($V$4:$V$3183,2882),$V$4:$V$3183,0)),"")</f>
        <v/>
      </c>
      <c r="D2885" s="29">
        <f>IFERROR(INDEX($Q$4:$Q$3183,MATCH(SMALL($V$4:$V$3183,2882),$V$4:$V$3183,0)),"")</f>
        <v/>
      </c>
      <c r="E2885" s="29">
        <f>IFERROR(INDEX($R$4:$R$3183,MATCH(SMALL($V$4:$V$3183,2882),$V$4:$V$3183,0)),"")</f>
        <v/>
      </c>
      <c r="F2885">
        <f>IFERROR(INDEX($S$4:$S$3183,MATCH(SMALL($V$4:$V$3183,2882),$V$4:$V$3183,0)),"")</f>
        <v/>
      </c>
      <c r="I2885" s="29">
        <f>IF($B2885="","",IFERROR(INDEX($U$4:$U$3183,MATCH(SMALL($V$4:$V$3183,2882),$V$4:$V$3183,0)),""))</f>
        <v/>
      </c>
      <c r="J2885">
        <f>IF($B2885="","",IF($D2885&gt;$F$2,"À venir",IF($E2885&lt;$D$2,"Passé","Dans la période")))</f>
        <v/>
      </c>
      <c r="K2885">
        <f>IF(OR($B2885="",NOT(ISNUMBER($D2885))),"",IF(AND($E2885&lt;$D$2,$G2885&lt;&gt;"X",$F2885&lt;&gt;"Réalisé",$F2885&lt;&gt;"Clôturé"),"RETARD",""))</f>
        <v/>
      </c>
      <c r="L2885">
        <f>IF(OR($B2885="",NOT(ISNUMBER($D2885))),"",IF(AND($D2885&gt;=$D$2,$D2885&lt;=$H$2,$G2885&lt;&gt;"X",$F2885&lt;&gt;"Réalisé",$F2885&lt;&gt;"Clôturé"),"≤ 7 j",""))</f>
        <v/>
      </c>
      <c r="M2885" s="29">
        <f>IF($B2885="","",IFERROR(INDEX($T$4:$T$3183,MATCH(SMALL($V$4:$V$3183,2882),$V$4:$V$3183,0)),""))</f>
        <v/>
      </c>
      <c r="O2885">
        <f>IF(INDEX(Suivi!$B:$B,2940)="","",INDEX(Suivi!$B:$B,2940))</f>
        <v/>
      </c>
      <c r="P2885">
        <f>IF($O2885="","",IF(INDEX(Suivi!$D:$D,2940)="",INDEX(Suivi!$C:$C,2940),INDEX(Suivi!$D:$D,2940)))</f>
        <v/>
      </c>
      <c r="Q2885">
        <f>IF($O2885="","",INDEX(Suivi!$E:$E,2940))</f>
        <v/>
      </c>
      <c r="R2885">
        <f>IF($O2885="","",INDEX(Suivi!$F:$F,2940))</f>
        <v/>
      </c>
      <c r="S2885">
        <f>IF($O2885="","",INDEX(Suivi!$G:$G,2940))</f>
        <v/>
      </c>
      <c r="T2885">
        <f>IF($O2885="","",IF(INDEX(Dossiers!$F$4:$F$63,55)="","",INDEX(Dossiers!$F$4:$F$63,55)))</f>
        <v/>
      </c>
      <c r="U2885">
        <f>IF($O2885="","",IF(INDEX(Dossiers!$G$4:$G$63,55)="","",INDEX(Dossiers!$G$4:$G$63,55)))</f>
        <v/>
      </c>
      <c r="V2885">
        <f>IF(OR($O2885="",NOT(ISNUMBER($Q2885))),"",$Q2885*1000000+2885)</f>
        <v/>
      </c>
      <c r="W2885" s="29">
        <f>IF($B2885="","",IFERROR(INDEX($U$4:$U$3183,MATCH(SMALL($V$4:$V$3183,2882),$V$4:$V$3183,0)),""))</f>
        <v/>
      </c>
    </row>
    <row r="2886">
      <c r="A2886">
        <f>IFERROR(INDEX($N$4:$N$3183,MATCH(SMALL($V$4:$V$3183,2883),$V$4:$V$3183,0)),"")</f>
        <v/>
      </c>
      <c r="B2886">
        <f>IFERROR(INDEX($O$4:$O$3183,MATCH(SMALL($V$4:$V$3183,2883),$V$4:$V$3183,0)),"")</f>
        <v/>
      </c>
      <c r="C2886">
        <f>IFERROR(INDEX($P$4:$P$3183,MATCH(SMALL($V$4:$V$3183,2883),$V$4:$V$3183,0)),"")</f>
        <v/>
      </c>
      <c r="D2886" s="29">
        <f>IFERROR(INDEX($Q$4:$Q$3183,MATCH(SMALL($V$4:$V$3183,2883),$V$4:$V$3183,0)),"")</f>
        <v/>
      </c>
      <c r="E2886" s="29">
        <f>IFERROR(INDEX($R$4:$R$3183,MATCH(SMALL($V$4:$V$3183,2883),$V$4:$V$3183,0)),"")</f>
        <v/>
      </c>
      <c r="F2886">
        <f>IFERROR(INDEX($S$4:$S$3183,MATCH(SMALL($V$4:$V$3183,2883),$V$4:$V$3183,0)),"")</f>
        <v/>
      </c>
      <c r="I2886" s="29">
        <f>IF($B2886="","",IFERROR(INDEX($U$4:$U$3183,MATCH(SMALL($V$4:$V$3183,2883),$V$4:$V$3183,0)),""))</f>
        <v/>
      </c>
      <c r="J2886">
        <f>IF($B2886="","",IF($D2886&gt;$F$2,"À venir",IF($E2886&lt;$D$2,"Passé","Dans la période")))</f>
        <v/>
      </c>
      <c r="K2886">
        <f>IF(OR($B2886="",NOT(ISNUMBER($D2886))),"",IF(AND($E2886&lt;$D$2,$G2886&lt;&gt;"X",$F2886&lt;&gt;"Réalisé",$F2886&lt;&gt;"Clôturé"),"RETARD",""))</f>
        <v/>
      </c>
      <c r="L2886">
        <f>IF(OR($B2886="",NOT(ISNUMBER($D2886))),"",IF(AND($D2886&gt;=$D$2,$D2886&lt;=$H$2,$G2886&lt;&gt;"X",$F2886&lt;&gt;"Réalisé",$F2886&lt;&gt;"Clôturé"),"≤ 7 j",""))</f>
        <v/>
      </c>
      <c r="M2886" s="29">
        <f>IF($B2886="","",IFERROR(INDEX($T$4:$T$3183,MATCH(SMALL($V$4:$V$3183,2883),$V$4:$V$3183,0)),""))</f>
        <v/>
      </c>
      <c r="O2886">
        <f>IF(INDEX(Suivi!$B:$B,2941)="","",INDEX(Suivi!$B:$B,2941))</f>
        <v/>
      </c>
      <c r="P2886">
        <f>IF($O2886="","",IF(INDEX(Suivi!$D:$D,2941)="",INDEX(Suivi!$C:$C,2941),INDEX(Suivi!$D:$D,2941)))</f>
        <v/>
      </c>
      <c r="Q2886">
        <f>IF($O2886="","",INDEX(Suivi!$E:$E,2941))</f>
        <v/>
      </c>
      <c r="R2886">
        <f>IF($O2886="","",INDEX(Suivi!$F:$F,2941))</f>
        <v/>
      </c>
      <c r="S2886">
        <f>IF($O2886="","",INDEX(Suivi!$G:$G,2941))</f>
        <v/>
      </c>
      <c r="T2886">
        <f>IF($O2886="","",IF(INDEX(Dossiers!$F$4:$F$63,55)="","",INDEX(Dossiers!$F$4:$F$63,55)))</f>
        <v/>
      </c>
      <c r="U2886">
        <f>IF($O2886="","",IF(INDEX(Dossiers!$G$4:$G$63,55)="","",INDEX(Dossiers!$G$4:$G$63,55)))</f>
        <v/>
      </c>
      <c r="V2886">
        <f>IF(OR($O2886="",NOT(ISNUMBER($Q2886))),"",$Q2886*1000000+2886)</f>
        <v/>
      </c>
      <c r="W2886" s="29">
        <f>IF($B2886="","",IFERROR(INDEX($U$4:$U$3183,MATCH(SMALL($V$4:$V$3183,2883),$V$4:$V$3183,0)),""))</f>
        <v/>
      </c>
    </row>
    <row r="2887">
      <c r="A2887">
        <f>IFERROR(INDEX($N$4:$N$3183,MATCH(SMALL($V$4:$V$3183,2884),$V$4:$V$3183,0)),"")</f>
        <v/>
      </c>
      <c r="B2887">
        <f>IFERROR(INDEX($O$4:$O$3183,MATCH(SMALL($V$4:$V$3183,2884),$V$4:$V$3183,0)),"")</f>
        <v/>
      </c>
      <c r="C2887">
        <f>IFERROR(INDEX($P$4:$P$3183,MATCH(SMALL($V$4:$V$3183,2884),$V$4:$V$3183,0)),"")</f>
        <v/>
      </c>
      <c r="D2887" s="29">
        <f>IFERROR(INDEX($Q$4:$Q$3183,MATCH(SMALL($V$4:$V$3183,2884),$V$4:$V$3183,0)),"")</f>
        <v/>
      </c>
      <c r="E2887" s="29">
        <f>IFERROR(INDEX($R$4:$R$3183,MATCH(SMALL($V$4:$V$3183,2884),$V$4:$V$3183,0)),"")</f>
        <v/>
      </c>
      <c r="F2887">
        <f>IFERROR(INDEX($S$4:$S$3183,MATCH(SMALL($V$4:$V$3183,2884),$V$4:$V$3183,0)),"")</f>
        <v/>
      </c>
      <c r="I2887" s="29">
        <f>IF($B2887="","",IFERROR(INDEX($U$4:$U$3183,MATCH(SMALL($V$4:$V$3183,2884),$V$4:$V$3183,0)),""))</f>
        <v/>
      </c>
      <c r="J2887">
        <f>IF($B2887="","",IF($D2887&gt;$F$2,"À venir",IF($E2887&lt;$D$2,"Passé","Dans la période")))</f>
        <v/>
      </c>
      <c r="K2887">
        <f>IF(OR($B2887="",NOT(ISNUMBER($D2887))),"",IF(AND($E2887&lt;$D$2,$G2887&lt;&gt;"X",$F2887&lt;&gt;"Réalisé",$F2887&lt;&gt;"Clôturé"),"RETARD",""))</f>
        <v/>
      </c>
      <c r="L2887">
        <f>IF(OR($B2887="",NOT(ISNUMBER($D2887))),"",IF(AND($D2887&gt;=$D$2,$D2887&lt;=$H$2,$G2887&lt;&gt;"X",$F2887&lt;&gt;"Réalisé",$F2887&lt;&gt;"Clôturé"),"≤ 7 j",""))</f>
        <v/>
      </c>
      <c r="M2887" s="29">
        <f>IF($B2887="","",IFERROR(INDEX($T$4:$T$3183,MATCH(SMALL($V$4:$V$3183,2884),$V$4:$V$3183,0)),""))</f>
        <v/>
      </c>
      <c r="O2887">
        <f>IF(INDEX(Suivi!$B:$B,2942)="","",INDEX(Suivi!$B:$B,2942))</f>
        <v/>
      </c>
      <c r="P2887">
        <f>IF($O2887="","",IF(INDEX(Suivi!$D:$D,2942)="",INDEX(Suivi!$C:$C,2942),INDEX(Suivi!$D:$D,2942)))</f>
        <v/>
      </c>
      <c r="Q2887">
        <f>IF($O2887="","",INDEX(Suivi!$E:$E,2942))</f>
        <v/>
      </c>
      <c r="R2887">
        <f>IF($O2887="","",INDEX(Suivi!$F:$F,2942))</f>
        <v/>
      </c>
      <c r="S2887">
        <f>IF($O2887="","",INDEX(Suivi!$G:$G,2942))</f>
        <v/>
      </c>
      <c r="T2887">
        <f>IF($O2887="","",IF(INDEX(Dossiers!$F$4:$F$63,55)="","",INDEX(Dossiers!$F$4:$F$63,55)))</f>
        <v/>
      </c>
      <c r="U2887">
        <f>IF($O2887="","",IF(INDEX(Dossiers!$G$4:$G$63,55)="","",INDEX(Dossiers!$G$4:$G$63,55)))</f>
        <v/>
      </c>
      <c r="V2887">
        <f>IF(OR($O2887="",NOT(ISNUMBER($Q2887))),"",$Q2887*1000000+2887)</f>
        <v/>
      </c>
      <c r="W2887" s="29">
        <f>IF($B2887="","",IFERROR(INDEX($U$4:$U$3183,MATCH(SMALL($V$4:$V$3183,2884),$V$4:$V$3183,0)),""))</f>
        <v/>
      </c>
    </row>
    <row r="2888">
      <c r="A2888">
        <f>IFERROR(INDEX($N$4:$N$3183,MATCH(SMALL($V$4:$V$3183,2885),$V$4:$V$3183,0)),"")</f>
        <v/>
      </c>
      <c r="B2888">
        <f>IFERROR(INDEX($O$4:$O$3183,MATCH(SMALL($V$4:$V$3183,2885),$V$4:$V$3183,0)),"")</f>
        <v/>
      </c>
      <c r="C2888">
        <f>IFERROR(INDEX($P$4:$P$3183,MATCH(SMALL($V$4:$V$3183,2885),$V$4:$V$3183,0)),"")</f>
        <v/>
      </c>
      <c r="D2888" s="29">
        <f>IFERROR(INDEX($Q$4:$Q$3183,MATCH(SMALL($V$4:$V$3183,2885),$V$4:$V$3183,0)),"")</f>
        <v/>
      </c>
      <c r="E2888" s="29">
        <f>IFERROR(INDEX($R$4:$R$3183,MATCH(SMALL($V$4:$V$3183,2885),$V$4:$V$3183,0)),"")</f>
        <v/>
      </c>
      <c r="F2888">
        <f>IFERROR(INDEX($S$4:$S$3183,MATCH(SMALL($V$4:$V$3183,2885),$V$4:$V$3183,0)),"")</f>
        <v/>
      </c>
      <c r="I2888" s="29">
        <f>IF($B2888="","",IFERROR(INDEX($U$4:$U$3183,MATCH(SMALL($V$4:$V$3183,2885),$V$4:$V$3183,0)),""))</f>
        <v/>
      </c>
      <c r="J2888">
        <f>IF($B2888="","",IF($D2888&gt;$F$2,"À venir",IF($E2888&lt;$D$2,"Passé","Dans la période")))</f>
        <v/>
      </c>
      <c r="K2888">
        <f>IF(OR($B2888="",NOT(ISNUMBER($D2888))),"",IF(AND($E2888&lt;$D$2,$G2888&lt;&gt;"X",$F2888&lt;&gt;"Réalisé",$F2888&lt;&gt;"Clôturé"),"RETARD",""))</f>
        <v/>
      </c>
      <c r="L2888">
        <f>IF(OR($B2888="",NOT(ISNUMBER($D2888))),"",IF(AND($D2888&gt;=$D$2,$D2888&lt;=$H$2,$G2888&lt;&gt;"X",$F2888&lt;&gt;"Réalisé",$F2888&lt;&gt;"Clôturé"),"≤ 7 j",""))</f>
        <v/>
      </c>
      <c r="M2888" s="29">
        <f>IF($B2888="","",IFERROR(INDEX($T$4:$T$3183,MATCH(SMALL($V$4:$V$3183,2885),$V$4:$V$3183,0)),""))</f>
        <v/>
      </c>
      <c r="O2888">
        <f>IF(INDEX(Suivi!$B:$B,2943)="","",INDEX(Suivi!$B:$B,2943))</f>
        <v/>
      </c>
      <c r="P2888">
        <f>IF($O2888="","",IF(INDEX(Suivi!$D:$D,2943)="",INDEX(Suivi!$C:$C,2943),INDEX(Suivi!$D:$D,2943)))</f>
        <v/>
      </c>
      <c r="Q2888">
        <f>IF($O2888="","",INDEX(Suivi!$E:$E,2943))</f>
        <v/>
      </c>
      <c r="R2888">
        <f>IF($O2888="","",INDEX(Suivi!$F:$F,2943))</f>
        <v/>
      </c>
      <c r="S2888">
        <f>IF($O2888="","",INDEX(Suivi!$G:$G,2943))</f>
        <v/>
      </c>
      <c r="T2888">
        <f>IF($O2888="","",IF(INDEX(Dossiers!$F$4:$F$63,55)="","",INDEX(Dossiers!$F$4:$F$63,55)))</f>
        <v/>
      </c>
      <c r="U2888">
        <f>IF($O2888="","",IF(INDEX(Dossiers!$G$4:$G$63,55)="","",INDEX(Dossiers!$G$4:$G$63,55)))</f>
        <v/>
      </c>
      <c r="V2888">
        <f>IF(OR($O2888="",NOT(ISNUMBER($Q2888))),"",$Q2888*1000000+2888)</f>
        <v/>
      </c>
      <c r="W2888" s="29">
        <f>IF($B2888="","",IFERROR(INDEX($U$4:$U$3183,MATCH(SMALL($V$4:$V$3183,2885),$V$4:$V$3183,0)),""))</f>
        <v/>
      </c>
    </row>
    <row r="2889">
      <c r="A2889">
        <f>IFERROR(INDEX($N$4:$N$3183,MATCH(SMALL($V$4:$V$3183,2886),$V$4:$V$3183,0)),"")</f>
        <v/>
      </c>
      <c r="B2889">
        <f>IFERROR(INDEX($O$4:$O$3183,MATCH(SMALL($V$4:$V$3183,2886),$V$4:$V$3183,0)),"")</f>
        <v/>
      </c>
      <c r="C2889">
        <f>IFERROR(INDEX($P$4:$P$3183,MATCH(SMALL($V$4:$V$3183,2886),$V$4:$V$3183,0)),"")</f>
        <v/>
      </c>
      <c r="D2889" s="29">
        <f>IFERROR(INDEX($Q$4:$Q$3183,MATCH(SMALL($V$4:$V$3183,2886),$V$4:$V$3183,0)),"")</f>
        <v/>
      </c>
      <c r="E2889" s="29">
        <f>IFERROR(INDEX($R$4:$R$3183,MATCH(SMALL($V$4:$V$3183,2886),$V$4:$V$3183,0)),"")</f>
        <v/>
      </c>
      <c r="F2889">
        <f>IFERROR(INDEX($S$4:$S$3183,MATCH(SMALL($V$4:$V$3183,2886),$V$4:$V$3183,0)),"")</f>
        <v/>
      </c>
      <c r="I2889" s="29">
        <f>IF($B2889="","",IFERROR(INDEX($U$4:$U$3183,MATCH(SMALL($V$4:$V$3183,2886),$V$4:$V$3183,0)),""))</f>
        <v/>
      </c>
      <c r="J2889">
        <f>IF($B2889="","",IF($D2889&gt;$F$2,"À venir",IF($E2889&lt;$D$2,"Passé","Dans la période")))</f>
        <v/>
      </c>
      <c r="K2889">
        <f>IF(OR($B2889="",NOT(ISNUMBER($D2889))),"",IF(AND($E2889&lt;$D$2,$G2889&lt;&gt;"X",$F2889&lt;&gt;"Réalisé",$F2889&lt;&gt;"Clôturé"),"RETARD",""))</f>
        <v/>
      </c>
      <c r="L2889">
        <f>IF(OR($B2889="",NOT(ISNUMBER($D2889))),"",IF(AND($D2889&gt;=$D$2,$D2889&lt;=$H$2,$G2889&lt;&gt;"X",$F2889&lt;&gt;"Réalisé",$F2889&lt;&gt;"Clôturé"),"≤ 7 j",""))</f>
        <v/>
      </c>
      <c r="M2889" s="29">
        <f>IF($B2889="","",IFERROR(INDEX($T$4:$T$3183,MATCH(SMALL($V$4:$V$3183,2886),$V$4:$V$3183,0)),""))</f>
        <v/>
      </c>
      <c r="O2889">
        <f>IF(INDEX(Suivi!$B:$B,2944)="","",INDEX(Suivi!$B:$B,2944))</f>
        <v/>
      </c>
      <c r="P2889">
        <f>IF($O2889="","",IF(INDEX(Suivi!$D:$D,2944)="",INDEX(Suivi!$C:$C,2944),INDEX(Suivi!$D:$D,2944)))</f>
        <v/>
      </c>
      <c r="Q2889">
        <f>IF($O2889="","",INDEX(Suivi!$E:$E,2944))</f>
        <v/>
      </c>
      <c r="R2889">
        <f>IF($O2889="","",INDEX(Suivi!$F:$F,2944))</f>
        <v/>
      </c>
      <c r="S2889">
        <f>IF($O2889="","",INDEX(Suivi!$G:$G,2944))</f>
        <v/>
      </c>
      <c r="T2889">
        <f>IF($O2889="","",IF(INDEX(Dossiers!$F$4:$F$63,55)="","",INDEX(Dossiers!$F$4:$F$63,55)))</f>
        <v/>
      </c>
      <c r="U2889">
        <f>IF($O2889="","",IF(INDEX(Dossiers!$G$4:$G$63,55)="","",INDEX(Dossiers!$G$4:$G$63,55)))</f>
        <v/>
      </c>
      <c r="V2889">
        <f>IF(OR($O2889="",NOT(ISNUMBER($Q2889))),"",$Q2889*1000000+2889)</f>
        <v/>
      </c>
      <c r="W2889" s="29">
        <f>IF($B2889="","",IFERROR(INDEX($U$4:$U$3183,MATCH(SMALL($V$4:$V$3183,2886),$V$4:$V$3183,0)),""))</f>
        <v/>
      </c>
    </row>
    <row r="2890">
      <c r="A2890">
        <f>IFERROR(INDEX($N$4:$N$3183,MATCH(SMALL($V$4:$V$3183,2887),$V$4:$V$3183,0)),"")</f>
        <v/>
      </c>
      <c r="B2890">
        <f>IFERROR(INDEX($O$4:$O$3183,MATCH(SMALL($V$4:$V$3183,2887),$V$4:$V$3183,0)),"")</f>
        <v/>
      </c>
      <c r="C2890">
        <f>IFERROR(INDEX($P$4:$P$3183,MATCH(SMALL($V$4:$V$3183,2887),$V$4:$V$3183,0)),"")</f>
        <v/>
      </c>
      <c r="D2890" s="29">
        <f>IFERROR(INDEX($Q$4:$Q$3183,MATCH(SMALL($V$4:$V$3183,2887),$V$4:$V$3183,0)),"")</f>
        <v/>
      </c>
      <c r="E2890" s="29">
        <f>IFERROR(INDEX($R$4:$R$3183,MATCH(SMALL($V$4:$V$3183,2887),$V$4:$V$3183,0)),"")</f>
        <v/>
      </c>
      <c r="F2890">
        <f>IFERROR(INDEX($S$4:$S$3183,MATCH(SMALL($V$4:$V$3183,2887),$V$4:$V$3183,0)),"")</f>
        <v/>
      </c>
      <c r="I2890" s="29">
        <f>IF($B2890="","",IFERROR(INDEX($U$4:$U$3183,MATCH(SMALL($V$4:$V$3183,2887),$V$4:$V$3183,0)),""))</f>
        <v/>
      </c>
      <c r="J2890">
        <f>IF($B2890="","",IF($D2890&gt;$F$2,"À venir",IF($E2890&lt;$D$2,"Passé","Dans la période")))</f>
        <v/>
      </c>
      <c r="K2890">
        <f>IF(OR($B2890="",NOT(ISNUMBER($D2890))),"",IF(AND($E2890&lt;$D$2,$G2890&lt;&gt;"X",$F2890&lt;&gt;"Réalisé",$F2890&lt;&gt;"Clôturé"),"RETARD",""))</f>
        <v/>
      </c>
      <c r="L2890">
        <f>IF(OR($B2890="",NOT(ISNUMBER($D2890))),"",IF(AND($D2890&gt;=$D$2,$D2890&lt;=$H$2,$G2890&lt;&gt;"X",$F2890&lt;&gt;"Réalisé",$F2890&lt;&gt;"Clôturé"),"≤ 7 j",""))</f>
        <v/>
      </c>
      <c r="M2890" s="29">
        <f>IF($B2890="","",IFERROR(INDEX($T$4:$T$3183,MATCH(SMALL($V$4:$V$3183,2887),$V$4:$V$3183,0)),""))</f>
        <v/>
      </c>
      <c r="O2890">
        <f>IF(INDEX(Suivi!$B:$B,2945)="","",INDEX(Suivi!$B:$B,2945))</f>
        <v/>
      </c>
      <c r="P2890">
        <f>IF($O2890="","",IF(INDEX(Suivi!$D:$D,2945)="",INDEX(Suivi!$C:$C,2945),INDEX(Suivi!$D:$D,2945)))</f>
        <v/>
      </c>
      <c r="Q2890">
        <f>IF($O2890="","",INDEX(Suivi!$E:$E,2945))</f>
        <v/>
      </c>
      <c r="R2890">
        <f>IF($O2890="","",INDEX(Suivi!$F:$F,2945))</f>
        <v/>
      </c>
      <c r="S2890">
        <f>IF($O2890="","",INDEX(Suivi!$G:$G,2945))</f>
        <v/>
      </c>
      <c r="T2890">
        <f>IF($O2890="","",IF(INDEX(Dossiers!$F$4:$F$63,55)="","",INDEX(Dossiers!$F$4:$F$63,55)))</f>
        <v/>
      </c>
      <c r="U2890">
        <f>IF($O2890="","",IF(INDEX(Dossiers!$G$4:$G$63,55)="","",INDEX(Dossiers!$G$4:$G$63,55)))</f>
        <v/>
      </c>
      <c r="V2890">
        <f>IF(OR($O2890="",NOT(ISNUMBER($Q2890))),"",$Q2890*1000000+2890)</f>
        <v/>
      </c>
      <c r="W2890" s="29">
        <f>IF($B2890="","",IFERROR(INDEX($U$4:$U$3183,MATCH(SMALL($V$4:$V$3183,2887),$V$4:$V$3183,0)),""))</f>
        <v/>
      </c>
    </row>
    <row r="2891">
      <c r="A2891">
        <f>IFERROR(INDEX($N$4:$N$3183,MATCH(SMALL($V$4:$V$3183,2888),$V$4:$V$3183,0)),"")</f>
        <v/>
      </c>
      <c r="B2891">
        <f>IFERROR(INDEX($O$4:$O$3183,MATCH(SMALL($V$4:$V$3183,2888),$V$4:$V$3183,0)),"")</f>
        <v/>
      </c>
      <c r="C2891">
        <f>IFERROR(INDEX($P$4:$P$3183,MATCH(SMALL($V$4:$V$3183,2888),$V$4:$V$3183,0)),"")</f>
        <v/>
      </c>
      <c r="D2891" s="29">
        <f>IFERROR(INDEX($Q$4:$Q$3183,MATCH(SMALL($V$4:$V$3183,2888),$V$4:$V$3183,0)),"")</f>
        <v/>
      </c>
      <c r="E2891" s="29">
        <f>IFERROR(INDEX($R$4:$R$3183,MATCH(SMALL($V$4:$V$3183,2888),$V$4:$V$3183,0)),"")</f>
        <v/>
      </c>
      <c r="F2891">
        <f>IFERROR(INDEX($S$4:$S$3183,MATCH(SMALL($V$4:$V$3183,2888),$V$4:$V$3183,0)),"")</f>
        <v/>
      </c>
      <c r="I2891" s="29">
        <f>IF($B2891="","",IFERROR(INDEX($U$4:$U$3183,MATCH(SMALL($V$4:$V$3183,2888),$V$4:$V$3183,0)),""))</f>
        <v/>
      </c>
      <c r="J2891">
        <f>IF($B2891="","",IF($D2891&gt;$F$2,"À venir",IF($E2891&lt;$D$2,"Passé","Dans la période")))</f>
        <v/>
      </c>
      <c r="K2891">
        <f>IF(OR($B2891="",NOT(ISNUMBER($D2891))),"",IF(AND($E2891&lt;$D$2,$G2891&lt;&gt;"X",$F2891&lt;&gt;"Réalisé",$F2891&lt;&gt;"Clôturé"),"RETARD",""))</f>
        <v/>
      </c>
      <c r="L2891">
        <f>IF(OR($B2891="",NOT(ISNUMBER($D2891))),"",IF(AND($D2891&gt;=$D$2,$D2891&lt;=$H$2,$G2891&lt;&gt;"X",$F2891&lt;&gt;"Réalisé",$F2891&lt;&gt;"Clôturé"),"≤ 7 j",""))</f>
        <v/>
      </c>
      <c r="M2891" s="29">
        <f>IF($B2891="","",IFERROR(INDEX($T$4:$T$3183,MATCH(SMALL($V$4:$V$3183,2888),$V$4:$V$3183,0)),""))</f>
        <v/>
      </c>
      <c r="O2891">
        <f>IF(INDEX(Suivi!$B:$B,2946)="","",INDEX(Suivi!$B:$B,2946))</f>
        <v/>
      </c>
      <c r="P2891">
        <f>IF($O2891="","",IF(INDEX(Suivi!$D:$D,2946)="",INDEX(Suivi!$C:$C,2946),INDEX(Suivi!$D:$D,2946)))</f>
        <v/>
      </c>
      <c r="Q2891">
        <f>IF($O2891="","",INDEX(Suivi!$E:$E,2946))</f>
        <v/>
      </c>
      <c r="R2891">
        <f>IF($O2891="","",INDEX(Suivi!$F:$F,2946))</f>
        <v/>
      </c>
      <c r="S2891">
        <f>IF($O2891="","",INDEX(Suivi!$G:$G,2946))</f>
        <v/>
      </c>
      <c r="T2891">
        <f>IF($O2891="","",IF(INDEX(Dossiers!$F$4:$F$63,55)="","",INDEX(Dossiers!$F$4:$F$63,55)))</f>
        <v/>
      </c>
      <c r="U2891">
        <f>IF($O2891="","",IF(INDEX(Dossiers!$G$4:$G$63,55)="","",INDEX(Dossiers!$G$4:$G$63,55)))</f>
        <v/>
      </c>
      <c r="V2891">
        <f>IF(OR($O2891="",NOT(ISNUMBER($Q2891))),"",$Q2891*1000000+2891)</f>
        <v/>
      </c>
      <c r="W2891" s="29">
        <f>IF($B2891="","",IFERROR(INDEX($U$4:$U$3183,MATCH(SMALL($V$4:$V$3183,2888),$V$4:$V$3183,0)),""))</f>
        <v/>
      </c>
    </row>
    <row r="2892">
      <c r="A2892">
        <f>IFERROR(INDEX($N$4:$N$3183,MATCH(SMALL($V$4:$V$3183,2889),$V$4:$V$3183,0)),"")</f>
        <v/>
      </c>
      <c r="B2892">
        <f>IFERROR(INDEX($O$4:$O$3183,MATCH(SMALL($V$4:$V$3183,2889),$V$4:$V$3183,0)),"")</f>
        <v/>
      </c>
      <c r="C2892">
        <f>IFERROR(INDEX($P$4:$P$3183,MATCH(SMALL($V$4:$V$3183,2889),$V$4:$V$3183,0)),"")</f>
        <v/>
      </c>
      <c r="D2892" s="29">
        <f>IFERROR(INDEX($Q$4:$Q$3183,MATCH(SMALL($V$4:$V$3183,2889),$V$4:$V$3183,0)),"")</f>
        <v/>
      </c>
      <c r="E2892" s="29">
        <f>IFERROR(INDEX($R$4:$R$3183,MATCH(SMALL($V$4:$V$3183,2889),$V$4:$V$3183,0)),"")</f>
        <v/>
      </c>
      <c r="F2892">
        <f>IFERROR(INDEX($S$4:$S$3183,MATCH(SMALL($V$4:$V$3183,2889),$V$4:$V$3183,0)),"")</f>
        <v/>
      </c>
      <c r="I2892" s="29">
        <f>IF($B2892="","",IFERROR(INDEX($U$4:$U$3183,MATCH(SMALL($V$4:$V$3183,2889),$V$4:$V$3183,0)),""))</f>
        <v/>
      </c>
      <c r="J2892">
        <f>IF($B2892="","",IF($D2892&gt;$F$2,"À venir",IF($E2892&lt;$D$2,"Passé","Dans la période")))</f>
        <v/>
      </c>
      <c r="K2892">
        <f>IF(OR($B2892="",NOT(ISNUMBER($D2892))),"",IF(AND($E2892&lt;$D$2,$G2892&lt;&gt;"X",$F2892&lt;&gt;"Réalisé",$F2892&lt;&gt;"Clôturé"),"RETARD",""))</f>
        <v/>
      </c>
      <c r="L2892">
        <f>IF(OR($B2892="",NOT(ISNUMBER($D2892))),"",IF(AND($D2892&gt;=$D$2,$D2892&lt;=$H$2,$G2892&lt;&gt;"X",$F2892&lt;&gt;"Réalisé",$F2892&lt;&gt;"Clôturé"),"≤ 7 j",""))</f>
        <v/>
      </c>
      <c r="M2892" s="29">
        <f>IF($B2892="","",IFERROR(INDEX($T$4:$T$3183,MATCH(SMALL($V$4:$V$3183,2889),$V$4:$V$3183,0)),""))</f>
        <v/>
      </c>
      <c r="O2892">
        <f>IF(INDEX(Suivi!$B:$B,2947)="","",INDEX(Suivi!$B:$B,2947))</f>
        <v/>
      </c>
      <c r="P2892">
        <f>IF($O2892="","",IF(INDEX(Suivi!$D:$D,2947)="",INDEX(Suivi!$C:$C,2947),INDEX(Suivi!$D:$D,2947)))</f>
        <v/>
      </c>
      <c r="Q2892">
        <f>IF($O2892="","",INDEX(Suivi!$E:$E,2947))</f>
        <v/>
      </c>
      <c r="R2892">
        <f>IF($O2892="","",INDEX(Suivi!$F:$F,2947))</f>
        <v/>
      </c>
      <c r="S2892">
        <f>IF($O2892="","",INDEX(Suivi!$G:$G,2947))</f>
        <v/>
      </c>
      <c r="T2892">
        <f>IF($O2892="","",IF(INDEX(Dossiers!$F$4:$F$63,55)="","",INDEX(Dossiers!$F$4:$F$63,55)))</f>
        <v/>
      </c>
      <c r="U2892">
        <f>IF($O2892="","",IF(INDEX(Dossiers!$G$4:$G$63,55)="","",INDEX(Dossiers!$G$4:$G$63,55)))</f>
        <v/>
      </c>
      <c r="V2892">
        <f>IF(OR($O2892="",NOT(ISNUMBER($Q2892))),"",$Q2892*1000000+2892)</f>
        <v/>
      </c>
      <c r="W2892" s="29">
        <f>IF($B2892="","",IFERROR(INDEX($U$4:$U$3183,MATCH(SMALL($V$4:$V$3183,2889),$V$4:$V$3183,0)),""))</f>
        <v/>
      </c>
    </row>
    <row r="2893">
      <c r="A2893">
        <f>IFERROR(INDEX($N$4:$N$3183,MATCH(SMALL($V$4:$V$3183,2890),$V$4:$V$3183,0)),"")</f>
        <v/>
      </c>
      <c r="B2893">
        <f>IFERROR(INDEX($O$4:$O$3183,MATCH(SMALL($V$4:$V$3183,2890),$V$4:$V$3183,0)),"")</f>
        <v/>
      </c>
      <c r="C2893">
        <f>IFERROR(INDEX($P$4:$P$3183,MATCH(SMALL($V$4:$V$3183,2890),$V$4:$V$3183,0)),"")</f>
        <v/>
      </c>
      <c r="D2893" s="29">
        <f>IFERROR(INDEX($Q$4:$Q$3183,MATCH(SMALL($V$4:$V$3183,2890),$V$4:$V$3183,0)),"")</f>
        <v/>
      </c>
      <c r="E2893" s="29">
        <f>IFERROR(INDEX($R$4:$R$3183,MATCH(SMALL($V$4:$V$3183,2890),$V$4:$V$3183,0)),"")</f>
        <v/>
      </c>
      <c r="F2893">
        <f>IFERROR(INDEX($S$4:$S$3183,MATCH(SMALL($V$4:$V$3183,2890),$V$4:$V$3183,0)),"")</f>
        <v/>
      </c>
      <c r="I2893" s="29">
        <f>IF($B2893="","",IFERROR(INDEX($U$4:$U$3183,MATCH(SMALL($V$4:$V$3183,2890),$V$4:$V$3183,0)),""))</f>
        <v/>
      </c>
      <c r="J2893">
        <f>IF($B2893="","",IF($D2893&gt;$F$2,"À venir",IF($E2893&lt;$D$2,"Passé","Dans la période")))</f>
        <v/>
      </c>
      <c r="K2893">
        <f>IF(OR($B2893="",NOT(ISNUMBER($D2893))),"",IF(AND($E2893&lt;$D$2,$G2893&lt;&gt;"X",$F2893&lt;&gt;"Réalisé",$F2893&lt;&gt;"Clôturé"),"RETARD",""))</f>
        <v/>
      </c>
      <c r="L2893">
        <f>IF(OR($B2893="",NOT(ISNUMBER($D2893))),"",IF(AND($D2893&gt;=$D$2,$D2893&lt;=$H$2,$G2893&lt;&gt;"X",$F2893&lt;&gt;"Réalisé",$F2893&lt;&gt;"Clôturé"),"≤ 7 j",""))</f>
        <v/>
      </c>
      <c r="M2893" s="29">
        <f>IF($B2893="","",IFERROR(INDEX($T$4:$T$3183,MATCH(SMALL($V$4:$V$3183,2890),$V$4:$V$3183,0)),""))</f>
        <v/>
      </c>
      <c r="O2893">
        <f>IF(INDEX(Suivi!$B:$B,2948)="","",INDEX(Suivi!$B:$B,2948))</f>
        <v/>
      </c>
      <c r="P2893">
        <f>IF($O2893="","",IF(INDEX(Suivi!$D:$D,2948)="",INDEX(Suivi!$C:$C,2948),INDEX(Suivi!$D:$D,2948)))</f>
        <v/>
      </c>
      <c r="Q2893">
        <f>IF($O2893="","",INDEX(Suivi!$E:$E,2948))</f>
        <v/>
      </c>
      <c r="R2893">
        <f>IF($O2893="","",INDEX(Suivi!$F:$F,2948))</f>
        <v/>
      </c>
      <c r="S2893">
        <f>IF($O2893="","",INDEX(Suivi!$G:$G,2948))</f>
        <v/>
      </c>
      <c r="T2893">
        <f>IF($O2893="","",IF(INDEX(Dossiers!$F$4:$F$63,55)="","",INDEX(Dossiers!$F$4:$F$63,55)))</f>
        <v/>
      </c>
      <c r="U2893">
        <f>IF($O2893="","",IF(INDEX(Dossiers!$G$4:$G$63,55)="","",INDEX(Dossiers!$G$4:$G$63,55)))</f>
        <v/>
      </c>
      <c r="V2893">
        <f>IF(OR($O2893="",NOT(ISNUMBER($Q2893))),"",$Q2893*1000000+2893)</f>
        <v/>
      </c>
      <c r="W2893" s="29">
        <f>IF($B2893="","",IFERROR(INDEX($U$4:$U$3183,MATCH(SMALL($V$4:$V$3183,2890),$V$4:$V$3183,0)),""))</f>
        <v/>
      </c>
    </row>
    <row r="2894">
      <c r="A2894">
        <f>IFERROR(INDEX($N$4:$N$3183,MATCH(SMALL($V$4:$V$3183,2891),$V$4:$V$3183,0)),"")</f>
        <v/>
      </c>
      <c r="B2894">
        <f>IFERROR(INDEX($O$4:$O$3183,MATCH(SMALL($V$4:$V$3183,2891),$V$4:$V$3183,0)),"")</f>
        <v/>
      </c>
      <c r="C2894">
        <f>IFERROR(INDEX($P$4:$P$3183,MATCH(SMALL($V$4:$V$3183,2891),$V$4:$V$3183,0)),"")</f>
        <v/>
      </c>
      <c r="D2894" s="29">
        <f>IFERROR(INDEX($Q$4:$Q$3183,MATCH(SMALL($V$4:$V$3183,2891),$V$4:$V$3183,0)),"")</f>
        <v/>
      </c>
      <c r="E2894" s="29">
        <f>IFERROR(INDEX($R$4:$R$3183,MATCH(SMALL($V$4:$V$3183,2891),$V$4:$V$3183,0)),"")</f>
        <v/>
      </c>
      <c r="F2894">
        <f>IFERROR(INDEX($S$4:$S$3183,MATCH(SMALL($V$4:$V$3183,2891),$V$4:$V$3183,0)),"")</f>
        <v/>
      </c>
      <c r="I2894" s="29">
        <f>IF($B2894="","",IFERROR(INDEX($U$4:$U$3183,MATCH(SMALL($V$4:$V$3183,2891),$V$4:$V$3183,0)),""))</f>
        <v/>
      </c>
      <c r="J2894">
        <f>IF($B2894="","",IF($D2894&gt;$F$2,"À venir",IF($E2894&lt;$D$2,"Passé","Dans la période")))</f>
        <v/>
      </c>
      <c r="K2894">
        <f>IF(OR($B2894="",NOT(ISNUMBER($D2894))),"",IF(AND($E2894&lt;$D$2,$G2894&lt;&gt;"X",$F2894&lt;&gt;"Réalisé",$F2894&lt;&gt;"Clôturé"),"RETARD",""))</f>
        <v/>
      </c>
      <c r="L2894">
        <f>IF(OR($B2894="",NOT(ISNUMBER($D2894))),"",IF(AND($D2894&gt;=$D$2,$D2894&lt;=$H$2,$G2894&lt;&gt;"X",$F2894&lt;&gt;"Réalisé",$F2894&lt;&gt;"Clôturé"),"≤ 7 j",""))</f>
        <v/>
      </c>
      <c r="M2894" s="29">
        <f>IF($B2894="","",IFERROR(INDEX($T$4:$T$3183,MATCH(SMALL($V$4:$V$3183,2891),$V$4:$V$3183,0)),""))</f>
        <v/>
      </c>
      <c r="O2894">
        <f>IF(INDEX(Suivi!$B:$B,2949)="","",INDEX(Suivi!$B:$B,2949))</f>
        <v/>
      </c>
      <c r="P2894">
        <f>IF($O2894="","",IF(INDEX(Suivi!$D:$D,2949)="",INDEX(Suivi!$C:$C,2949),INDEX(Suivi!$D:$D,2949)))</f>
        <v/>
      </c>
      <c r="Q2894">
        <f>IF($O2894="","",INDEX(Suivi!$E:$E,2949))</f>
        <v/>
      </c>
      <c r="R2894">
        <f>IF($O2894="","",INDEX(Suivi!$F:$F,2949))</f>
        <v/>
      </c>
      <c r="S2894">
        <f>IF($O2894="","",INDEX(Suivi!$G:$G,2949))</f>
        <v/>
      </c>
      <c r="T2894">
        <f>IF($O2894="","",IF(INDEX(Dossiers!$F$4:$F$63,55)="","",INDEX(Dossiers!$F$4:$F$63,55)))</f>
        <v/>
      </c>
      <c r="U2894">
        <f>IF($O2894="","",IF(INDEX(Dossiers!$G$4:$G$63,55)="","",INDEX(Dossiers!$G$4:$G$63,55)))</f>
        <v/>
      </c>
      <c r="V2894">
        <f>IF(OR($O2894="",NOT(ISNUMBER($Q2894))),"",$Q2894*1000000+2894)</f>
        <v/>
      </c>
      <c r="W2894" s="29">
        <f>IF($B2894="","",IFERROR(INDEX($U$4:$U$3183,MATCH(SMALL($V$4:$V$3183,2891),$V$4:$V$3183,0)),""))</f>
        <v/>
      </c>
    </row>
    <row r="2895">
      <c r="A2895">
        <f>IFERROR(INDEX($N$4:$N$3183,MATCH(SMALL($V$4:$V$3183,2892),$V$4:$V$3183,0)),"")</f>
        <v/>
      </c>
      <c r="B2895">
        <f>IFERROR(INDEX($O$4:$O$3183,MATCH(SMALL($V$4:$V$3183,2892),$V$4:$V$3183,0)),"")</f>
        <v/>
      </c>
      <c r="C2895">
        <f>IFERROR(INDEX($P$4:$P$3183,MATCH(SMALL($V$4:$V$3183,2892),$V$4:$V$3183,0)),"")</f>
        <v/>
      </c>
      <c r="D2895" s="29">
        <f>IFERROR(INDEX($Q$4:$Q$3183,MATCH(SMALL($V$4:$V$3183,2892),$V$4:$V$3183,0)),"")</f>
        <v/>
      </c>
      <c r="E2895" s="29">
        <f>IFERROR(INDEX($R$4:$R$3183,MATCH(SMALL($V$4:$V$3183,2892),$V$4:$V$3183,0)),"")</f>
        <v/>
      </c>
      <c r="F2895">
        <f>IFERROR(INDEX($S$4:$S$3183,MATCH(SMALL($V$4:$V$3183,2892),$V$4:$V$3183,0)),"")</f>
        <v/>
      </c>
      <c r="I2895" s="29">
        <f>IF($B2895="","",IFERROR(INDEX($U$4:$U$3183,MATCH(SMALL($V$4:$V$3183,2892),$V$4:$V$3183,0)),""))</f>
        <v/>
      </c>
      <c r="J2895">
        <f>IF($B2895="","",IF($D2895&gt;$F$2,"À venir",IF($E2895&lt;$D$2,"Passé","Dans la période")))</f>
        <v/>
      </c>
      <c r="K2895">
        <f>IF(OR($B2895="",NOT(ISNUMBER($D2895))),"",IF(AND($E2895&lt;$D$2,$G2895&lt;&gt;"X",$F2895&lt;&gt;"Réalisé",$F2895&lt;&gt;"Clôturé"),"RETARD",""))</f>
        <v/>
      </c>
      <c r="L2895">
        <f>IF(OR($B2895="",NOT(ISNUMBER($D2895))),"",IF(AND($D2895&gt;=$D$2,$D2895&lt;=$H$2,$G2895&lt;&gt;"X",$F2895&lt;&gt;"Réalisé",$F2895&lt;&gt;"Clôturé"),"≤ 7 j",""))</f>
        <v/>
      </c>
      <c r="M2895" s="29">
        <f>IF($B2895="","",IFERROR(INDEX($T$4:$T$3183,MATCH(SMALL($V$4:$V$3183,2892),$V$4:$V$3183,0)),""))</f>
        <v/>
      </c>
      <c r="O2895">
        <f>IF(INDEX(Suivi!$B:$B,2950)="","",INDEX(Suivi!$B:$B,2950))</f>
        <v/>
      </c>
      <c r="P2895">
        <f>IF($O2895="","",IF(INDEX(Suivi!$D:$D,2950)="",INDEX(Suivi!$C:$C,2950),INDEX(Suivi!$D:$D,2950)))</f>
        <v/>
      </c>
      <c r="Q2895">
        <f>IF($O2895="","",INDEX(Suivi!$E:$E,2950))</f>
        <v/>
      </c>
      <c r="R2895">
        <f>IF($O2895="","",INDEX(Suivi!$F:$F,2950))</f>
        <v/>
      </c>
      <c r="S2895">
        <f>IF($O2895="","",INDEX(Suivi!$G:$G,2950))</f>
        <v/>
      </c>
      <c r="T2895">
        <f>IF($O2895="","",IF(INDEX(Dossiers!$F$4:$F$63,55)="","",INDEX(Dossiers!$F$4:$F$63,55)))</f>
        <v/>
      </c>
      <c r="U2895">
        <f>IF($O2895="","",IF(INDEX(Dossiers!$G$4:$G$63,55)="","",INDEX(Dossiers!$G$4:$G$63,55)))</f>
        <v/>
      </c>
      <c r="V2895">
        <f>IF(OR($O2895="",NOT(ISNUMBER($Q2895))),"",$Q2895*1000000+2895)</f>
        <v/>
      </c>
      <c r="W2895" s="29">
        <f>IF($B2895="","",IFERROR(INDEX($U$4:$U$3183,MATCH(SMALL($V$4:$V$3183,2892),$V$4:$V$3183,0)),""))</f>
        <v/>
      </c>
    </row>
    <row r="2896">
      <c r="A2896">
        <f>IFERROR(INDEX($N$4:$N$3183,MATCH(SMALL($V$4:$V$3183,2893),$V$4:$V$3183,0)),"")</f>
        <v/>
      </c>
      <c r="B2896">
        <f>IFERROR(INDEX($O$4:$O$3183,MATCH(SMALL($V$4:$V$3183,2893),$V$4:$V$3183,0)),"")</f>
        <v/>
      </c>
      <c r="C2896">
        <f>IFERROR(INDEX($P$4:$P$3183,MATCH(SMALL($V$4:$V$3183,2893),$V$4:$V$3183,0)),"")</f>
        <v/>
      </c>
      <c r="D2896" s="29">
        <f>IFERROR(INDEX($Q$4:$Q$3183,MATCH(SMALL($V$4:$V$3183,2893),$V$4:$V$3183,0)),"")</f>
        <v/>
      </c>
      <c r="E2896" s="29">
        <f>IFERROR(INDEX($R$4:$R$3183,MATCH(SMALL($V$4:$V$3183,2893),$V$4:$V$3183,0)),"")</f>
        <v/>
      </c>
      <c r="F2896">
        <f>IFERROR(INDEX($S$4:$S$3183,MATCH(SMALL($V$4:$V$3183,2893),$V$4:$V$3183,0)),"")</f>
        <v/>
      </c>
      <c r="I2896" s="29">
        <f>IF($B2896="","",IFERROR(INDEX($U$4:$U$3183,MATCH(SMALL($V$4:$V$3183,2893),$V$4:$V$3183,0)),""))</f>
        <v/>
      </c>
      <c r="J2896">
        <f>IF($B2896="","",IF($D2896&gt;$F$2,"À venir",IF($E2896&lt;$D$2,"Passé","Dans la période")))</f>
        <v/>
      </c>
      <c r="K2896">
        <f>IF(OR($B2896="",NOT(ISNUMBER($D2896))),"",IF(AND($E2896&lt;$D$2,$G2896&lt;&gt;"X",$F2896&lt;&gt;"Réalisé",$F2896&lt;&gt;"Clôturé"),"RETARD",""))</f>
        <v/>
      </c>
      <c r="L2896">
        <f>IF(OR($B2896="",NOT(ISNUMBER($D2896))),"",IF(AND($D2896&gt;=$D$2,$D2896&lt;=$H$2,$G2896&lt;&gt;"X",$F2896&lt;&gt;"Réalisé",$F2896&lt;&gt;"Clôturé"),"≤ 7 j",""))</f>
        <v/>
      </c>
      <c r="M2896" s="29">
        <f>IF($B2896="","",IFERROR(INDEX($T$4:$T$3183,MATCH(SMALL($V$4:$V$3183,2893),$V$4:$V$3183,0)),""))</f>
        <v/>
      </c>
      <c r="O2896">
        <f>IF(INDEX(Suivi!$B:$B,2951)="","",INDEX(Suivi!$B:$B,2951))</f>
        <v/>
      </c>
      <c r="P2896">
        <f>IF($O2896="","",IF(INDEX(Suivi!$D:$D,2951)="",INDEX(Suivi!$C:$C,2951),INDEX(Suivi!$D:$D,2951)))</f>
        <v/>
      </c>
      <c r="Q2896">
        <f>IF($O2896="","",INDEX(Suivi!$E:$E,2951))</f>
        <v/>
      </c>
      <c r="R2896">
        <f>IF($O2896="","",INDEX(Suivi!$F:$F,2951))</f>
        <v/>
      </c>
      <c r="S2896">
        <f>IF($O2896="","",INDEX(Suivi!$G:$G,2951))</f>
        <v/>
      </c>
      <c r="T2896">
        <f>IF($O2896="","",IF(INDEX(Dossiers!$F$4:$F$63,55)="","",INDEX(Dossiers!$F$4:$F$63,55)))</f>
        <v/>
      </c>
      <c r="U2896">
        <f>IF($O2896="","",IF(INDEX(Dossiers!$G$4:$G$63,55)="","",INDEX(Dossiers!$G$4:$G$63,55)))</f>
        <v/>
      </c>
      <c r="V2896">
        <f>IF(OR($O2896="",NOT(ISNUMBER($Q2896))),"",$Q2896*1000000+2896)</f>
        <v/>
      </c>
      <c r="W2896" s="29">
        <f>IF($B2896="","",IFERROR(INDEX($U$4:$U$3183,MATCH(SMALL($V$4:$V$3183,2893),$V$4:$V$3183,0)),""))</f>
        <v/>
      </c>
    </row>
    <row r="2897">
      <c r="A2897">
        <f>IFERROR(INDEX($N$4:$N$3183,MATCH(SMALL($V$4:$V$3183,2894),$V$4:$V$3183,0)),"")</f>
        <v/>
      </c>
      <c r="B2897">
        <f>IFERROR(INDEX($O$4:$O$3183,MATCH(SMALL($V$4:$V$3183,2894),$V$4:$V$3183,0)),"")</f>
        <v/>
      </c>
      <c r="C2897">
        <f>IFERROR(INDEX($P$4:$P$3183,MATCH(SMALL($V$4:$V$3183,2894),$V$4:$V$3183,0)),"")</f>
        <v/>
      </c>
      <c r="D2897" s="29">
        <f>IFERROR(INDEX($Q$4:$Q$3183,MATCH(SMALL($V$4:$V$3183,2894),$V$4:$V$3183,0)),"")</f>
        <v/>
      </c>
      <c r="E2897" s="29">
        <f>IFERROR(INDEX($R$4:$R$3183,MATCH(SMALL($V$4:$V$3183,2894),$V$4:$V$3183,0)),"")</f>
        <v/>
      </c>
      <c r="F2897">
        <f>IFERROR(INDEX($S$4:$S$3183,MATCH(SMALL($V$4:$V$3183,2894),$V$4:$V$3183,0)),"")</f>
        <v/>
      </c>
      <c r="I2897" s="29">
        <f>IF($B2897="","",IFERROR(INDEX($U$4:$U$3183,MATCH(SMALL($V$4:$V$3183,2894),$V$4:$V$3183,0)),""))</f>
        <v/>
      </c>
      <c r="J2897">
        <f>IF($B2897="","",IF($D2897&gt;$F$2,"À venir",IF($E2897&lt;$D$2,"Passé","Dans la période")))</f>
        <v/>
      </c>
      <c r="K2897">
        <f>IF(OR($B2897="",NOT(ISNUMBER($D2897))),"",IF(AND($E2897&lt;$D$2,$G2897&lt;&gt;"X",$F2897&lt;&gt;"Réalisé",$F2897&lt;&gt;"Clôturé"),"RETARD",""))</f>
        <v/>
      </c>
      <c r="L2897">
        <f>IF(OR($B2897="",NOT(ISNUMBER($D2897))),"",IF(AND($D2897&gt;=$D$2,$D2897&lt;=$H$2,$G2897&lt;&gt;"X",$F2897&lt;&gt;"Réalisé",$F2897&lt;&gt;"Clôturé"),"≤ 7 j",""))</f>
        <v/>
      </c>
      <c r="M2897" s="29">
        <f>IF($B2897="","",IFERROR(INDEX($T$4:$T$3183,MATCH(SMALL($V$4:$V$3183,2894),$V$4:$V$3183,0)),""))</f>
        <v/>
      </c>
      <c r="O2897">
        <f>IF(INDEX(Suivi!$B:$B,2952)="","",INDEX(Suivi!$B:$B,2952))</f>
        <v/>
      </c>
      <c r="P2897">
        <f>IF($O2897="","",IF(INDEX(Suivi!$D:$D,2952)="",INDEX(Suivi!$C:$C,2952),INDEX(Suivi!$D:$D,2952)))</f>
        <v/>
      </c>
      <c r="Q2897">
        <f>IF($O2897="","",INDEX(Suivi!$E:$E,2952))</f>
        <v/>
      </c>
      <c r="R2897">
        <f>IF($O2897="","",INDEX(Suivi!$F:$F,2952))</f>
        <v/>
      </c>
      <c r="S2897">
        <f>IF($O2897="","",INDEX(Suivi!$G:$G,2952))</f>
        <v/>
      </c>
      <c r="T2897">
        <f>IF($O2897="","",IF(INDEX(Dossiers!$F$4:$F$63,55)="","",INDEX(Dossiers!$F$4:$F$63,55)))</f>
        <v/>
      </c>
      <c r="U2897">
        <f>IF($O2897="","",IF(INDEX(Dossiers!$G$4:$G$63,55)="","",INDEX(Dossiers!$G$4:$G$63,55)))</f>
        <v/>
      </c>
      <c r="V2897">
        <f>IF(OR($O2897="",NOT(ISNUMBER($Q2897))),"",$Q2897*1000000+2897)</f>
        <v/>
      </c>
      <c r="W2897" s="29">
        <f>IF($B2897="","",IFERROR(INDEX($U$4:$U$3183,MATCH(SMALL($V$4:$V$3183,2894),$V$4:$V$3183,0)),""))</f>
        <v/>
      </c>
    </row>
    <row r="2898">
      <c r="A2898">
        <f>IFERROR(INDEX($N$4:$N$3183,MATCH(SMALL($V$4:$V$3183,2895),$V$4:$V$3183,0)),"")</f>
        <v/>
      </c>
      <c r="B2898">
        <f>IFERROR(INDEX($O$4:$O$3183,MATCH(SMALL($V$4:$V$3183,2895),$V$4:$V$3183,0)),"")</f>
        <v/>
      </c>
      <c r="C2898">
        <f>IFERROR(INDEX($P$4:$P$3183,MATCH(SMALL($V$4:$V$3183,2895),$V$4:$V$3183,0)),"")</f>
        <v/>
      </c>
      <c r="D2898" s="29">
        <f>IFERROR(INDEX($Q$4:$Q$3183,MATCH(SMALL($V$4:$V$3183,2895),$V$4:$V$3183,0)),"")</f>
        <v/>
      </c>
      <c r="E2898" s="29">
        <f>IFERROR(INDEX($R$4:$R$3183,MATCH(SMALL($V$4:$V$3183,2895),$V$4:$V$3183,0)),"")</f>
        <v/>
      </c>
      <c r="F2898">
        <f>IFERROR(INDEX($S$4:$S$3183,MATCH(SMALL($V$4:$V$3183,2895),$V$4:$V$3183,0)),"")</f>
        <v/>
      </c>
      <c r="I2898" s="29">
        <f>IF($B2898="","",IFERROR(INDEX($U$4:$U$3183,MATCH(SMALL($V$4:$V$3183,2895),$V$4:$V$3183,0)),""))</f>
        <v/>
      </c>
      <c r="J2898">
        <f>IF($B2898="","",IF($D2898&gt;$F$2,"À venir",IF($E2898&lt;$D$2,"Passé","Dans la période")))</f>
        <v/>
      </c>
      <c r="K2898">
        <f>IF(OR($B2898="",NOT(ISNUMBER($D2898))),"",IF(AND($E2898&lt;$D$2,$G2898&lt;&gt;"X",$F2898&lt;&gt;"Réalisé",$F2898&lt;&gt;"Clôturé"),"RETARD",""))</f>
        <v/>
      </c>
      <c r="L2898">
        <f>IF(OR($B2898="",NOT(ISNUMBER($D2898))),"",IF(AND($D2898&gt;=$D$2,$D2898&lt;=$H$2,$G2898&lt;&gt;"X",$F2898&lt;&gt;"Réalisé",$F2898&lt;&gt;"Clôturé"),"≤ 7 j",""))</f>
        <v/>
      </c>
      <c r="M2898" s="29">
        <f>IF($B2898="","",IFERROR(INDEX($T$4:$T$3183,MATCH(SMALL($V$4:$V$3183,2895),$V$4:$V$3183,0)),""))</f>
        <v/>
      </c>
      <c r="O2898">
        <f>IF(INDEX(Suivi!$B:$B,2953)="","",INDEX(Suivi!$B:$B,2953))</f>
        <v/>
      </c>
      <c r="P2898">
        <f>IF($O2898="","",IF(INDEX(Suivi!$D:$D,2953)="",INDEX(Suivi!$C:$C,2953),INDEX(Suivi!$D:$D,2953)))</f>
        <v/>
      </c>
      <c r="Q2898">
        <f>IF($O2898="","",INDEX(Suivi!$E:$E,2953))</f>
        <v/>
      </c>
      <c r="R2898">
        <f>IF($O2898="","",INDEX(Suivi!$F:$F,2953))</f>
        <v/>
      </c>
      <c r="S2898">
        <f>IF($O2898="","",INDEX(Suivi!$G:$G,2953))</f>
        <v/>
      </c>
      <c r="T2898">
        <f>IF($O2898="","",IF(INDEX(Dossiers!$F$4:$F$63,55)="","",INDEX(Dossiers!$F$4:$F$63,55)))</f>
        <v/>
      </c>
      <c r="U2898">
        <f>IF($O2898="","",IF(INDEX(Dossiers!$G$4:$G$63,55)="","",INDEX(Dossiers!$G$4:$G$63,55)))</f>
        <v/>
      </c>
      <c r="V2898">
        <f>IF(OR($O2898="",NOT(ISNUMBER($Q2898))),"",$Q2898*1000000+2898)</f>
        <v/>
      </c>
      <c r="W2898" s="29">
        <f>IF($B2898="","",IFERROR(INDEX($U$4:$U$3183,MATCH(SMALL($V$4:$V$3183,2895),$V$4:$V$3183,0)),""))</f>
        <v/>
      </c>
    </row>
    <row r="2899">
      <c r="A2899">
        <f>IFERROR(INDEX($N$4:$N$3183,MATCH(SMALL($V$4:$V$3183,2896),$V$4:$V$3183,0)),"")</f>
        <v/>
      </c>
      <c r="B2899">
        <f>IFERROR(INDEX($O$4:$O$3183,MATCH(SMALL($V$4:$V$3183,2896),$V$4:$V$3183,0)),"")</f>
        <v/>
      </c>
      <c r="C2899">
        <f>IFERROR(INDEX($P$4:$P$3183,MATCH(SMALL($V$4:$V$3183,2896),$V$4:$V$3183,0)),"")</f>
        <v/>
      </c>
      <c r="D2899" s="29">
        <f>IFERROR(INDEX($Q$4:$Q$3183,MATCH(SMALL($V$4:$V$3183,2896),$V$4:$V$3183,0)),"")</f>
        <v/>
      </c>
      <c r="E2899" s="29">
        <f>IFERROR(INDEX($R$4:$R$3183,MATCH(SMALL($V$4:$V$3183,2896),$V$4:$V$3183,0)),"")</f>
        <v/>
      </c>
      <c r="F2899">
        <f>IFERROR(INDEX($S$4:$S$3183,MATCH(SMALL($V$4:$V$3183,2896),$V$4:$V$3183,0)),"")</f>
        <v/>
      </c>
      <c r="I2899" s="29">
        <f>IF($B2899="","",IFERROR(INDEX($U$4:$U$3183,MATCH(SMALL($V$4:$V$3183,2896),$V$4:$V$3183,0)),""))</f>
        <v/>
      </c>
      <c r="J2899">
        <f>IF($B2899="","",IF($D2899&gt;$F$2,"À venir",IF($E2899&lt;$D$2,"Passé","Dans la période")))</f>
        <v/>
      </c>
      <c r="K2899">
        <f>IF(OR($B2899="",NOT(ISNUMBER($D2899))),"",IF(AND($E2899&lt;$D$2,$G2899&lt;&gt;"X",$F2899&lt;&gt;"Réalisé",$F2899&lt;&gt;"Clôturé"),"RETARD",""))</f>
        <v/>
      </c>
      <c r="L2899">
        <f>IF(OR($B2899="",NOT(ISNUMBER($D2899))),"",IF(AND($D2899&gt;=$D$2,$D2899&lt;=$H$2,$G2899&lt;&gt;"X",$F2899&lt;&gt;"Réalisé",$F2899&lt;&gt;"Clôturé"),"≤ 7 j",""))</f>
        <v/>
      </c>
      <c r="M2899" s="29">
        <f>IF($B2899="","",IFERROR(INDEX($T$4:$T$3183,MATCH(SMALL($V$4:$V$3183,2896),$V$4:$V$3183,0)),""))</f>
        <v/>
      </c>
      <c r="O2899">
        <f>IF(INDEX(Suivi!$B:$B,2954)="","",INDEX(Suivi!$B:$B,2954))</f>
        <v/>
      </c>
      <c r="P2899">
        <f>IF($O2899="","",IF(INDEX(Suivi!$D:$D,2954)="",INDEX(Suivi!$C:$C,2954),INDEX(Suivi!$D:$D,2954)))</f>
        <v/>
      </c>
      <c r="Q2899">
        <f>IF($O2899="","",INDEX(Suivi!$E:$E,2954))</f>
        <v/>
      </c>
      <c r="R2899">
        <f>IF($O2899="","",INDEX(Suivi!$F:$F,2954))</f>
        <v/>
      </c>
      <c r="S2899">
        <f>IF($O2899="","",INDEX(Suivi!$G:$G,2954))</f>
        <v/>
      </c>
      <c r="T2899">
        <f>IF($O2899="","",IF(INDEX(Dossiers!$F$4:$F$63,55)="","",INDEX(Dossiers!$F$4:$F$63,55)))</f>
        <v/>
      </c>
      <c r="U2899">
        <f>IF($O2899="","",IF(INDEX(Dossiers!$G$4:$G$63,55)="","",INDEX(Dossiers!$G$4:$G$63,55)))</f>
        <v/>
      </c>
      <c r="V2899">
        <f>IF(OR($O2899="",NOT(ISNUMBER($Q2899))),"",$Q2899*1000000+2899)</f>
        <v/>
      </c>
      <c r="W2899" s="29">
        <f>IF($B2899="","",IFERROR(INDEX($U$4:$U$3183,MATCH(SMALL($V$4:$V$3183,2896),$V$4:$V$3183,0)),""))</f>
        <v/>
      </c>
    </row>
    <row r="2900">
      <c r="A2900">
        <f>IFERROR(INDEX($N$4:$N$3183,MATCH(SMALL($V$4:$V$3183,2897),$V$4:$V$3183,0)),"")</f>
        <v/>
      </c>
      <c r="B2900">
        <f>IFERROR(INDEX($O$4:$O$3183,MATCH(SMALL($V$4:$V$3183,2897),$V$4:$V$3183,0)),"")</f>
        <v/>
      </c>
      <c r="C2900">
        <f>IFERROR(INDEX($P$4:$P$3183,MATCH(SMALL($V$4:$V$3183,2897),$V$4:$V$3183,0)),"")</f>
        <v/>
      </c>
      <c r="D2900" s="29">
        <f>IFERROR(INDEX($Q$4:$Q$3183,MATCH(SMALL($V$4:$V$3183,2897),$V$4:$V$3183,0)),"")</f>
        <v/>
      </c>
      <c r="E2900" s="29">
        <f>IFERROR(INDEX($R$4:$R$3183,MATCH(SMALL($V$4:$V$3183,2897),$V$4:$V$3183,0)),"")</f>
        <v/>
      </c>
      <c r="F2900">
        <f>IFERROR(INDEX($S$4:$S$3183,MATCH(SMALL($V$4:$V$3183,2897),$V$4:$V$3183,0)),"")</f>
        <v/>
      </c>
      <c r="I2900" s="29">
        <f>IF($B2900="","",IFERROR(INDEX($U$4:$U$3183,MATCH(SMALL($V$4:$V$3183,2897),$V$4:$V$3183,0)),""))</f>
        <v/>
      </c>
      <c r="J2900">
        <f>IF($B2900="","",IF($D2900&gt;$F$2,"À venir",IF($E2900&lt;$D$2,"Passé","Dans la période")))</f>
        <v/>
      </c>
      <c r="K2900">
        <f>IF(OR($B2900="",NOT(ISNUMBER($D2900))),"",IF(AND($E2900&lt;$D$2,$G2900&lt;&gt;"X",$F2900&lt;&gt;"Réalisé",$F2900&lt;&gt;"Clôturé"),"RETARD",""))</f>
        <v/>
      </c>
      <c r="L2900">
        <f>IF(OR($B2900="",NOT(ISNUMBER($D2900))),"",IF(AND($D2900&gt;=$D$2,$D2900&lt;=$H$2,$G2900&lt;&gt;"X",$F2900&lt;&gt;"Réalisé",$F2900&lt;&gt;"Clôturé"),"≤ 7 j",""))</f>
        <v/>
      </c>
      <c r="M2900" s="29">
        <f>IF($B2900="","",IFERROR(INDEX($T$4:$T$3183,MATCH(SMALL($V$4:$V$3183,2897),$V$4:$V$3183,0)),""))</f>
        <v/>
      </c>
      <c r="O2900">
        <f>IF(INDEX(Suivi!$B:$B,2955)="","",INDEX(Suivi!$B:$B,2955))</f>
        <v/>
      </c>
      <c r="P2900">
        <f>IF($O2900="","",IF(INDEX(Suivi!$D:$D,2955)="",INDEX(Suivi!$C:$C,2955),INDEX(Suivi!$D:$D,2955)))</f>
        <v/>
      </c>
      <c r="Q2900">
        <f>IF($O2900="","",INDEX(Suivi!$E:$E,2955))</f>
        <v/>
      </c>
      <c r="R2900">
        <f>IF($O2900="","",INDEX(Suivi!$F:$F,2955))</f>
        <v/>
      </c>
      <c r="S2900">
        <f>IF($O2900="","",INDEX(Suivi!$G:$G,2955))</f>
        <v/>
      </c>
      <c r="T2900">
        <f>IF($O2900="","",IF(INDEX(Dossiers!$F$4:$F$63,55)="","",INDEX(Dossiers!$F$4:$F$63,55)))</f>
        <v/>
      </c>
      <c r="U2900">
        <f>IF($O2900="","",IF(INDEX(Dossiers!$G$4:$G$63,55)="","",INDEX(Dossiers!$G$4:$G$63,55)))</f>
        <v/>
      </c>
      <c r="V2900">
        <f>IF(OR($O2900="",NOT(ISNUMBER($Q2900))),"",$Q2900*1000000+2900)</f>
        <v/>
      </c>
      <c r="W2900" s="29">
        <f>IF($B2900="","",IFERROR(INDEX($U$4:$U$3183,MATCH(SMALL($V$4:$V$3183,2897),$V$4:$V$3183,0)),""))</f>
        <v/>
      </c>
    </row>
    <row r="2901">
      <c r="A2901">
        <f>IFERROR(INDEX($N$4:$N$3183,MATCH(SMALL($V$4:$V$3183,2898),$V$4:$V$3183,0)),"")</f>
        <v/>
      </c>
      <c r="B2901">
        <f>IFERROR(INDEX($O$4:$O$3183,MATCH(SMALL($V$4:$V$3183,2898),$V$4:$V$3183,0)),"")</f>
        <v/>
      </c>
      <c r="C2901">
        <f>IFERROR(INDEX($P$4:$P$3183,MATCH(SMALL($V$4:$V$3183,2898),$V$4:$V$3183,0)),"")</f>
        <v/>
      </c>
      <c r="D2901" s="29">
        <f>IFERROR(INDEX($Q$4:$Q$3183,MATCH(SMALL($V$4:$V$3183,2898),$V$4:$V$3183,0)),"")</f>
        <v/>
      </c>
      <c r="E2901" s="29">
        <f>IFERROR(INDEX($R$4:$R$3183,MATCH(SMALL($V$4:$V$3183,2898),$V$4:$V$3183,0)),"")</f>
        <v/>
      </c>
      <c r="F2901">
        <f>IFERROR(INDEX($S$4:$S$3183,MATCH(SMALL($V$4:$V$3183,2898),$V$4:$V$3183,0)),"")</f>
        <v/>
      </c>
      <c r="I2901" s="29">
        <f>IF($B2901="","",IFERROR(INDEX($U$4:$U$3183,MATCH(SMALL($V$4:$V$3183,2898),$V$4:$V$3183,0)),""))</f>
        <v/>
      </c>
      <c r="J2901">
        <f>IF($B2901="","",IF($D2901&gt;$F$2,"À venir",IF($E2901&lt;$D$2,"Passé","Dans la période")))</f>
        <v/>
      </c>
      <c r="K2901">
        <f>IF(OR($B2901="",NOT(ISNUMBER($D2901))),"",IF(AND($E2901&lt;$D$2,$G2901&lt;&gt;"X",$F2901&lt;&gt;"Réalisé",$F2901&lt;&gt;"Clôturé"),"RETARD",""))</f>
        <v/>
      </c>
      <c r="L2901">
        <f>IF(OR($B2901="",NOT(ISNUMBER($D2901))),"",IF(AND($D2901&gt;=$D$2,$D2901&lt;=$H$2,$G2901&lt;&gt;"X",$F2901&lt;&gt;"Réalisé",$F2901&lt;&gt;"Clôturé"),"≤ 7 j",""))</f>
        <v/>
      </c>
      <c r="M2901" s="29">
        <f>IF($B2901="","",IFERROR(INDEX($T$4:$T$3183,MATCH(SMALL($V$4:$V$3183,2898),$V$4:$V$3183,0)),""))</f>
        <v/>
      </c>
      <c r="O2901">
        <f>IF(INDEX(Suivi!$B:$B,2956)="","",INDEX(Suivi!$B:$B,2956))</f>
        <v/>
      </c>
      <c r="P2901">
        <f>IF($O2901="","",IF(INDEX(Suivi!$D:$D,2956)="",INDEX(Suivi!$C:$C,2956),INDEX(Suivi!$D:$D,2956)))</f>
        <v/>
      </c>
      <c r="Q2901">
        <f>IF($O2901="","",INDEX(Suivi!$E:$E,2956))</f>
        <v/>
      </c>
      <c r="R2901">
        <f>IF($O2901="","",INDEX(Suivi!$F:$F,2956))</f>
        <v/>
      </c>
      <c r="S2901">
        <f>IF($O2901="","",INDEX(Suivi!$G:$G,2956))</f>
        <v/>
      </c>
      <c r="T2901">
        <f>IF($O2901="","",IF(INDEX(Dossiers!$F$4:$F$63,55)="","",INDEX(Dossiers!$F$4:$F$63,55)))</f>
        <v/>
      </c>
      <c r="U2901">
        <f>IF($O2901="","",IF(INDEX(Dossiers!$G$4:$G$63,55)="","",INDEX(Dossiers!$G$4:$G$63,55)))</f>
        <v/>
      </c>
      <c r="V2901">
        <f>IF(OR($O2901="",NOT(ISNUMBER($Q2901))),"",$Q2901*1000000+2901)</f>
        <v/>
      </c>
      <c r="W2901" s="29">
        <f>IF($B2901="","",IFERROR(INDEX($U$4:$U$3183,MATCH(SMALL($V$4:$V$3183,2898),$V$4:$V$3183,0)),""))</f>
        <v/>
      </c>
    </row>
    <row r="2902">
      <c r="A2902">
        <f>IFERROR(INDEX($N$4:$N$3183,MATCH(SMALL($V$4:$V$3183,2899),$V$4:$V$3183,0)),"")</f>
        <v/>
      </c>
      <c r="B2902">
        <f>IFERROR(INDEX($O$4:$O$3183,MATCH(SMALL($V$4:$V$3183,2899),$V$4:$V$3183,0)),"")</f>
        <v/>
      </c>
      <c r="C2902">
        <f>IFERROR(INDEX($P$4:$P$3183,MATCH(SMALL($V$4:$V$3183,2899),$V$4:$V$3183,0)),"")</f>
        <v/>
      </c>
      <c r="D2902" s="29">
        <f>IFERROR(INDEX($Q$4:$Q$3183,MATCH(SMALL($V$4:$V$3183,2899),$V$4:$V$3183,0)),"")</f>
        <v/>
      </c>
      <c r="E2902" s="29">
        <f>IFERROR(INDEX($R$4:$R$3183,MATCH(SMALL($V$4:$V$3183,2899),$V$4:$V$3183,0)),"")</f>
        <v/>
      </c>
      <c r="F2902">
        <f>IFERROR(INDEX($S$4:$S$3183,MATCH(SMALL($V$4:$V$3183,2899),$V$4:$V$3183,0)),"")</f>
        <v/>
      </c>
      <c r="I2902" s="29">
        <f>IF($B2902="","",IFERROR(INDEX($U$4:$U$3183,MATCH(SMALL($V$4:$V$3183,2899),$V$4:$V$3183,0)),""))</f>
        <v/>
      </c>
      <c r="J2902">
        <f>IF($B2902="","",IF($D2902&gt;$F$2,"À venir",IF($E2902&lt;$D$2,"Passé","Dans la période")))</f>
        <v/>
      </c>
      <c r="K2902">
        <f>IF(OR($B2902="",NOT(ISNUMBER($D2902))),"",IF(AND($E2902&lt;$D$2,$G2902&lt;&gt;"X",$F2902&lt;&gt;"Réalisé",$F2902&lt;&gt;"Clôturé"),"RETARD",""))</f>
        <v/>
      </c>
      <c r="L2902">
        <f>IF(OR($B2902="",NOT(ISNUMBER($D2902))),"",IF(AND($D2902&gt;=$D$2,$D2902&lt;=$H$2,$G2902&lt;&gt;"X",$F2902&lt;&gt;"Réalisé",$F2902&lt;&gt;"Clôturé"),"≤ 7 j",""))</f>
        <v/>
      </c>
      <c r="M2902" s="29">
        <f>IF($B2902="","",IFERROR(INDEX($T$4:$T$3183,MATCH(SMALL($V$4:$V$3183,2899),$V$4:$V$3183,0)),""))</f>
        <v/>
      </c>
      <c r="O2902">
        <f>IF(INDEX(Suivi!$B:$B,2957)="","",INDEX(Suivi!$B:$B,2957))</f>
        <v/>
      </c>
      <c r="P2902">
        <f>IF($O2902="","",IF(INDEX(Suivi!$D:$D,2957)="",INDEX(Suivi!$C:$C,2957),INDEX(Suivi!$D:$D,2957)))</f>
        <v/>
      </c>
      <c r="Q2902">
        <f>IF($O2902="","",INDEX(Suivi!$E:$E,2957))</f>
        <v/>
      </c>
      <c r="R2902">
        <f>IF($O2902="","",INDEX(Suivi!$F:$F,2957))</f>
        <v/>
      </c>
      <c r="S2902">
        <f>IF($O2902="","",INDEX(Suivi!$G:$G,2957))</f>
        <v/>
      </c>
      <c r="T2902">
        <f>IF($O2902="","",IF(INDEX(Dossiers!$F$4:$F$63,55)="","",INDEX(Dossiers!$F$4:$F$63,55)))</f>
        <v/>
      </c>
      <c r="U2902">
        <f>IF($O2902="","",IF(INDEX(Dossiers!$G$4:$G$63,55)="","",INDEX(Dossiers!$G$4:$G$63,55)))</f>
        <v/>
      </c>
      <c r="V2902">
        <f>IF(OR($O2902="",NOT(ISNUMBER($Q2902))),"",$Q2902*1000000+2902)</f>
        <v/>
      </c>
      <c r="W2902" s="29">
        <f>IF($B2902="","",IFERROR(INDEX($U$4:$U$3183,MATCH(SMALL($V$4:$V$3183,2899),$V$4:$V$3183,0)),""))</f>
        <v/>
      </c>
    </row>
    <row r="2903">
      <c r="A2903">
        <f>IFERROR(INDEX($N$4:$N$3183,MATCH(SMALL($V$4:$V$3183,2900),$V$4:$V$3183,0)),"")</f>
        <v/>
      </c>
      <c r="B2903">
        <f>IFERROR(INDEX($O$4:$O$3183,MATCH(SMALL($V$4:$V$3183,2900),$V$4:$V$3183,0)),"")</f>
        <v/>
      </c>
      <c r="C2903">
        <f>IFERROR(INDEX($P$4:$P$3183,MATCH(SMALL($V$4:$V$3183,2900),$V$4:$V$3183,0)),"")</f>
        <v/>
      </c>
      <c r="D2903" s="29">
        <f>IFERROR(INDEX($Q$4:$Q$3183,MATCH(SMALL($V$4:$V$3183,2900),$V$4:$V$3183,0)),"")</f>
        <v/>
      </c>
      <c r="E2903" s="29">
        <f>IFERROR(INDEX($R$4:$R$3183,MATCH(SMALL($V$4:$V$3183,2900),$V$4:$V$3183,0)),"")</f>
        <v/>
      </c>
      <c r="F2903">
        <f>IFERROR(INDEX($S$4:$S$3183,MATCH(SMALL($V$4:$V$3183,2900),$V$4:$V$3183,0)),"")</f>
        <v/>
      </c>
      <c r="I2903" s="29">
        <f>IF($B2903="","",IFERROR(INDEX($U$4:$U$3183,MATCH(SMALL($V$4:$V$3183,2900),$V$4:$V$3183,0)),""))</f>
        <v/>
      </c>
      <c r="J2903">
        <f>IF($B2903="","",IF($D2903&gt;$F$2,"À venir",IF($E2903&lt;$D$2,"Passé","Dans la période")))</f>
        <v/>
      </c>
      <c r="K2903">
        <f>IF(OR($B2903="",NOT(ISNUMBER($D2903))),"",IF(AND($E2903&lt;$D$2,$G2903&lt;&gt;"X",$F2903&lt;&gt;"Réalisé",$F2903&lt;&gt;"Clôturé"),"RETARD",""))</f>
        <v/>
      </c>
      <c r="L2903">
        <f>IF(OR($B2903="",NOT(ISNUMBER($D2903))),"",IF(AND($D2903&gt;=$D$2,$D2903&lt;=$H$2,$G2903&lt;&gt;"X",$F2903&lt;&gt;"Réalisé",$F2903&lt;&gt;"Clôturé"),"≤ 7 j",""))</f>
        <v/>
      </c>
      <c r="M2903" s="29">
        <f>IF($B2903="","",IFERROR(INDEX($T$4:$T$3183,MATCH(SMALL($V$4:$V$3183,2900),$V$4:$V$3183,0)),""))</f>
        <v/>
      </c>
      <c r="O2903">
        <f>IF(INDEX(Suivi!$B:$B,2958)="","",INDEX(Suivi!$B:$B,2958))</f>
        <v/>
      </c>
      <c r="P2903">
        <f>IF($O2903="","",IF(INDEX(Suivi!$D:$D,2958)="",INDEX(Suivi!$C:$C,2958),INDEX(Suivi!$D:$D,2958)))</f>
        <v/>
      </c>
      <c r="Q2903">
        <f>IF($O2903="","",INDEX(Suivi!$E:$E,2958))</f>
        <v/>
      </c>
      <c r="R2903">
        <f>IF($O2903="","",INDEX(Suivi!$F:$F,2958))</f>
        <v/>
      </c>
      <c r="S2903">
        <f>IF($O2903="","",INDEX(Suivi!$G:$G,2958))</f>
        <v/>
      </c>
      <c r="T2903">
        <f>IF($O2903="","",IF(INDEX(Dossiers!$F$4:$F$63,55)="","",INDEX(Dossiers!$F$4:$F$63,55)))</f>
        <v/>
      </c>
      <c r="U2903">
        <f>IF($O2903="","",IF(INDEX(Dossiers!$G$4:$G$63,55)="","",INDEX(Dossiers!$G$4:$G$63,55)))</f>
        <v/>
      </c>
      <c r="V2903">
        <f>IF(OR($O2903="",NOT(ISNUMBER($Q2903))),"",$Q2903*1000000+2903)</f>
        <v/>
      </c>
      <c r="W2903" s="29">
        <f>IF($B2903="","",IFERROR(INDEX($U$4:$U$3183,MATCH(SMALL($V$4:$V$3183,2900),$V$4:$V$3183,0)),""))</f>
        <v/>
      </c>
    </row>
    <row r="2904">
      <c r="A2904">
        <f>IFERROR(INDEX($N$4:$N$3183,MATCH(SMALL($V$4:$V$3183,2901),$V$4:$V$3183,0)),"")</f>
        <v/>
      </c>
      <c r="B2904">
        <f>IFERROR(INDEX($O$4:$O$3183,MATCH(SMALL($V$4:$V$3183,2901),$V$4:$V$3183,0)),"")</f>
        <v/>
      </c>
      <c r="C2904">
        <f>IFERROR(INDEX($P$4:$P$3183,MATCH(SMALL($V$4:$V$3183,2901),$V$4:$V$3183,0)),"")</f>
        <v/>
      </c>
      <c r="D2904" s="29">
        <f>IFERROR(INDEX($Q$4:$Q$3183,MATCH(SMALL($V$4:$V$3183,2901),$V$4:$V$3183,0)),"")</f>
        <v/>
      </c>
      <c r="E2904" s="29">
        <f>IFERROR(INDEX($R$4:$R$3183,MATCH(SMALL($V$4:$V$3183,2901),$V$4:$V$3183,0)),"")</f>
        <v/>
      </c>
      <c r="F2904">
        <f>IFERROR(INDEX($S$4:$S$3183,MATCH(SMALL($V$4:$V$3183,2901),$V$4:$V$3183,0)),"")</f>
        <v/>
      </c>
      <c r="I2904" s="29">
        <f>IF($B2904="","",IFERROR(INDEX($U$4:$U$3183,MATCH(SMALL($V$4:$V$3183,2901),$V$4:$V$3183,0)),""))</f>
        <v/>
      </c>
      <c r="J2904">
        <f>IF($B2904="","",IF($D2904&gt;$F$2,"À venir",IF($E2904&lt;$D$2,"Passé","Dans la période")))</f>
        <v/>
      </c>
      <c r="K2904">
        <f>IF(OR($B2904="",NOT(ISNUMBER($D2904))),"",IF(AND($E2904&lt;$D$2,$G2904&lt;&gt;"X",$F2904&lt;&gt;"Réalisé",$F2904&lt;&gt;"Clôturé"),"RETARD",""))</f>
        <v/>
      </c>
      <c r="L2904">
        <f>IF(OR($B2904="",NOT(ISNUMBER($D2904))),"",IF(AND($D2904&gt;=$D$2,$D2904&lt;=$H$2,$G2904&lt;&gt;"X",$F2904&lt;&gt;"Réalisé",$F2904&lt;&gt;"Clôturé"),"≤ 7 j",""))</f>
        <v/>
      </c>
      <c r="M2904" s="29">
        <f>IF($B2904="","",IFERROR(INDEX($T$4:$T$3183,MATCH(SMALL($V$4:$V$3183,2901),$V$4:$V$3183,0)),""))</f>
        <v/>
      </c>
      <c r="O2904">
        <f>IF(INDEX(Suivi!$B:$B,2959)="","",INDEX(Suivi!$B:$B,2959))</f>
        <v/>
      </c>
      <c r="P2904">
        <f>IF($O2904="","",IF(INDEX(Suivi!$D:$D,2959)="",INDEX(Suivi!$C:$C,2959),INDEX(Suivi!$D:$D,2959)))</f>
        <v/>
      </c>
      <c r="Q2904">
        <f>IF($O2904="","",INDEX(Suivi!$E:$E,2959))</f>
        <v/>
      </c>
      <c r="R2904">
        <f>IF($O2904="","",INDEX(Suivi!$F:$F,2959))</f>
        <v/>
      </c>
      <c r="S2904">
        <f>IF($O2904="","",INDEX(Suivi!$G:$G,2959))</f>
        <v/>
      </c>
      <c r="T2904">
        <f>IF($O2904="","",IF(INDEX(Dossiers!$F$4:$F$63,55)="","",INDEX(Dossiers!$F$4:$F$63,55)))</f>
        <v/>
      </c>
      <c r="U2904">
        <f>IF($O2904="","",IF(INDEX(Dossiers!$G$4:$G$63,55)="","",INDEX(Dossiers!$G$4:$G$63,55)))</f>
        <v/>
      </c>
      <c r="V2904">
        <f>IF(OR($O2904="",NOT(ISNUMBER($Q2904))),"",$Q2904*1000000+2904)</f>
        <v/>
      </c>
      <c r="W2904" s="29">
        <f>IF($B2904="","",IFERROR(INDEX($U$4:$U$3183,MATCH(SMALL($V$4:$V$3183,2901),$V$4:$V$3183,0)),""))</f>
        <v/>
      </c>
    </row>
    <row r="2905">
      <c r="A2905">
        <f>IFERROR(INDEX($N$4:$N$3183,MATCH(SMALL($V$4:$V$3183,2902),$V$4:$V$3183,0)),"")</f>
        <v/>
      </c>
      <c r="B2905">
        <f>IFERROR(INDEX($O$4:$O$3183,MATCH(SMALL($V$4:$V$3183,2902),$V$4:$V$3183,0)),"")</f>
        <v/>
      </c>
      <c r="C2905">
        <f>IFERROR(INDEX($P$4:$P$3183,MATCH(SMALL($V$4:$V$3183,2902),$V$4:$V$3183,0)),"")</f>
        <v/>
      </c>
      <c r="D2905" s="29">
        <f>IFERROR(INDEX($Q$4:$Q$3183,MATCH(SMALL($V$4:$V$3183,2902),$V$4:$V$3183,0)),"")</f>
        <v/>
      </c>
      <c r="E2905" s="29">
        <f>IFERROR(INDEX($R$4:$R$3183,MATCH(SMALL($V$4:$V$3183,2902),$V$4:$V$3183,0)),"")</f>
        <v/>
      </c>
      <c r="F2905">
        <f>IFERROR(INDEX($S$4:$S$3183,MATCH(SMALL($V$4:$V$3183,2902),$V$4:$V$3183,0)),"")</f>
        <v/>
      </c>
      <c r="I2905" s="29">
        <f>IF($B2905="","",IFERROR(INDEX($U$4:$U$3183,MATCH(SMALL($V$4:$V$3183,2902),$V$4:$V$3183,0)),""))</f>
        <v/>
      </c>
      <c r="J2905">
        <f>IF($B2905="","",IF($D2905&gt;$F$2,"À venir",IF($E2905&lt;$D$2,"Passé","Dans la période")))</f>
        <v/>
      </c>
      <c r="K2905">
        <f>IF(OR($B2905="",NOT(ISNUMBER($D2905))),"",IF(AND($E2905&lt;$D$2,$G2905&lt;&gt;"X",$F2905&lt;&gt;"Réalisé",$F2905&lt;&gt;"Clôturé"),"RETARD",""))</f>
        <v/>
      </c>
      <c r="L2905">
        <f>IF(OR($B2905="",NOT(ISNUMBER($D2905))),"",IF(AND($D2905&gt;=$D$2,$D2905&lt;=$H$2,$G2905&lt;&gt;"X",$F2905&lt;&gt;"Réalisé",$F2905&lt;&gt;"Clôturé"),"≤ 7 j",""))</f>
        <v/>
      </c>
      <c r="M2905" s="29">
        <f>IF($B2905="","",IFERROR(INDEX($T$4:$T$3183,MATCH(SMALL($V$4:$V$3183,2902),$V$4:$V$3183,0)),""))</f>
        <v/>
      </c>
      <c r="O2905">
        <f>IF(INDEX(Suivi!$B:$B,2960)="","",INDEX(Suivi!$B:$B,2960))</f>
        <v/>
      </c>
      <c r="P2905">
        <f>IF($O2905="","",IF(INDEX(Suivi!$D:$D,2960)="",INDEX(Suivi!$C:$C,2960),INDEX(Suivi!$D:$D,2960)))</f>
        <v/>
      </c>
      <c r="Q2905">
        <f>IF($O2905="","",INDEX(Suivi!$E:$E,2960))</f>
        <v/>
      </c>
      <c r="R2905">
        <f>IF($O2905="","",INDEX(Suivi!$F:$F,2960))</f>
        <v/>
      </c>
      <c r="S2905">
        <f>IF($O2905="","",INDEX(Suivi!$G:$G,2960))</f>
        <v/>
      </c>
      <c r="T2905">
        <f>IF($O2905="","",IF(INDEX(Dossiers!$F$4:$F$63,55)="","",INDEX(Dossiers!$F$4:$F$63,55)))</f>
        <v/>
      </c>
      <c r="U2905">
        <f>IF($O2905="","",IF(INDEX(Dossiers!$G$4:$G$63,55)="","",INDEX(Dossiers!$G$4:$G$63,55)))</f>
        <v/>
      </c>
      <c r="V2905">
        <f>IF(OR($O2905="",NOT(ISNUMBER($Q2905))),"",$Q2905*1000000+2905)</f>
        <v/>
      </c>
      <c r="W2905" s="29">
        <f>IF($B2905="","",IFERROR(INDEX($U$4:$U$3183,MATCH(SMALL($V$4:$V$3183,2902),$V$4:$V$3183,0)),""))</f>
        <v/>
      </c>
    </row>
    <row r="2906">
      <c r="A2906">
        <f>IFERROR(INDEX($N$4:$N$3183,MATCH(SMALL($V$4:$V$3183,2903),$V$4:$V$3183,0)),"")</f>
        <v/>
      </c>
      <c r="B2906">
        <f>IFERROR(INDEX($O$4:$O$3183,MATCH(SMALL($V$4:$V$3183,2903),$V$4:$V$3183,0)),"")</f>
        <v/>
      </c>
      <c r="C2906">
        <f>IFERROR(INDEX($P$4:$P$3183,MATCH(SMALL($V$4:$V$3183,2903),$V$4:$V$3183,0)),"")</f>
        <v/>
      </c>
      <c r="D2906" s="29">
        <f>IFERROR(INDEX($Q$4:$Q$3183,MATCH(SMALL($V$4:$V$3183,2903),$V$4:$V$3183,0)),"")</f>
        <v/>
      </c>
      <c r="E2906" s="29">
        <f>IFERROR(INDEX($R$4:$R$3183,MATCH(SMALL($V$4:$V$3183,2903),$V$4:$V$3183,0)),"")</f>
        <v/>
      </c>
      <c r="F2906">
        <f>IFERROR(INDEX($S$4:$S$3183,MATCH(SMALL($V$4:$V$3183,2903),$V$4:$V$3183,0)),"")</f>
        <v/>
      </c>
      <c r="I2906" s="29">
        <f>IF($B2906="","",IFERROR(INDEX($U$4:$U$3183,MATCH(SMALL($V$4:$V$3183,2903),$V$4:$V$3183,0)),""))</f>
        <v/>
      </c>
      <c r="J2906">
        <f>IF($B2906="","",IF($D2906&gt;$F$2,"À venir",IF($E2906&lt;$D$2,"Passé","Dans la période")))</f>
        <v/>
      </c>
      <c r="K2906">
        <f>IF(OR($B2906="",NOT(ISNUMBER($D2906))),"",IF(AND($E2906&lt;$D$2,$G2906&lt;&gt;"X",$F2906&lt;&gt;"Réalisé",$F2906&lt;&gt;"Clôturé"),"RETARD",""))</f>
        <v/>
      </c>
      <c r="L2906">
        <f>IF(OR($B2906="",NOT(ISNUMBER($D2906))),"",IF(AND($D2906&gt;=$D$2,$D2906&lt;=$H$2,$G2906&lt;&gt;"X",$F2906&lt;&gt;"Réalisé",$F2906&lt;&gt;"Clôturé"),"≤ 7 j",""))</f>
        <v/>
      </c>
      <c r="M2906" s="29">
        <f>IF($B2906="","",IFERROR(INDEX($T$4:$T$3183,MATCH(SMALL($V$4:$V$3183,2903),$V$4:$V$3183,0)),""))</f>
        <v/>
      </c>
      <c r="O2906">
        <f>IF(INDEX(Suivi!$B:$B,2961)="","",INDEX(Suivi!$B:$B,2961))</f>
        <v/>
      </c>
      <c r="P2906">
        <f>IF($O2906="","",IF(INDEX(Suivi!$D:$D,2961)="",INDEX(Suivi!$C:$C,2961),INDEX(Suivi!$D:$D,2961)))</f>
        <v/>
      </c>
      <c r="Q2906">
        <f>IF($O2906="","",INDEX(Suivi!$E:$E,2961))</f>
        <v/>
      </c>
      <c r="R2906">
        <f>IF($O2906="","",INDEX(Suivi!$F:$F,2961))</f>
        <v/>
      </c>
      <c r="S2906">
        <f>IF($O2906="","",INDEX(Suivi!$G:$G,2961))</f>
        <v/>
      </c>
      <c r="T2906">
        <f>IF($O2906="","",IF(INDEX(Dossiers!$F$4:$F$63,55)="","",INDEX(Dossiers!$F$4:$F$63,55)))</f>
        <v/>
      </c>
      <c r="U2906">
        <f>IF($O2906="","",IF(INDEX(Dossiers!$G$4:$G$63,55)="","",INDEX(Dossiers!$G$4:$G$63,55)))</f>
        <v/>
      </c>
      <c r="V2906">
        <f>IF(OR($O2906="",NOT(ISNUMBER($Q2906))),"",$Q2906*1000000+2906)</f>
        <v/>
      </c>
      <c r="W2906" s="29">
        <f>IF($B2906="","",IFERROR(INDEX($U$4:$U$3183,MATCH(SMALL($V$4:$V$3183,2903),$V$4:$V$3183,0)),""))</f>
        <v/>
      </c>
    </row>
    <row r="2907">
      <c r="A2907">
        <f>IFERROR(INDEX($N$4:$N$3183,MATCH(SMALL($V$4:$V$3183,2904),$V$4:$V$3183,0)),"")</f>
        <v/>
      </c>
      <c r="B2907">
        <f>IFERROR(INDEX($O$4:$O$3183,MATCH(SMALL($V$4:$V$3183,2904),$V$4:$V$3183,0)),"")</f>
        <v/>
      </c>
      <c r="C2907">
        <f>IFERROR(INDEX($P$4:$P$3183,MATCH(SMALL($V$4:$V$3183,2904),$V$4:$V$3183,0)),"")</f>
        <v/>
      </c>
      <c r="D2907" s="29">
        <f>IFERROR(INDEX($Q$4:$Q$3183,MATCH(SMALL($V$4:$V$3183,2904),$V$4:$V$3183,0)),"")</f>
        <v/>
      </c>
      <c r="E2907" s="29">
        <f>IFERROR(INDEX($R$4:$R$3183,MATCH(SMALL($V$4:$V$3183,2904),$V$4:$V$3183,0)),"")</f>
        <v/>
      </c>
      <c r="F2907">
        <f>IFERROR(INDEX($S$4:$S$3183,MATCH(SMALL($V$4:$V$3183,2904),$V$4:$V$3183,0)),"")</f>
        <v/>
      </c>
      <c r="I2907" s="29">
        <f>IF($B2907="","",IFERROR(INDEX($U$4:$U$3183,MATCH(SMALL($V$4:$V$3183,2904),$V$4:$V$3183,0)),""))</f>
        <v/>
      </c>
      <c r="J2907">
        <f>IF($B2907="","",IF($D2907&gt;$F$2,"À venir",IF($E2907&lt;$D$2,"Passé","Dans la période")))</f>
        <v/>
      </c>
      <c r="K2907">
        <f>IF(OR($B2907="",NOT(ISNUMBER($D2907))),"",IF(AND($E2907&lt;$D$2,$G2907&lt;&gt;"X",$F2907&lt;&gt;"Réalisé",$F2907&lt;&gt;"Clôturé"),"RETARD",""))</f>
        <v/>
      </c>
      <c r="L2907">
        <f>IF(OR($B2907="",NOT(ISNUMBER($D2907))),"",IF(AND($D2907&gt;=$D$2,$D2907&lt;=$H$2,$G2907&lt;&gt;"X",$F2907&lt;&gt;"Réalisé",$F2907&lt;&gt;"Clôturé"),"≤ 7 j",""))</f>
        <v/>
      </c>
      <c r="M2907" s="29">
        <f>IF($B2907="","",IFERROR(INDEX($T$4:$T$3183,MATCH(SMALL($V$4:$V$3183,2904),$V$4:$V$3183,0)),""))</f>
        <v/>
      </c>
      <c r="O2907">
        <f>IF(INDEX(Suivi!$B:$B,2962)="","",INDEX(Suivi!$B:$B,2962))</f>
        <v/>
      </c>
      <c r="P2907">
        <f>IF($O2907="","",IF(INDEX(Suivi!$D:$D,2962)="",INDEX(Suivi!$C:$C,2962),INDEX(Suivi!$D:$D,2962)))</f>
        <v/>
      </c>
      <c r="Q2907">
        <f>IF($O2907="","",INDEX(Suivi!$E:$E,2962))</f>
        <v/>
      </c>
      <c r="R2907">
        <f>IF($O2907="","",INDEX(Suivi!$F:$F,2962))</f>
        <v/>
      </c>
      <c r="S2907">
        <f>IF($O2907="","",INDEX(Suivi!$G:$G,2962))</f>
        <v/>
      </c>
      <c r="T2907">
        <f>IF($O2907="","",IF(INDEX(Dossiers!$F$4:$F$63,55)="","",INDEX(Dossiers!$F$4:$F$63,55)))</f>
        <v/>
      </c>
      <c r="U2907">
        <f>IF($O2907="","",IF(INDEX(Dossiers!$G$4:$G$63,55)="","",INDEX(Dossiers!$G$4:$G$63,55)))</f>
        <v/>
      </c>
      <c r="V2907">
        <f>IF(OR($O2907="",NOT(ISNUMBER($Q2907))),"",$Q2907*1000000+2907)</f>
        <v/>
      </c>
      <c r="W2907" s="29">
        <f>IF($B2907="","",IFERROR(INDEX($U$4:$U$3183,MATCH(SMALL($V$4:$V$3183,2904),$V$4:$V$3183,0)),""))</f>
        <v/>
      </c>
    </row>
    <row r="2908">
      <c r="A2908">
        <f>IFERROR(INDEX($N$4:$N$3183,MATCH(SMALL($V$4:$V$3183,2905),$V$4:$V$3183,0)),"")</f>
        <v/>
      </c>
      <c r="B2908">
        <f>IFERROR(INDEX($O$4:$O$3183,MATCH(SMALL($V$4:$V$3183,2905),$V$4:$V$3183,0)),"")</f>
        <v/>
      </c>
      <c r="C2908">
        <f>IFERROR(INDEX($P$4:$P$3183,MATCH(SMALL($V$4:$V$3183,2905),$V$4:$V$3183,0)),"")</f>
        <v/>
      </c>
      <c r="D2908" s="29">
        <f>IFERROR(INDEX($Q$4:$Q$3183,MATCH(SMALL($V$4:$V$3183,2905),$V$4:$V$3183,0)),"")</f>
        <v/>
      </c>
      <c r="E2908" s="29">
        <f>IFERROR(INDEX($R$4:$R$3183,MATCH(SMALL($V$4:$V$3183,2905),$V$4:$V$3183,0)),"")</f>
        <v/>
      </c>
      <c r="F2908">
        <f>IFERROR(INDEX($S$4:$S$3183,MATCH(SMALL($V$4:$V$3183,2905),$V$4:$V$3183,0)),"")</f>
        <v/>
      </c>
      <c r="I2908" s="29">
        <f>IF($B2908="","",IFERROR(INDEX($U$4:$U$3183,MATCH(SMALL($V$4:$V$3183,2905),$V$4:$V$3183,0)),""))</f>
        <v/>
      </c>
      <c r="J2908">
        <f>IF($B2908="","",IF($D2908&gt;$F$2,"À venir",IF($E2908&lt;$D$2,"Passé","Dans la période")))</f>
        <v/>
      </c>
      <c r="K2908">
        <f>IF(OR($B2908="",NOT(ISNUMBER($D2908))),"",IF(AND($E2908&lt;$D$2,$G2908&lt;&gt;"X",$F2908&lt;&gt;"Réalisé",$F2908&lt;&gt;"Clôturé"),"RETARD",""))</f>
        <v/>
      </c>
      <c r="L2908">
        <f>IF(OR($B2908="",NOT(ISNUMBER($D2908))),"",IF(AND($D2908&gt;=$D$2,$D2908&lt;=$H$2,$G2908&lt;&gt;"X",$F2908&lt;&gt;"Réalisé",$F2908&lt;&gt;"Clôturé"),"≤ 7 j",""))</f>
        <v/>
      </c>
      <c r="M2908" s="29">
        <f>IF($B2908="","",IFERROR(INDEX($T$4:$T$3183,MATCH(SMALL($V$4:$V$3183,2905),$V$4:$V$3183,0)),""))</f>
        <v/>
      </c>
      <c r="O2908">
        <f>IF(INDEX(Suivi!$B:$B,2963)="","",INDEX(Suivi!$B:$B,2963))</f>
        <v/>
      </c>
      <c r="P2908">
        <f>IF($O2908="","",IF(INDEX(Suivi!$D:$D,2963)="",INDEX(Suivi!$C:$C,2963),INDEX(Suivi!$D:$D,2963)))</f>
        <v/>
      </c>
      <c r="Q2908">
        <f>IF($O2908="","",INDEX(Suivi!$E:$E,2963))</f>
        <v/>
      </c>
      <c r="R2908">
        <f>IF($O2908="","",INDEX(Suivi!$F:$F,2963))</f>
        <v/>
      </c>
      <c r="S2908">
        <f>IF($O2908="","",INDEX(Suivi!$G:$G,2963))</f>
        <v/>
      </c>
      <c r="T2908">
        <f>IF($O2908="","",IF(INDEX(Dossiers!$F$4:$F$63,55)="","",INDEX(Dossiers!$F$4:$F$63,55)))</f>
        <v/>
      </c>
      <c r="U2908">
        <f>IF($O2908="","",IF(INDEX(Dossiers!$G$4:$G$63,55)="","",INDEX(Dossiers!$G$4:$G$63,55)))</f>
        <v/>
      </c>
      <c r="V2908">
        <f>IF(OR($O2908="",NOT(ISNUMBER($Q2908))),"",$Q2908*1000000+2908)</f>
        <v/>
      </c>
      <c r="W2908" s="29">
        <f>IF($B2908="","",IFERROR(INDEX($U$4:$U$3183,MATCH(SMALL($V$4:$V$3183,2905),$V$4:$V$3183,0)),""))</f>
        <v/>
      </c>
    </row>
    <row r="2909">
      <c r="A2909">
        <f>IFERROR(INDEX($N$4:$N$3183,MATCH(SMALL($V$4:$V$3183,2906),$V$4:$V$3183,0)),"")</f>
        <v/>
      </c>
      <c r="B2909">
        <f>IFERROR(INDEX($O$4:$O$3183,MATCH(SMALL($V$4:$V$3183,2906),$V$4:$V$3183,0)),"")</f>
        <v/>
      </c>
      <c r="C2909">
        <f>IFERROR(INDEX($P$4:$P$3183,MATCH(SMALL($V$4:$V$3183,2906),$V$4:$V$3183,0)),"")</f>
        <v/>
      </c>
      <c r="D2909" s="29">
        <f>IFERROR(INDEX($Q$4:$Q$3183,MATCH(SMALL($V$4:$V$3183,2906),$V$4:$V$3183,0)),"")</f>
        <v/>
      </c>
      <c r="E2909" s="29">
        <f>IFERROR(INDEX($R$4:$R$3183,MATCH(SMALL($V$4:$V$3183,2906),$V$4:$V$3183,0)),"")</f>
        <v/>
      </c>
      <c r="F2909">
        <f>IFERROR(INDEX($S$4:$S$3183,MATCH(SMALL($V$4:$V$3183,2906),$V$4:$V$3183,0)),"")</f>
        <v/>
      </c>
      <c r="I2909" s="29">
        <f>IF($B2909="","",IFERROR(INDEX($U$4:$U$3183,MATCH(SMALL($V$4:$V$3183,2906),$V$4:$V$3183,0)),""))</f>
        <v/>
      </c>
      <c r="J2909">
        <f>IF($B2909="","",IF($D2909&gt;$F$2,"À venir",IF($E2909&lt;$D$2,"Passé","Dans la période")))</f>
        <v/>
      </c>
      <c r="K2909">
        <f>IF(OR($B2909="",NOT(ISNUMBER($D2909))),"",IF(AND($E2909&lt;$D$2,$G2909&lt;&gt;"X",$F2909&lt;&gt;"Réalisé",$F2909&lt;&gt;"Clôturé"),"RETARD",""))</f>
        <v/>
      </c>
      <c r="L2909">
        <f>IF(OR($B2909="",NOT(ISNUMBER($D2909))),"",IF(AND($D2909&gt;=$D$2,$D2909&lt;=$H$2,$G2909&lt;&gt;"X",$F2909&lt;&gt;"Réalisé",$F2909&lt;&gt;"Clôturé"),"≤ 7 j",""))</f>
        <v/>
      </c>
      <c r="M2909" s="29">
        <f>IF($B2909="","",IFERROR(INDEX($T$4:$T$3183,MATCH(SMALL($V$4:$V$3183,2906),$V$4:$V$3183,0)),""))</f>
        <v/>
      </c>
      <c r="O2909">
        <f>IF(INDEX(Suivi!$B:$B,2964)="","",INDEX(Suivi!$B:$B,2964))</f>
        <v/>
      </c>
      <c r="P2909">
        <f>IF($O2909="","",IF(INDEX(Suivi!$D:$D,2964)="",INDEX(Suivi!$C:$C,2964),INDEX(Suivi!$D:$D,2964)))</f>
        <v/>
      </c>
      <c r="Q2909">
        <f>IF($O2909="","",INDEX(Suivi!$E:$E,2964))</f>
        <v/>
      </c>
      <c r="R2909">
        <f>IF($O2909="","",INDEX(Suivi!$F:$F,2964))</f>
        <v/>
      </c>
      <c r="S2909">
        <f>IF($O2909="","",INDEX(Suivi!$G:$G,2964))</f>
        <v/>
      </c>
      <c r="T2909">
        <f>IF($O2909="","",IF(INDEX(Dossiers!$F$4:$F$63,55)="","",INDEX(Dossiers!$F$4:$F$63,55)))</f>
        <v/>
      </c>
      <c r="U2909">
        <f>IF($O2909="","",IF(INDEX(Dossiers!$G$4:$G$63,55)="","",INDEX(Dossiers!$G$4:$G$63,55)))</f>
        <v/>
      </c>
      <c r="V2909">
        <f>IF(OR($O2909="",NOT(ISNUMBER($Q2909))),"",$Q2909*1000000+2909)</f>
        <v/>
      </c>
      <c r="W2909" s="29">
        <f>IF($B2909="","",IFERROR(INDEX($U$4:$U$3183,MATCH(SMALL($V$4:$V$3183,2906),$V$4:$V$3183,0)),""))</f>
        <v/>
      </c>
    </row>
    <row r="2910">
      <c r="A2910">
        <f>IFERROR(INDEX($N$4:$N$3183,MATCH(SMALL($V$4:$V$3183,2907),$V$4:$V$3183,0)),"")</f>
        <v/>
      </c>
      <c r="B2910">
        <f>IFERROR(INDEX($O$4:$O$3183,MATCH(SMALL($V$4:$V$3183,2907),$V$4:$V$3183,0)),"")</f>
        <v/>
      </c>
      <c r="C2910">
        <f>IFERROR(INDEX($P$4:$P$3183,MATCH(SMALL($V$4:$V$3183,2907),$V$4:$V$3183,0)),"")</f>
        <v/>
      </c>
      <c r="D2910" s="29">
        <f>IFERROR(INDEX($Q$4:$Q$3183,MATCH(SMALL($V$4:$V$3183,2907),$V$4:$V$3183,0)),"")</f>
        <v/>
      </c>
      <c r="E2910" s="29">
        <f>IFERROR(INDEX($R$4:$R$3183,MATCH(SMALL($V$4:$V$3183,2907),$V$4:$V$3183,0)),"")</f>
        <v/>
      </c>
      <c r="F2910">
        <f>IFERROR(INDEX($S$4:$S$3183,MATCH(SMALL($V$4:$V$3183,2907),$V$4:$V$3183,0)),"")</f>
        <v/>
      </c>
      <c r="I2910" s="29">
        <f>IF($B2910="","",IFERROR(INDEX($U$4:$U$3183,MATCH(SMALL($V$4:$V$3183,2907),$V$4:$V$3183,0)),""))</f>
        <v/>
      </c>
      <c r="J2910">
        <f>IF($B2910="","",IF($D2910&gt;$F$2,"À venir",IF($E2910&lt;$D$2,"Passé","Dans la période")))</f>
        <v/>
      </c>
      <c r="K2910">
        <f>IF(OR($B2910="",NOT(ISNUMBER($D2910))),"",IF(AND($E2910&lt;$D$2,$G2910&lt;&gt;"X",$F2910&lt;&gt;"Réalisé",$F2910&lt;&gt;"Clôturé"),"RETARD",""))</f>
        <v/>
      </c>
      <c r="L2910">
        <f>IF(OR($B2910="",NOT(ISNUMBER($D2910))),"",IF(AND($D2910&gt;=$D$2,$D2910&lt;=$H$2,$G2910&lt;&gt;"X",$F2910&lt;&gt;"Réalisé",$F2910&lt;&gt;"Clôturé"),"≤ 7 j",""))</f>
        <v/>
      </c>
      <c r="M2910" s="29">
        <f>IF($B2910="","",IFERROR(INDEX($T$4:$T$3183,MATCH(SMALL($V$4:$V$3183,2907),$V$4:$V$3183,0)),""))</f>
        <v/>
      </c>
      <c r="O2910">
        <f>IF(INDEX(Suivi!$B:$B,2965)="","",INDEX(Suivi!$B:$B,2965))</f>
        <v/>
      </c>
      <c r="P2910">
        <f>IF($O2910="","",IF(INDEX(Suivi!$D:$D,2965)="",INDEX(Suivi!$C:$C,2965),INDEX(Suivi!$D:$D,2965)))</f>
        <v/>
      </c>
      <c r="Q2910">
        <f>IF($O2910="","",INDEX(Suivi!$E:$E,2965))</f>
        <v/>
      </c>
      <c r="R2910">
        <f>IF($O2910="","",INDEX(Suivi!$F:$F,2965))</f>
        <v/>
      </c>
      <c r="S2910">
        <f>IF($O2910="","",INDEX(Suivi!$G:$G,2965))</f>
        <v/>
      </c>
      <c r="T2910">
        <f>IF($O2910="","",IF(INDEX(Dossiers!$F$4:$F$63,55)="","",INDEX(Dossiers!$F$4:$F$63,55)))</f>
        <v/>
      </c>
      <c r="U2910">
        <f>IF($O2910="","",IF(INDEX(Dossiers!$G$4:$G$63,55)="","",INDEX(Dossiers!$G$4:$G$63,55)))</f>
        <v/>
      </c>
      <c r="V2910">
        <f>IF(OR($O2910="",NOT(ISNUMBER($Q2910))),"",$Q2910*1000000+2910)</f>
        <v/>
      </c>
      <c r="W2910" s="29">
        <f>IF($B2910="","",IFERROR(INDEX($U$4:$U$3183,MATCH(SMALL($V$4:$V$3183,2907),$V$4:$V$3183,0)),""))</f>
        <v/>
      </c>
    </row>
    <row r="2911">
      <c r="A2911">
        <f>IFERROR(INDEX($N$4:$N$3183,MATCH(SMALL($V$4:$V$3183,2908),$V$4:$V$3183,0)),"")</f>
        <v/>
      </c>
      <c r="B2911">
        <f>IFERROR(INDEX($O$4:$O$3183,MATCH(SMALL($V$4:$V$3183,2908),$V$4:$V$3183,0)),"")</f>
        <v/>
      </c>
      <c r="C2911">
        <f>IFERROR(INDEX($P$4:$P$3183,MATCH(SMALL($V$4:$V$3183,2908),$V$4:$V$3183,0)),"")</f>
        <v/>
      </c>
      <c r="D2911" s="29">
        <f>IFERROR(INDEX($Q$4:$Q$3183,MATCH(SMALL($V$4:$V$3183,2908),$V$4:$V$3183,0)),"")</f>
        <v/>
      </c>
      <c r="E2911" s="29">
        <f>IFERROR(INDEX($R$4:$R$3183,MATCH(SMALL($V$4:$V$3183,2908),$V$4:$V$3183,0)),"")</f>
        <v/>
      </c>
      <c r="F2911">
        <f>IFERROR(INDEX($S$4:$S$3183,MATCH(SMALL($V$4:$V$3183,2908),$V$4:$V$3183,0)),"")</f>
        <v/>
      </c>
      <c r="I2911" s="29">
        <f>IF($B2911="","",IFERROR(INDEX($U$4:$U$3183,MATCH(SMALL($V$4:$V$3183,2908),$V$4:$V$3183,0)),""))</f>
        <v/>
      </c>
      <c r="J2911">
        <f>IF($B2911="","",IF($D2911&gt;$F$2,"À venir",IF($E2911&lt;$D$2,"Passé","Dans la période")))</f>
        <v/>
      </c>
      <c r="K2911">
        <f>IF(OR($B2911="",NOT(ISNUMBER($D2911))),"",IF(AND($E2911&lt;$D$2,$G2911&lt;&gt;"X",$F2911&lt;&gt;"Réalisé",$F2911&lt;&gt;"Clôturé"),"RETARD",""))</f>
        <v/>
      </c>
      <c r="L2911">
        <f>IF(OR($B2911="",NOT(ISNUMBER($D2911))),"",IF(AND($D2911&gt;=$D$2,$D2911&lt;=$H$2,$G2911&lt;&gt;"X",$F2911&lt;&gt;"Réalisé",$F2911&lt;&gt;"Clôturé"),"≤ 7 j",""))</f>
        <v/>
      </c>
      <c r="M2911" s="29">
        <f>IF($B2911="","",IFERROR(INDEX($T$4:$T$3183,MATCH(SMALL($V$4:$V$3183,2908),$V$4:$V$3183,0)),""))</f>
        <v/>
      </c>
      <c r="O2911">
        <f>IF(INDEX(Suivi!$B:$B,2966)="","",INDEX(Suivi!$B:$B,2966))</f>
        <v/>
      </c>
      <c r="P2911">
        <f>IF($O2911="","",IF(INDEX(Suivi!$D:$D,2966)="",INDEX(Suivi!$C:$C,2966),INDEX(Suivi!$D:$D,2966)))</f>
        <v/>
      </c>
      <c r="Q2911">
        <f>IF($O2911="","",INDEX(Suivi!$E:$E,2966))</f>
        <v/>
      </c>
      <c r="R2911">
        <f>IF($O2911="","",INDEX(Suivi!$F:$F,2966))</f>
        <v/>
      </c>
      <c r="S2911">
        <f>IF($O2911="","",INDEX(Suivi!$G:$G,2966))</f>
        <v/>
      </c>
      <c r="T2911">
        <f>IF($O2911="","",IF(INDEX(Dossiers!$F$4:$F$63,55)="","",INDEX(Dossiers!$F$4:$F$63,55)))</f>
        <v/>
      </c>
      <c r="U2911">
        <f>IF($O2911="","",IF(INDEX(Dossiers!$G$4:$G$63,55)="","",INDEX(Dossiers!$G$4:$G$63,55)))</f>
        <v/>
      </c>
      <c r="V2911">
        <f>IF(OR($O2911="",NOT(ISNUMBER($Q2911))),"",$Q2911*1000000+2911)</f>
        <v/>
      </c>
      <c r="W2911" s="29">
        <f>IF($B2911="","",IFERROR(INDEX($U$4:$U$3183,MATCH(SMALL($V$4:$V$3183,2908),$V$4:$V$3183,0)),""))</f>
        <v/>
      </c>
    </row>
    <row r="2912">
      <c r="A2912">
        <f>IFERROR(INDEX($N$4:$N$3183,MATCH(SMALL($V$4:$V$3183,2909),$V$4:$V$3183,0)),"")</f>
        <v/>
      </c>
      <c r="B2912">
        <f>IFERROR(INDEX($O$4:$O$3183,MATCH(SMALL($V$4:$V$3183,2909),$V$4:$V$3183,0)),"")</f>
        <v/>
      </c>
      <c r="C2912">
        <f>IFERROR(INDEX($P$4:$P$3183,MATCH(SMALL($V$4:$V$3183,2909),$V$4:$V$3183,0)),"")</f>
        <v/>
      </c>
      <c r="D2912" s="29">
        <f>IFERROR(INDEX($Q$4:$Q$3183,MATCH(SMALL($V$4:$V$3183,2909),$V$4:$V$3183,0)),"")</f>
        <v/>
      </c>
      <c r="E2912" s="29">
        <f>IFERROR(INDEX($R$4:$R$3183,MATCH(SMALL($V$4:$V$3183,2909),$V$4:$V$3183,0)),"")</f>
        <v/>
      </c>
      <c r="F2912">
        <f>IFERROR(INDEX($S$4:$S$3183,MATCH(SMALL($V$4:$V$3183,2909),$V$4:$V$3183,0)),"")</f>
        <v/>
      </c>
      <c r="I2912" s="29">
        <f>IF($B2912="","",IFERROR(INDEX($U$4:$U$3183,MATCH(SMALL($V$4:$V$3183,2909),$V$4:$V$3183,0)),""))</f>
        <v/>
      </c>
      <c r="J2912">
        <f>IF($B2912="","",IF($D2912&gt;$F$2,"À venir",IF($E2912&lt;$D$2,"Passé","Dans la période")))</f>
        <v/>
      </c>
      <c r="K2912">
        <f>IF(OR($B2912="",NOT(ISNUMBER($D2912))),"",IF(AND($E2912&lt;$D$2,$G2912&lt;&gt;"X",$F2912&lt;&gt;"Réalisé",$F2912&lt;&gt;"Clôturé"),"RETARD",""))</f>
        <v/>
      </c>
      <c r="L2912">
        <f>IF(OR($B2912="",NOT(ISNUMBER($D2912))),"",IF(AND($D2912&gt;=$D$2,$D2912&lt;=$H$2,$G2912&lt;&gt;"X",$F2912&lt;&gt;"Réalisé",$F2912&lt;&gt;"Clôturé"),"≤ 7 j",""))</f>
        <v/>
      </c>
      <c r="M2912" s="29">
        <f>IF($B2912="","",IFERROR(INDEX($T$4:$T$3183,MATCH(SMALL($V$4:$V$3183,2909),$V$4:$V$3183,0)),""))</f>
        <v/>
      </c>
      <c r="O2912">
        <f>IF(INDEX(Suivi!$B:$B,2967)="","",INDEX(Suivi!$B:$B,2967))</f>
        <v/>
      </c>
      <c r="P2912">
        <f>IF($O2912="","",IF(INDEX(Suivi!$D:$D,2967)="",INDEX(Suivi!$C:$C,2967),INDEX(Suivi!$D:$D,2967)))</f>
        <v/>
      </c>
      <c r="Q2912">
        <f>IF($O2912="","",INDEX(Suivi!$E:$E,2967))</f>
        <v/>
      </c>
      <c r="R2912">
        <f>IF($O2912="","",INDEX(Suivi!$F:$F,2967))</f>
        <v/>
      </c>
      <c r="S2912">
        <f>IF($O2912="","",INDEX(Suivi!$G:$G,2967))</f>
        <v/>
      </c>
      <c r="T2912">
        <f>IF($O2912="","",IF(INDEX(Dossiers!$F$4:$F$63,55)="","",INDEX(Dossiers!$F$4:$F$63,55)))</f>
        <v/>
      </c>
      <c r="U2912">
        <f>IF($O2912="","",IF(INDEX(Dossiers!$G$4:$G$63,55)="","",INDEX(Dossiers!$G$4:$G$63,55)))</f>
        <v/>
      </c>
      <c r="V2912">
        <f>IF(OR($O2912="",NOT(ISNUMBER($Q2912))),"",$Q2912*1000000+2912)</f>
        <v/>
      </c>
      <c r="W2912" s="29">
        <f>IF($B2912="","",IFERROR(INDEX($U$4:$U$3183,MATCH(SMALL($V$4:$V$3183,2909),$V$4:$V$3183,0)),""))</f>
        <v/>
      </c>
    </row>
    <row r="2913">
      <c r="A2913">
        <f>IFERROR(INDEX($N$4:$N$3183,MATCH(SMALL($V$4:$V$3183,2910),$V$4:$V$3183,0)),"")</f>
        <v/>
      </c>
      <c r="B2913">
        <f>IFERROR(INDEX($O$4:$O$3183,MATCH(SMALL($V$4:$V$3183,2910),$V$4:$V$3183,0)),"")</f>
        <v/>
      </c>
      <c r="C2913">
        <f>IFERROR(INDEX($P$4:$P$3183,MATCH(SMALL($V$4:$V$3183,2910),$V$4:$V$3183,0)),"")</f>
        <v/>
      </c>
      <c r="D2913" s="29">
        <f>IFERROR(INDEX($Q$4:$Q$3183,MATCH(SMALL($V$4:$V$3183,2910),$V$4:$V$3183,0)),"")</f>
        <v/>
      </c>
      <c r="E2913" s="29">
        <f>IFERROR(INDEX($R$4:$R$3183,MATCH(SMALL($V$4:$V$3183,2910),$V$4:$V$3183,0)),"")</f>
        <v/>
      </c>
      <c r="F2913">
        <f>IFERROR(INDEX($S$4:$S$3183,MATCH(SMALL($V$4:$V$3183,2910),$V$4:$V$3183,0)),"")</f>
        <v/>
      </c>
      <c r="I2913" s="29">
        <f>IF($B2913="","",IFERROR(INDEX($U$4:$U$3183,MATCH(SMALL($V$4:$V$3183,2910),$V$4:$V$3183,0)),""))</f>
        <v/>
      </c>
      <c r="J2913">
        <f>IF($B2913="","",IF($D2913&gt;$F$2,"À venir",IF($E2913&lt;$D$2,"Passé","Dans la période")))</f>
        <v/>
      </c>
      <c r="K2913">
        <f>IF(OR($B2913="",NOT(ISNUMBER($D2913))),"",IF(AND($E2913&lt;$D$2,$G2913&lt;&gt;"X",$F2913&lt;&gt;"Réalisé",$F2913&lt;&gt;"Clôturé"),"RETARD",""))</f>
        <v/>
      </c>
      <c r="L2913">
        <f>IF(OR($B2913="",NOT(ISNUMBER($D2913))),"",IF(AND($D2913&gt;=$D$2,$D2913&lt;=$H$2,$G2913&lt;&gt;"X",$F2913&lt;&gt;"Réalisé",$F2913&lt;&gt;"Clôturé"),"≤ 7 j",""))</f>
        <v/>
      </c>
      <c r="M2913" s="29">
        <f>IF($B2913="","",IFERROR(INDEX($T$4:$T$3183,MATCH(SMALL($V$4:$V$3183,2910),$V$4:$V$3183,0)),""))</f>
        <v/>
      </c>
      <c r="O2913">
        <f>IF(INDEX(Suivi!$B:$B,2968)="","",INDEX(Suivi!$B:$B,2968))</f>
        <v/>
      </c>
      <c r="P2913">
        <f>IF($O2913="","",IF(INDEX(Suivi!$D:$D,2968)="",INDEX(Suivi!$C:$C,2968),INDEX(Suivi!$D:$D,2968)))</f>
        <v/>
      </c>
      <c r="Q2913">
        <f>IF($O2913="","",INDEX(Suivi!$E:$E,2968))</f>
        <v/>
      </c>
      <c r="R2913">
        <f>IF($O2913="","",INDEX(Suivi!$F:$F,2968))</f>
        <v/>
      </c>
      <c r="S2913">
        <f>IF($O2913="","",INDEX(Suivi!$G:$G,2968))</f>
        <v/>
      </c>
      <c r="T2913">
        <f>IF($O2913="","",IF(INDEX(Dossiers!$F$4:$F$63,55)="","",INDEX(Dossiers!$F$4:$F$63,55)))</f>
        <v/>
      </c>
      <c r="U2913">
        <f>IF($O2913="","",IF(INDEX(Dossiers!$G$4:$G$63,55)="","",INDEX(Dossiers!$G$4:$G$63,55)))</f>
        <v/>
      </c>
      <c r="V2913">
        <f>IF(OR($O2913="",NOT(ISNUMBER($Q2913))),"",$Q2913*1000000+2913)</f>
        <v/>
      </c>
      <c r="W2913" s="29">
        <f>IF($B2913="","",IFERROR(INDEX($U$4:$U$3183,MATCH(SMALL($V$4:$V$3183,2910),$V$4:$V$3183,0)),""))</f>
        <v/>
      </c>
    </row>
    <row r="2914">
      <c r="A2914">
        <f>IFERROR(INDEX($N$4:$N$3183,MATCH(SMALL($V$4:$V$3183,2911),$V$4:$V$3183,0)),"")</f>
        <v/>
      </c>
      <c r="B2914">
        <f>IFERROR(INDEX($O$4:$O$3183,MATCH(SMALL($V$4:$V$3183,2911),$V$4:$V$3183,0)),"")</f>
        <v/>
      </c>
      <c r="C2914">
        <f>IFERROR(INDEX($P$4:$P$3183,MATCH(SMALL($V$4:$V$3183,2911),$V$4:$V$3183,0)),"")</f>
        <v/>
      </c>
      <c r="D2914" s="29">
        <f>IFERROR(INDEX($Q$4:$Q$3183,MATCH(SMALL($V$4:$V$3183,2911),$V$4:$V$3183,0)),"")</f>
        <v/>
      </c>
      <c r="E2914" s="29">
        <f>IFERROR(INDEX($R$4:$R$3183,MATCH(SMALL($V$4:$V$3183,2911),$V$4:$V$3183,0)),"")</f>
        <v/>
      </c>
      <c r="F2914">
        <f>IFERROR(INDEX($S$4:$S$3183,MATCH(SMALL($V$4:$V$3183,2911),$V$4:$V$3183,0)),"")</f>
        <v/>
      </c>
      <c r="I2914" s="29">
        <f>IF($B2914="","",IFERROR(INDEX($U$4:$U$3183,MATCH(SMALL($V$4:$V$3183,2911),$V$4:$V$3183,0)),""))</f>
        <v/>
      </c>
      <c r="J2914">
        <f>IF($B2914="","",IF($D2914&gt;$F$2,"À venir",IF($E2914&lt;$D$2,"Passé","Dans la période")))</f>
        <v/>
      </c>
      <c r="K2914">
        <f>IF(OR($B2914="",NOT(ISNUMBER($D2914))),"",IF(AND($E2914&lt;$D$2,$G2914&lt;&gt;"X",$F2914&lt;&gt;"Réalisé",$F2914&lt;&gt;"Clôturé"),"RETARD",""))</f>
        <v/>
      </c>
      <c r="L2914">
        <f>IF(OR($B2914="",NOT(ISNUMBER($D2914))),"",IF(AND($D2914&gt;=$D$2,$D2914&lt;=$H$2,$G2914&lt;&gt;"X",$F2914&lt;&gt;"Réalisé",$F2914&lt;&gt;"Clôturé"),"≤ 7 j",""))</f>
        <v/>
      </c>
      <c r="M2914" s="29">
        <f>IF($B2914="","",IFERROR(INDEX($T$4:$T$3183,MATCH(SMALL($V$4:$V$3183,2911),$V$4:$V$3183,0)),""))</f>
        <v/>
      </c>
      <c r="O2914">
        <f>IF(INDEX(Suivi!$B:$B,2969)="","",INDEX(Suivi!$B:$B,2969))</f>
        <v/>
      </c>
      <c r="P2914">
        <f>IF($O2914="","",IF(INDEX(Suivi!$D:$D,2969)="",INDEX(Suivi!$C:$C,2969),INDEX(Suivi!$D:$D,2969)))</f>
        <v/>
      </c>
      <c r="Q2914">
        <f>IF($O2914="","",INDEX(Suivi!$E:$E,2969))</f>
        <v/>
      </c>
      <c r="R2914">
        <f>IF($O2914="","",INDEX(Suivi!$F:$F,2969))</f>
        <v/>
      </c>
      <c r="S2914">
        <f>IF($O2914="","",INDEX(Suivi!$G:$G,2969))</f>
        <v/>
      </c>
      <c r="T2914">
        <f>IF($O2914="","",IF(INDEX(Dossiers!$F$4:$F$63,55)="","",INDEX(Dossiers!$F$4:$F$63,55)))</f>
        <v/>
      </c>
      <c r="U2914">
        <f>IF($O2914="","",IF(INDEX(Dossiers!$G$4:$G$63,55)="","",INDEX(Dossiers!$G$4:$G$63,55)))</f>
        <v/>
      </c>
      <c r="V2914">
        <f>IF(OR($O2914="",NOT(ISNUMBER($Q2914))),"",$Q2914*1000000+2914)</f>
        <v/>
      </c>
      <c r="W2914" s="29">
        <f>IF($B2914="","",IFERROR(INDEX($U$4:$U$3183,MATCH(SMALL($V$4:$V$3183,2911),$V$4:$V$3183,0)),""))</f>
        <v/>
      </c>
    </row>
    <row r="2915">
      <c r="A2915">
        <f>IFERROR(INDEX($N$4:$N$3183,MATCH(SMALL($V$4:$V$3183,2912),$V$4:$V$3183,0)),"")</f>
        <v/>
      </c>
      <c r="B2915">
        <f>IFERROR(INDEX($O$4:$O$3183,MATCH(SMALL($V$4:$V$3183,2912),$V$4:$V$3183,0)),"")</f>
        <v/>
      </c>
      <c r="C2915">
        <f>IFERROR(INDEX($P$4:$P$3183,MATCH(SMALL($V$4:$V$3183,2912),$V$4:$V$3183,0)),"")</f>
        <v/>
      </c>
      <c r="D2915" s="29">
        <f>IFERROR(INDEX($Q$4:$Q$3183,MATCH(SMALL($V$4:$V$3183,2912),$V$4:$V$3183,0)),"")</f>
        <v/>
      </c>
      <c r="E2915" s="29">
        <f>IFERROR(INDEX($R$4:$R$3183,MATCH(SMALL($V$4:$V$3183,2912),$V$4:$V$3183,0)),"")</f>
        <v/>
      </c>
      <c r="F2915">
        <f>IFERROR(INDEX($S$4:$S$3183,MATCH(SMALL($V$4:$V$3183,2912),$V$4:$V$3183,0)),"")</f>
        <v/>
      </c>
      <c r="I2915" s="29">
        <f>IF($B2915="","",IFERROR(INDEX($U$4:$U$3183,MATCH(SMALL($V$4:$V$3183,2912),$V$4:$V$3183,0)),""))</f>
        <v/>
      </c>
      <c r="J2915">
        <f>IF($B2915="","",IF($D2915&gt;$F$2,"À venir",IF($E2915&lt;$D$2,"Passé","Dans la période")))</f>
        <v/>
      </c>
      <c r="K2915">
        <f>IF(OR($B2915="",NOT(ISNUMBER($D2915))),"",IF(AND($E2915&lt;$D$2,$G2915&lt;&gt;"X",$F2915&lt;&gt;"Réalisé",$F2915&lt;&gt;"Clôturé"),"RETARD",""))</f>
        <v/>
      </c>
      <c r="L2915">
        <f>IF(OR($B2915="",NOT(ISNUMBER($D2915))),"",IF(AND($D2915&gt;=$D$2,$D2915&lt;=$H$2,$G2915&lt;&gt;"X",$F2915&lt;&gt;"Réalisé",$F2915&lt;&gt;"Clôturé"),"≤ 7 j",""))</f>
        <v/>
      </c>
      <c r="M2915" s="29">
        <f>IF($B2915="","",IFERROR(INDEX($T$4:$T$3183,MATCH(SMALL($V$4:$V$3183,2912),$V$4:$V$3183,0)),""))</f>
        <v/>
      </c>
      <c r="O2915">
        <f>IF(INDEX(Suivi!$B:$B,2970)="","",INDEX(Suivi!$B:$B,2970))</f>
        <v/>
      </c>
      <c r="P2915">
        <f>IF($O2915="","",IF(INDEX(Suivi!$D:$D,2970)="",INDEX(Suivi!$C:$C,2970),INDEX(Suivi!$D:$D,2970)))</f>
        <v/>
      </c>
      <c r="Q2915">
        <f>IF($O2915="","",INDEX(Suivi!$E:$E,2970))</f>
        <v/>
      </c>
      <c r="R2915">
        <f>IF($O2915="","",INDEX(Suivi!$F:$F,2970))</f>
        <v/>
      </c>
      <c r="S2915">
        <f>IF($O2915="","",INDEX(Suivi!$G:$G,2970))</f>
        <v/>
      </c>
      <c r="T2915">
        <f>IF($O2915="","",IF(INDEX(Dossiers!$F$4:$F$63,55)="","",INDEX(Dossiers!$F$4:$F$63,55)))</f>
        <v/>
      </c>
      <c r="U2915">
        <f>IF($O2915="","",IF(INDEX(Dossiers!$G$4:$G$63,55)="","",INDEX(Dossiers!$G$4:$G$63,55)))</f>
        <v/>
      </c>
      <c r="V2915">
        <f>IF(OR($O2915="",NOT(ISNUMBER($Q2915))),"",$Q2915*1000000+2915)</f>
        <v/>
      </c>
      <c r="W2915" s="29">
        <f>IF($B2915="","",IFERROR(INDEX($U$4:$U$3183,MATCH(SMALL($V$4:$V$3183,2912),$V$4:$V$3183,0)),""))</f>
        <v/>
      </c>
    </row>
    <row r="2916">
      <c r="A2916">
        <f>IFERROR(INDEX($N$4:$N$3183,MATCH(SMALL($V$4:$V$3183,2913),$V$4:$V$3183,0)),"")</f>
        <v/>
      </c>
      <c r="B2916">
        <f>IFERROR(INDEX($O$4:$O$3183,MATCH(SMALL($V$4:$V$3183,2913),$V$4:$V$3183,0)),"")</f>
        <v/>
      </c>
      <c r="C2916">
        <f>IFERROR(INDEX($P$4:$P$3183,MATCH(SMALL($V$4:$V$3183,2913),$V$4:$V$3183,0)),"")</f>
        <v/>
      </c>
      <c r="D2916" s="29">
        <f>IFERROR(INDEX($Q$4:$Q$3183,MATCH(SMALL($V$4:$V$3183,2913),$V$4:$V$3183,0)),"")</f>
        <v/>
      </c>
      <c r="E2916" s="29">
        <f>IFERROR(INDEX($R$4:$R$3183,MATCH(SMALL($V$4:$V$3183,2913),$V$4:$V$3183,0)),"")</f>
        <v/>
      </c>
      <c r="F2916">
        <f>IFERROR(INDEX($S$4:$S$3183,MATCH(SMALL($V$4:$V$3183,2913),$V$4:$V$3183,0)),"")</f>
        <v/>
      </c>
      <c r="I2916" s="29">
        <f>IF($B2916="","",IFERROR(INDEX($U$4:$U$3183,MATCH(SMALL($V$4:$V$3183,2913),$V$4:$V$3183,0)),""))</f>
        <v/>
      </c>
      <c r="J2916">
        <f>IF($B2916="","",IF($D2916&gt;$F$2,"À venir",IF($E2916&lt;$D$2,"Passé","Dans la période")))</f>
        <v/>
      </c>
      <c r="K2916">
        <f>IF(OR($B2916="",NOT(ISNUMBER($D2916))),"",IF(AND($E2916&lt;$D$2,$G2916&lt;&gt;"X",$F2916&lt;&gt;"Réalisé",$F2916&lt;&gt;"Clôturé"),"RETARD",""))</f>
        <v/>
      </c>
      <c r="L2916">
        <f>IF(OR($B2916="",NOT(ISNUMBER($D2916))),"",IF(AND($D2916&gt;=$D$2,$D2916&lt;=$H$2,$G2916&lt;&gt;"X",$F2916&lt;&gt;"Réalisé",$F2916&lt;&gt;"Clôturé"),"≤ 7 j",""))</f>
        <v/>
      </c>
      <c r="M2916" s="29">
        <f>IF($B2916="","",IFERROR(INDEX($T$4:$T$3183,MATCH(SMALL($V$4:$V$3183,2913),$V$4:$V$3183,0)),""))</f>
        <v/>
      </c>
      <c r="O2916">
        <f>IF(INDEX(Suivi!$B:$B,2971)="","",INDEX(Suivi!$B:$B,2971))</f>
        <v/>
      </c>
      <c r="P2916">
        <f>IF($O2916="","",IF(INDEX(Suivi!$D:$D,2971)="",INDEX(Suivi!$C:$C,2971),INDEX(Suivi!$D:$D,2971)))</f>
        <v/>
      </c>
      <c r="Q2916">
        <f>IF($O2916="","",INDEX(Suivi!$E:$E,2971))</f>
        <v/>
      </c>
      <c r="R2916">
        <f>IF($O2916="","",INDEX(Suivi!$F:$F,2971))</f>
        <v/>
      </c>
      <c r="S2916">
        <f>IF($O2916="","",INDEX(Suivi!$G:$G,2971))</f>
        <v/>
      </c>
      <c r="T2916">
        <f>IF($O2916="","",IF(INDEX(Dossiers!$F$4:$F$63,55)="","",INDEX(Dossiers!$F$4:$F$63,55)))</f>
        <v/>
      </c>
      <c r="U2916">
        <f>IF($O2916="","",IF(INDEX(Dossiers!$G$4:$G$63,55)="","",INDEX(Dossiers!$G$4:$G$63,55)))</f>
        <v/>
      </c>
      <c r="V2916">
        <f>IF(OR($O2916="",NOT(ISNUMBER($Q2916))),"",$Q2916*1000000+2916)</f>
        <v/>
      </c>
      <c r="W2916" s="29">
        <f>IF($B2916="","",IFERROR(INDEX($U$4:$U$3183,MATCH(SMALL($V$4:$V$3183,2913),$V$4:$V$3183,0)),""))</f>
        <v/>
      </c>
    </row>
    <row r="2917">
      <c r="A2917">
        <f>IFERROR(INDEX($N$4:$N$3183,MATCH(SMALL($V$4:$V$3183,2914),$V$4:$V$3183,0)),"")</f>
        <v/>
      </c>
      <c r="B2917">
        <f>IFERROR(INDEX($O$4:$O$3183,MATCH(SMALL($V$4:$V$3183,2914),$V$4:$V$3183,0)),"")</f>
        <v/>
      </c>
      <c r="C2917">
        <f>IFERROR(INDEX($P$4:$P$3183,MATCH(SMALL($V$4:$V$3183,2914),$V$4:$V$3183,0)),"")</f>
        <v/>
      </c>
      <c r="D2917" s="29">
        <f>IFERROR(INDEX($Q$4:$Q$3183,MATCH(SMALL($V$4:$V$3183,2914),$V$4:$V$3183,0)),"")</f>
        <v/>
      </c>
      <c r="E2917" s="29">
        <f>IFERROR(INDEX($R$4:$R$3183,MATCH(SMALL($V$4:$V$3183,2914),$V$4:$V$3183,0)),"")</f>
        <v/>
      </c>
      <c r="F2917">
        <f>IFERROR(INDEX($S$4:$S$3183,MATCH(SMALL($V$4:$V$3183,2914),$V$4:$V$3183,0)),"")</f>
        <v/>
      </c>
      <c r="I2917" s="29">
        <f>IF($B2917="","",IFERROR(INDEX($U$4:$U$3183,MATCH(SMALL($V$4:$V$3183,2914),$V$4:$V$3183,0)),""))</f>
        <v/>
      </c>
      <c r="J2917">
        <f>IF($B2917="","",IF($D2917&gt;$F$2,"À venir",IF($E2917&lt;$D$2,"Passé","Dans la période")))</f>
        <v/>
      </c>
      <c r="K2917">
        <f>IF(OR($B2917="",NOT(ISNUMBER($D2917))),"",IF(AND($E2917&lt;$D$2,$G2917&lt;&gt;"X",$F2917&lt;&gt;"Réalisé",$F2917&lt;&gt;"Clôturé"),"RETARD",""))</f>
        <v/>
      </c>
      <c r="L2917">
        <f>IF(OR($B2917="",NOT(ISNUMBER($D2917))),"",IF(AND($D2917&gt;=$D$2,$D2917&lt;=$H$2,$G2917&lt;&gt;"X",$F2917&lt;&gt;"Réalisé",$F2917&lt;&gt;"Clôturé"),"≤ 7 j",""))</f>
        <v/>
      </c>
      <c r="M2917" s="29">
        <f>IF($B2917="","",IFERROR(INDEX($T$4:$T$3183,MATCH(SMALL($V$4:$V$3183,2914),$V$4:$V$3183,0)),""))</f>
        <v/>
      </c>
      <c r="O2917">
        <f>IF(INDEX(Suivi!$B:$B,2972)="","",INDEX(Suivi!$B:$B,2972))</f>
        <v/>
      </c>
      <c r="P2917">
        <f>IF($O2917="","",IF(INDEX(Suivi!$D:$D,2972)="",INDEX(Suivi!$C:$C,2972),INDEX(Suivi!$D:$D,2972)))</f>
        <v/>
      </c>
      <c r="Q2917">
        <f>IF($O2917="","",INDEX(Suivi!$E:$E,2972))</f>
        <v/>
      </c>
      <c r="R2917">
        <f>IF($O2917="","",INDEX(Suivi!$F:$F,2972))</f>
        <v/>
      </c>
      <c r="S2917">
        <f>IF($O2917="","",INDEX(Suivi!$G:$G,2972))</f>
        <v/>
      </c>
      <c r="T2917">
        <f>IF($O2917="","",IF(INDEX(Dossiers!$F$4:$F$63,55)="","",INDEX(Dossiers!$F$4:$F$63,55)))</f>
        <v/>
      </c>
      <c r="U2917">
        <f>IF($O2917="","",IF(INDEX(Dossiers!$G$4:$G$63,55)="","",INDEX(Dossiers!$G$4:$G$63,55)))</f>
        <v/>
      </c>
      <c r="V2917">
        <f>IF(OR($O2917="",NOT(ISNUMBER($Q2917))),"",$Q2917*1000000+2917)</f>
        <v/>
      </c>
      <c r="W2917" s="29">
        <f>IF($B2917="","",IFERROR(INDEX($U$4:$U$3183,MATCH(SMALL($V$4:$V$3183,2914),$V$4:$V$3183,0)),""))</f>
        <v/>
      </c>
    </row>
    <row r="2918">
      <c r="A2918">
        <f>IFERROR(INDEX($N$4:$N$3183,MATCH(SMALL($V$4:$V$3183,2915),$V$4:$V$3183,0)),"")</f>
        <v/>
      </c>
      <c r="B2918">
        <f>IFERROR(INDEX($O$4:$O$3183,MATCH(SMALL($V$4:$V$3183,2915),$V$4:$V$3183,0)),"")</f>
        <v/>
      </c>
      <c r="C2918">
        <f>IFERROR(INDEX($P$4:$P$3183,MATCH(SMALL($V$4:$V$3183,2915),$V$4:$V$3183,0)),"")</f>
        <v/>
      </c>
      <c r="D2918" s="29">
        <f>IFERROR(INDEX($Q$4:$Q$3183,MATCH(SMALL($V$4:$V$3183,2915),$V$4:$V$3183,0)),"")</f>
        <v/>
      </c>
      <c r="E2918" s="29">
        <f>IFERROR(INDEX($R$4:$R$3183,MATCH(SMALL($V$4:$V$3183,2915),$V$4:$V$3183,0)),"")</f>
        <v/>
      </c>
      <c r="F2918">
        <f>IFERROR(INDEX($S$4:$S$3183,MATCH(SMALL($V$4:$V$3183,2915),$V$4:$V$3183,0)),"")</f>
        <v/>
      </c>
      <c r="I2918" s="29">
        <f>IF($B2918="","",IFERROR(INDEX($U$4:$U$3183,MATCH(SMALL($V$4:$V$3183,2915),$V$4:$V$3183,0)),""))</f>
        <v/>
      </c>
      <c r="J2918">
        <f>IF($B2918="","",IF($D2918&gt;$F$2,"À venir",IF($E2918&lt;$D$2,"Passé","Dans la période")))</f>
        <v/>
      </c>
      <c r="K2918">
        <f>IF(OR($B2918="",NOT(ISNUMBER($D2918))),"",IF(AND($E2918&lt;$D$2,$G2918&lt;&gt;"X",$F2918&lt;&gt;"Réalisé",$F2918&lt;&gt;"Clôturé"),"RETARD",""))</f>
        <v/>
      </c>
      <c r="L2918">
        <f>IF(OR($B2918="",NOT(ISNUMBER($D2918))),"",IF(AND($D2918&gt;=$D$2,$D2918&lt;=$H$2,$G2918&lt;&gt;"X",$F2918&lt;&gt;"Réalisé",$F2918&lt;&gt;"Clôturé"),"≤ 7 j",""))</f>
        <v/>
      </c>
      <c r="M2918" s="29">
        <f>IF($B2918="","",IFERROR(INDEX($T$4:$T$3183,MATCH(SMALL($V$4:$V$3183,2915),$V$4:$V$3183,0)),""))</f>
        <v/>
      </c>
      <c r="O2918">
        <f>IF(INDEX(Suivi!$B:$B,2973)="","",INDEX(Suivi!$B:$B,2973))</f>
        <v/>
      </c>
      <c r="P2918">
        <f>IF($O2918="","",IF(INDEX(Suivi!$D:$D,2973)="",INDEX(Suivi!$C:$C,2973),INDEX(Suivi!$D:$D,2973)))</f>
        <v/>
      </c>
      <c r="Q2918">
        <f>IF($O2918="","",INDEX(Suivi!$E:$E,2973))</f>
        <v/>
      </c>
      <c r="R2918">
        <f>IF($O2918="","",INDEX(Suivi!$F:$F,2973))</f>
        <v/>
      </c>
      <c r="S2918">
        <f>IF($O2918="","",INDEX(Suivi!$G:$G,2973))</f>
        <v/>
      </c>
      <c r="T2918">
        <f>IF($O2918="","",IF(INDEX(Dossiers!$F$4:$F$63,55)="","",INDEX(Dossiers!$F$4:$F$63,55)))</f>
        <v/>
      </c>
      <c r="U2918">
        <f>IF($O2918="","",IF(INDEX(Dossiers!$G$4:$G$63,55)="","",INDEX(Dossiers!$G$4:$G$63,55)))</f>
        <v/>
      </c>
      <c r="V2918">
        <f>IF(OR($O2918="",NOT(ISNUMBER($Q2918))),"",$Q2918*1000000+2918)</f>
        <v/>
      </c>
      <c r="W2918" s="29">
        <f>IF($B2918="","",IFERROR(INDEX($U$4:$U$3183,MATCH(SMALL($V$4:$V$3183,2915),$V$4:$V$3183,0)),""))</f>
        <v/>
      </c>
    </row>
    <row r="2919">
      <c r="A2919">
        <f>IFERROR(INDEX($N$4:$N$3183,MATCH(SMALL($V$4:$V$3183,2916),$V$4:$V$3183,0)),"")</f>
        <v/>
      </c>
      <c r="B2919">
        <f>IFERROR(INDEX($O$4:$O$3183,MATCH(SMALL($V$4:$V$3183,2916),$V$4:$V$3183,0)),"")</f>
        <v/>
      </c>
      <c r="C2919">
        <f>IFERROR(INDEX($P$4:$P$3183,MATCH(SMALL($V$4:$V$3183,2916),$V$4:$V$3183,0)),"")</f>
        <v/>
      </c>
      <c r="D2919" s="29">
        <f>IFERROR(INDEX($Q$4:$Q$3183,MATCH(SMALL($V$4:$V$3183,2916),$V$4:$V$3183,0)),"")</f>
        <v/>
      </c>
      <c r="E2919" s="29">
        <f>IFERROR(INDEX($R$4:$R$3183,MATCH(SMALL($V$4:$V$3183,2916),$V$4:$V$3183,0)),"")</f>
        <v/>
      </c>
      <c r="F2919">
        <f>IFERROR(INDEX($S$4:$S$3183,MATCH(SMALL($V$4:$V$3183,2916),$V$4:$V$3183,0)),"")</f>
        <v/>
      </c>
      <c r="I2919" s="29">
        <f>IF($B2919="","",IFERROR(INDEX($U$4:$U$3183,MATCH(SMALL($V$4:$V$3183,2916),$V$4:$V$3183,0)),""))</f>
        <v/>
      </c>
      <c r="J2919">
        <f>IF($B2919="","",IF($D2919&gt;$F$2,"À venir",IF($E2919&lt;$D$2,"Passé","Dans la période")))</f>
        <v/>
      </c>
      <c r="K2919">
        <f>IF(OR($B2919="",NOT(ISNUMBER($D2919))),"",IF(AND($E2919&lt;$D$2,$G2919&lt;&gt;"X",$F2919&lt;&gt;"Réalisé",$F2919&lt;&gt;"Clôturé"),"RETARD",""))</f>
        <v/>
      </c>
      <c r="L2919">
        <f>IF(OR($B2919="",NOT(ISNUMBER($D2919))),"",IF(AND($D2919&gt;=$D$2,$D2919&lt;=$H$2,$G2919&lt;&gt;"X",$F2919&lt;&gt;"Réalisé",$F2919&lt;&gt;"Clôturé"),"≤ 7 j",""))</f>
        <v/>
      </c>
      <c r="M2919" s="29">
        <f>IF($B2919="","",IFERROR(INDEX($T$4:$T$3183,MATCH(SMALL($V$4:$V$3183,2916),$V$4:$V$3183,0)),""))</f>
        <v/>
      </c>
      <c r="O2919">
        <f>IF(INDEX(Suivi!$B:$B,2975)="","",INDEX(Suivi!$B:$B,2975))</f>
        <v/>
      </c>
      <c r="P2919">
        <f>IF($O2919="","",IF(INDEX(Suivi!$D:$D,2975)="",INDEX(Suivi!$C:$C,2975),INDEX(Suivi!$D:$D,2975)))</f>
        <v/>
      </c>
      <c r="Q2919">
        <f>IF($O2919="","",INDEX(Suivi!$E:$E,2975))</f>
        <v/>
      </c>
      <c r="R2919">
        <f>IF($O2919="","",INDEX(Suivi!$F:$F,2975))</f>
        <v/>
      </c>
      <c r="S2919">
        <f>IF($O2919="","",INDEX(Suivi!$G:$G,2975))</f>
        <v/>
      </c>
      <c r="T2919">
        <f>IF($O2919="","",IF(INDEX(Dossiers!$F$4:$F$63,56)="","",INDEX(Dossiers!$F$4:$F$63,56)))</f>
        <v/>
      </c>
      <c r="U2919">
        <f>IF($O2919="","",IF(INDEX(Dossiers!$G$4:$G$63,56)="","",INDEX(Dossiers!$G$4:$G$63,56)))</f>
        <v/>
      </c>
      <c r="V2919">
        <f>IF(OR($O2919="",NOT(ISNUMBER($Q2919))),"",$Q2919*1000000+2919)</f>
        <v/>
      </c>
      <c r="W2919" s="29">
        <f>IF($B2919="","",IFERROR(INDEX($U$4:$U$3183,MATCH(SMALL($V$4:$V$3183,2916),$V$4:$V$3183,0)),""))</f>
        <v/>
      </c>
    </row>
    <row r="2920">
      <c r="A2920">
        <f>IFERROR(INDEX($N$4:$N$3183,MATCH(SMALL($V$4:$V$3183,2917),$V$4:$V$3183,0)),"")</f>
        <v/>
      </c>
      <c r="B2920">
        <f>IFERROR(INDEX($O$4:$O$3183,MATCH(SMALL($V$4:$V$3183,2917),$V$4:$V$3183,0)),"")</f>
        <v/>
      </c>
      <c r="C2920">
        <f>IFERROR(INDEX($P$4:$P$3183,MATCH(SMALL($V$4:$V$3183,2917),$V$4:$V$3183,0)),"")</f>
        <v/>
      </c>
      <c r="D2920" s="29">
        <f>IFERROR(INDEX($Q$4:$Q$3183,MATCH(SMALL($V$4:$V$3183,2917),$V$4:$V$3183,0)),"")</f>
        <v/>
      </c>
      <c r="E2920" s="29">
        <f>IFERROR(INDEX($R$4:$R$3183,MATCH(SMALL($V$4:$V$3183,2917),$V$4:$V$3183,0)),"")</f>
        <v/>
      </c>
      <c r="F2920">
        <f>IFERROR(INDEX($S$4:$S$3183,MATCH(SMALL($V$4:$V$3183,2917),$V$4:$V$3183,0)),"")</f>
        <v/>
      </c>
      <c r="I2920" s="29">
        <f>IF($B2920="","",IFERROR(INDEX($U$4:$U$3183,MATCH(SMALL($V$4:$V$3183,2917),$V$4:$V$3183,0)),""))</f>
        <v/>
      </c>
      <c r="J2920">
        <f>IF($B2920="","",IF($D2920&gt;$F$2,"À venir",IF($E2920&lt;$D$2,"Passé","Dans la période")))</f>
        <v/>
      </c>
      <c r="K2920">
        <f>IF(OR($B2920="",NOT(ISNUMBER($D2920))),"",IF(AND($E2920&lt;$D$2,$G2920&lt;&gt;"X",$F2920&lt;&gt;"Réalisé",$F2920&lt;&gt;"Clôturé"),"RETARD",""))</f>
        <v/>
      </c>
      <c r="L2920">
        <f>IF(OR($B2920="",NOT(ISNUMBER($D2920))),"",IF(AND($D2920&gt;=$D$2,$D2920&lt;=$H$2,$G2920&lt;&gt;"X",$F2920&lt;&gt;"Réalisé",$F2920&lt;&gt;"Clôturé"),"≤ 7 j",""))</f>
        <v/>
      </c>
      <c r="M2920" s="29">
        <f>IF($B2920="","",IFERROR(INDEX($T$4:$T$3183,MATCH(SMALL($V$4:$V$3183,2917),$V$4:$V$3183,0)),""))</f>
        <v/>
      </c>
      <c r="O2920">
        <f>IF(INDEX(Suivi!$B:$B,2976)="","",INDEX(Suivi!$B:$B,2976))</f>
        <v/>
      </c>
      <c r="P2920">
        <f>IF($O2920="","",IF(INDEX(Suivi!$D:$D,2976)="",INDEX(Suivi!$C:$C,2976),INDEX(Suivi!$D:$D,2976)))</f>
        <v/>
      </c>
      <c r="Q2920">
        <f>IF($O2920="","",INDEX(Suivi!$E:$E,2976))</f>
        <v/>
      </c>
      <c r="R2920">
        <f>IF($O2920="","",INDEX(Suivi!$F:$F,2976))</f>
        <v/>
      </c>
      <c r="S2920">
        <f>IF($O2920="","",INDEX(Suivi!$G:$G,2976))</f>
        <v/>
      </c>
      <c r="T2920">
        <f>IF($O2920="","",IF(INDEX(Dossiers!$F$4:$F$63,56)="","",INDEX(Dossiers!$F$4:$F$63,56)))</f>
        <v/>
      </c>
      <c r="U2920">
        <f>IF($O2920="","",IF(INDEX(Dossiers!$G$4:$G$63,56)="","",INDEX(Dossiers!$G$4:$G$63,56)))</f>
        <v/>
      </c>
      <c r="V2920">
        <f>IF(OR($O2920="",NOT(ISNUMBER($Q2920))),"",$Q2920*1000000+2920)</f>
        <v/>
      </c>
      <c r="W2920" s="29">
        <f>IF($B2920="","",IFERROR(INDEX($U$4:$U$3183,MATCH(SMALL($V$4:$V$3183,2917),$V$4:$V$3183,0)),""))</f>
        <v/>
      </c>
    </row>
    <row r="2921">
      <c r="A2921">
        <f>IFERROR(INDEX($N$4:$N$3183,MATCH(SMALL($V$4:$V$3183,2918),$V$4:$V$3183,0)),"")</f>
        <v/>
      </c>
      <c r="B2921">
        <f>IFERROR(INDEX($O$4:$O$3183,MATCH(SMALL($V$4:$V$3183,2918),$V$4:$V$3183,0)),"")</f>
        <v/>
      </c>
      <c r="C2921">
        <f>IFERROR(INDEX($P$4:$P$3183,MATCH(SMALL($V$4:$V$3183,2918),$V$4:$V$3183,0)),"")</f>
        <v/>
      </c>
      <c r="D2921" s="29">
        <f>IFERROR(INDEX($Q$4:$Q$3183,MATCH(SMALL($V$4:$V$3183,2918),$V$4:$V$3183,0)),"")</f>
        <v/>
      </c>
      <c r="E2921" s="29">
        <f>IFERROR(INDEX($R$4:$R$3183,MATCH(SMALL($V$4:$V$3183,2918),$V$4:$V$3183,0)),"")</f>
        <v/>
      </c>
      <c r="F2921">
        <f>IFERROR(INDEX($S$4:$S$3183,MATCH(SMALL($V$4:$V$3183,2918),$V$4:$V$3183,0)),"")</f>
        <v/>
      </c>
      <c r="I2921" s="29">
        <f>IF($B2921="","",IFERROR(INDEX($U$4:$U$3183,MATCH(SMALL($V$4:$V$3183,2918),$V$4:$V$3183,0)),""))</f>
        <v/>
      </c>
      <c r="J2921">
        <f>IF($B2921="","",IF($D2921&gt;$F$2,"À venir",IF($E2921&lt;$D$2,"Passé","Dans la période")))</f>
        <v/>
      </c>
      <c r="K2921">
        <f>IF(OR($B2921="",NOT(ISNUMBER($D2921))),"",IF(AND($E2921&lt;$D$2,$G2921&lt;&gt;"X",$F2921&lt;&gt;"Réalisé",$F2921&lt;&gt;"Clôturé"),"RETARD",""))</f>
        <v/>
      </c>
      <c r="L2921">
        <f>IF(OR($B2921="",NOT(ISNUMBER($D2921))),"",IF(AND($D2921&gt;=$D$2,$D2921&lt;=$H$2,$G2921&lt;&gt;"X",$F2921&lt;&gt;"Réalisé",$F2921&lt;&gt;"Clôturé"),"≤ 7 j",""))</f>
        <v/>
      </c>
      <c r="M2921" s="29">
        <f>IF($B2921="","",IFERROR(INDEX($T$4:$T$3183,MATCH(SMALL($V$4:$V$3183,2918),$V$4:$V$3183,0)),""))</f>
        <v/>
      </c>
      <c r="O2921">
        <f>IF(INDEX(Suivi!$B:$B,2977)="","",INDEX(Suivi!$B:$B,2977))</f>
        <v/>
      </c>
      <c r="P2921">
        <f>IF($O2921="","",IF(INDEX(Suivi!$D:$D,2977)="",INDEX(Suivi!$C:$C,2977),INDEX(Suivi!$D:$D,2977)))</f>
        <v/>
      </c>
      <c r="Q2921">
        <f>IF($O2921="","",INDEX(Suivi!$E:$E,2977))</f>
        <v/>
      </c>
      <c r="R2921">
        <f>IF($O2921="","",INDEX(Suivi!$F:$F,2977))</f>
        <v/>
      </c>
      <c r="S2921">
        <f>IF($O2921="","",INDEX(Suivi!$G:$G,2977))</f>
        <v/>
      </c>
      <c r="T2921">
        <f>IF($O2921="","",IF(INDEX(Dossiers!$F$4:$F$63,56)="","",INDEX(Dossiers!$F$4:$F$63,56)))</f>
        <v/>
      </c>
      <c r="U2921">
        <f>IF($O2921="","",IF(INDEX(Dossiers!$G$4:$G$63,56)="","",INDEX(Dossiers!$G$4:$G$63,56)))</f>
        <v/>
      </c>
      <c r="V2921">
        <f>IF(OR($O2921="",NOT(ISNUMBER($Q2921))),"",$Q2921*1000000+2921)</f>
        <v/>
      </c>
      <c r="W2921" s="29">
        <f>IF($B2921="","",IFERROR(INDEX($U$4:$U$3183,MATCH(SMALL($V$4:$V$3183,2918),$V$4:$V$3183,0)),""))</f>
        <v/>
      </c>
    </row>
    <row r="2922">
      <c r="A2922">
        <f>IFERROR(INDEX($N$4:$N$3183,MATCH(SMALL($V$4:$V$3183,2919),$V$4:$V$3183,0)),"")</f>
        <v/>
      </c>
      <c r="B2922">
        <f>IFERROR(INDEX($O$4:$O$3183,MATCH(SMALL($V$4:$V$3183,2919),$V$4:$V$3183,0)),"")</f>
        <v/>
      </c>
      <c r="C2922">
        <f>IFERROR(INDEX($P$4:$P$3183,MATCH(SMALL($V$4:$V$3183,2919),$V$4:$V$3183,0)),"")</f>
        <v/>
      </c>
      <c r="D2922" s="29">
        <f>IFERROR(INDEX($Q$4:$Q$3183,MATCH(SMALL($V$4:$V$3183,2919),$V$4:$V$3183,0)),"")</f>
        <v/>
      </c>
      <c r="E2922" s="29">
        <f>IFERROR(INDEX($R$4:$R$3183,MATCH(SMALL($V$4:$V$3183,2919),$V$4:$V$3183,0)),"")</f>
        <v/>
      </c>
      <c r="F2922">
        <f>IFERROR(INDEX($S$4:$S$3183,MATCH(SMALL($V$4:$V$3183,2919),$V$4:$V$3183,0)),"")</f>
        <v/>
      </c>
      <c r="I2922" s="29">
        <f>IF($B2922="","",IFERROR(INDEX($U$4:$U$3183,MATCH(SMALL($V$4:$V$3183,2919),$V$4:$V$3183,0)),""))</f>
        <v/>
      </c>
      <c r="J2922">
        <f>IF($B2922="","",IF($D2922&gt;$F$2,"À venir",IF($E2922&lt;$D$2,"Passé","Dans la période")))</f>
        <v/>
      </c>
      <c r="K2922">
        <f>IF(OR($B2922="",NOT(ISNUMBER($D2922))),"",IF(AND($E2922&lt;$D$2,$G2922&lt;&gt;"X",$F2922&lt;&gt;"Réalisé",$F2922&lt;&gt;"Clôturé"),"RETARD",""))</f>
        <v/>
      </c>
      <c r="L2922">
        <f>IF(OR($B2922="",NOT(ISNUMBER($D2922))),"",IF(AND($D2922&gt;=$D$2,$D2922&lt;=$H$2,$G2922&lt;&gt;"X",$F2922&lt;&gt;"Réalisé",$F2922&lt;&gt;"Clôturé"),"≤ 7 j",""))</f>
        <v/>
      </c>
      <c r="M2922" s="29">
        <f>IF($B2922="","",IFERROR(INDEX($T$4:$T$3183,MATCH(SMALL($V$4:$V$3183,2919),$V$4:$V$3183,0)),""))</f>
        <v/>
      </c>
      <c r="O2922">
        <f>IF(INDEX(Suivi!$B:$B,2978)="","",INDEX(Suivi!$B:$B,2978))</f>
        <v/>
      </c>
      <c r="P2922">
        <f>IF($O2922="","",IF(INDEX(Suivi!$D:$D,2978)="",INDEX(Suivi!$C:$C,2978),INDEX(Suivi!$D:$D,2978)))</f>
        <v/>
      </c>
      <c r="Q2922">
        <f>IF($O2922="","",INDEX(Suivi!$E:$E,2978))</f>
        <v/>
      </c>
      <c r="R2922">
        <f>IF($O2922="","",INDEX(Suivi!$F:$F,2978))</f>
        <v/>
      </c>
      <c r="S2922">
        <f>IF($O2922="","",INDEX(Suivi!$G:$G,2978))</f>
        <v/>
      </c>
      <c r="T2922">
        <f>IF($O2922="","",IF(INDEX(Dossiers!$F$4:$F$63,56)="","",INDEX(Dossiers!$F$4:$F$63,56)))</f>
        <v/>
      </c>
      <c r="U2922">
        <f>IF($O2922="","",IF(INDEX(Dossiers!$G$4:$G$63,56)="","",INDEX(Dossiers!$G$4:$G$63,56)))</f>
        <v/>
      </c>
      <c r="V2922">
        <f>IF(OR($O2922="",NOT(ISNUMBER($Q2922))),"",$Q2922*1000000+2922)</f>
        <v/>
      </c>
      <c r="W2922" s="29">
        <f>IF($B2922="","",IFERROR(INDEX($U$4:$U$3183,MATCH(SMALL($V$4:$V$3183,2919),$V$4:$V$3183,0)),""))</f>
        <v/>
      </c>
    </row>
    <row r="2923">
      <c r="A2923">
        <f>IFERROR(INDEX($N$4:$N$3183,MATCH(SMALL($V$4:$V$3183,2920),$V$4:$V$3183,0)),"")</f>
        <v/>
      </c>
      <c r="B2923">
        <f>IFERROR(INDEX($O$4:$O$3183,MATCH(SMALL($V$4:$V$3183,2920),$V$4:$V$3183,0)),"")</f>
        <v/>
      </c>
      <c r="C2923">
        <f>IFERROR(INDEX($P$4:$P$3183,MATCH(SMALL($V$4:$V$3183,2920),$V$4:$V$3183,0)),"")</f>
        <v/>
      </c>
      <c r="D2923" s="29">
        <f>IFERROR(INDEX($Q$4:$Q$3183,MATCH(SMALL($V$4:$V$3183,2920),$V$4:$V$3183,0)),"")</f>
        <v/>
      </c>
      <c r="E2923" s="29">
        <f>IFERROR(INDEX($R$4:$R$3183,MATCH(SMALL($V$4:$V$3183,2920),$V$4:$V$3183,0)),"")</f>
        <v/>
      </c>
      <c r="F2923">
        <f>IFERROR(INDEX($S$4:$S$3183,MATCH(SMALL($V$4:$V$3183,2920),$V$4:$V$3183,0)),"")</f>
        <v/>
      </c>
      <c r="I2923" s="29">
        <f>IF($B2923="","",IFERROR(INDEX($U$4:$U$3183,MATCH(SMALL($V$4:$V$3183,2920),$V$4:$V$3183,0)),""))</f>
        <v/>
      </c>
      <c r="J2923">
        <f>IF($B2923="","",IF($D2923&gt;$F$2,"À venir",IF($E2923&lt;$D$2,"Passé","Dans la période")))</f>
        <v/>
      </c>
      <c r="K2923">
        <f>IF(OR($B2923="",NOT(ISNUMBER($D2923))),"",IF(AND($E2923&lt;$D$2,$G2923&lt;&gt;"X",$F2923&lt;&gt;"Réalisé",$F2923&lt;&gt;"Clôturé"),"RETARD",""))</f>
        <v/>
      </c>
      <c r="L2923">
        <f>IF(OR($B2923="",NOT(ISNUMBER($D2923))),"",IF(AND($D2923&gt;=$D$2,$D2923&lt;=$H$2,$G2923&lt;&gt;"X",$F2923&lt;&gt;"Réalisé",$F2923&lt;&gt;"Clôturé"),"≤ 7 j",""))</f>
        <v/>
      </c>
      <c r="M2923" s="29">
        <f>IF($B2923="","",IFERROR(INDEX($T$4:$T$3183,MATCH(SMALL($V$4:$V$3183,2920),$V$4:$V$3183,0)),""))</f>
        <v/>
      </c>
      <c r="O2923">
        <f>IF(INDEX(Suivi!$B:$B,2979)="","",INDEX(Suivi!$B:$B,2979))</f>
        <v/>
      </c>
      <c r="P2923">
        <f>IF($O2923="","",IF(INDEX(Suivi!$D:$D,2979)="",INDEX(Suivi!$C:$C,2979),INDEX(Suivi!$D:$D,2979)))</f>
        <v/>
      </c>
      <c r="Q2923">
        <f>IF($O2923="","",INDEX(Suivi!$E:$E,2979))</f>
        <v/>
      </c>
      <c r="R2923">
        <f>IF($O2923="","",INDEX(Suivi!$F:$F,2979))</f>
        <v/>
      </c>
      <c r="S2923">
        <f>IF($O2923="","",INDEX(Suivi!$G:$G,2979))</f>
        <v/>
      </c>
      <c r="T2923">
        <f>IF($O2923="","",IF(INDEX(Dossiers!$F$4:$F$63,56)="","",INDEX(Dossiers!$F$4:$F$63,56)))</f>
        <v/>
      </c>
      <c r="U2923">
        <f>IF($O2923="","",IF(INDEX(Dossiers!$G$4:$G$63,56)="","",INDEX(Dossiers!$G$4:$G$63,56)))</f>
        <v/>
      </c>
      <c r="V2923">
        <f>IF(OR($O2923="",NOT(ISNUMBER($Q2923))),"",$Q2923*1000000+2923)</f>
        <v/>
      </c>
      <c r="W2923" s="29">
        <f>IF($B2923="","",IFERROR(INDEX($U$4:$U$3183,MATCH(SMALL($V$4:$V$3183,2920),$V$4:$V$3183,0)),""))</f>
        <v/>
      </c>
    </row>
    <row r="2924">
      <c r="A2924">
        <f>IFERROR(INDEX($N$4:$N$3183,MATCH(SMALL($V$4:$V$3183,2921),$V$4:$V$3183,0)),"")</f>
        <v/>
      </c>
      <c r="B2924">
        <f>IFERROR(INDEX($O$4:$O$3183,MATCH(SMALL($V$4:$V$3183,2921),$V$4:$V$3183,0)),"")</f>
        <v/>
      </c>
      <c r="C2924">
        <f>IFERROR(INDEX($P$4:$P$3183,MATCH(SMALL($V$4:$V$3183,2921),$V$4:$V$3183,0)),"")</f>
        <v/>
      </c>
      <c r="D2924" s="29">
        <f>IFERROR(INDEX($Q$4:$Q$3183,MATCH(SMALL($V$4:$V$3183,2921),$V$4:$V$3183,0)),"")</f>
        <v/>
      </c>
      <c r="E2924" s="29">
        <f>IFERROR(INDEX($R$4:$R$3183,MATCH(SMALL($V$4:$V$3183,2921),$V$4:$V$3183,0)),"")</f>
        <v/>
      </c>
      <c r="F2924">
        <f>IFERROR(INDEX($S$4:$S$3183,MATCH(SMALL($V$4:$V$3183,2921),$V$4:$V$3183,0)),"")</f>
        <v/>
      </c>
      <c r="I2924" s="29">
        <f>IF($B2924="","",IFERROR(INDEX($U$4:$U$3183,MATCH(SMALL($V$4:$V$3183,2921),$V$4:$V$3183,0)),""))</f>
        <v/>
      </c>
      <c r="J2924">
        <f>IF($B2924="","",IF($D2924&gt;$F$2,"À venir",IF($E2924&lt;$D$2,"Passé","Dans la période")))</f>
        <v/>
      </c>
      <c r="K2924">
        <f>IF(OR($B2924="",NOT(ISNUMBER($D2924))),"",IF(AND($E2924&lt;$D$2,$G2924&lt;&gt;"X",$F2924&lt;&gt;"Réalisé",$F2924&lt;&gt;"Clôturé"),"RETARD",""))</f>
        <v/>
      </c>
      <c r="L2924">
        <f>IF(OR($B2924="",NOT(ISNUMBER($D2924))),"",IF(AND($D2924&gt;=$D$2,$D2924&lt;=$H$2,$G2924&lt;&gt;"X",$F2924&lt;&gt;"Réalisé",$F2924&lt;&gt;"Clôturé"),"≤ 7 j",""))</f>
        <v/>
      </c>
      <c r="M2924" s="29">
        <f>IF($B2924="","",IFERROR(INDEX($T$4:$T$3183,MATCH(SMALL($V$4:$V$3183,2921),$V$4:$V$3183,0)),""))</f>
        <v/>
      </c>
      <c r="O2924">
        <f>IF(INDEX(Suivi!$B:$B,2980)="","",INDEX(Suivi!$B:$B,2980))</f>
        <v/>
      </c>
      <c r="P2924">
        <f>IF($O2924="","",IF(INDEX(Suivi!$D:$D,2980)="",INDEX(Suivi!$C:$C,2980),INDEX(Suivi!$D:$D,2980)))</f>
        <v/>
      </c>
      <c r="Q2924">
        <f>IF($O2924="","",INDEX(Suivi!$E:$E,2980))</f>
        <v/>
      </c>
      <c r="R2924">
        <f>IF($O2924="","",INDEX(Suivi!$F:$F,2980))</f>
        <v/>
      </c>
      <c r="S2924">
        <f>IF($O2924="","",INDEX(Suivi!$G:$G,2980))</f>
        <v/>
      </c>
      <c r="T2924">
        <f>IF($O2924="","",IF(INDEX(Dossiers!$F$4:$F$63,56)="","",INDEX(Dossiers!$F$4:$F$63,56)))</f>
        <v/>
      </c>
      <c r="U2924">
        <f>IF($O2924="","",IF(INDEX(Dossiers!$G$4:$G$63,56)="","",INDEX(Dossiers!$G$4:$G$63,56)))</f>
        <v/>
      </c>
      <c r="V2924">
        <f>IF(OR($O2924="",NOT(ISNUMBER($Q2924))),"",$Q2924*1000000+2924)</f>
        <v/>
      </c>
      <c r="W2924" s="29">
        <f>IF($B2924="","",IFERROR(INDEX($U$4:$U$3183,MATCH(SMALL($V$4:$V$3183,2921),$V$4:$V$3183,0)),""))</f>
        <v/>
      </c>
    </row>
    <row r="2925">
      <c r="A2925">
        <f>IFERROR(INDEX($N$4:$N$3183,MATCH(SMALL($V$4:$V$3183,2922),$V$4:$V$3183,0)),"")</f>
        <v/>
      </c>
      <c r="B2925">
        <f>IFERROR(INDEX($O$4:$O$3183,MATCH(SMALL($V$4:$V$3183,2922),$V$4:$V$3183,0)),"")</f>
        <v/>
      </c>
      <c r="C2925">
        <f>IFERROR(INDEX($P$4:$P$3183,MATCH(SMALL($V$4:$V$3183,2922),$V$4:$V$3183,0)),"")</f>
        <v/>
      </c>
      <c r="D2925" s="29">
        <f>IFERROR(INDEX($Q$4:$Q$3183,MATCH(SMALL($V$4:$V$3183,2922),$V$4:$V$3183,0)),"")</f>
        <v/>
      </c>
      <c r="E2925" s="29">
        <f>IFERROR(INDEX($R$4:$R$3183,MATCH(SMALL($V$4:$V$3183,2922),$V$4:$V$3183,0)),"")</f>
        <v/>
      </c>
      <c r="F2925">
        <f>IFERROR(INDEX($S$4:$S$3183,MATCH(SMALL($V$4:$V$3183,2922),$V$4:$V$3183,0)),"")</f>
        <v/>
      </c>
      <c r="I2925" s="29">
        <f>IF($B2925="","",IFERROR(INDEX($U$4:$U$3183,MATCH(SMALL($V$4:$V$3183,2922),$V$4:$V$3183,0)),""))</f>
        <v/>
      </c>
      <c r="J2925">
        <f>IF($B2925="","",IF($D2925&gt;$F$2,"À venir",IF($E2925&lt;$D$2,"Passé","Dans la période")))</f>
        <v/>
      </c>
      <c r="K2925">
        <f>IF(OR($B2925="",NOT(ISNUMBER($D2925))),"",IF(AND($E2925&lt;$D$2,$G2925&lt;&gt;"X",$F2925&lt;&gt;"Réalisé",$F2925&lt;&gt;"Clôturé"),"RETARD",""))</f>
        <v/>
      </c>
      <c r="L2925">
        <f>IF(OR($B2925="",NOT(ISNUMBER($D2925))),"",IF(AND($D2925&gt;=$D$2,$D2925&lt;=$H$2,$G2925&lt;&gt;"X",$F2925&lt;&gt;"Réalisé",$F2925&lt;&gt;"Clôturé"),"≤ 7 j",""))</f>
        <v/>
      </c>
      <c r="M2925" s="29">
        <f>IF($B2925="","",IFERROR(INDEX($T$4:$T$3183,MATCH(SMALL($V$4:$V$3183,2922),$V$4:$V$3183,0)),""))</f>
        <v/>
      </c>
      <c r="O2925">
        <f>IF(INDEX(Suivi!$B:$B,2981)="","",INDEX(Suivi!$B:$B,2981))</f>
        <v/>
      </c>
      <c r="P2925">
        <f>IF($O2925="","",IF(INDEX(Suivi!$D:$D,2981)="",INDEX(Suivi!$C:$C,2981),INDEX(Suivi!$D:$D,2981)))</f>
        <v/>
      </c>
      <c r="Q2925">
        <f>IF($O2925="","",INDEX(Suivi!$E:$E,2981))</f>
        <v/>
      </c>
      <c r="R2925">
        <f>IF($O2925="","",INDEX(Suivi!$F:$F,2981))</f>
        <v/>
      </c>
      <c r="S2925">
        <f>IF($O2925="","",INDEX(Suivi!$G:$G,2981))</f>
        <v/>
      </c>
      <c r="T2925">
        <f>IF($O2925="","",IF(INDEX(Dossiers!$F$4:$F$63,56)="","",INDEX(Dossiers!$F$4:$F$63,56)))</f>
        <v/>
      </c>
      <c r="U2925">
        <f>IF($O2925="","",IF(INDEX(Dossiers!$G$4:$G$63,56)="","",INDEX(Dossiers!$G$4:$G$63,56)))</f>
        <v/>
      </c>
      <c r="V2925">
        <f>IF(OR($O2925="",NOT(ISNUMBER($Q2925))),"",$Q2925*1000000+2925)</f>
        <v/>
      </c>
      <c r="W2925" s="29">
        <f>IF($B2925="","",IFERROR(INDEX($U$4:$U$3183,MATCH(SMALL($V$4:$V$3183,2922),$V$4:$V$3183,0)),""))</f>
        <v/>
      </c>
    </row>
    <row r="2926">
      <c r="A2926">
        <f>IFERROR(INDEX($N$4:$N$3183,MATCH(SMALL($V$4:$V$3183,2923),$V$4:$V$3183,0)),"")</f>
        <v/>
      </c>
      <c r="B2926">
        <f>IFERROR(INDEX($O$4:$O$3183,MATCH(SMALL($V$4:$V$3183,2923),$V$4:$V$3183,0)),"")</f>
        <v/>
      </c>
      <c r="C2926">
        <f>IFERROR(INDEX($P$4:$P$3183,MATCH(SMALL($V$4:$V$3183,2923),$V$4:$V$3183,0)),"")</f>
        <v/>
      </c>
      <c r="D2926" s="29">
        <f>IFERROR(INDEX($Q$4:$Q$3183,MATCH(SMALL($V$4:$V$3183,2923),$V$4:$V$3183,0)),"")</f>
        <v/>
      </c>
      <c r="E2926" s="29">
        <f>IFERROR(INDEX($R$4:$R$3183,MATCH(SMALL($V$4:$V$3183,2923),$V$4:$V$3183,0)),"")</f>
        <v/>
      </c>
      <c r="F2926">
        <f>IFERROR(INDEX($S$4:$S$3183,MATCH(SMALL($V$4:$V$3183,2923),$V$4:$V$3183,0)),"")</f>
        <v/>
      </c>
      <c r="I2926" s="29">
        <f>IF($B2926="","",IFERROR(INDEX($U$4:$U$3183,MATCH(SMALL($V$4:$V$3183,2923),$V$4:$V$3183,0)),""))</f>
        <v/>
      </c>
      <c r="J2926">
        <f>IF($B2926="","",IF($D2926&gt;$F$2,"À venir",IF($E2926&lt;$D$2,"Passé","Dans la période")))</f>
        <v/>
      </c>
      <c r="K2926">
        <f>IF(OR($B2926="",NOT(ISNUMBER($D2926))),"",IF(AND($E2926&lt;$D$2,$G2926&lt;&gt;"X",$F2926&lt;&gt;"Réalisé",$F2926&lt;&gt;"Clôturé"),"RETARD",""))</f>
        <v/>
      </c>
      <c r="L2926">
        <f>IF(OR($B2926="",NOT(ISNUMBER($D2926))),"",IF(AND($D2926&gt;=$D$2,$D2926&lt;=$H$2,$G2926&lt;&gt;"X",$F2926&lt;&gt;"Réalisé",$F2926&lt;&gt;"Clôturé"),"≤ 7 j",""))</f>
        <v/>
      </c>
      <c r="M2926" s="29">
        <f>IF($B2926="","",IFERROR(INDEX($T$4:$T$3183,MATCH(SMALL($V$4:$V$3183,2923),$V$4:$V$3183,0)),""))</f>
        <v/>
      </c>
      <c r="O2926">
        <f>IF(INDEX(Suivi!$B:$B,2982)="","",INDEX(Suivi!$B:$B,2982))</f>
        <v/>
      </c>
      <c r="P2926">
        <f>IF($O2926="","",IF(INDEX(Suivi!$D:$D,2982)="",INDEX(Suivi!$C:$C,2982),INDEX(Suivi!$D:$D,2982)))</f>
        <v/>
      </c>
      <c r="Q2926">
        <f>IF($O2926="","",INDEX(Suivi!$E:$E,2982))</f>
        <v/>
      </c>
      <c r="R2926">
        <f>IF($O2926="","",INDEX(Suivi!$F:$F,2982))</f>
        <v/>
      </c>
      <c r="S2926">
        <f>IF($O2926="","",INDEX(Suivi!$G:$G,2982))</f>
        <v/>
      </c>
      <c r="T2926">
        <f>IF($O2926="","",IF(INDEX(Dossiers!$F$4:$F$63,56)="","",INDEX(Dossiers!$F$4:$F$63,56)))</f>
        <v/>
      </c>
      <c r="U2926">
        <f>IF($O2926="","",IF(INDEX(Dossiers!$G$4:$G$63,56)="","",INDEX(Dossiers!$G$4:$G$63,56)))</f>
        <v/>
      </c>
      <c r="V2926">
        <f>IF(OR($O2926="",NOT(ISNUMBER($Q2926))),"",$Q2926*1000000+2926)</f>
        <v/>
      </c>
      <c r="W2926" s="29">
        <f>IF($B2926="","",IFERROR(INDEX($U$4:$U$3183,MATCH(SMALL($V$4:$V$3183,2923),$V$4:$V$3183,0)),""))</f>
        <v/>
      </c>
    </row>
    <row r="2927">
      <c r="A2927">
        <f>IFERROR(INDEX($N$4:$N$3183,MATCH(SMALL($V$4:$V$3183,2924),$V$4:$V$3183,0)),"")</f>
        <v/>
      </c>
      <c r="B2927">
        <f>IFERROR(INDEX($O$4:$O$3183,MATCH(SMALL($V$4:$V$3183,2924),$V$4:$V$3183,0)),"")</f>
        <v/>
      </c>
      <c r="C2927">
        <f>IFERROR(INDEX($P$4:$P$3183,MATCH(SMALL($V$4:$V$3183,2924),$V$4:$V$3183,0)),"")</f>
        <v/>
      </c>
      <c r="D2927" s="29">
        <f>IFERROR(INDEX($Q$4:$Q$3183,MATCH(SMALL($V$4:$V$3183,2924),$V$4:$V$3183,0)),"")</f>
        <v/>
      </c>
      <c r="E2927" s="29">
        <f>IFERROR(INDEX($R$4:$R$3183,MATCH(SMALL($V$4:$V$3183,2924),$V$4:$V$3183,0)),"")</f>
        <v/>
      </c>
      <c r="F2927">
        <f>IFERROR(INDEX($S$4:$S$3183,MATCH(SMALL($V$4:$V$3183,2924),$V$4:$V$3183,0)),"")</f>
        <v/>
      </c>
      <c r="I2927" s="29">
        <f>IF($B2927="","",IFERROR(INDEX($U$4:$U$3183,MATCH(SMALL($V$4:$V$3183,2924),$V$4:$V$3183,0)),""))</f>
        <v/>
      </c>
      <c r="J2927">
        <f>IF($B2927="","",IF($D2927&gt;$F$2,"À venir",IF($E2927&lt;$D$2,"Passé","Dans la période")))</f>
        <v/>
      </c>
      <c r="K2927">
        <f>IF(OR($B2927="",NOT(ISNUMBER($D2927))),"",IF(AND($E2927&lt;$D$2,$G2927&lt;&gt;"X",$F2927&lt;&gt;"Réalisé",$F2927&lt;&gt;"Clôturé"),"RETARD",""))</f>
        <v/>
      </c>
      <c r="L2927">
        <f>IF(OR($B2927="",NOT(ISNUMBER($D2927))),"",IF(AND($D2927&gt;=$D$2,$D2927&lt;=$H$2,$G2927&lt;&gt;"X",$F2927&lt;&gt;"Réalisé",$F2927&lt;&gt;"Clôturé"),"≤ 7 j",""))</f>
        <v/>
      </c>
      <c r="M2927" s="29">
        <f>IF($B2927="","",IFERROR(INDEX($T$4:$T$3183,MATCH(SMALL($V$4:$V$3183,2924),$V$4:$V$3183,0)),""))</f>
        <v/>
      </c>
      <c r="O2927">
        <f>IF(INDEX(Suivi!$B:$B,2983)="","",INDEX(Suivi!$B:$B,2983))</f>
        <v/>
      </c>
      <c r="P2927">
        <f>IF($O2927="","",IF(INDEX(Suivi!$D:$D,2983)="",INDEX(Suivi!$C:$C,2983),INDEX(Suivi!$D:$D,2983)))</f>
        <v/>
      </c>
      <c r="Q2927">
        <f>IF($O2927="","",INDEX(Suivi!$E:$E,2983))</f>
        <v/>
      </c>
      <c r="R2927">
        <f>IF($O2927="","",INDEX(Suivi!$F:$F,2983))</f>
        <v/>
      </c>
      <c r="S2927">
        <f>IF($O2927="","",INDEX(Suivi!$G:$G,2983))</f>
        <v/>
      </c>
      <c r="T2927">
        <f>IF($O2927="","",IF(INDEX(Dossiers!$F$4:$F$63,56)="","",INDEX(Dossiers!$F$4:$F$63,56)))</f>
        <v/>
      </c>
      <c r="U2927">
        <f>IF($O2927="","",IF(INDEX(Dossiers!$G$4:$G$63,56)="","",INDEX(Dossiers!$G$4:$G$63,56)))</f>
        <v/>
      </c>
      <c r="V2927">
        <f>IF(OR($O2927="",NOT(ISNUMBER($Q2927))),"",$Q2927*1000000+2927)</f>
        <v/>
      </c>
      <c r="W2927" s="29">
        <f>IF($B2927="","",IFERROR(INDEX($U$4:$U$3183,MATCH(SMALL($V$4:$V$3183,2924),$V$4:$V$3183,0)),""))</f>
        <v/>
      </c>
    </row>
    <row r="2928">
      <c r="A2928">
        <f>IFERROR(INDEX($N$4:$N$3183,MATCH(SMALL($V$4:$V$3183,2925),$V$4:$V$3183,0)),"")</f>
        <v/>
      </c>
      <c r="B2928">
        <f>IFERROR(INDEX($O$4:$O$3183,MATCH(SMALL($V$4:$V$3183,2925),$V$4:$V$3183,0)),"")</f>
        <v/>
      </c>
      <c r="C2928">
        <f>IFERROR(INDEX($P$4:$P$3183,MATCH(SMALL($V$4:$V$3183,2925),$V$4:$V$3183,0)),"")</f>
        <v/>
      </c>
      <c r="D2928" s="29">
        <f>IFERROR(INDEX($Q$4:$Q$3183,MATCH(SMALL($V$4:$V$3183,2925),$V$4:$V$3183,0)),"")</f>
        <v/>
      </c>
      <c r="E2928" s="29">
        <f>IFERROR(INDEX($R$4:$R$3183,MATCH(SMALL($V$4:$V$3183,2925),$V$4:$V$3183,0)),"")</f>
        <v/>
      </c>
      <c r="F2928">
        <f>IFERROR(INDEX($S$4:$S$3183,MATCH(SMALL($V$4:$V$3183,2925),$V$4:$V$3183,0)),"")</f>
        <v/>
      </c>
      <c r="I2928" s="29">
        <f>IF($B2928="","",IFERROR(INDEX($U$4:$U$3183,MATCH(SMALL($V$4:$V$3183,2925),$V$4:$V$3183,0)),""))</f>
        <v/>
      </c>
      <c r="J2928">
        <f>IF($B2928="","",IF($D2928&gt;$F$2,"À venir",IF($E2928&lt;$D$2,"Passé","Dans la période")))</f>
        <v/>
      </c>
      <c r="K2928">
        <f>IF(OR($B2928="",NOT(ISNUMBER($D2928))),"",IF(AND($E2928&lt;$D$2,$G2928&lt;&gt;"X",$F2928&lt;&gt;"Réalisé",$F2928&lt;&gt;"Clôturé"),"RETARD",""))</f>
        <v/>
      </c>
      <c r="L2928">
        <f>IF(OR($B2928="",NOT(ISNUMBER($D2928))),"",IF(AND($D2928&gt;=$D$2,$D2928&lt;=$H$2,$G2928&lt;&gt;"X",$F2928&lt;&gt;"Réalisé",$F2928&lt;&gt;"Clôturé"),"≤ 7 j",""))</f>
        <v/>
      </c>
      <c r="M2928" s="29">
        <f>IF($B2928="","",IFERROR(INDEX($T$4:$T$3183,MATCH(SMALL($V$4:$V$3183,2925),$V$4:$V$3183,0)),""))</f>
        <v/>
      </c>
      <c r="O2928">
        <f>IF(INDEX(Suivi!$B:$B,2984)="","",INDEX(Suivi!$B:$B,2984))</f>
        <v/>
      </c>
      <c r="P2928">
        <f>IF($O2928="","",IF(INDEX(Suivi!$D:$D,2984)="",INDEX(Suivi!$C:$C,2984),INDEX(Suivi!$D:$D,2984)))</f>
        <v/>
      </c>
      <c r="Q2928">
        <f>IF($O2928="","",INDEX(Suivi!$E:$E,2984))</f>
        <v/>
      </c>
      <c r="R2928">
        <f>IF($O2928="","",INDEX(Suivi!$F:$F,2984))</f>
        <v/>
      </c>
      <c r="S2928">
        <f>IF($O2928="","",INDEX(Suivi!$G:$G,2984))</f>
        <v/>
      </c>
      <c r="T2928">
        <f>IF($O2928="","",IF(INDEX(Dossiers!$F$4:$F$63,56)="","",INDEX(Dossiers!$F$4:$F$63,56)))</f>
        <v/>
      </c>
      <c r="U2928">
        <f>IF($O2928="","",IF(INDEX(Dossiers!$G$4:$G$63,56)="","",INDEX(Dossiers!$G$4:$G$63,56)))</f>
        <v/>
      </c>
      <c r="V2928">
        <f>IF(OR($O2928="",NOT(ISNUMBER($Q2928))),"",$Q2928*1000000+2928)</f>
        <v/>
      </c>
      <c r="W2928" s="29">
        <f>IF($B2928="","",IFERROR(INDEX($U$4:$U$3183,MATCH(SMALL($V$4:$V$3183,2925),$V$4:$V$3183,0)),""))</f>
        <v/>
      </c>
    </row>
    <row r="2929">
      <c r="A2929">
        <f>IFERROR(INDEX($N$4:$N$3183,MATCH(SMALL($V$4:$V$3183,2926),$V$4:$V$3183,0)),"")</f>
        <v/>
      </c>
      <c r="B2929">
        <f>IFERROR(INDEX($O$4:$O$3183,MATCH(SMALL($V$4:$V$3183,2926),$V$4:$V$3183,0)),"")</f>
        <v/>
      </c>
      <c r="C2929">
        <f>IFERROR(INDEX($P$4:$P$3183,MATCH(SMALL($V$4:$V$3183,2926),$V$4:$V$3183,0)),"")</f>
        <v/>
      </c>
      <c r="D2929" s="29">
        <f>IFERROR(INDEX($Q$4:$Q$3183,MATCH(SMALL($V$4:$V$3183,2926),$V$4:$V$3183,0)),"")</f>
        <v/>
      </c>
      <c r="E2929" s="29">
        <f>IFERROR(INDEX($R$4:$R$3183,MATCH(SMALL($V$4:$V$3183,2926),$V$4:$V$3183,0)),"")</f>
        <v/>
      </c>
      <c r="F2929">
        <f>IFERROR(INDEX($S$4:$S$3183,MATCH(SMALL($V$4:$V$3183,2926),$V$4:$V$3183,0)),"")</f>
        <v/>
      </c>
      <c r="I2929" s="29">
        <f>IF($B2929="","",IFERROR(INDEX($U$4:$U$3183,MATCH(SMALL($V$4:$V$3183,2926),$V$4:$V$3183,0)),""))</f>
        <v/>
      </c>
      <c r="J2929">
        <f>IF($B2929="","",IF($D2929&gt;$F$2,"À venir",IF($E2929&lt;$D$2,"Passé","Dans la période")))</f>
        <v/>
      </c>
      <c r="K2929">
        <f>IF(OR($B2929="",NOT(ISNUMBER($D2929))),"",IF(AND($E2929&lt;$D$2,$G2929&lt;&gt;"X",$F2929&lt;&gt;"Réalisé",$F2929&lt;&gt;"Clôturé"),"RETARD",""))</f>
        <v/>
      </c>
      <c r="L2929">
        <f>IF(OR($B2929="",NOT(ISNUMBER($D2929))),"",IF(AND($D2929&gt;=$D$2,$D2929&lt;=$H$2,$G2929&lt;&gt;"X",$F2929&lt;&gt;"Réalisé",$F2929&lt;&gt;"Clôturé"),"≤ 7 j",""))</f>
        <v/>
      </c>
      <c r="M2929" s="29">
        <f>IF($B2929="","",IFERROR(INDEX($T$4:$T$3183,MATCH(SMALL($V$4:$V$3183,2926),$V$4:$V$3183,0)),""))</f>
        <v/>
      </c>
      <c r="O2929">
        <f>IF(INDEX(Suivi!$B:$B,2985)="","",INDEX(Suivi!$B:$B,2985))</f>
        <v/>
      </c>
      <c r="P2929">
        <f>IF($O2929="","",IF(INDEX(Suivi!$D:$D,2985)="",INDEX(Suivi!$C:$C,2985),INDEX(Suivi!$D:$D,2985)))</f>
        <v/>
      </c>
      <c r="Q2929">
        <f>IF($O2929="","",INDEX(Suivi!$E:$E,2985))</f>
        <v/>
      </c>
      <c r="R2929">
        <f>IF($O2929="","",INDEX(Suivi!$F:$F,2985))</f>
        <v/>
      </c>
      <c r="S2929">
        <f>IF($O2929="","",INDEX(Suivi!$G:$G,2985))</f>
        <v/>
      </c>
      <c r="T2929">
        <f>IF($O2929="","",IF(INDEX(Dossiers!$F$4:$F$63,56)="","",INDEX(Dossiers!$F$4:$F$63,56)))</f>
        <v/>
      </c>
      <c r="U2929">
        <f>IF($O2929="","",IF(INDEX(Dossiers!$G$4:$G$63,56)="","",INDEX(Dossiers!$G$4:$G$63,56)))</f>
        <v/>
      </c>
      <c r="V2929">
        <f>IF(OR($O2929="",NOT(ISNUMBER($Q2929))),"",$Q2929*1000000+2929)</f>
        <v/>
      </c>
      <c r="W2929" s="29">
        <f>IF($B2929="","",IFERROR(INDEX($U$4:$U$3183,MATCH(SMALL($V$4:$V$3183,2926),$V$4:$V$3183,0)),""))</f>
        <v/>
      </c>
    </row>
    <row r="2930">
      <c r="A2930">
        <f>IFERROR(INDEX($N$4:$N$3183,MATCH(SMALL($V$4:$V$3183,2927),$V$4:$V$3183,0)),"")</f>
        <v/>
      </c>
      <c r="B2930">
        <f>IFERROR(INDEX($O$4:$O$3183,MATCH(SMALL($V$4:$V$3183,2927),$V$4:$V$3183,0)),"")</f>
        <v/>
      </c>
      <c r="C2930">
        <f>IFERROR(INDEX($P$4:$P$3183,MATCH(SMALL($V$4:$V$3183,2927),$V$4:$V$3183,0)),"")</f>
        <v/>
      </c>
      <c r="D2930" s="29">
        <f>IFERROR(INDEX($Q$4:$Q$3183,MATCH(SMALL($V$4:$V$3183,2927),$V$4:$V$3183,0)),"")</f>
        <v/>
      </c>
      <c r="E2930" s="29">
        <f>IFERROR(INDEX($R$4:$R$3183,MATCH(SMALL($V$4:$V$3183,2927),$V$4:$V$3183,0)),"")</f>
        <v/>
      </c>
      <c r="F2930">
        <f>IFERROR(INDEX($S$4:$S$3183,MATCH(SMALL($V$4:$V$3183,2927),$V$4:$V$3183,0)),"")</f>
        <v/>
      </c>
      <c r="I2930" s="29">
        <f>IF($B2930="","",IFERROR(INDEX($U$4:$U$3183,MATCH(SMALL($V$4:$V$3183,2927),$V$4:$V$3183,0)),""))</f>
        <v/>
      </c>
      <c r="J2930">
        <f>IF($B2930="","",IF($D2930&gt;$F$2,"À venir",IF($E2930&lt;$D$2,"Passé","Dans la période")))</f>
        <v/>
      </c>
      <c r="K2930">
        <f>IF(OR($B2930="",NOT(ISNUMBER($D2930))),"",IF(AND($E2930&lt;$D$2,$G2930&lt;&gt;"X",$F2930&lt;&gt;"Réalisé",$F2930&lt;&gt;"Clôturé"),"RETARD",""))</f>
        <v/>
      </c>
      <c r="L2930">
        <f>IF(OR($B2930="",NOT(ISNUMBER($D2930))),"",IF(AND($D2930&gt;=$D$2,$D2930&lt;=$H$2,$G2930&lt;&gt;"X",$F2930&lt;&gt;"Réalisé",$F2930&lt;&gt;"Clôturé"),"≤ 7 j",""))</f>
        <v/>
      </c>
      <c r="M2930" s="29">
        <f>IF($B2930="","",IFERROR(INDEX($T$4:$T$3183,MATCH(SMALL($V$4:$V$3183,2927),$V$4:$V$3183,0)),""))</f>
        <v/>
      </c>
      <c r="O2930">
        <f>IF(INDEX(Suivi!$B:$B,2986)="","",INDEX(Suivi!$B:$B,2986))</f>
        <v/>
      </c>
      <c r="P2930">
        <f>IF($O2930="","",IF(INDEX(Suivi!$D:$D,2986)="",INDEX(Suivi!$C:$C,2986),INDEX(Suivi!$D:$D,2986)))</f>
        <v/>
      </c>
      <c r="Q2930">
        <f>IF($O2930="","",INDEX(Suivi!$E:$E,2986))</f>
        <v/>
      </c>
      <c r="R2930">
        <f>IF($O2930="","",INDEX(Suivi!$F:$F,2986))</f>
        <v/>
      </c>
      <c r="S2930">
        <f>IF($O2930="","",INDEX(Suivi!$G:$G,2986))</f>
        <v/>
      </c>
      <c r="T2930">
        <f>IF($O2930="","",IF(INDEX(Dossiers!$F$4:$F$63,56)="","",INDEX(Dossiers!$F$4:$F$63,56)))</f>
        <v/>
      </c>
      <c r="U2930">
        <f>IF($O2930="","",IF(INDEX(Dossiers!$G$4:$G$63,56)="","",INDEX(Dossiers!$G$4:$G$63,56)))</f>
        <v/>
      </c>
      <c r="V2930">
        <f>IF(OR($O2930="",NOT(ISNUMBER($Q2930))),"",$Q2930*1000000+2930)</f>
        <v/>
      </c>
      <c r="W2930" s="29">
        <f>IF($B2930="","",IFERROR(INDEX($U$4:$U$3183,MATCH(SMALL($V$4:$V$3183,2927),$V$4:$V$3183,0)),""))</f>
        <v/>
      </c>
    </row>
    <row r="2931">
      <c r="A2931">
        <f>IFERROR(INDEX($N$4:$N$3183,MATCH(SMALL($V$4:$V$3183,2928),$V$4:$V$3183,0)),"")</f>
        <v/>
      </c>
      <c r="B2931">
        <f>IFERROR(INDEX($O$4:$O$3183,MATCH(SMALL($V$4:$V$3183,2928),$V$4:$V$3183,0)),"")</f>
        <v/>
      </c>
      <c r="C2931">
        <f>IFERROR(INDEX($P$4:$P$3183,MATCH(SMALL($V$4:$V$3183,2928),$V$4:$V$3183,0)),"")</f>
        <v/>
      </c>
      <c r="D2931" s="29">
        <f>IFERROR(INDEX($Q$4:$Q$3183,MATCH(SMALL($V$4:$V$3183,2928),$V$4:$V$3183,0)),"")</f>
        <v/>
      </c>
      <c r="E2931" s="29">
        <f>IFERROR(INDEX($R$4:$R$3183,MATCH(SMALL($V$4:$V$3183,2928),$V$4:$V$3183,0)),"")</f>
        <v/>
      </c>
      <c r="F2931">
        <f>IFERROR(INDEX($S$4:$S$3183,MATCH(SMALL($V$4:$V$3183,2928),$V$4:$V$3183,0)),"")</f>
        <v/>
      </c>
      <c r="I2931" s="29">
        <f>IF($B2931="","",IFERROR(INDEX($U$4:$U$3183,MATCH(SMALL($V$4:$V$3183,2928),$V$4:$V$3183,0)),""))</f>
        <v/>
      </c>
      <c r="J2931">
        <f>IF($B2931="","",IF($D2931&gt;$F$2,"À venir",IF($E2931&lt;$D$2,"Passé","Dans la période")))</f>
        <v/>
      </c>
      <c r="K2931">
        <f>IF(OR($B2931="",NOT(ISNUMBER($D2931))),"",IF(AND($E2931&lt;$D$2,$G2931&lt;&gt;"X",$F2931&lt;&gt;"Réalisé",$F2931&lt;&gt;"Clôturé"),"RETARD",""))</f>
        <v/>
      </c>
      <c r="L2931">
        <f>IF(OR($B2931="",NOT(ISNUMBER($D2931))),"",IF(AND($D2931&gt;=$D$2,$D2931&lt;=$H$2,$G2931&lt;&gt;"X",$F2931&lt;&gt;"Réalisé",$F2931&lt;&gt;"Clôturé"),"≤ 7 j",""))</f>
        <v/>
      </c>
      <c r="M2931" s="29">
        <f>IF($B2931="","",IFERROR(INDEX($T$4:$T$3183,MATCH(SMALL($V$4:$V$3183,2928),$V$4:$V$3183,0)),""))</f>
        <v/>
      </c>
      <c r="O2931">
        <f>IF(INDEX(Suivi!$B:$B,2987)="","",INDEX(Suivi!$B:$B,2987))</f>
        <v/>
      </c>
      <c r="P2931">
        <f>IF($O2931="","",IF(INDEX(Suivi!$D:$D,2987)="",INDEX(Suivi!$C:$C,2987),INDEX(Suivi!$D:$D,2987)))</f>
        <v/>
      </c>
      <c r="Q2931">
        <f>IF($O2931="","",INDEX(Suivi!$E:$E,2987))</f>
        <v/>
      </c>
      <c r="R2931">
        <f>IF($O2931="","",INDEX(Suivi!$F:$F,2987))</f>
        <v/>
      </c>
      <c r="S2931">
        <f>IF($O2931="","",INDEX(Suivi!$G:$G,2987))</f>
        <v/>
      </c>
      <c r="T2931">
        <f>IF($O2931="","",IF(INDEX(Dossiers!$F$4:$F$63,56)="","",INDEX(Dossiers!$F$4:$F$63,56)))</f>
        <v/>
      </c>
      <c r="U2931">
        <f>IF($O2931="","",IF(INDEX(Dossiers!$G$4:$G$63,56)="","",INDEX(Dossiers!$G$4:$G$63,56)))</f>
        <v/>
      </c>
      <c r="V2931">
        <f>IF(OR($O2931="",NOT(ISNUMBER($Q2931))),"",$Q2931*1000000+2931)</f>
        <v/>
      </c>
      <c r="W2931" s="29">
        <f>IF($B2931="","",IFERROR(INDEX($U$4:$U$3183,MATCH(SMALL($V$4:$V$3183,2928),$V$4:$V$3183,0)),""))</f>
        <v/>
      </c>
    </row>
    <row r="2932">
      <c r="A2932">
        <f>IFERROR(INDEX($N$4:$N$3183,MATCH(SMALL($V$4:$V$3183,2929),$V$4:$V$3183,0)),"")</f>
        <v/>
      </c>
      <c r="B2932">
        <f>IFERROR(INDEX($O$4:$O$3183,MATCH(SMALL($V$4:$V$3183,2929),$V$4:$V$3183,0)),"")</f>
        <v/>
      </c>
      <c r="C2932">
        <f>IFERROR(INDEX($P$4:$P$3183,MATCH(SMALL($V$4:$V$3183,2929),$V$4:$V$3183,0)),"")</f>
        <v/>
      </c>
      <c r="D2932" s="29">
        <f>IFERROR(INDEX($Q$4:$Q$3183,MATCH(SMALL($V$4:$V$3183,2929),$V$4:$V$3183,0)),"")</f>
        <v/>
      </c>
      <c r="E2932" s="29">
        <f>IFERROR(INDEX($R$4:$R$3183,MATCH(SMALL($V$4:$V$3183,2929),$V$4:$V$3183,0)),"")</f>
        <v/>
      </c>
      <c r="F2932">
        <f>IFERROR(INDEX($S$4:$S$3183,MATCH(SMALL($V$4:$V$3183,2929),$V$4:$V$3183,0)),"")</f>
        <v/>
      </c>
      <c r="I2932" s="29">
        <f>IF($B2932="","",IFERROR(INDEX($U$4:$U$3183,MATCH(SMALL($V$4:$V$3183,2929),$V$4:$V$3183,0)),""))</f>
        <v/>
      </c>
      <c r="J2932">
        <f>IF($B2932="","",IF($D2932&gt;$F$2,"À venir",IF($E2932&lt;$D$2,"Passé","Dans la période")))</f>
        <v/>
      </c>
      <c r="K2932">
        <f>IF(OR($B2932="",NOT(ISNUMBER($D2932))),"",IF(AND($E2932&lt;$D$2,$G2932&lt;&gt;"X",$F2932&lt;&gt;"Réalisé",$F2932&lt;&gt;"Clôturé"),"RETARD",""))</f>
        <v/>
      </c>
      <c r="L2932">
        <f>IF(OR($B2932="",NOT(ISNUMBER($D2932))),"",IF(AND($D2932&gt;=$D$2,$D2932&lt;=$H$2,$G2932&lt;&gt;"X",$F2932&lt;&gt;"Réalisé",$F2932&lt;&gt;"Clôturé"),"≤ 7 j",""))</f>
        <v/>
      </c>
      <c r="M2932" s="29">
        <f>IF($B2932="","",IFERROR(INDEX($T$4:$T$3183,MATCH(SMALL($V$4:$V$3183,2929),$V$4:$V$3183,0)),""))</f>
        <v/>
      </c>
      <c r="O2932">
        <f>IF(INDEX(Suivi!$B:$B,2988)="","",INDEX(Suivi!$B:$B,2988))</f>
        <v/>
      </c>
      <c r="P2932">
        <f>IF($O2932="","",IF(INDEX(Suivi!$D:$D,2988)="",INDEX(Suivi!$C:$C,2988),INDEX(Suivi!$D:$D,2988)))</f>
        <v/>
      </c>
      <c r="Q2932">
        <f>IF($O2932="","",INDEX(Suivi!$E:$E,2988))</f>
        <v/>
      </c>
      <c r="R2932">
        <f>IF($O2932="","",INDEX(Suivi!$F:$F,2988))</f>
        <v/>
      </c>
      <c r="S2932">
        <f>IF($O2932="","",INDEX(Suivi!$G:$G,2988))</f>
        <v/>
      </c>
      <c r="T2932">
        <f>IF($O2932="","",IF(INDEX(Dossiers!$F$4:$F$63,56)="","",INDEX(Dossiers!$F$4:$F$63,56)))</f>
        <v/>
      </c>
      <c r="U2932">
        <f>IF($O2932="","",IF(INDEX(Dossiers!$G$4:$G$63,56)="","",INDEX(Dossiers!$G$4:$G$63,56)))</f>
        <v/>
      </c>
      <c r="V2932">
        <f>IF(OR($O2932="",NOT(ISNUMBER($Q2932))),"",$Q2932*1000000+2932)</f>
        <v/>
      </c>
      <c r="W2932" s="29">
        <f>IF($B2932="","",IFERROR(INDEX($U$4:$U$3183,MATCH(SMALL($V$4:$V$3183,2929),$V$4:$V$3183,0)),""))</f>
        <v/>
      </c>
    </row>
    <row r="2933">
      <c r="A2933">
        <f>IFERROR(INDEX($N$4:$N$3183,MATCH(SMALL($V$4:$V$3183,2930),$V$4:$V$3183,0)),"")</f>
        <v/>
      </c>
      <c r="B2933">
        <f>IFERROR(INDEX($O$4:$O$3183,MATCH(SMALL($V$4:$V$3183,2930),$V$4:$V$3183,0)),"")</f>
        <v/>
      </c>
      <c r="C2933">
        <f>IFERROR(INDEX($P$4:$P$3183,MATCH(SMALL($V$4:$V$3183,2930),$V$4:$V$3183,0)),"")</f>
        <v/>
      </c>
      <c r="D2933" s="29">
        <f>IFERROR(INDEX($Q$4:$Q$3183,MATCH(SMALL($V$4:$V$3183,2930),$V$4:$V$3183,0)),"")</f>
        <v/>
      </c>
      <c r="E2933" s="29">
        <f>IFERROR(INDEX($R$4:$R$3183,MATCH(SMALL($V$4:$V$3183,2930),$V$4:$V$3183,0)),"")</f>
        <v/>
      </c>
      <c r="F2933">
        <f>IFERROR(INDEX($S$4:$S$3183,MATCH(SMALL($V$4:$V$3183,2930),$V$4:$V$3183,0)),"")</f>
        <v/>
      </c>
      <c r="I2933" s="29">
        <f>IF($B2933="","",IFERROR(INDEX($U$4:$U$3183,MATCH(SMALL($V$4:$V$3183,2930),$V$4:$V$3183,0)),""))</f>
        <v/>
      </c>
      <c r="J2933">
        <f>IF($B2933="","",IF($D2933&gt;$F$2,"À venir",IF($E2933&lt;$D$2,"Passé","Dans la période")))</f>
        <v/>
      </c>
      <c r="K2933">
        <f>IF(OR($B2933="",NOT(ISNUMBER($D2933))),"",IF(AND($E2933&lt;$D$2,$G2933&lt;&gt;"X",$F2933&lt;&gt;"Réalisé",$F2933&lt;&gt;"Clôturé"),"RETARD",""))</f>
        <v/>
      </c>
      <c r="L2933">
        <f>IF(OR($B2933="",NOT(ISNUMBER($D2933))),"",IF(AND($D2933&gt;=$D$2,$D2933&lt;=$H$2,$G2933&lt;&gt;"X",$F2933&lt;&gt;"Réalisé",$F2933&lt;&gt;"Clôturé"),"≤ 7 j",""))</f>
        <v/>
      </c>
      <c r="M2933" s="29">
        <f>IF($B2933="","",IFERROR(INDEX($T$4:$T$3183,MATCH(SMALL($V$4:$V$3183,2930),$V$4:$V$3183,0)),""))</f>
        <v/>
      </c>
      <c r="O2933">
        <f>IF(INDEX(Suivi!$B:$B,2989)="","",INDEX(Suivi!$B:$B,2989))</f>
        <v/>
      </c>
      <c r="P2933">
        <f>IF($O2933="","",IF(INDEX(Suivi!$D:$D,2989)="",INDEX(Suivi!$C:$C,2989),INDEX(Suivi!$D:$D,2989)))</f>
        <v/>
      </c>
      <c r="Q2933">
        <f>IF($O2933="","",INDEX(Suivi!$E:$E,2989))</f>
        <v/>
      </c>
      <c r="R2933">
        <f>IF($O2933="","",INDEX(Suivi!$F:$F,2989))</f>
        <v/>
      </c>
      <c r="S2933">
        <f>IF($O2933="","",INDEX(Suivi!$G:$G,2989))</f>
        <v/>
      </c>
      <c r="T2933">
        <f>IF($O2933="","",IF(INDEX(Dossiers!$F$4:$F$63,56)="","",INDEX(Dossiers!$F$4:$F$63,56)))</f>
        <v/>
      </c>
      <c r="U2933">
        <f>IF($O2933="","",IF(INDEX(Dossiers!$G$4:$G$63,56)="","",INDEX(Dossiers!$G$4:$G$63,56)))</f>
        <v/>
      </c>
      <c r="V2933">
        <f>IF(OR($O2933="",NOT(ISNUMBER($Q2933))),"",$Q2933*1000000+2933)</f>
        <v/>
      </c>
      <c r="W2933" s="29">
        <f>IF($B2933="","",IFERROR(INDEX($U$4:$U$3183,MATCH(SMALL($V$4:$V$3183,2930),$V$4:$V$3183,0)),""))</f>
        <v/>
      </c>
    </row>
    <row r="2934">
      <c r="A2934">
        <f>IFERROR(INDEX($N$4:$N$3183,MATCH(SMALL($V$4:$V$3183,2931),$V$4:$V$3183,0)),"")</f>
        <v/>
      </c>
      <c r="B2934">
        <f>IFERROR(INDEX($O$4:$O$3183,MATCH(SMALL($V$4:$V$3183,2931),$V$4:$V$3183,0)),"")</f>
        <v/>
      </c>
      <c r="C2934">
        <f>IFERROR(INDEX($P$4:$P$3183,MATCH(SMALL($V$4:$V$3183,2931),$V$4:$V$3183,0)),"")</f>
        <v/>
      </c>
      <c r="D2934" s="29">
        <f>IFERROR(INDEX($Q$4:$Q$3183,MATCH(SMALL($V$4:$V$3183,2931),$V$4:$V$3183,0)),"")</f>
        <v/>
      </c>
      <c r="E2934" s="29">
        <f>IFERROR(INDEX($R$4:$R$3183,MATCH(SMALL($V$4:$V$3183,2931),$V$4:$V$3183,0)),"")</f>
        <v/>
      </c>
      <c r="F2934">
        <f>IFERROR(INDEX($S$4:$S$3183,MATCH(SMALL($V$4:$V$3183,2931),$V$4:$V$3183,0)),"")</f>
        <v/>
      </c>
      <c r="I2934" s="29">
        <f>IF($B2934="","",IFERROR(INDEX($U$4:$U$3183,MATCH(SMALL($V$4:$V$3183,2931),$V$4:$V$3183,0)),""))</f>
        <v/>
      </c>
      <c r="J2934">
        <f>IF($B2934="","",IF($D2934&gt;$F$2,"À venir",IF($E2934&lt;$D$2,"Passé","Dans la période")))</f>
        <v/>
      </c>
      <c r="K2934">
        <f>IF(OR($B2934="",NOT(ISNUMBER($D2934))),"",IF(AND($E2934&lt;$D$2,$G2934&lt;&gt;"X",$F2934&lt;&gt;"Réalisé",$F2934&lt;&gt;"Clôturé"),"RETARD",""))</f>
        <v/>
      </c>
      <c r="L2934">
        <f>IF(OR($B2934="",NOT(ISNUMBER($D2934))),"",IF(AND($D2934&gt;=$D$2,$D2934&lt;=$H$2,$G2934&lt;&gt;"X",$F2934&lt;&gt;"Réalisé",$F2934&lt;&gt;"Clôturé"),"≤ 7 j",""))</f>
        <v/>
      </c>
      <c r="M2934" s="29">
        <f>IF($B2934="","",IFERROR(INDEX($T$4:$T$3183,MATCH(SMALL($V$4:$V$3183,2931),$V$4:$V$3183,0)),""))</f>
        <v/>
      </c>
      <c r="O2934">
        <f>IF(INDEX(Suivi!$B:$B,2990)="","",INDEX(Suivi!$B:$B,2990))</f>
        <v/>
      </c>
      <c r="P2934">
        <f>IF($O2934="","",IF(INDEX(Suivi!$D:$D,2990)="",INDEX(Suivi!$C:$C,2990),INDEX(Suivi!$D:$D,2990)))</f>
        <v/>
      </c>
      <c r="Q2934">
        <f>IF($O2934="","",INDEX(Suivi!$E:$E,2990))</f>
        <v/>
      </c>
      <c r="R2934">
        <f>IF($O2934="","",INDEX(Suivi!$F:$F,2990))</f>
        <v/>
      </c>
      <c r="S2934">
        <f>IF($O2934="","",INDEX(Suivi!$G:$G,2990))</f>
        <v/>
      </c>
      <c r="T2934">
        <f>IF($O2934="","",IF(INDEX(Dossiers!$F$4:$F$63,56)="","",INDEX(Dossiers!$F$4:$F$63,56)))</f>
        <v/>
      </c>
      <c r="U2934">
        <f>IF($O2934="","",IF(INDEX(Dossiers!$G$4:$G$63,56)="","",INDEX(Dossiers!$G$4:$G$63,56)))</f>
        <v/>
      </c>
      <c r="V2934">
        <f>IF(OR($O2934="",NOT(ISNUMBER($Q2934))),"",$Q2934*1000000+2934)</f>
        <v/>
      </c>
      <c r="W2934" s="29">
        <f>IF($B2934="","",IFERROR(INDEX($U$4:$U$3183,MATCH(SMALL($V$4:$V$3183,2931),$V$4:$V$3183,0)),""))</f>
        <v/>
      </c>
    </row>
    <row r="2935">
      <c r="A2935">
        <f>IFERROR(INDEX($N$4:$N$3183,MATCH(SMALL($V$4:$V$3183,2932),$V$4:$V$3183,0)),"")</f>
        <v/>
      </c>
      <c r="B2935">
        <f>IFERROR(INDEX($O$4:$O$3183,MATCH(SMALL($V$4:$V$3183,2932),$V$4:$V$3183,0)),"")</f>
        <v/>
      </c>
      <c r="C2935">
        <f>IFERROR(INDEX($P$4:$P$3183,MATCH(SMALL($V$4:$V$3183,2932),$V$4:$V$3183,0)),"")</f>
        <v/>
      </c>
      <c r="D2935" s="29">
        <f>IFERROR(INDEX($Q$4:$Q$3183,MATCH(SMALL($V$4:$V$3183,2932),$V$4:$V$3183,0)),"")</f>
        <v/>
      </c>
      <c r="E2935" s="29">
        <f>IFERROR(INDEX($R$4:$R$3183,MATCH(SMALL($V$4:$V$3183,2932),$V$4:$V$3183,0)),"")</f>
        <v/>
      </c>
      <c r="F2935">
        <f>IFERROR(INDEX($S$4:$S$3183,MATCH(SMALL($V$4:$V$3183,2932),$V$4:$V$3183,0)),"")</f>
        <v/>
      </c>
      <c r="I2935" s="29">
        <f>IF($B2935="","",IFERROR(INDEX($U$4:$U$3183,MATCH(SMALL($V$4:$V$3183,2932),$V$4:$V$3183,0)),""))</f>
        <v/>
      </c>
      <c r="J2935">
        <f>IF($B2935="","",IF($D2935&gt;$F$2,"À venir",IF($E2935&lt;$D$2,"Passé","Dans la période")))</f>
        <v/>
      </c>
      <c r="K2935">
        <f>IF(OR($B2935="",NOT(ISNUMBER($D2935))),"",IF(AND($E2935&lt;$D$2,$G2935&lt;&gt;"X",$F2935&lt;&gt;"Réalisé",$F2935&lt;&gt;"Clôturé"),"RETARD",""))</f>
        <v/>
      </c>
      <c r="L2935">
        <f>IF(OR($B2935="",NOT(ISNUMBER($D2935))),"",IF(AND($D2935&gt;=$D$2,$D2935&lt;=$H$2,$G2935&lt;&gt;"X",$F2935&lt;&gt;"Réalisé",$F2935&lt;&gt;"Clôturé"),"≤ 7 j",""))</f>
        <v/>
      </c>
      <c r="M2935" s="29">
        <f>IF($B2935="","",IFERROR(INDEX($T$4:$T$3183,MATCH(SMALL($V$4:$V$3183,2932),$V$4:$V$3183,0)),""))</f>
        <v/>
      </c>
      <c r="O2935">
        <f>IF(INDEX(Suivi!$B:$B,2991)="","",INDEX(Suivi!$B:$B,2991))</f>
        <v/>
      </c>
      <c r="P2935">
        <f>IF($O2935="","",IF(INDEX(Suivi!$D:$D,2991)="",INDEX(Suivi!$C:$C,2991),INDEX(Suivi!$D:$D,2991)))</f>
        <v/>
      </c>
      <c r="Q2935">
        <f>IF($O2935="","",INDEX(Suivi!$E:$E,2991))</f>
        <v/>
      </c>
      <c r="R2935">
        <f>IF($O2935="","",INDEX(Suivi!$F:$F,2991))</f>
        <v/>
      </c>
      <c r="S2935">
        <f>IF($O2935="","",INDEX(Suivi!$G:$G,2991))</f>
        <v/>
      </c>
      <c r="T2935">
        <f>IF($O2935="","",IF(INDEX(Dossiers!$F$4:$F$63,56)="","",INDEX(Dossiers!$F$4:$F$63,56)))</f>
        <v/>
      </c>
      <c r="U2935">
        <f>IF($O2935="","",IF(INDEX(Dossiers!$G$4:$G$63,56)="","",INDEX(Dossiers!$G$4:$G$63,56)))</f>
        <v/>
      </c>
      <c r="V2935">
        <f>IF(OR($O2935="",NOT(ISNUMBER($Q2935))),"",$Q2935*1000000+2935)</f>
        <v/>
      </c>
      <c r="W2935" s="29">
        <f>IF($B2935="","",IFERROR(INDEX($U$4:$U$3183,MATCH(SMALL($V$4:$V$3183,2932),$V$4:$V$3183,0)),""))</f>
        <v/>
      </c>
    </row>
    <row r="2936">
      <c r="A2936">
        <f>IFERROR(INDEX($N$4:$N$3183,MATCH(SMALL($V$4:$V$3183,2933),$V$4:$V$3183,0)),"")</f>
        <v/>
      </c>
      <c r="B2936">
        <f>IFERROR(INDEX($O$4:$O$3183,MATCH(SMALL($V$4:$V$3183,2933),$V$4:$V$3183,0)),"")</f>
        <v/>
      </c>
      <c r="C2936">
        <f>IFERROR(INDEX($P$4:$P$3183,MATCH(SMALL($V$4:$V$3183,2933),$V$4:$V$3183,0)),"")</f>
        <v/>
      </c>
      <c r="D2936" s="29">
        <f>IFERROR(INDEX($Q$4:$Q$3183,MATCH(SMALL($V$4:$V$3183,2933),$V$4:$V$3183,0)),"")</f>
        <v/>
      </c>
      <c r="E2936" s="29">
        <f>IFERROR(INDEX($R$4:$R$3183,MATCH(SMALL($V$4:$V$3183,2933),$V$4:$V$3183,0)),"")</f>
        <v/>
      </c>
      <c r="F2936">
        <f>IFERROR(INDEX($S$4:$S$3183,MATCH(SMALL($V$4:$V$3183,2933),$V$4:$V$3183,0)),"")</f>
        <v/>
      </c>
      <c r="I2936" s="29">
        <f>IF($B2936="","",IFERROR(INDEX($U$4:$U$3183,MATCH(SMALL($V$4:$V$3183,2933),$V$4:$V$3183,0)),""))</f>
        <v/>
      </c>
      <c r="J2936">
        <f>IF($B2936="","",IF($D2936&gt;$F$2,"À venir",IF($E2936&lt;$D$2,"Passé","Dans la période")))</f>
        <v/>
      </c>
      <c r="K2936">
        <f>IF(OR($B2936="",NOT(ISNUMBER($D2936))),"",IF(AND($E2936&lt;$D$2,$G2936&lt;&gt;"X",$F2936&lt;&gt;"Réalisé",$F2936&lt;&gt;"Clôturé"),"RETARD",""))</f>
        <v/>
      </c>
      <c r="L2936">
        <f>IF(OR($B2936="",NOT(ISNUMBER($D2936))),"",IF(AND($D2936&gt;=$D$2,$D2936&lt;=$H$2,$G2936&lt;&gt;"X",$F2936&lt;&gt;"Réalisé",$F2936&lt;&gt;"Clôturé"),"≤ 7 j",""))</f>
        <v/>
      </c>
      <c r="M2936" s="29">
        <f>IF($B2936="","",IFERROR(INDEX($T$4:$T$3183,MATCH(SMALL($V$4:$V$3183,2933),$V$4:$V$3183,0)),""))</f>
        <v/>
      </c>
      <c r="O2936">
        <f>IF(INDEX(Suivi!$B:$B,2992)="","",INDEX(Suivi!$B:$B,2992))</f>
        <v/>
      </c>
      <c r="P2936">
        <f>IF($O2936="","",IF(INDEX(Suivi!$D:$D,2992)="",INDEX(Suivi!$C:$C,2992),INDEX(Suivi!$D:$D,2992)))</f>
        <v/>
      </c>
      <c r="Q2936">
        <f>IF($O2936="","",INDEX(Suivi!$E:$E,2992))</f>
        <v/>
      </c>
      <c r="R2936">
        <f>IF($O2936="","",INDEX(Suivi!$F:$F,2992))</f>
        <v/>
      </c>
      <c r="S2936">
        <f>IF($O2936="","",INDEX(Suivi!$G:$G,2992))</f>
        <v/>
      </c>
      <c r="T2936">
        <f>IF($O2936="","",IF(INDEX(Dossiers!$F$4:$F$63,56)="","",INDEX(Dossiers!$F$4:$F$63,56)))</f>
        <v/>
      </c>
      <c r="U2936">
        <f>IF($O2936="","",IF(INDEX(Dossiers!$G$4:$G$63,56)="","",INDEX(Dossiers!$G$4:$G$63,56)))</f>
        <v/>
      </c>
      <c r="V2936">
        <f>IF(OR($O2936="",NOT(ISNUMBER($Q2936))),"",$Q2936*1000000+2936)</f>
        <v/>
      </c>
      <c r="W2936" s="29">
        <f>IF($B2936="","",IFERROR(INDEX($U$4:$U$3183,MATCH(SMALL($V$4:$V$3183,2933),$V$4:$V$3183,0)),""))</f>
        <v/>
      </c>
    </row>
    <row r="2937">
      <c r="A2937">
        <f>IFERROR(INDEX($N$4:$N$3183,MATCH(SMALL($V$4:$V$3183,2934),$V$4:$V$3183,0)),"")</f>
        <v/>
      </c>
      <c r="B2937">
        <f>IFERROR(INDEX($O$4:$O$3183,MATCH(SMALL($V$4:$V$3183,2934),$V$4:$V$3183,0)),"")</f>
        <v/>
      </c>
      <c r="C2937">
        <f>IFERROR(INDEX($P$4:$P$3183,MATCH(SMALL($V$4:$V$3183,2934),$V$4:$V$3183,0)),"")</f>
        <v/>
      </c>
      <c r="D2937" s="29">
        <f>IFERROR(INDEX($Q$4:$Q$3183,MATCH(SMALL($V$4:$V$3183,2934),$V$4:$V$3183,0)),"")</f>
        <v/>
      </c>
      <c r="E2937" s="29">
        <f>IFERROR(INDEX($R$4:$R$3183,MATCH(SMALL($V$4:$V$3183,2934),$V$4:$V$3183,0)),"")</f>
        <v/>
      </c>
      <c r="F2937">
        <f>IFERROR(INDEX($S$4:$S$3183,MATCH(SMALL($V$4:$V$3183,2934),$V$4:$V$3183,0)),"")</f>
        <v/>
      </c>
      <c r="I2937" s="29">
        <f>IF($B2937="","",IFERROR(INDEX($U$4:$U$3183,MATCH(SMALL($V$4:$V$3183,2934),$V$4:$V$3183,0)),""))</f>
        <v/>
      </c>
      <c r="J2937">
        <f>IF($B2937="","",IF($D2937&gt;$F$2,"À venir",IF($E2937&lt;$D$2,"Passé","Dans la période")))</f>
        <v/>
      </c>
      <c r="K2937">
        <f>IF(OR($B2937="",NOT(ISNUMBER($D2937))),"",IF(AND($E2937&lt;$D$2,$G2937&lt;&gt;"X",$F2937&lt;&gt;"Réalisé",$F2937&lt;&gt;"Clôturé"),"RETARD",""))</f>
        <v/>
      </c>
      <c r="L2937">
        <f>IF(OR($B2937="",NOT(ISNUMBER($D2937))),"",IF(AND($D2937&gt;=$D$2,$D2937&lt;=$H$2,$G2937&lt;&gt;"X",$F2937&lt;&gt;"Réalisé",$F2937&lt;&gt;"Clôturé"),"≤ 7 j",""))</f>
        <v/>
      </c>
      <c r="M2937" s="29">
        <f>IF($B2937="","",IFERROR(INDEX($T$4:$T$3183,MATCH(SMALL($V$4:$V$3183,2934),$V$4:$V$3183,0)),""))</f>
        <v/>
      </c>
      <c r="O2937">
        <f>IF(INDEX(Suivi!$B:$B,2993)="","",INDEX(Suivi!$B:$B,2993))</f>
        <v/>
      </c>
      <c r="P2937">
        <f>IF($O2937="","",IF(INDEX(Suivi!$D:$D,2993)="",INDEX(Suivi!$C:$C,2993),INDEX(Suivi!$D:$D,2993)))</f>
        <v/>
      </c>
      <c r="Q2937">
        <f>IF($O2937="","",INDEX(Suivi!$E:$E,2993))</f>
        <v/>
      </c>
      <c r="R2937">
        <f>IF($O2937="","",INDEX(Suivi!$F:$F,2993))</f>
        <v/>
      </c>
      <c r="S2937">
        <f>IF($O2937="","",INDEX(Suivi!$G:$G,2993))</f>
        <v/>
      </c>
      <c r="T2937">
        <f>IF($O2937="","",IF(INDEX(Dossiers!$F$4:$F$63,56)="","",INDEX(Dossiers!$F$4:$F$63,56)))</f>
        <v/>
      </c>
      <c r="U2937">
        <f>IF($O2937="","",IF(INDEX(Dossiers!$G$4:$G$63,56)="","",INDEX(Dossiers!$G$4:$G$63,56)))</f>
        <v/>
      </c>
      <c r="V2937">
        <f>IF(OR($O2937="",NOT(ISNUMBER($Q2937))),"",$Q2937*1000000+2937)</f>
        <v/>
      </c>
      <c r="W2937" s="29">
        <f>IF($B2937="","",IFERROR(INDEX($U$4:$U$3183,MATCH(SMALL($V$4:$V$3183,2934),$V$4:$V$3183,0)),""))</f>
        <v/>
      </c>
    </row>
    <row r="2938">
      <c r="A2938">
        <f>IFERROR(INDEX($N$4:$N$3183,MATCH(SMALL($V$4:$V$3183,2935),$V$4:$V$3183,0)),"")</f>
        <v/>
      </c>
      <c r="B2938">
        <f>IFERROR(INDEX($O$4:$O$3183,MATCH(SMALL($V$4:$V$3183,2935),$V$4:$V$3183,0)),"")</f>
        <v/>
      </c>
      <c r="C2938">
        <f>IFERROR(INDEX($P$4:$P$3183,MATCH(SMALL($V$4:$V$3183,2935),$V$4:$V$3183,0)),"")</f>
        <v/>
      </c>
      <c r="D2938" s="29">
        <f>IFERROR(INDEX($Q$4:$Q$3183,MATCH(SMALL($V$4:$V$3183,2935),$V$4:$V$3183,0)),"")</f>
        <v/>
      </c>
      <c r="E2938" s="29">
        <f>IFERROR(INDEX($R$4:$R$3183,MATCH(SMALL($V$4:$V$3183,2935),$V$4:$V$3183,0)),"")</f>
        <v/>
      </c>
      <c r="F2938">
        <f>IFERROR(INDEX($S$4:$S$3183,MATCH(SMALL($V$4:$V$3183,2935),$V$4:$V$3183,0)),"")</f>
        <v/>
      </c>
      <c r="I2938" s="29">
        <f>IF($B2938="","",IFERROR(INDEX($U$4:$U$3183,MATCH(SMALL($V$4:$V$3183,2935),$V$4:$V$3183,0)),""))</f>
        <v/>
      </c>
      <c r="J2938">
        <f>IF($B2938="","",IF($D2938&gt;$F$2,"À venir",IF($E2938&lt;$D$2,"Passé","Dans la période")))</f>
        <v/>
      </c>
      <c r="K2938">
        <f>IF(OR($B2938="",NOT(ISNUMBER($D2938))),"",IF(AND($E2938&lt;$D$2,$G2938&lt;&gt;"X",$F2938&lt;&gt;"Réalisé",$F2938&lt;&gt;"Clôturé"),"RETARD",""))</f>
        <v/>
      </c>
      <c r="L2938">
        <f>IF(OR($B2938="",NOT(ISNUMBER($D2938))),"",IF(AND($D2938&gt;=$D$2,$D2938&lt;=$H$2,$G2938&lt;&gt;"X",$F2938&lt;&gt;"Réalisé",$F2938&lt;&gt;"Clôturé"),"≤ 7 j",""))</f>
        <v/>
      </c>
      <c r="M2938" s="29">
        <f>IF($B2938="","",IFERROR(INDEX($T$4:$T$3183,MATCH(SMALL($V$4:$V$3183,2935),$V$4:$V$3183,0)),""))</f>
        <v/>
      </c>
      <c r="O2938">
        <f>IF(INDEX(Suivi!$B:$B,2994)="","",INDEX(Suivi!$B:$B,2994))</f>
        <v/>
      </c>
      <c r="P2938">
        <f>IF($O2938="","",IF(INDEX(Suivi!$D:$D,2994)="",INDEX(Suivi!$C:$C,2994),INDEX(Suivi!$D:$D,2994)))</f>
        <v/>
      </c>
      <c r="Q2938">
        <f>IF($O2938="","",INDEX(Suivi!$E:$E,2994))</f>
        <v/>
      </c>
      <c r="R2938">
        <f>IF($O2938="","",INDEX(Suivi!$F:$F,2994))</f>
        <v/>
      </c>
      <c r="S2938">
        <f>IF($O2938="","",INDEX(Suivi!$G:$G,2994))</f>
        <v/>
      </c>
      <c r="T2938">
        <f>IF($O2938="","",IF(INDEX(Dossiers!$F$4:$F$63,56)="","",INDEX(Dossiers!$F$4:$F$63,56)))</f>
        <v/>
      </c>
      <c r="U2938">
        <f>IF($O2938="","",IF(INDEX(Dossiers!$G$4:$G$63,56)="","",INDEX(Dossiers!$G$4:$G$63,56)))</f>
        <v/>
      </c>
      <c r="V2938">
        <f>IF(OR($O2938="",NOT(ISNUMBER($Q2938))),"",$Q2938*1000000+2938)</f>
        <v/>
      </c>
      <c r="W2938" s="29">
        <f>IF($B2938="","",IFERROR(INDEX($U$4:$U$3183,MATCH(SMALL($V$4:$V$3183,2935),$V$4:$V$3183,0)),""))</f>
        <v/>
      </c>
    </row>
    <row r="2939">
      <c r="A2939">
        <f>IFERROR(INDEX($N$4:$N$3183,MATCH(SMALL($V$4:$V$3183,2936),$V$4:$V$3183,0)),"")</f>
        <v/>
      </c>
      <c r="B2939">
        <f>IFERROR(INDEX($O$4:$O$3183,MATCH(SMALL($V$4:$V$3183,2936),$V$4:$V$3183,0)),"")</f>
        <v/>
      </c>
      <c r="C2939">
        <f>IFERROR(INDEX($P$4:$P$3183,MATCH(SMALL($V$4:$V$3183,2936),$V$4:$V$3183,0)),"")</f>
        <v/>
      </c>
      <c r="D2939" s="29">
        <f>IFERROR(INDEX($Q$4:$Q$3183,MATCH(SMALL($V$4:$V$3183,2936),$V$4:$V$3183,0)),"")</f>
        <v/>
      </c>
      <c r="E2939" s="29">
        <f>IFERROR(INDEX($R$4:$R$3183,MATCH(SMALL($V$4:$V$3183,2936),$V$4:$V$3183,0)),"")</f>
        <v/>
      </c>
      <c r="F2939">
        <f>IFERROR(INDEX($S$4:$S$3183,MATCH(SMALL($V$4:$V$3183,2936),$V$4:$V$3183,0)),"")</f>
        <v/>
      </c>
      <c r="I2939" s="29">
        <f>IF($B2939="","",IFERROR(INDEX($U$4:$U$3183,MATCH(SMALL($V$4:$V$3183,2936),$V$4:$V$3183,0)),""))</f>
        <v/>
      </c>
      <c r="J2939">
        <f>IF($B2939="","",IF($D2939&gt;$F$2,"À venir",IF($E2939&lt;$D$2,"Passé","Dans la période")))</f>
        <v/>
      </c>
      <c r="K2939">
        <f>IF(OR($B2939="",NOT(ISNUMBER($D2939))),"",IF(AND($E2939&lt;$D$2,$G2939&lt;&gt;"X",$F2939&lt;&gt;"Réalisé",$F2939&lt;&gt;"Clôturé"),"RETARD",""))</f>
        <v/>
      </c>
      <c r="L2939">
        <f>IF(OR($B2939="",NOT(ISNUMBER($D2939))),"",IF(AND($D2939&gt;=$D$2,$D2939&lt;=$H$2,$G2939&lt;&gt;"X",$F2939&lt;&gt;"Réalisé",$F2939&lt;&gt;"Clôturé"),"≤ 7 j",""))</f>
        <v/>
      </c>
      <c r="M2939" s="29">
        <f>IF($B2939="","",IFERROR(INDEX($T$4:$T$3183,MATCH(SMALL($V$4:$V$3183,2936),$V$4:$V$3183,0)),""))</f>
        <v/>
      </c>
      <c r="O2939">
        <f>IF(INDEX(Suivi!$B:$B,2995)="","",INDEX(Suivi!$B:$B,2995))</f>
        <v/>
      </c>
      <c r="P2939">
        <f>IF($O2939="","",IF(INDEX(Suivi!$D:$D,2995)="",INDEX(Suivi!$C:$C,2995),INDEX(Suivi!$D:$D,2995)))</f>
        <v/>
      </c>
      <c r="Q2939">
        <f>IF($O2939="","",INDEX(Suivi!$E:$E,2995))</f>
        <v/>
      </c>
      <c r="R2939">
        <f>IF($O2939="","",INDEX(Suivi!$F:$F,2995))</f>
        <v/>
      </c>
      <c r="S2939">
        <f>IF($O2939="","",INDEX(Suivi!$G:$G,2995))</f>
        <v/>
      </c>
      <c r="T2939">
        <f>IF($O2939="","",IF(INDEX(Dossiers!$F$4:$F$63,56)="","",INDEX(Dossiers!$F$4:$F$63,56)))</f>
        <v/>
      </c>
      <c r="U2939">
        <f>IF($O2939="","",IF(INDEX(Dossiers!$G$4:$G$63,56)="","",INDEX(Dossiers!$G$4:$G$63,56)))</f>
        <v/>
      </c>
      <c r="V2939">
        <f>IF(OR($O2939="",NOT(ISNUMBER($Q2939))),"",$Q2939*1000000+2939)</f>
        <v/>
      </c>
      <c r="W2939" s="29">
        <f>IF($B2939="","",IFERROR(INDEX($U$4:$U$3183,MATCH(SMALL($V$4:$V$3183,2936),$V$4:$V$3183,0)),""))</f>
        <v/>
      </c>
    </row>
    <row r="2940">
      <c r="A2940">
        <f>IFERROR(INDEX($N$4:$N$3183,MATCH(SMALL($V$4:$V$3183,2937),$V$4:$V$3183,0)),"")</f>
        <v/>
      </c>
      <c r="B2940">
        <f>IFERROR(INDEX($O$4:$O$3183,MATCH(SMALL($V$4:$V$3183,2937),$V$4:$V$3183,0)),"")</f>
        <v/>
      </c>
      <c r="C2940">
        <f>IFERROR(INDEX($P$4:$P$3183,MATCH(SMALL($V$4:$V$3183,2937),$V$4:$V$3183,0)),"")</f>
        <v/>
      </c>
      <c r="D2940" s="29">
        <f>IFERROR(INDEX($Q$4:$Q$3183,MATCH(SMALL($V$4:$V$3183,2937),$V$4:$V$3183,0)),"")</f>
        <v/>
      </c>
      <c r="E2940" s="29">
        <f>IFERROR(INDEX($R$4:$R$3183,MATCH(SMALL($V$4:$V$3183,2937),$V$4:$V$3183,0)),"")</f>
        <v/>
      </c>
      <c r="F2940">
        <f>IFERROR(INDEX($S$4:$S$3183,MATCH(SMALL($V$4:$V$3183,2937),$V$4:$V$3183,0)),"")</f>
        <v/>
      </c>
      <c r="I2940" s="29">
        <f>IF($B2940="","",IFERROR(INDEX($U$4:$U$3183,MATCH(SMALL($V$4:$V$3183,2937),$V$4:$V$3183,0)),""))</f>
        <v/>
      </c>
      <c r="J2940">
        <f>IF($B2940="","",IF($D2940&gt;$F$2,"À venir",IF($E2940&lt;$D$2,"Passé","Dans la période")))</f>
        <v/>
      </c>
      <c r="K2940">
        <f>IF(OR($B2940="",NOT(ISNUMBER($D2940))),"",IF(AND($E2940&lt;$D$2,$G2940&lt;&gt;"X",$F2940&lt;&gt;"Réalisé",$F2940&lt;&gt;"Clôturé"),"RETARD",""))</f>
        <v/>
      </c>
      <c r="L2940">
        <f>IF(OR($B2940="",NOT(ISNUMBER($D2940))),"",IF(AND($D2940&gt;=$D$2,$D2940&lt;=$H$2,$G2940&lt;&gt;"X",$F2940&lt;&gt;"Réalisé",$F2940&lt;&gt;"Clôturé"),"≤ 7 j",""))</f>
        <v/>
      </c>
      <c r="M2940" s="29">
        <f>IF($B2940="","",IFERROR(INDEX($T$4:$T$3183,MATCH(SMALL($V$4:$V$3183,2937),$V$4:$V$3183,0)),""))</f>
        <v/>
      </c>
      <c r="O2940">
        <f>IF(INDEX(Suivi!$B:$B,2996)="","",INDEX(Suivi!$B:$B,2996))</f>
        <v/>
      </c>
      <c r="P2940">
        <f>IF($O2940="","",IF(INDEX(Suivi!$D:$D,2996)="",INDEX(Suivi!$C:$C,2996),INDEX(Suivi!$D:$D,2996)))</f>
        <v/>
      </c>
      <c r="Q2940">
        <f>IF($O2940="","",INDEX(Suivi!$E:$E,2996))</f>
        <v/>
      </c>
      <c r="R2940">
        <f>IF($O2940="","",INDEX(Suivi!$F:$F,2996))</f>
        <v/>
      </c>
      <c r="S2940">
        <f>IF($O2940="","",INDEX(Suivi!$G:$G,2996))</f>
        <v/>
      </c>
      <c r="T2940">
        <f>IF($O2940="","",IF(INDEX(Dossiers!$F$4:$F$63,56)="","",INDEX(Dossiers!$F$4:$F$63,56)))</f>
        <v/>
      </c>
      <c r="U2940">
        <f>IF($O2940="","",IF(INDEX(Dossiers!$G$4:$G$63,56)="","",INDEX(Dossiers!$G$4:$G$63,56)))</f>
        <v/>
      </c>
      <c r="V2940">
        <f>IF(OR($O2940="",NOT(ISNUMBER($Q2940))),"",$Q2940*1000000+2940)</f>
        <v/>
      </c>
      <c r="W2940" s="29">
        <f>IF($B2940="","",IFERROR(INDEX($U$4:$U$3183,MATCH(SMALL($V$4:$V$3183,2937),$V$4:$V$3183,0)),""))</f>
        <v/>
      </c>
    </row>
    <row r="2941">
      <c r="A2941">
        <f>IFERROR(INDEX($N$4:$N$3183,MATCH(SMALL($V$4:$V$3183,2938),$V$4:$V$3183,0)),"")</f>
        <v/>
      </c>
      <c r="B2941">
        <f>IFERROR(INDEX($O$4:$O$3183,MATCH(SMALL($V$4:$V$3183,2938),$V$4:$V$3183,0)),"")</f>
        <v/>
      </c>
      <c r="C2941">
        <f>IFERROR(INDEX($P$4:$P$3183,MATCH(SMALL($V$4:$V$3183,2938),$V$4:$V$3183,0)),"")</f>
        <v/>
      </c>
      <c r="D2941" s="29">
        <f>IFERROR(INDEX($Q$4:$Q$3183,MATCH(SMALL($V$4:$V$3183,2938),$V$4:$V$3183,0)),"")</f>
        <v/>
      </c>
      <c r="E2941" s="29">
        <f>IFERROR(INDEX($R$4:$R$3183,MATCH(SMALL($V$4:$V$3183,2938),$V$4:$V$3183,0)),"")</f>
        <v/>
      </c>
      <c r="F2941">
        <f>IFERROR(INDEX($S$4:$S$3183,MATCH(SMALL($V$4:$V$3183,2938),$V$4:$V$3183,0)),"")</f>
        <v/>
      </c>
      <c r="I2941" s="29">
        <f>IF($B2941="","",IFERROR(INDEX($U$4:$U$3183,MATCH(SMALL($V$4:$V$3183,2938),$V$4:$V$3183,0)),""))</f>
        <v/>
      </c>
      <c r="J2941">
        <f>IF($B2941="","",IF($D2941&gt;$F$2,"À venir",IF($E2941&lt;$D$2,"Passé","Dans la période")))</f>
        <v/>
      </c>
      <c r="K2941">
        <f>IF(OR($B2941="",NOT(ISNUMBER($D2941))),"",IF(AND($E2941&lt;$D$2,$G2941&lt;&gt;"X",$F2941&lt;&gt;"Réalisé",$F2941&lt;&gt;"Clôturé"),"RETARD",""))</f>
        <v/>
      </c>
      <c r="L2941">
        <f>IF(OR($B2941="",NOT(ISNUMBER($D2941))),"",IF(AND($D2941&gt;=$D$2,$D2941&lt;=$H$2,$G2941&lt;&gt;"X",$F2941&lt;&gt;"Réalisé",$F2941&lt;&gt;"Clôturé"),"≤ 7 j",""))</f>
        <v/>
      </c>
      <c r="M2941" s="29">
        <f>IF($B2941="","",IFERROR(INDEX($T$4:$T$3183,MATCH(SMALL($V$4:$V$3183,2938),$V$4:$V$3183,0)),""))</f>
        <v/>
      </c>
      <c r="O2941">
        <f>IF(INDEX(Suivi!$B:$B,2997)="","",INDEX(Suivi!$B:$B,2997))</f>
        <v/>
      </c>
      <c r="P2941">
        <f>IF($O2941="","",IF(INDEX(Suivi!$D:$D,2997)="",INDEX(Suivi!$C:$C,2997),INDEX(Suivi!$D:$D,2997)))</f>
        <v/>
      </c>
      <c r="Q2941">
        <f>IF($O2941="","",INDEX(Suivi!$E:$E,2997))</f>
        <v/>
      </c>
      <c r="R2941">
        <f>IF($O2941="","",INDEX(Suivi!$F:$F,2997))</f>
        <v/>
      </c>
      <c r="S2941">
        <f>IF($O2941="","",INDEX(Suivi!$G:$G,2997))</f>
        <v/>
      </c>
      <c r="T2941">
        <f>IF($O2941="","",IF(INDEX(Dossiers!$F$4:$F$63,56)="","",INDEX(Dossiers!$F$4:$F$63,56)))</f>
        <v/>
      </c>
      <c r="U2941">
        <f>IF($O2941="","",IF(INDEX(Dossiers!$G$4:$G$63,56)="","",INDEX(Dossiers!$G$4:$G$63,56)))</f>
        <v/>
      </c>
      <c r="V2941">
        <f>IF(OR($O2941="",NOT(ISNUMBER($Q2941))),"",$Q2941*1000000+2941)</f>
        <v/>
      </c>
      <c r="W2941" s="29">
        <f>IF($B2941="","",IFERROR(INDEX($U$4:$U$3183,MATCH(SMALL($V$4:$V$3183,2938),$V$4:$V$3183,0)),""))</f>
        <v/>
      </c>
    </row>
    <row r="2942">
      <c r="A2942">
        <f>IFERROR(INDEX($N$4:$N$3183,MATCH(SMALL($V$4:$V$3183,2939),$V$4:$V$3183,0)),"")</f>
        <v/>
      </c>
      <c r="B2942">
        <f>IFERROR(INDEX($O$4:$O$3183,MATCH(SMALL($V$4:$V$3183,2939),$V$4:$V$3183,0)),"")</f>
        <v/>
      </c>
      <c r="C2942">
        <f>IFERROR(INDEX($P$4:$P$3183,MATCH(SMALL($V$4:$V$3183,2939),$V$4:$V$3183,0)),"")</f>
        <v/>
      </c>
      <c r="D2942" s="29">
        <f>IFERROR(INDEX($Q$4:$Q$3183,MATCH(SMALL($V$4:$V$3183,2939),$V$4:$V$3183,0)),"")</f>
        <v/>
      </c>
      <c r="E2942" s="29">
        <f>IFERROR(INDEX($R$4:$R$3183,MATCH(SMALL($V$4:$V$3183,2939),$V$4:$V$3183,0)),"")</f>
        <v/>
      </c>
      <c r="F2942">
        <f>IFERROR(INDEX($S$4:$S$3183,MATCH(SMALL($V$4:$V$3183,2939),$V$4:$V$3183,0)),"")</f>
        <v/>
      </c>
      <c r="I2942" s="29">
        <f>IF($B2942="","",IFERROR(INDEX($U$4:$U$3183,MATCH(SMALL($V$4:$V$3183,2939),$V$4:$V$3183,0)),""))</f>
        <v/>
      </c>
      <c r="J2942">
        <f>IF($B2942="","",IF($D2942&gt;$F$2,"À venir",IF($E2942&lt;$D$2,"Passé","Dans la période")))</f>
        <v/>
      </c>
      <c r="K2942">
        <f>IF(OR($B2942="",NOT(ISNUMBER($D2942))),"",IF(AND($E2942&lt;$D$2,$G2942&lt;&gt;"X",$F2942&lt;&gt;"Réalisé",$F2942&lt;&gt;"Clôturé"),"RETARD",""))</f>
        <v/>
      </c>
      <c r="L2942">
        <f>IF(OR($B2942="",NOT(ISNUMBER($D2942))),"",IF(AND($D2942&gt;=$D$2,$D2942&lt;=$H$2,$G2942&lt;&gt;"X",$F2942&lt;&gt;"Réalisé",$F2942&lt;&gt;"Clôturé"),"≤ 7 j",""))</f>
        <v/>
      </c>
      <c r="M2942" s="29">
        <f>IF($B2942="","",IFERROR(INDEX($T$4:$T$3183,MATCH(SMALL($V$4:$V$3183,2939),$V$4:$V$3183,0)),""))</f>
        <v/>
      </c>
      <c r="O2942">
        <f>IF(INDEX(Suivi!$B:$B,2998)="","",INDEX(Suivi!$B:$B,2998))</f>
        <v/>
      </c>
      <c r="P2942">
        <f>IF($O2942="","",IF(INDEX(Suivi!$D:$D,2998)="",INDEX(Suivi!$C:$C,2998),INDEX(Suivi!$D:$D,2998)))</f>
        <v/>
      </c>
      <c r="Q2942">
        <f>IF($O2942="","",INDEX(Suivi!$E:$E,2998))</f>
        <v/>
      </c>
      <c r="R2942">
        <f>IF($O2942="","",INDEX(Suivi!$F:$F,2998))</f>
        <v/>
      </c>
      <c r="S2942">
        <f>IF($O2942="","",INDEX(Suivi!$G:$G,2998))</f>
        <v/>
      </c>
      <c r="T2942">
        <f>IF($O2942="","",IF(INDEX(Dossiers!$F$4:$F$63,56)="","",INDEX(Dossiers!$F$4:$F$63,56)))</f>
        <v/>
      </c>
      <c r="U2942">
        <f>IF($O2942="","",IF(INDEX(Dossiers!$G$4:$G$63,56)="","",INDEX(Dossiers!$G$4:$G$63,56)))</f>
        <v/>
      </c>
      <c r="V2942">
        <f>IF(OR($O2942="",NOT(ISNUMBER($Q2942))),"",$Q2942*1000000+2942)</f>
        <v/>
      </c>
      <c r="W2942" s="29">
        <f>IF($B2942="","",IFERROR(INDEX($U$4:$U$3183,MATCH(SMALL($V$4:$V$3183,2939),$V$4:$V$3183,0)),""))</f>
        <v/>
      </c>
    </row>
    <row r="2943">
      <c r="A2943">
        <f>IFERROR(INDEX($N$4:$N$3183,MATCH(SMALL($V$4:$V$3183,2940),$V$4:$V$3183,0)),"")</f>
        <v/>
      </c>
      <c r="B2943">
        <f>IFERROR(INDEX($O$4:$O$3183,MATCH(SMALL($V$4:$V$3183,2940),$V$4:$V$3183,0)),"")</f>
        <v/>
      </c>
      <c r="C2943">
        <f>IFERROR(INDEX($P$4:$P$3183,MATCH(SMALL($V$4:$V$3183,2940),$V$4:$V$3183,0)),"")</f>
        <v/>
      </c>
      <c r="D2943" s="29">
        <f>IFERROR(INDEX($Q$4:$Q$3183,MATCH(SMALL($V$4:$V$3183,2940),$V$4:$V$3183,0)),"")</f>
        <v/>
      </c>
      <c r="E2943" s="29">
        <f>IFERROR(INDEX($R$4:$R$3183,MATCH(SMALL($V$4:$V$3183,2940),$V$4:$V$3183,0)),"")</f>
        <v/>
      </c>
      <c r="F2943">
        <f>IFERROR(INDEX($S$4:$S$3183,MATCH(SMALL($V$4:$V$3183,2940),$V$4:$V$3183,0)),"")</f>
        <v/>
      </c>
      <c r="I2943" s="29">
        <f>IF($B2943="","",IFERROR(INDEX($U$4:$U$3183,MATCH(SMALL($V$4:$V$3183,2940),$V$4:$V$3183,0)),""))</f>
        <v/>
      </c>
      <c r="J2943">
        <f>IF($B2943="","",IF($D2943&gt;$F$2,"À venir",IF($E2943&lt;$D$2,"Passé","Dans la période")))</f>
        <v/>
      </c>
      <c r="K2943">
        <f>IF(OR($B2943="",NOT(ISNUMBER($D2943))),"",IF(AND($E2943&lt;$D$2,$G2943&lt;&gt;"X",$F2943&lt;&gt;"Réalisé",$F2943&lt;&gt;"Clôturé"),"RETARD",""))</f>
        <v/>
      </c>
      <c r="L2943">
        <f>IF(OR($B2943="",NOT(ISNUMBER($D2943))),"",IF(AND($D2943&gt;=$D$2,$D2943&lt;=$H$2,$G2943&lt;&gt;"X",$F2943&lt;&gt;"Réalisé",$F2943&lt;&gt;"Clôturé"),"≤ 7 j",""))</f>
        <v/>
      </c>
      <c r="M2943" s="29">
        <f>IF($B2943="","",IFERROR(INDEX($T$4:$T$3183,MATCH(SMALL($V$4:$V$3183,2940),$V$4:$V$3183,0)),""))</f>
        <v/>
      </c>
      <c r="O2943">
        <f>IF(INDEX(Suivi!$B:$B,2999)="","",INDEX(Suivi!$B:$B,2999))</f>
        <v/>
      </c>
      <c r="P2943">
        <f>IF($O2943="","",IF(INDEX(Suivi!$D:$D,2999)="",INDEX(Suivi!$C:$C,2999),INDEX(Suivi!$D:$D,2999)))</f>
        <v/>
      </c>
      <c r="Q2943">
        <f>IF($O2943="","",INDEX(Suivi!$E:$E,2999))</f>
        <v/>
      </c>
      <c r="R2943">
        <f>IF($O2943="","",INDEX(Suivi!$F:$F,2999))</f>
        <v/>
      </c>
      <c r="S2943">
        <f>IF($O2943="","",INDEX(Suivi!$G:$G,2999))</f>
        <v/>
      </c>
      <c r="T2943">
        <f>IF($O2943="","",IF(INDEX(Dossiers!$F$4:$F$63,56)="","",INDEX(Dossiers!$F$4:$F$63,56)))</f>
        <v/>
      </c>
      <c r="U2943">
        <f>IF($O2943="","",IF(INDEX(Dossiers!$G$4:$G$63,56)="","",INDEX(Dossiers!$G$4:$G$63,56)))</f>
        <v/>
      </c>
      <c r="V2943">
        <f>IF(OR($O2943="",NOT(ISNUMBER($Q2943))),"",$Q2943*1000000+2943)</f>
        <v/>
      </c>
      <c r="W2943" s="29">
        <f>IF($B2943="","",IFERROR(INDEX($U$4:$U$3183,MATCH(SMALL($V$4:$V$3183,2940),$V$4:$V$3183,0)),""))</f>
        <v/>
      </c>
    </row>
    <row r="2944">
      <c r="A2944">
        <f>IFERROR(INDEX($N$4:$N$3183,MATCH(SMALL($V$4:$V$3183,2941),$V$4:$V$3183,0)),"")</f>
        <v/>
      </c>
      <c r="B2944">
        <f>IFERROR(INDEX($O$4:$O$3183,MATCH(SMALL($V$4:$V$3183,2941),$V$4:$V$3183,0)),"")</f>
        <v/>
      </c>
      <c r="C2944">
        <f>IFERROR(INDEX($P$4:$P$3183,MATCH(SMALL($V$4:$V$3183,2941),$V$4:$V$3183,0)),"")</f>
        <v/>
      </c>
      <c r="D2944" s="29">
        <f>IFERROR(INDEX($Q$4:$Q$3183,MATCH(SMALL($V$4:$V$3183,2941),$V$4:$V$3183,0)),"")</f>
        <v/>
      </c>
      <c r="E2944" s="29">
        <f>IFERROR(INDEX($R$4:$R$3183,MATCH(SMALL($V$4:$V$3183,2941),$V$4:$V$3183,0)),"")</f>
        <v/>
      </c>
      <c r="F2944">
        <f>IFERROR(INDEX($S$4:$S$3183,MATCH(SMALL($V$4:$V$3183,2941),$V$4:$V$3183,0)),"")</f>
        <v/>
      </c>
      <c r="I2944" s="29">
        <f>IF($B2944="","",IFERROR(INDEX($U$4:$U$3183,MATCH(SMALL($V$4:$V$3183,2941),$V$4:$V$3183,0)),""))</f>
        <v/>
      </c>
      <c r="J2944">
        <f>IF($B2944="","",IF($D2944&gt;$F$2,"À venir",IF($E2944&lt;$D$2,"Passé","Dans la période")))</f>
        <v/>
      </c>
      <c r="K2944">
        <f>IF(OR($B2944="",NOT(ISNUMBER($D2944))),"",IF(AND($E2944&lt;$D$2,$G2944&lt;&gt;"X",$F2944&lt;&gt;"Réalisé",$F2944&lt;&gt;"Clôturé"),"RETARD",""))</f>
        <v/>
      </c>
      <c r="L2944">
        <f>IF(OR($B2944="",NOT(ISNUMBER($D2944))),"",IF(AND($D2944&gt;=$D$2,$D2944&lt;=$H$2,$G2944&lt;&gt;"X",$F2944&lt;&gt;"Réalisé",$F2944&lt;&gt;"Clôturé"),"≤ 7 j",""))</f>
        <v/>
      </c>
      <c r="M2944" s="29">
        <f>IF($B2944="","",IFERROR(INDEX($T$4:$T$3183,MATCH(SMALL($V$4:$V$3183,2941),$V$4:$V$3183,0)),""))</f>
        <v/>
      </c>
      <c r="O2944">
        <f>IF(INDEX(Suivi!$B:$B,3000)="","",INDEX(Suivi!$B:$B,3000))</f>
        <v/>
      </c>
      <c r="P2944">
        <f>IF($O2944="","",IF(INDEX(Suivi!$D:$D,3000)="",INDEX(Suivi!$C:$C,3000),INDEX(Suivi!$D:$D,3000)))</f>
        <v/>
      </c>
      <c r="Q2944">
        <f>IF($O2944="","",INDEX(Suivi!$E:$E,3000))</f>
        <v/>
      </c>
      <c r="R2944">
        <f>IF($O2944="","",INDEX(Suivi!$F:$F,3000))</f>
        <v/>
      </c>
      <c r="S2944">
        <f>IF($O2944="","",INDEX(Suivi!$G:$G,3000))</f>
        <v/>
      </c>
      <c r="T2944">
        <f>IF($O2944="","",IF(INDEX(Dossiers!$F$4:$F$63,56)="","",INDEX(Dossiers!$F$4:$F$63,56)))</f>
        <v/>
      </c>
      <c r="U2944">
        <f>IF($O2944="","",IF(INDEX(Dossiers!$G$4:$G$63,56)="","",INDEX(Dossiers!$G$4:$G$63,56)))</f>
        <v/>
      </c>
      <c r="V2944">
        <f>IF(OR($O2944="",NOT(ISNUMBER($Q2944))),"",$Q2944*1000000+2944)</f>
        <v/>
      </c>
      <c r="W2944" s="29">
        <f>IF($B2944="","",IFERROR(INDEX($U$4:$U$3183,MATCH(SMALL($V$4:$V$3183,2941),$V$4:$V$3183,0)),""))</f>
        <v/>
      </c>
    </row>
    <row r="2945">
      <c r="A2945">
        <f>IFERROR(INDEX($N$4:$N$3183,MATCH(SMALL($V$4:$V$3183,2942),$V$4:$V$3183,0)),"")</f>
        <v/>
      </c>
      <c r="B2945">
        <f>IFERROR(INDEX($O$4:$O$3183,MATCH(SMALL($V$4:$V$3183,2942),$V$4:$V$3183,0)),"")</f>
        <v/>
      </c>
      <c r="C2945">
        <f>IFERROR(INDEX($P$4:$P$3183,MATCH(SMALL($V$4:$V$3183,2942),$V$4:$V$3183,0)),"")</f>
        <v/>
      </c>
      <c r="D2945" s="29">
        <f>IFERROR(INDEX($Q$4:$Q$3183,MATCH(SMALL($V$4:$V$3183,2942),$V$4:$V$3183,0)),"")</f>
        <v/>
      </c>
      <c r="E2945" s="29">
        <f>IFERROR(INDEX($R$4:$R$3183,MATCH(SMALL($V$4:$V$3183,2942),$V$4:$V$3183,0)),"")</f>
        <v/>
      </c>
      <c r="F2945">
        <f>IFERROR(INDEX($S$4:$S$3183,MATCH(SMALL($V$4:$V$3183,2942),$V$4:$V$3183,0)),"")</f>
        <v/>
      </c>
      <c r="I2945" s="29">
        <f>IF($B2945="","",IFERROR(INDEX($U$4:$U$3183,MATCH(SMALL($V$4:$V$3183,2942),$V$4:$V$3183,0)),""))</f>
        <v/>
      </c>
      <c r="J2945">
        <f>IF($B2945="","",IF($D2945&gt;$F$2,"À venir",IF($E2945&lt;$D$2,"Passé","Dans la période")))</f>
        <v/>
      </c>
      <c r="K2945">
        <f>IF(OR($B2945="",NOT(ISNUMBER($D2945))),"",IF(AND($E2945&lt;$D$2,$G2945&lt;&gt;"X",$F2945&lt;&gt;"Réalisé",$F2945&lt;&gt;"Clôturé"),"RETARD",""))</f>
        <v/>
      </c>
      <c r="L2945">
        <f>IF(OR($B2945="",NOT(ISNUMBER($D2945))),"",IF(AND($D2945&gt;=$D$2,$D2945&lt;=$H$2,$G2945&lt;&gt;"X",$F2945&lt;&gt;"Réalisé",$F2945&lt;&gt;"Clôturé"),"≤ 7 j",""))</f>
        <v/>
      </c>
      <c r="M2945" s="29">
        <f>IF($B2945="","",IFERROR(INDEX($T$4:$T$3183,MATCH(SMALL($V$4:$V$3183,2942),$V$4:$V$3183,0)),""))</f>
        <v/>
      </c>
      <c r="O2945">
        <f>IF(INDEX(Suivi!$B:$B,3001)="","",INDEX(Suivi!$B:$B,3001))</f>
        <v/>
      </c>
      <c r="P2945">
        <f>IF($O2945="","",IF(INDEX(Suivi!$D:$D,3001)="",INDEX(Suivi!$C:$C,3001),INDEX(Suivi!$D:$D,3001)))</f>
        <v/>
      </c>
      <c r="Q2945">
        <f>IF($O2945="","",INDEX(Suivi!$E:$E,3001))</f>
        <v/>
      </c>
      <c r="R2945">
        <f>IF($O2945="","",INDEX(Suivi!$F:$F,3001))</f>
        <v/>
      </c>
      <c r="S2945">
        <f>IF($O2945="","",INDEX(Suivi!$G:$G,3001))</f>
        <v/>
      </c>
      <c r="T2945">
        <f>IF($O2945="","",IF(INDEX(Dossiers!$F$4:$F$63,56)="","",INDEX(Dossiers!$F$4:$F$63,56)))</f>
        <v/>
      </c>
      <c r="U2945">
        <f>IF($O2945="","",IF(INDEX(Dossiers!$G$4:$G$63,56)="","",INDEX(Dossiers!$G$4:$G$63,56)))</f>
        <v/>
      </c>
      <c r="V2945">
        <f>IF(OR($O2945="",NOT(ISNUMBER($Q2945))),"",$Q2945*1000000+2945)</f>
        <v/>
      </c>
      <c r="W2945" s="29">
        <f>IF($B2945="","",IFERROR(INDEX($U$4:$U$3183,MATCH(SMALL($V$4:$V$3183,2942),$V$4:$V$3183,0)),""))</f>
        <v/>
      </c>
    </row>
    <row r="2946">
      <c r="A2946">
        <f>IFERROR(INDEX($N$4:$N$3183,MATCH(SMALL($V$4:$V$3183,2943),$V$4:$V$3183,0)),"")</f>
        <v/>
      </c>
      <c r="B2946">
        <f>IFERROR(INDEX($O$4:$O$3183,MATCH(SMALL($V$4:$V$3183,2943),$V$4:$V$3183,0)),"")</f>
        <v/>
      </c>
      <c r="C2946">
        <f>IFERROR(INDEX($P$4:$P$3183,MATCH(SMALL($V$4:$V$3183,2943),$V$4:$V$3183,0)),"")</f>
        <v/>
      </c>
      <c r="D2946" s="29">
        <f>IFERROR(INDEX($Q$4:$Q$3183,MATCH(SMALL($V$4:$V$3183,2943),$V$4:$V$3183,0)),"")</f>
        <v/>
      </c>
      <c r="E2946" s="29">
        <f>IFERROR(INDEX($R$4:$R$3183,MATCH(SMALL($V$4:$V$3183,2943),$V$4:$V$3183,0)),"")</f>
        <v/>
      </c>
      <c r="F2946">
        <f>IFERROR(INDEX($S$4:$S$3183,MATCH(SMALL($V$4:$V$3183,2943),$V$4:$V$3183,0)),"")</f>
        <v/>
      </c>
      <c r="I2946" s="29">
        <f>IF($B2946="","",IFERROR(INDEX($U$4:$U$3183,MATCH(SMALL($V$4:$V$3183,2943),$V$4:$V$3183,0)),""))</f>
        <v/>
      </c>
      <c r="J2946">
        <f>IF($B2946="","",IF($D2946&gt;$F$2,"À venir",IF($E2946&lt;$D$2,"Passé","Dans la période")))</f>
        <v/>
      </c>
      <c r="K2946">
        <f>IF(OR($B2946="",NOT(ISNUMBER($D2946))),"",IF(AND($E2946&lt;$D$2,$G2946&lt;&gt;"X",$F2946&lt;&gt;"Réalisé",$F2946&lt;&gt;"Clôturé"),"RETARD",""))</f>
        <v/>
      </c>
      <c r="L2946">
        <f>IF(OR($B2946="",NOT(ISNUMBER($D2946))),"",IF(AND($D2946&gt;=$D$2,$D2946&lt;=$H$2,$G2946&lt;&gt;"X",$F2946&lt;&gt;"Réalisé",$F2946&lt;&gt;"Clôturé"),"≤ 7 j",""))</f>
        <v/>
      </c>
      <c r="M2946" s="29">
        <f>IF($B2946="","",IFERROR(INDEX($T$4:$T$3183,MATCH(SMALL($V$4:$V$3183,2943),$V$4:$V$3183,0)),""))</f>
        <v/>
      </c>
      <c r="O2946">
        <f>IF(INDEX(Suivi!$B:$B,3002)="","",INDEX(Suivi!$B:$B,3002))</f>
        <v/>
      </c>
      <c r="P2946">
        <f>IF($O2946="","",IF(INDEX(Suivi!$D:$D,3002)="",INDEX(Suivi!$C:$C,3002),INDEX(Suivi!$D:$D,3002)))</f>
        <v/>
      </c>
      <c r="Q2946">
        <f>IF($O2946="","",INDEX(Suivi!$E:$E,3002))</f>
        <v/>
      </c>
      <c r="R2946">
        <f>IF($O2946="","",INDEX(Suivi!$F:$F,3002))</f>
        <v/>
      </c>
      <c r="S2946">
        <f>IF($O2946="","",INDEX(Suivi!$G:$G,3002))</f>
        <v/>
      </c>
      <c r="T2946">
        <f>IF($O2946="","",IF(INDEX(Dossiers!$F$4:$F$63,56)="","",INDEX(Dossiers!$F$4:$F$63,56)))</f>
        <v/>
      </c>
      <c r="U2946">
        <f>IF($O2946="","",IF(INDEX(Dossiers!$G$4:$G$63,56)="","",INDEX(Dossiers!$G$4:$G$63,56)))</f>
        <v/>
      </c>
      <c r="V2946">
        <f>IF(OR($O2946="",NOT(ISNUMBER($Q2946))),"",$Q2946*1000000+2946)</f>
        <v/>
      </c>
      <c r="W2946" s="29">
        <f>IF($B2946="","",IFERROR(INDEX($U$4:$U$3183,MATCH(SMALL($V$4:$V$3183,2943),$V$4:$V$3183,0)),""))</f>
        <v/>
      </c>
    </row>
    <row r="2947">
      <c r="A2947">
        <f>IFERROR(INDEX($N$4:$N$3183,MATCH(SMALL($V$4:$V$3183,2944),$V$4:$V$3183,0)),"")</f>
        <v/>
      </c>
      <c r="B2947">
        <f>IFERROR(INDEX($O$4:$O$3183,MATCH(SMALL($V$4:$V$3183,2944),$V$4:$V$3183,0)),"")</f>
        <v/>
      </c>
      <c r="C2947">
        <f>IFERROR(INDEX($P$4:$P$3183,MATCH(SMALL($V$4:$V$3183,2944),$V$4:$V$3183,0)),"")</f>
        <v/>
      </c>
      <c r="D2947" s="29">
        <f>IFERROR(INDEX($Q$4:$Q$3183,MATCH(SMALL($V$4:$V$3183,2944),$V$4:$V$3183,0)),"")</f>
        <v/>
      </c>
      <c r="E2947" s="29">
        <f>IFERROR(INDEX($R$4:$R$3183,MATCH(SMALL($V$4:$V$3183,2944),$V$4:$V$3183,0)),"")</f>
        <v/>
      </c>
      <c r="F2947">
        <f>IFERROR(INDEX($S$4:$S$3183,MATCH(SMALL($V$4:$V$3183,2944),$V$4:$V$3183,0)),"")</f>
        <v/>
      </c>
      <c r="I2947" s="29">
        <f>IF($B2947="","",IFERROR(INDEX($U$4:$U$3183,MATCH(SMALL($V$4:$V$3183,2944),$V$4:$V$3183,0)),""))</f>
        <v/>
      </c>
      <c r="J2947">
        <f>IF($B2947="","",IF($D2947&gt;$F$2,"À venir",IF($E2947&lt;$D$2,"Passé","Dans la période")))</f>
        <v/>
      </c>
      <c r="K2947">
        <f>IF(OR($B2947="",NOT(ISNUMBER($D2947))),"",IF(AND($E2947&lt;$D$2,$G2947&lt;&gt;"X",$F2947&lt;&gt;"Réalisé",$F2947&lt;&gt;"Clôturé"),"RETARD",""))</f>
        <v/>
      </c>
      <c r="L2947">
        <f>IF(OR($B2947="",NOT(ISNUMBER($D2947))),"",IF(AND($D2947&gt;=$D$2,$D2947&lt;=$H$2,$G2947&lt;&gt;"X",$F2947&lt;&gt;"Réalisé",$F2947&lt;&gt;"Clôturé"),"≤ 7 j",""))</f>
        <v/>
      </c>
      <c r="M2947" s="29">
        <f>IF($B2947="","",IFERROR(INDEX($T$4:$T$3183,MATCH(SMALL($V$4:$V$3183,2944),$V$4:$V$3183,0)),""))</f>
        <v/>
      </c>
      <c r="O2947">
        <f>IF(INDEX(Suivi!$B:$B,3003)="","",INDEX(Suivi!$B:$B,3003))</f>
        <v/>
      </c>
      <c r="P2947">
        <f>IF($O2947="","",IF(INDEX(Suivi!$D:$D,3003)="",INDEX(Suivi!$C:$C,3003),INDEX(Suivi!$D:$D,3003)))</f>
        <v/>
      </c>
      <c r="Q2947">
        <f>IF($O2947="","",INDEX(Suivi!$E:$E,3003))</f>
        <v/>
      </c>
      <c r="R2947">
        <f>IF($O2947="","",INDEX(Suivi!$F:$F,3003))</f>
        <v/>
      </c>
      <c r="S2947">
        <f>IF($O2947="","",INDEX(Suivi!$G:$G,3003))</f>
        <v/>
      </c>
      <c r="T2947">
        <f>IF($O2947="","",IF(INDEX(Dossiers!$F$4:$F$63,56)="","",INDEX(Dossiers!$F$4:$F$63,56)))</f>
        <v/>
      </c>
      <c r="U2947">
        <f>IF($O2947="","",IF(INDEX(Dossiers!$G$4:$G$63,56)="","",INDEX(Dossiers!$G$4:$G$63,56)))</f>
        <v/>
      </c>
      <c r="V2947">
        <f>IF(OR($O2947="",NOT(ISNUMBER($Q2947))),"",$Q2947*1000000+2947)</f>
        <v/>
      </c>
      <c r="W2947" s="29">
        <f>IF($B2947="","",IFERROR(INDEX($U$4:$U$3183,MATCH(SMALL($V$4:$V$3183,2944),$V$4:$V$3183,0)),""))</f>
        <v/>
      </c>
    </row>
    <row r="2948">
      <c r="A2948">
        <f>IFERROR(INDEX($N$4:$N$3183,MATCH(SMALL($V$4:$V$3183,2945),$V$4:$V$3183,0)),"")</f>
        <v/>
      </c>
      <c r="B2948">
        <f>IFERROR(INDEX($O$4:$O$3183,MATCH(SMALL($V$4:$V$3183,2945),$V$4:$V$3183,0)),"")</f>
        <v/>
      </c>
      <c r="C2948">
        <f>IFERROR(INDEX($P$4:$P$3183,MATCH(SMALL($V$4:$V$3183,2945),$V$4:$V$3183,0)),"")</f>
        <v/>
      </c>
      <c r="D2948" s="29">
        <f>IFERROR(INDEX($Q$4:$Q$3183,MATCH(SMALL($V$4:$V$3183,2945),$V$4:$V$3183,0)),"")</f>
        <v/>
      </c>
      <c r="E2948" s="29">
        <f>IFERROR(INDEX($R$4:$R$3183,MATCH(SMALL($V$4:$V$3183,2945),$V$4:$V$3183,0)),"")</f>
        <v/>
      </c>
      <c r="F2948">
        <f>IFERROR(INDEX($S$4:$S$3183,MATCH(SMALL($V$4:$V$3183,2945),$V$4:$V$3183,0)),"")</f>
        <v/>
      </c>
      <c r="I2948" s="29">
        <f>IF($B2948="","",IFERROR(INDEX($U$4:$U$3183,MATCH(SMALL($V$4:$V$3183,2945),$V$4:$V$3183,0)),""))</f>
        <v/>
      </c>
      <c r="J2948">
        <f>IF($B2948="","",IF($D2948&gt;$F$2,"À venir",IF($E2948&lt;$D$2,"Passé","Dans la période")))</f>
        <v/>
      </c>
      <c r="K2948">
        <f>IF(OR($B2948="",NOT(ISNUMBER($D2948))),"",IF(AND($E2948&lt;$D$2,$G2948&lt;&gt;"X",$F2948&lt;&gt;"Réalisé",$F2948&lt;&gt;"Clôturé"),"RETARD",""))</f>
        <v/>
      </c>
      <c r="L2948">
        <f>IF(OR($B2948="",NOT(ISNUMBER($D2948))),"",IF(AND($D2948&gt;=$D$2,$D2948&lt;=$H$2,$G2948&lt;&gt;"X",$F2948&lt;&gt;"Réalisé",$F2948&lt;&gt;"Clôturé"),"≤ 7 j",""))</f>
        <v/>
      </c>
      <c r="M2948" s="29">
        <f>IF($B2948="","",IFERROR(INDEX($T$4:$T$3183,MATCH(SMALL($V$4:$V$3183,2945),$V$4:$V$3183,0)),""))</f>
        <v/>
      </c>
      <c r="O2948">
        <f>IF(INDEX(Suivi!$B:$B,3004)="","",INDEX(Suivi!$B:$B,3004))</f>
        <v/>
      </c>
      <c r="P2948">
        <f>IF($O2948="","",IF(INDEX(Suivi!$D:$D,3004)="",INDEX(Suivi!$C:$C,3004),INDEX(Suivi!$D:$D,3004)))</f>
        <v/>
      </c>
      <c r="Q2948">
        <f>IF($O2948="","",INDEX(Suivi!$E:$E,3004))</f>
        <v/>
      </c>
      <c r="R2948">
        <f>IF($O2948="","",INDEX(Suivi!$F:$F,3004))</f>
        <v/>
      </c>
      <c r="S2948">
        <f>IF($O2948="","",INDEX(Suivi!$G:$G,3004))</f>
        <v/>
      </c>
      <c r="T2948">
        <f>IF($O2948="","",IF(INDEX(Dossiers!$F$4:$F$63,56)="","",INDEX(Dossiers!$F$4:$F$63,56)))</f>
        <v/>
      </c>
      <c r="U2948">
        <f>IF($O2948="","",IF(INDEX(Dossiers!$G$4:$G$63,56)="","",INDEX(Dossiers!$G$4:$G$63,56)))</f>
        <v/>
      </c>
      <c r="V2948">
        <f>IF(OR($O2948="",NOT(ISNUMBER($Q2948))),"",$Q2948*1000000+2948)</f>
        <v/>
      </c>
      <c r="W2948" s="29">
        <f>IF($B2948="","",IFERROR(INDEX($U$4:$U$3183,MATCH(SMALL($V$4:$V$3183,2945),$V$4:$V$3183,0)),""))</f>
        <v/>
      </c>
    </row>
    <row r="2949">
      <c r="A2949">
        <f>IFERROR(INDEX($N$4:$N$3183,MATCH(SMALL($V$4:$V$3183,2946),$V$4:$V$3183,0)),"")</f>
        <v/>
      </c>
      <c r="B2949">
        <f>IFERROR(INDEX($O$4:$O$3183,MATCH(SMALL($V$4:$V$3183,2946),$V$4:$V$3183,0)),"")</f>
        <v/>
      </c>
      <c r="C2949">
        <f>IFERROR(INDEX($P$4:$P$3183,MATCH(SMALL($V$4:$V$3183,2946),$V$4:$V$3183,0)),"")</f>
        <v/>
      </c>
      <c r="D2949" s="29">
        <f>IFERROR(INDEX($Q$4:$Q$3183,MATCH(SMALL($V$4:$V$3183,2946),$V$4:$V$3183,0)),"")</f>
        <v/>
      </c>
      <c r="E2949" s="29">
        <f>IFERROR(INDEX($R$4:$R$3183,MATCH(SMALL($V$4:$V$3183,2946),$V$4:$V$3183,0)),"")</f>
        <v/>
      </c>
      <c r="F2949">
        <f>IFERROR(INDEX($S$4:$S$3183,MATCH(SMALL($V$4:$V$3183,2946),$V$4:$V$3183,0)),"")</f>
        <v/>
      </c>
      <c r="I2949" s="29">
        <f>IF($B2949="","",IFERROR(INDEX($U$4:$U$3183,MATCH(SMALL($V$4:$V$3183,2946),$V$4:$V$3183,0)),""))</f>
        <v/>
      </c>
      <c r="J2949">
        <f>IF($B2949="","",IF($D2949&gt;$F$2,"À venir",IF($E2949&lt;$D$2,"Passé","Dans la période")))</f>
        <v/>
      </c>
      <c r="K2949">
        <f>IF(OR($B2949="",NOT(ISNUMBER($D2949))),"",IF(AND($E2949&lt;$D$2,$G2949&lt;&gt;"X",$F2949&lt;&gt;"Réalisé",$F2949&lt;&gt;"Clôturé"),"RETARD",""))</f>
        <v/>
      </c>
      <c r="L2949">
        <f>IF(OR($B2949="",NOT(ISNUMBER($D2949))),"",IF(AND($D2949&gt;=$D$2,$D2949&lt;=$H$2,$G2949&lt;&gt;"X",$F2949&lt;&gt;"Réalisé",$F2949&lt;&gt;"Clôturé"),"≤ 7 j",""))</f>
        <v/>
      </c>
      <c r="M2949" s="29">
        <f>IF($B2949="","",IFERROR(INDEX($T$4:$T$3183,MATCH(SMALL($V$4:$V$3183,2946),$V$4:$V$3183,0)),""))</f>
        <v/>
      </c>
      <c r="O2949">
        <f>IF(INDEX(Suivi!$B:$B,3005)="","",INDEX(Suivi!$B:$B,3005))</f>
        <v/>
      </c>
      <c r="P2949">
        <f>IF($O2949="","",IF(INDEX(Suivi!$D:$D,3005)="",INDEX(Suivi!$C:$C,3005),INDEX(Suivi!$D:$D,3005)))</f>
        <v/>
      </c>
      <c r="Q2949">
        <f>IF($O2949="","",INDEX(Suivi!$E:$E,3005))</f>
        <v/>
      </c>
      <c r="R2949">
        <f>IF($O2949="","",INDEX(Suivi!$F:$F,3005))</f>
        <v/>
      </c>
      <c r="S2949">
        <f>IF($O2949="","",INDEX(Suivi!$G:$G,3005))</f>
        <v/>
      </c>
      <c r="T2949">
        <f>IF($O2949="","",IF(INDEX(Dossiers!$F$4:$F$63,56)="","",INDEX(Dossiers!$F$4:$F$63,56)))</f>
        <v/>
      </c>
      <c r="U2949">
        <f>IF($O2949="","",IF(INDEX(Dossiers!$G$4:$G$63,56)="","",INDEX(Dossiers!$G$4:$G$63,56)))</f>
        <v/>
      </c>
      <c r="V2949">
        <f>IF(OR($O2949="",NOT(ISNUMBER($Q2949))),"",$Q2949*1000000+2949)</f>
        <v/>
      </c>
      <c r="W2949" s="29">
        <f>IF($B2949="","",IFERROR(INDEX($U$4:$U$3183,MATCH(SMALL($V$4:$V$3183,2946),$V$4:$V$3183,0)),""))</f>
        <v/>
      </c>
    </row>
    <row r="2950">
      <c r="A2950">
        <f>IFERROR(INDEX($N$4:$N$3183,MATCH(SMALL($V$4:$V$3183,2947),$V$4:$V$3183,0)),"")</f>
        <v/>
      </c>
      <c r="B2950">
        <f>IFERROR(INDEX($O$4:$O$3183,MATCH(SMALL($V$4:$V$3183,2947),$V$4:$V$3183,0)),"")</f>
        <v/>
      </c>
      <c r="C2950">
        <f>IFERROR(INDEX($P$4:$P$3183,MATCH(SMALL($V$4:$V$3183,2947),$V$4:$V$3183,0)),"")</f>
        <v/>
      </c>
      <c r="D2950" s="29">
        <f>IFERROR(INDEX($Q$4:$Q$3183,MATCH(SMALL($V$4:$V$3183,2947),$V$4:$V$3183,0)),"")</f>
        <v/>
      </c>
      <c r="E2950" s="29">
        <f>IFERROR(INDEX($R$4:$R$3183,MATCH(SMALL($V$4:$V$3183,2947),$V$4:$V$3183,0)),"")</f>
        <v/>
      </c>
      <c r="F2950">
        <f>IFERROR(INDEX($S$4:$S$3183,MATCH(SMALL($V$4:$V$3183,2947),$V$4:$V$3183,0)),"")</f>
        <v/>
      </c>
      <c r="I2950" s="29">
        <f>IF($B2950="","",IFERROR(INDEX($U$4:$U$3183,MATCH(SMALL($V$4:$V$3183,2947),$V$4:$V$3183,0)),""))</f>
        <v/>
      </c>
      <c r="J2950">
        <f>IF($B2950="","",IF($D2950&gt;$F$2,"À venir",IF($E2950&lt;$D$2,"Passé","Dans la période")))</f>
        <v/>
      </c>
      <c r="K2950">
        <f>IF(OR($B2950="",NOT(ISNUMBER($D2950))),"",IF(AND($E2950&lt;$D$2,$G2950&lt;&gt;"X",$F2950&lt;&gt;"Réalisé",$F2950&lt;&gt;"Clôturé"),"RETARD",""))</f>
        <v/>
      </c>
      <c r="L2950">
        <f>IF(OR($B2950="",NOT(ISNUMBER($D2950))),"",IF(AND($D2950&gt;=$D$2,$D2950&lt;=$H$2,$G2950&lt;&gt;"X",$F2950&lt;&gt;"Réalisé",$F2950&lt;&gt;"Clôturé"),"≤ 7 j",""))</f>
        <v/>
      </c>
      <c r="M2950" s="29">
        <f>IF($B2950="","",IFERROR(INDEX($T$4:$T$3183,MATCH(SMALL($V$4:$V$3183,2947),$V$4:$V$3183,0)),""))</f>
        <v/>
      </c>
      <c r="O2950">
        <f>IF(INDEX(Suivi!$B:$B,3006)="","",INDEX(Suivi!$B:$B,3006))</f>
        <v/>
      </c>
      <c r="P2950">
        <f>IF($O2950="","",IF(INDEX(Suivi!$D:$D,3006)="",INDEX(Suivi!$C:$C,3006),INDEX(Suivi!$D:$D,3006)))</f>
        <v/>
      </c>
      <c r="Q2950">
        <f>IF($O2950="","",INDEX(Suivi!$E:$E,3006))</f>
        <v/>
      </c>
      <c r="R2950">
        <f>IF($O2950="","",INDEX(Suivi!$F:$F,3006))</f>
        <v/>
      </c>
      <c r="S2950">
        <f>IF($O2950="","",INDEX(Suivi!$G:$G,3006))</f>
        <v/>
      </c>
      <c r="T2950">
        <f>IF($O2950="","",IF(INDEX(Dossiers!$F$4:$F$63,56)="","",INDEX(Dossiers!$F$4:$F$63,56)))</f>
        <v/>
      </c>
      <c r="U2950">
        <f>IF($O2950="","",IF(INDEX(Dossiers!$G$4:$G$63,56)="","",INDEX(Dossiers!$G$4:$G$63,56)))</f>
        <v/>
      </c>
      <c r="V2950">
        <f>IF(OR($O2950="",NOT(ISNUMBER($Q2950))),"",$Q2950*1000000+2950)</f>
        <v/>
      </c>
      <c r="W2950" s="29">
        <f>IF($B2950="","",IFERROR(INDEX($U$4:$U$3183,MATCH(SMALL($V$4:$V$3183,2947),$V$4:$V$3183,0)),""))</f>
        <v/>
      </c>
    </row>
    <row r="2951">
      <c r="A2951">
        <f>IFERROR(INDEX($N$4:$N$3183,MATCH(SMALL($V$4:$V$3183,2948),$V$4:$V$3183,0)),"")</f>
        <v/>
      </c>
      <c r="B2951">
        <f>IFERROR(INDEX($O$4:$O$3183,MATCH(SMALL($V$4:$V$3183,2948),$V$4:$V$3183,0)),"")</f>
        <v/>
      </c>
      <c r="C2951">
        <f>IFERROR(INDEX($P$4:$P$3183,MATCH(SMALL($V$4:$V$3183,2948),$V$4:$V$3183,0)),"")</f>
        <v/>
      </c>
      <c r="D2951" s="29">
        <f>IFERROR(INDEX($Q$4:$Q$3183,MATCH(SMALL($V$4:$V$3183,2948),$V$4:$V$3183,0)),"")</f>
        <v/>
      </c>
      <c r="E2951" s="29">
        <f>IFERROR(INDEX($R$4:$R$3183,MATCH(SMALL($V$4:$V$3183,2948),$V$4:$V$3183,0)),"")</f>
        <v/>
      </c>
      <c r="F2951">
        <f>IFERROR(INDEX($S$4:$S$3183,MATCH(SMALL($V$4:$V$3183,2948),$V$4:$V$3183,0)),"")</f>
        <v/>
      </c>
      <c r="I2951" s="29">
        <f>IF($B2951="","",IFERROR(INDEX($U$4:$U$3183,MATCH(SMALL($V$4:$V$3183,2948),$V$4:$V$3183,0)),""))</f>
        <v/>
      </c>
      <c r="J2951">
        <f>IF($B2951="","",IF($D2951&gt;$F$2,"À venir",IF($E2951&lt;$D$2,"Passé","Dans la période")))</f>
        <v/>
      </c>
      <c r="K2951">
        <f>IF(OR($B2951="",NOT(ISNUMBER($D2951))),"",IF(AND($E2951&lt;$D$2,$G2951&lt;&gt;"X",$F2951&lt;&gt;"Réalisé",$F2951&lt;&gt;"Clôturé"),"RETARD",""))</f>
        <v/>
      </c>
      <c r="L2951">
        <f>IF(OR($B2951="",NOT(ISNUMBER($D2951))),"",IF(AND($D2951&gt;=$D$2,$D2951&lt;=$H$2,$G2951&lt;&gt;"X",$F2951&lt;&gt;"Réalisé",$F2951&lt;&gt;"Clôturé"),"≤ 7 j",""))</f>
        <v/>
      </c>
      <c r="M2951" s="29">
        <f>IF($B2951="","",IFERROR(INDEX($T$4:$T$3183,MATCH(SMALL($V$4:$V$3183,2948),$V$4:$V$3183,0)),""))</f>
        <v/>
      </c>
      <c r="O2951">
        <f>IF(INDEX(Suivi!$B:$B,3007)="","",INDEX(Suivi!$B:$B,3007))</f>
        <v/>
      </c>
      <c r="P2951">
        <f>IF($O2951="","",IF(INDEX(Suivi!$D:$D,3007)="",INDEX(Suivi!$C:$C,3007),INDEX(Suivi!$D:$D,3007)))</f>
        <v/>
      </c>
      <c r="Q2951">
        <f>IF($O2951="","",INDEX(Suivi!$E:$E,3007))</f>
        <v/>
      </c>
      <c r="R2951">
        <f>IF($O2951="","",INDEX(Suivi!$F:$F,3007))</f>
        <v/>
      </c>
      <c r="S2951">
        <f>IF($O2951="","",INDEX(Suivi!$G:$G,3007))</f>
        <v/>
      </c>
      <c r="T2951">
        <f>IF($O2951="","",IF(INDEX(Dossiers!$F$4:$F$63,56)="","",INDEX(Dossiers!$F$4:$F$63,56)))</f>
        <v/>
      </c>
      <c r="U2951">
        <f>IF($O2951="","",IF(INDEX(Dossiers!$G$4:$G$63,56)="","",INDEX(Dossiers!$G$4:$G$63,56)))</f>
        <v/>
      </c>
      <c r="V2951">
        <f>IF(OR($O2951="",NOT(ISNUMBER($Q2951))),"",$Q2951*1000000+2951)</f>
        <v/>
      </c>
      <c r="W2951" s="29">
        <f>IF($B2951="","",IFERROR(INDEX($U$4:$U$3183,MATCH(SMALL($V$4:$V$3183,2948),$V$4:$V$3183,0)),""))</f>
        <v/>
      </c>
    </row>
    <row r="2952">
      <c r="A2952">
        <f>IFERROR(INDEX($N$4:$N$3183,MATCH(SMALL($V$4:$V$3183,2949),$V$4:$V$3183,0)),"")</f>
        <v/>
      </c>
      <c r="B2952">
        <f>IFERROR(INDEX($O$4:$O$3183,MATCH(SMALL($V$4:$V$3183,2949),$V$4:$V$3183,0)),"")</f>
        <v/>
      </c>
      <c r="C2952">
        <f>IFERROR(INDEX($P$4:$P$3183,MATCH(SMALL($V$4:$V$3183,2949),$V$4:$V$3183,0)),"")</f>
        <v/>
      </c>
      <c r="D2952" s="29">
        <f>IFERROR(INDEX($Q$4:$Q$3183,MATCH(SMALL($V$4:$V$3183,2949),$V$4:$V$3183,0)),"")</f>
        <v/>
      </c>
      <c r="E2952" s="29">
        <f>IFERROR(INDEX($R$4:$R$3183,MATCH(SMALL($V$4:$V$3183,2949),$V$4:$V$3183,0)),"")</f>
        <v/>
      </c>
      <c r="F2952">
        <f>IFERROR(INDEX($S$4:$S$3183,MATCH(SMALL($V$4:$V$3183,2949),$V$4:$V$3183,0)),"")</f>
        <v/>
      </c>
      <c r="I2952" s="29">
        <f>IF($B2952="","",IFERROR(INDEX($U$4:$U$3183,MATCH(SMALL($V$4:$V$3183,2949),$V$4:$V$3183,0)),""))</f>
        <v/>
      </c>
      <c r="J2952">
        <f>IF($B2952="","",IF($D2952&gt;$F$2,"À venir",IF($E2952&lt;$D$2,"Passé","Dans la période")))</f>
        <v/>
      </c>
      <c r="K2952">
        <f>IF(OR($B2952="",NOT(ISNUMBER($D2952))),"",IF(AND($E2952&lt;$D$2,$G2952&lt;&gt;"X",$F2952&lt;&gt;"Réalisé",$F2952&lt;&gt;"Clôturé"),"RETARD",""))</f>
        <v/>
      </c>
      <c r="L2952">
        <f>IF(OR($B2952="",NOT(ISNUMBER($D2952))),"",IF(AND($D2952&gt;=$D$2,$D2952&lt;=$H$2,$G2952&lt;&gt;"X",$F2952&lt;&gt;"Réalisé",$F2952&lt;&gt;"Clôturé"),"≤ 7 j",""))</f>
        <v/>
      </c>
      <c r="M2952" s="29">
        <f>IF($B2952="","",IFERROR(INDEX($T$4:$T$3183,MATCH(SMALL($V$4:$V$3183,2949),$V$4:$V$3183,0)),""))</f>
        <v/>
      </c>
      <c r="O2952">
        <f>IF(INDEX(Suivi!$B:$B,3008)="","",INDEX(Suivi!$B:$B,3008))</f>
        <v/>
      </c>
      <c r="P2952">
        <f>IF($O2952="","",IF(INDEX(Suivi!$D:$D,3008)="",INDEX(Suivi!$C:$C,3008),INDEX(Suivi!$D:$D,3008)))</f>
        <v/>
      </c>
      <c r="Q2952">
        <f>IF($O2952="","",INDEX(Suivi!$E:$E,3008))</f>
        <v/>
      </c>
      <c r="R2952">
        <f>IF($O2952="","",INDEX(Suivi!$F:$F,3008))</f>
        <v/>
      </c>
      <c r="S2952">
        <f>IF($O2952="","",INDEX(Suivi!$G:$G,3008))</f>
        <v/>
      </c>
      <c r="T2952">
        <f>IF($O2952="","",IF(INDEX(Dossiers!$F$4:$F$63,56)="","",INDEX(Dossiers!$F$4:$F$63,56)))</f>
        <v/>
      </c>
      <c r="U2952">
        <f>IF($O2952="","",IF(INDEX(Dossiers!$G$4:$G$63,56)="","",INDEX(Dossiers!$G$4:$G$63,56)))</f>
        <v/>
      </c>
      <c r="V2952">
        <f>IF(OR($O2952="",NOT(ISNUMBER($Q2952))),"",$Q2952*1000000+2952)</f>
        <v/>
      </c>
      <c r="W2952" s="29">
        <f>IF($B2952="","",IFERROR(INDEX($U$4:$U$3183,MATCH(SMALL($V$4:$V$3183,2949),$V$4:$V$3183,0)),""))</f>
        <v/>
      </c>
    </row>
    <row r="2953">
      <c r="A2953">
        <f>IFERROR(INDEX($N$4:$N$3183,MATCH(SMALL($V$4:$V$3183,2950),$V$4:$V$3183,0)),"")</f>
        <v/>
      </c>
      <c r="B2953">
        <f>IFERROR(INDEX($O$4:$O$3183,MATCH(SMALL($V$4:$V$3183,2950),$V$4:$V$3183,0)),"")</f>
        <v/>
      </c>
      <c r="C2953">
        <f>IFERROR(INDEX($P$4:$P$3183,MATCH(SMALL($V$4:$V$3183,2950),$V$4:$V$3183,0)),"")</f>
        <v/>
      </c>
      <c r="D2953" s="29">
        <f>IFERROR(INDEX($Q$4:$Q$3183,MATCH(SMALL($V$4:$V$3183,2950),$V$4:$V$3183,0)),"")</f>
        <v/>
      </c>
      <c r="E2953" s="29">
        <f>IFERROR(INDEX($R$4:$R$3183,MATCH(SMALL($V$4:$V$3183,2950),$V$4:$V$3183,0)),"")</f>
        <v/>
      </c>
      <c r="F2953">
        <f>IFERROR(INDEX($S$4:$S$3183,MATCH(SMALL($V$4:$V$3183,2950),$V$4:$V$3183,0)),"")</f>
        <v/>
      </c>
      <c r="I2953" s="29">
        <f>IF($B2953="","",IFERROR(INDEX($U$4:$U$3183,MATCH(SMALL($V$4:$V$3183,2950),$V$4:$V$3183,0)),""))</f>
        <v/>
      </c>
      <c r="J2953">
        <f>IF($B2953="","",IF($D2953&gt;$F$2,"À venir",IF($E2953&lt;$D$2,"Passé","Dans la période")))</f>
        <v/>
      </c>
      <c r="K2953">
        <f>IF(OR($B2953="",NOT(ISNUMBER($D2953))),"",IF(AND($E2953&lt;$D$2,$G2953&lt;&gt;"X",$F2953&lt;&gt;"Réalisé",$F2953&lt;&gt;"Clôturé"),"RETARD",""))</f>
        <v/>
      </c>
      <c r="L2953">
        <f>IF(OR($B2953="",NOT(ISNUMBER($D2953))),"",IF(AND($D2953&gt;=$D$2,$D2953&lt;=$H$2,$G2953&lt;&gt;"X",$F2953&lt;&gt;"Réalisé",$F2953&lt;&gt;"Clôturé"),"≤ 7 j",""))</f>
        <v/>
      </c>
      <c r="M2953" s="29">
        <f>IF($B2953="","",IFERROR(INDEX($T$4:$T$3183,MATCH(SMALL($V$4:$V$3183,2950),$V$4:$V$3183,0)),""))</f>
        <v/>
      </c>
      <c r="O2953">
        <f>IF(INDEX(Suivi!$B:$B,3009)="","",INDEX(Suivi!$B:$B,3009))</f>
        <v/>
      </c>
      <c r="P2953">
        <f>IF($O2953="","",IF(INDEX(Suivi!$D:$D,3009)="",INDEX(Suivi!$C:$C,3009),INDEX(Suivi!$D:$D,3009)))</f>
        <v/>
      </c>
      <c r="Q2953">
        <f>IF($O2953="","",INDEX(Suivi!$E:$E,3009))</f>
        <v/>
      </c>
      <c r="R2953">
        <f>IF($O2953="","",INDEX(Suivi!$F:$F,3009))</f>
        <v/>
      </c>
      <c r="S2953">
        <f>IF($O2953="","",INDEX(Suivi!$G:$G,3009))</f>
        <v/>
      </c>
      <c r="T2953">
        <f>IF($O2953="","",IF(INDEX(Dossiers!$F$4:$F$63,56)="","",INDEX(Dossiers!$F$4:$F$63,56)))</f>
        <v/>
      </c>
      <c r="U2953">
        <f>IF($O2953="","",IF(INDEX(Dossiers!$G$4:$G$63,56)="","",INDEX(Dossiers!$G$4:$G$63,56)))</f>
        <v/>
      </c>
      <c r="V2953">
        <f>IF(OR($O2953="",NOT(ISNUMBER($Q2953))),"",$Q2953*1000000+2953)</f>
        <v/>
      </c>
      <c r="W2953" s="29">
        <f>IF($B2953="","",IFERROR(INDEX($U$4:$U$3183,MATCH(SMALL($V$4:$V$3183,2950),$V$4:$V$3183,0)),""))</f>
        <v/>
      </c>
    </row>
    <row r="2954">
      <c r="A2954">
        <f>IFERROR(INDEX($N$4:$N$3183,MATCH(SMALL($V$4:$V$3183,2951),$V$4:$V$3183,0)),"")</f>
        <v/>
      </c>
      <c r="B2954">
        <f>IFERROR(INDEX($O$4:$O$3183,MATCH(SMALL($V$4:$V$3183,2951),$V$4:$V$3183,0)),"")</f>
        <v/>
      </c>
      <c r="C2954">
        <f>IFERROR(INDEX($P$4:$P$3183,MATCH(SMALL($V$4:$V$3183,2951),$V$4:$V$3183,0)),"")</f>
        <v/>
      </c>
      <c r="D2954" s="29">
        <f>IFERROR(INDEX($Q$4:$Q$3183,MATCH(SMALL($V$4:$V$3183,2951),$V$4:$V$3183,0)),"")</f>
        <v/>
      </c>
      <c r="E2954" s="29">
        <f>IFERROR(INDEX($R$4:$R$3183,MATCH(SMALL($V$4:$V$3183,2951),$V$4:$V$3183,0)),"")</f>
        <v/>
      </c>
      <c r="F2954">
        <f>IFERROR(INDEX($S$4:$S$3183,MATCH(SMALL($V$4:$V$3183,2951),$V$4:$V$3183,0)),"")</f>
        <v/>
      </c>
      <c r="I2954" s="29">
        <f>IF($B2954="","",IFERROR(INDEX($U$4:$U$3183,MATCH(SMALL($V$4:$V$3183,2951),$V$4:$V$3183,0)),""))</f>
        <v/>
      </c>
      <c r="J2954">
        <f>IF($B2954="","",IF($D2954&gt;$F$2,"À venir",IF($E2954&lt;$D$2,"Passé","Dans la période")))</f>
        <v/>
      </c>
      <c r="K2954">
        <f>IF(OR($B2954="",NOT(ISNUMBER($D2954))),"",IF(AND($E2954&lt;$D$2,$G2954&lt;&gt;"X",$F2954&lt;&gt;"Réalisé",$F2954&lt;&gt;"Clôturé"),"RETARD",""))</f>
        <v/>
      </c>
      <c r="L2954">
        <f>IF(OR($B2954="",NOT(ISNUMBER($D2954))),"",IF(AND($D2954&gt;=$D$2,$D2954&lt;=$H$2,$G2954&lt;&gt;"X",$F2954&lt;&gt;"Réalisé",$F2954&lt;&gt;"Clôturé"),"≤ 7 j",""))</f>
        <v/>
      </c>
      <c r="M2954" s="29">
        <f>IF($B2954="","",IFERROR(INDEX($T$4:$T$3183,MATCH(SMALL($V$4:$V$3183,2951),$V$4:$V$3183,0)),""))</f>
        <v/>
      </c>
      <c r="O2954">
        <f>IF(INDEX(Suivi!$B:$B,3010)="","",INDEX(Suivi!$B:$B,3010))</f>
        <v/>
      </c>
      <c r="P2954">
        <f>IF($O2954="","",IF(INDEX(Suivi!$D:$D,3010)="",INDEX(Suivi!$C:$C,3010),INDEX(Suivi!$D:$D,3010)))</f>
        <v/>
      </c>
      <c r="Q2954">
        <f>IF($O2954="","",INDEX(Suivi!$E:$E,3010))</f>
        <v/>
      </c>
      <c r="R2954">
        <f>IF($O2954="","",INDEX(Suivi!$F:$F,3010))</f>
        <v/>
      </c>
      <c r="S2954">
        <f>IF($O2954="","",INDEX(Suivi!$G:$G,3010))</f>
        <v/>
      </c>
      <c r="T2954">
        <f>IF($O2954="","",IF(INDEX(Dossiers!$F$4:$F$63,56)="","",INDEX(Dossiers!$F$4:$F$63,56)))</f>
        <v/>
      </c>
      <c r="U2954">
        <f>IF($O2954="","",IF(INDEX(Dossiers!$G$4:$G$63,56)="","",INDEX(Dossiers!$G$4:$G$63,56)))</f>
        <v/>
      </c>
      <c r="V2954">
        <f>IF(OR($O2954="",NOT(ISNUMBER($Q2954))),"",$Q2954*1000000+2954)</f>
        <v/>
      </c>
      <c r="W2954" s="29">
        <f>IF($B2954="","",IFERROR(INDEX($U$4:$U$3183,MATCH(SMALL($V$4:$V$3183,2951),$V$4:$V$3183,0)),""))</f>
        <v/>
      </c>
    </row>
    <row r="2955">
      <c r="A2955">
        <f>IFERROR(INDEX($N$4:$N$3183,MATCH(SMALL($V$4:$V$3183,2952),$V$4:$V$3183,0)),"")</f>
        <v/>
      </c>
      <c r="B2955">
        <f>IFERROR(INDEX($O$4:$O$3183,MATCH(SMALL($V$4:$V$3183,2952),$V$4:$V$3183,0)),"")</f>
        <v/>
      </c>
      <c r="C2955">
        <f>IFERROR(INDEX($P$4:$P$3183,MATCH(SMALL($V$4:$V$3183,2952),$V$4:$V$3183,0)),"")</f>
        <v/>
      </c>
      <c r="D2955" s="29">
        <f>IFERROR(INDEX($Q$4:$Q$3183,MATCH(SMALL($V$4:$V$3183,2952),$V$4:$V$3183,0)),"")</f>
        <v/>
      </c>
      <c r="E2955" s="29">
        <f>IFERROR(INDEX($R$4:$R$3183,MATCH(SMALL($V$4:$V$3183,2952),$V$4:$V$3183,0)),"")</f>
        <v/>
      </c>
      <c r="F2955">
        <f>IFERROR(INDEX($S$4:$S$3183,MATCH(SMALL($V$4:$V$3183,2952),$V$4:$V$3183,0)),"")</f>
        <v/>
      </c>
      <c r="I2955" s="29">
        <f>IF($B2955="","",IFERROR(INDEX($U$4:$U$3183,MATCH(SMALL($V$4:$V$3183,2952),$V$4:$V$3183,0)),""))</f>
        <v/>
      </c>
      <c r="J2955">
        <f>IF($B2955="","",IF($D2955&gt;$F$2,"À venir",IF($E2955&lt;$D$2,"Passé","Dans la période")))</f>
        <v/>
      </c>
      <c r="K2955">
        <f>IF(OR($B2955="",NOT(ISNUMBER($D2955))),"",IF(AND($E2955&lt;$D$2,$G2955&lt;&gt;"X",$F2955&lt;&gt;"Réalisé",$F2955&lt;&gt;"Clôturé"),"RETARD",""))</f>
        <v/>
      </c>
      <c r="L2955">
        <f>IF(OR($B2955="",NOT(ISNUMBER($D2955))),"",IF(AND($D2955&gt;=$D$2,$D2955&lt;=$H$2,$G2955&lt;&gt;"X",$F2955&lt;&gt;"Réalisé",$F2955&lt;&gt;"Clôturé"),"≤ 7 j",""))</f>
        <v/>
      </c>
      <c r="M2955" s="29">
        <f>IF($B2955="","",IFERROR(INDEX($T$4:$T$3183,MATCH(SMALL($V$4:$V$3183,2952),$V$4:$V$3183,0)),""))</f>
        <v/>
      </c>
      <c r="O2955">
        <f>IF(INDEX(Suivi!$B:$B,3011)="","",INDEX(Suivi!$B:$B,3011))</f>
        <v/>
      </c>
      <c r="P2955">
        <f>IF($O2955="","",IF(INDEX(Suivi!$D:$D,3011)="",INDEX(Suivi!$C:$C,3011),INDEX(Suivi!$D:$D,3011)))</f>
        <v/>
      </c>
      <c r="Q2955">
        <f>IF($O2955="","",INDEX(Suivi!$E:$E,3011))</f>
        <v/>
      </c>
      <c r="R2955">
        <f>IF($O2955="","",INDEX(Suivi!$F:$F,3011))</f>
        <v/>
      </c>
      <c r="S2955">
        <f>IF($O2955="","",INDEX(Suivi!$G:$G,3011))</f>
        <v/>
      </c>
      <c r="T2955">
        <f>IF($O2955="","",IF(INDEX(Dossiers!$F$4:$F$63,56)="","",INDEX(Dossiers!$F$4:$F$63,56)))</f>
        <v/>
      </c>
      <c r="U2955">
        <f>IF($O2955="","",IF(INDEX(Dossiers!$G$4:$G$63,56)="","",INDEX(Dossiers!$G$4:$G$63,56)))</f>
        <v/>
      </c>
      <c r="V2955">
        <f>IF(OR($O2955="",NOT(ISNUMBER($Q2955))),"",$Q2955*1000000+2955)</f>
        <v/>
      </c>
      <c r="W2955" s="29">
        <f>IF($B2955="","",IFERROR(INDEX($U$4:$U$3183,MATCH(SMALL($V$4:$V$3183,2952),$V$4:$V$3183,0)),""))</f>
        <v/>
      </c>
    </row>
    <row r="2956">
      <c r="A2956">
        <f>IFERROR(INDEX($N$4:$N$3183,MATCH(SMALL($V$4:$V$3183,2953),$V$4:$V$3183,0)),"")</f>
        <v/>
      </c>
      <c r="B2956">
        <f>IFERROR(INDEX($O$4:$O$3183,MATCH(SMALL($V$4:$V$3183,2953),$V$4:$V$3183,0)),"")</f>
        <v/>
      </c>
      <c r="C2956">
        <f>IFERROR(INDEX($P$4:$P$3183,MATCH(SMALL($V$4:$V$3183,2953),$V$4:$V$3183,0)),"")</f>
        <v/>
      </c>
      <c r="D2956" s="29">
        <f>IFERROR(INDEX($Q$4:$Q$3183,MATCH(SMALL($V$4:$V$3183,2953),$V$4:$V$3183,0)),"")</f>
        <v/>
      </c>
      <c r="E2956" s="29">
        <f>IFERROR(INDEX($R$4:$R$3183,MATCH(SMALL($V$4:$V$3183,2953),$V$4:$V$3183,0)),"")</f>
        <v/>
      </c>
      <c r="F2956">
        <f>IFERROR(INDEX($S$4:$S$3183,MATCH(SMALL($V$4:$V$3183,2953),$V$4:$V$3183,0)),"")</f>
        <v/>
      </c>
      <c r="I2956" s="29">
        <f>IF($B2956="","",IFERROR(INDEX($U$4:$U$3183,MATCH(SMALL($V$4:$V$3183,2953),$V$4:$V$3183,0)),""))</f>
        <v/>
      </c>
      <c r="J2956">
        <f>IF($B2956="","",IF($D2956&gt;$F$2,"À venir",IF($E2956&lt;$D$2,"Passé","Dans la période")))</f>
        <v/>
      </c>
      <c r="K2956">
        <f>IF(OR($B2956="",NOT(ISNUMBER($D2956))),"",IF(AND($E2956&lt;$D$2,$G2956&lt;&gt;"X",$F2956&lt;&gt;"Réalisé",$F2956&lt;&gt;"Clôturé"),"RETARD",""))</f>
        <v/>
      </c>
      <c r="L2956">
        <f>IF(OR($B2956="",NOT(ISNUMBER($D2956))),"",IF(AND($D2956&gt;=$D$2,$D2956&lt;=$H$2,$G2956&lt;&gt;"X",$F2956&lt;&gt;"Réalisé",$F2956&lt;&gt;"Clôturé"),"≤ 7 j",""))</f>
        <v/>
      </c>
      <c r="M2956" s="29">
        <f>IF($B2956="","",IFERROR(INDEX($T$4:$T$3183,MATCH(SMALL($V$4:$V$3183,2953),$V$4:$V$3183,0)),""))</f>
        <v/>
      </c>
      <c r="O2956">
        <f>IF(INDEX(Suivi!$B:$B,3012)="","",INDEX(Suivi!$B:$B,3012))</f>
        <v/>
      </c>
      <c r="P2956">
        <f>IF($O2956="","",IF(INDEX(Suivi!$D:$D,3012)="",INDEX(Suivi!$C:$C,3012),INDEX(Suivi!$D:$D,3012)))</f>
        <v/>
      </c>
      <c r="Q2956">
        <f>IF($O2956="","",INDEX(Suivi!$E:$E,3012))</f>
        <v/>
      </c>
      <c r="R2956">
        <f>IF($O2956="","",INDEX(Suivi!$F:$F,3012))</f>
        <v/>
      </c>
      <c r="S2956">
        <f>IF($O2956="","",INDEX(Suivi!$G:$G,3012))</f>
        <v/>
      </c>
      <c r="T2956">
        <f>IF($O2956="","",IF(INDEX(Dossiers!$F$4:$F$63,56)="","",INDEX(Dossiers!$F$4:$F$63,56)))</f>
        <v/>
      </c>
      <c r="U2956">
        <f>IF($O2956="","",IF(INDEX(Dossiers!$G$4:$G$63,56)="","",INDEX(Dossiers!$G$4:$G$63,56)))</f>
        <v/>
      </c>
      <c r="V2956">
        <f>IF(OR($O2956="",NOT(ISNUMBER($Q2956))),"",$Q2956*1000000+2956)</f>
        <v/>
      </c>
      <c r="W2956" s="29">
        <f>IF($B2956="","",IFERROR(INDEX($U$4:$U$3183,MATCH(SMALL($V$4:$V$3183,2953),$V$4:$V$3183,0)),""))</f>
        <v/>
      </c>
    </row>
    <row r="2957">
      <c r="A2957">
        <f>IFERROR(INDEX($N$4:$N$3183,MATCH(SMALL($V$4:$V$3183,2954),$V$4:$V$3183,0)),"")</f>
        <v/>
      </c>
      <c r="B2957">
        <f>IFERROR(INDEX($O$4:$O$3183,MATCH(SMALL($V$4:$V$3183,2954),$V$4:$V$3183,0)),"")</f>
        <v/>
      </c>
      <c r="C2957">
        <f>IFERROR(INDEX($P$4:$P$3183,MATCH(SMALL($V$4:$V$3183,2954),$V$4:$V$3183,0)),"")</f>
        <v/>
      </c>
      <c r="D2957" s="29">
        <f>IFERROR(INDEX($Q$4:$Q$3183,MATCH(SMALL($V$4:$V$3183,2954),$V$4:$V$3183,0)),"")</f>
        <v/>
      </c>
      <c r="E2957" s="29">
        <f>IFERROR(INDEX($R$4:$R$3183,MATCH(SMALL($V$4:$V$3183,2954),$V$4:$V$3183,0)),"")</f>
        <v/>
      </c>
      <c r="F2957">
        <f>IFERROR(INDEX($S$4:$S$3183,MATCH(SMALL($V$4:$V$3183,2954),$V$4:$V$3183,0)),"")</f>
        <v/>
      </c>
      <c r="I2957" s="29">
        <f>IF($B2957="","",IFERROR(INDEX($U$4:$U$3183,MATCH(SMALL($V$4:$V$3183,2954),$V$4:$V$3183,0)),""))</f>
        <v/>
      </c>
      <c r="J2957">
        <f>IF($B2957="","",IF($D2957&gt;$F$2,"À venir",IF($E2957&lt;$D$2,"Passé","Dans la période")))</f>
        <v/>
      </c>
      <c r="K2957">
        <f>IF(OR($B2957="",NOT(ISNUMBER($D2957))),"",IF(AND($E2957&lt;$D$2,$G2957&lt;&gt;"X",$F2957&lt;&gt;"Réalisé",$F2957&lt;&gt;"Clôturé"),"RETARD",""))</f>
        <v/>
      </c>
      <c r="L2957">
        <f>IF(OR($B2957="",NOT(ISNUMBER($D2957))),"",IF(AND($D2957&gt;=$D$2,$D2957&lt;=$H$2,$G2957&lt;&gt;"X",$F2957&lt;&gt;"Réalisé",$F2957&lt;&gt;"Clôturé"),"≤ 7 j",""))</f>
        <v/>
      </c>
      <c r="M2957" s="29">
        <f>IF($B2957="","",IFERROR(INDEX($T$4:$T$3183,MATCH(SMALL($V$4:$V$3183,2954),$V$4:$V$3183,0)),""))</f>
        <v/>
      </c>
      <c r="O2957">
        <f>IF(INDEX(Suivi!$B:$B,3013)="","",INDEX(Suivi!$B:$B,3013))</f>
        <v/>
      </c>
      <c r="P2957">
        <f>IF($O2957="","",IF(INDEX(Suivi!$D:$D,3013)="",INDEX(Suivi!$C:$C,3013),INDEX(Suivi!$D:$D,3013)))</f>
        <v/>
      </c>
      <c r="Q2957">
        <f>IF($O2957="","",INDEX(Suivi!$E:$E,3013))</f>
        <v/>
      </c>
      <c r="R2957">
        <f>IF($O2957="","",INDEX(Suivi!$F:$F,3013))</f>
        <v/>
      </c>
      <c r="S2957">
        <f>IF($O2957="","",INDEX(Suivi!$G:$G,3013))</f>
        <v/>
      </c>
      <c r="T2957">
        <f>IF($O2957="","",IF(INDEX(Dossiers!$F$4:$F$63,56)="","",INDEX(Dossiers!$F$4:$F$63,56)))</f>
        <v/>
      </c>
      <c r="U2957">
        <f>IF($O2957="","",IF(INDEX(Dossiers!$G$4:$G$63,56)="","",INDEX(Dossiers!$G$4:$G$63,56)))</f>
        <v/>
      </c>
      <c r="V2957">
        <f>IF(OR($O2957="",NOT(ISNUMBER($Q2957))),"",$Q2957*1000000+2957)</f>
        <v/>
      </c>
      <c r="W2957" s="29">
        <f>IF($B2957="","",IFERROR(INDEX($U$4:$U$3183,MATCH(SMALL($V$4:$V$3183,2954),$V$4:$V$3183,0)),""))</f>
        <v/>
      </c>
    </row>
    <row r="2958">
      <c r="A2958">
        <f>IFERROR(INDEX($N$4:$N$3183,MATCH(SMALL($V$4:$V$3183,2955),$V$4:$V$3183,0)),"")</f>
        <v/>
      </c>
      <c r="B2958">
        <f>IFERROR(INDEX($O$4:$O$3183,MATCH(SMALL($V$4:$V$3183,2955),$V$4:$V$3183,0)),"")</f>
        <v/>
      </c>
      <c r="C2958">
        <f>IFERROR(INDEX($P$4:$P$3183,MATCH(SMALL($V$4:$V$3183,2955),$V$4:$V$3183,0)),"")</f>
        <v/>
      </c>
      <c r="D2958" s="29">
        <f>IFERROR(INDEX($Q$4:$Q$3183,MATCH(SMALL($V$4:$V$3183,2955),$V$4:$V$3183,0)),"")</f>
        <v/>
      </c>
      <c r="E2958" s="29">
        <f>IFERROR(INDEX($R$4:$R$3183,MATCH(SMALL($V$4:$V$3183,2955),$V$4:$V$3183,0)),"")</f>
        <v/>
      </c>
      <c r="F2958">
        <f>IFERROR(INDEX($S$4:$S$3183,MATCH(SMALL($V$4:$V$3183,2955),$V$4:$V$3183,0)),"")</f>
        <v/>
      </c>
      <c r="I2958" s="29">
        <f>IF($B2958="","",IFERROR(INDEX($U$4:$U$3183,MATCH(SMALL($V$4:$V$3183,2955),$V$4:$V$3183,0)),""))</f>
        <v/>
      </c>
      <c r="J2958">
        <f>IF($B2958="","",IF($D2958&gt;$F$2,"À venir",IF($E2958&lt;$D$2,"Passé","Dans la période")))</f>
        <v/>
      </c>
      <c r="K2958">
        <f>IF(OR($B2958="",NOT(ISNUMBER($D2958))),"",IF(AND($E2958&lt;$D$2,$G2958&lt;&gt;"X",$F2958&lt;&gt;"Réalisé",$F2958&lt;&gt;"Clôturé"),"RETARD",""))</f>
        <v/>
      </c>
      <c r="L2958">
        <f>IF(OR($B2958="",NOT(ISNUMBER($D2958))),"",IF(AND($D2958&gt;=$D$2,$D2958&lt;=$H$2,$G2958&lt;&gt;"X",$F2958&lt;&gt;"Réalisé",$F2958&lt;&gt;"Clôturé"),"≤ 7 j",""))</f>
        <v/>
      </c>
      <c r="M2958" s="29">
        <f>IF($B2958="","",IFERROR(INDEX($T$4:$T$3183,MATCH(SMALL($V$4:$V$3183,2955),$V$4:$V$3183,0)),""))</f>
        <v/>
      </c>
      <c r="O2958">
        <f>IF(INDEX(Suivi!$B:$B,3014)="","",INDEX(Suivi!$B:$B,3014))</f>
        <v/>
      </c>
      <c r="P2958">
        <f>IF($O2958="","",IF(INDEX(Suivi!$D:$D,3014)="",INDEX(Suivi!$C:$C,3014),INDEX(Suivi!$D:$D,3014)))</f>
        <v/>
      </c>
      <c r="Q2958">
        <f>IF($O2958="","",INDEX(Suivi!$E:$E,3014))</f>
        <v/>
      </c>
      <c r="R2958">
        <f>IF($O2958="","",INDEX(Suivi!$F:$F,3014))</f>
        <v/>
      </c>
      <c r="S2958">
        <f>IF($O2958="","",INDEX(Suivi!$G:$G,3014))</f>
        <v/>
      </c>
      <c r="T2958">
        <f>IF($O2958="","",IF(INDEX(Dossiers!$F$4:$F$63,56)="","",INDEX(Dossiers!$F$4:$F$63,56)))</f>
        <v/>
      </c>
      <c r="U2958">
        <f>IF($O2958="","",IF(INDEX(Dossiers!$G$4:$G$63,56)="","",INDEX(Dossiers!$G$4:$G$63,56)))</f>
        <v/>
      </c>
      <c r="V2958">
        <f>IF(OR($O2958="",NOT(ISNUMBER($Q2958))),"",$Q2958*1000000+2958)</f>
        <v/>
      </c>
      <c r="W2958" s="29">
        <f>IF($B2958="","",IFERROR(INDEX($U$4:$U$3183,MATCH(SMALL($V$4:$V$3183,2955),$V$4:$V$3183,0)),""))</f>
        <v/>
      </c>
    </row>
    <row r="2959">
      <c r="A2959">
        <f>IFERROR(INDEX($N$4:$N$3183,MATCH(SMALL($V$4:$V$3183,2956),$V$4:$V$3183,0)),"")</f>
        <v/>
      </c>
      <c r="B2959">
        <f>IFERROR(INDEX($O$4:$O$3183,MATCH(SMALL($V$4:$V$3183,2956),$V$4:$V$3183,0)),"")</f>
        <v/>
      </c>
      <c r="C2959">
        <f>IFERROR(INDEX($P$4:$P$3183,MATCH(SMALL($V$4:$V$3183,2956),$V$4:$V$3183,0)),"")</f>
        <v/>
      </c>
      <c r="D2959" s="29">
        <f>IFERROR(INDEX($Q$4:$Q$3183,MATCH(SMALL($V$4:$V$3183,2956),$V$4:$V$3183,0)),"")</f>
        <v/>
      </c>
      <c r="E2959" s="29">
        <f>IFERROR(INDEX($R$4:$R$3183,MATCH(SMALL($V$4:$V$3183,2956),$V$4:$V$3183,0)),"")</f>
        <v/>
      </c>
      <c r="F2959">
        <f>IFERROR(INDEX($S$4:$S$3183,MATCH(SMALL($V$4:$V$3183,2956),$V$4:$V$3183,0)),"")</f>
        <v/>
      </c>
      <c r="I2959" s="29">
        <f>IF($B2959="","",IFERROR(INDEX($U$4:$U$3183,MATCH(SMALL($V$4:$V$3183,2956),$V$4:$V$3183,0)),""))</f>
        <v/>
      </c>
      <c r="J2959">
        <f>IF($B2959="","",IF($D2959&gt;$F$2,"À venir",IF($E2959&lt;$D$2,"Passé","Dans la période")))</f>
        <v/>
      </c>
      <c r="K2959">
        <f>IF(OR($B2959="",NOT(ISNUMBER($D2959))),"",IF(AND($E2959&lt;$D$2,$G2959&lt;&gt;"X",$F2959&lt;&gt;"Réalisé",$F2959&lt;&gt;"Clôturé"),"RETARD",""))</f>
        <v/>
      </c>
      <c r="L2959">
        <f>IF(OR($B2959="",NOT(ISNUMBER($D2959))),"",IF(AND($D2959&gt;=$D$2,$D2959&lt;=$H$2,$G2959&lt;&gt;"X",$F2959&lt;&gt;"Réalisé",$F2959&lt;&gt;"Clôturé"),"≤ 7 j",""))</f>
        <v/>
      </c>
      <c r="M2959" s="29">
        <f>IF($B2959="","",IFERROR(INDEX($T$4:$T$3183,MATCH(SMALL($V$4:$V$3183,2956),$V$4:$V$3183,0)),""))</f>
        <v/>
      </c>
      <c r="O2959">
        <f>IF(INDEX(Suivi!$B:$B,3015)="","",INDEX(Suivi!$B:$B,3015))</f>
        <v/>
      </c>
      <c r="P2959">
        <f>IF($O2959="","",IF(INDEX(Suivi!$D:$D,3015)="",INDEX(Suivi!$C:$C,3015),INDEX(Suivi!$D:$D,3015)))</f>
        <v/>
      </c>
      <c r="Q2959">
        <f>IF($O2959="","",INDEX(Suivi!$E:$E,3015))</f>
        <v/>
      </c>
      <c r="R2959">
        <f>IF($O2959="","",INDEX(Suivi!$F:$F,3015))</f>
        <v/>
      </c>
      <c r="S2959">
        <f>IF($O2959="","",INDEX(Suivi!$G:$G,3015))</f>
        <v/>
      </c>
      <c r="T2959">
        <f>IF($O2959="","",IF(INDEX(Dossiers!$F$4:$F$63,56)="","",INDEX(Dossiers!$F$4:$F$63,56)))</f>
        <v/>
      </c>
      <c r="U2959">
        <f>IF($O2959="","",IF(INDEX(Dossiers!$G$4:$G$63,56)="","",INDEX(Dossiers!$G$4:$G$63,56)))</f>
        <v/>
      </c>
      <c r="V2959">
        <f>IF(OR($O2959="",NOT(ISNUMBER($Q2959))),"",$Q2959*1000000+2959)</f>
        <v/>
      </c>
      <c r="W2959" s="29">
        <f>IF($B2959="","",IFERROR(INDEX($U$4:$U$3183,MATCH(SMALL($V$4:$V$3183,2956),$V$4:$V$3183,0)),""))</f>
        <v/>
      </c>
    </row>
    <row r="2960">
      <c r="A2960">
        <f>IFERROR(INDEX($N$4:$N$3183,MATCH(SMALL($V$4:$V$3183,2957),$V$4:$V$3183,0)),"")</f>
        <v/>
      </c>
      <c r="B2960">
        <f>IFERROR(INDEX($O$4:$O$3183,MATCH(SMALL($V$4:$V$3183,2957),$V$4:$V$3183,0)),"")</f>
        <v/>
      </c>
      <c r="C2960">
        <f>IFERROR(INDEX($P$4:$P$3183,MATCH(SMALL($V$4:$V$3183,2957),$V$4:$V$3183,0)),"")</f>
        <v/>
      </c>
      <c r="D2960" s="29">
        <f>IFERROR(INDEX($Q$4:$Q$3183,MATCH(SMALL($V$4:$V$3183,2957),$V$4:$V$3183,0)),"")</f>
        <v/>
      </c>
      <c r="E2960" s="29">
        <f>IFERROR(INDEX($R$4:$R$3183,MATCH(SMALL($V$4:$V$3183,2957),$V$4:$V$3183,0)),"")</f>
        <v/>
      </c>
      <c r="F2960">
        <f>IFERROR(INDEX($S$4:$S$3183,MATCH(SMALL($V$4:$V$3183,2957),$V$4:$V$3183,0)),"")</f>
        <v/>
      </c>
      <c r="I2960" s="29">
        <f>IF($B2960="","",IFERROR(INDEX($U$4:$U$3183,MATCH(SMALL($V$4:$V$3183,2957),$V$4:$V$3183,0)),""))</f>
        <v/>
      </c>
      <c r="J2960">
        <f>IF($B2960="","",IF($D2960&gt;$F$2,"À venir",IF($E2960&lt;$D$2,"Passé","Dans la période")))</f>
        <v/>
      </c>
      <c r="K2960">
        <f>IF(OR($B2960="",NOT(ISNUMBER($D2960))),"",IF(AND($E2960&lt;$D$2,$G2960&lt;&gt;"X",$F2960&lt;&gt;"Réalisé",$F2960&lt;&gt;"Clôturé"),"RETARD",""))</f>
        <v/>
      </c>
      <c r="L2960">
        <f>IF(OR($B2960="",NOT(ISNUMBER($D2960))),"",IF(AND($D2960&gt;=$D$2,$D2960&lt;=$H$2,$G2960&lt;&gt;"X",$F2960&lt;&gt;"Réalisé",$F2960&lt;&gt;"Clôturé"),"≤ 7 j",""))</f>
        <v/>
      </c>
      <c r="M2960" s="29">
        <f>IF($B2960="","",IFERROR(INDEX($T$4:$T$3183,MATCH(SMALL($V$4:$V$3183,2957),$V$4:$V$3183,0)),""))</f>
        <v/>
      </c>
      <c r="O2960">
        <f>IF(INDEX(Suivi!$B:$B,3016)="","",INDEX(Suivi!$B:$B,3016))</f>
        <v/>
      </c>
      <c r="P2960">
        <f>IF($O2960="","",IF(INDEX(Suivi!$D:$D,3016)="",INDEX(Suivi!$C:$C,3016),INDEX(Suivi!$D:$D,3016)))</f>
        <v/>
      </c>
      <c r="Q2960">
        <f>IF($O2960="","",INDEX(Suivi!$E:$E,3016))</f>
        <v/>
      </c>
      <c r="R2960">
        <f>IF($O2960="","",INDEX(Suivi!$F:$F,3016))</f>
        <v/>
      </c>
      <c r="S2960">
        <f>IF($O2960="","",INDEX(Suivi!$G:$G,3016))</f>
        <v/>
      </c>
      <c r="T2960">
        <f>IF($O2960="","",IF(INDEX(Dossiers!$F$4:$F$63,56)="","",INDEX(Dossiers!$F$4:$F$63,56)))</f>
        <v/>
      </c>
      <c r="U2960">
        <f>IF($O2960="","",IF(INDEX(Dossiers!$G$4:$G$63,56)="","",INDEX(Dossiers!$G$4:$G$63,56)))</f>
        <v/>
      </c>
      <c r="V2960">
        <f>IF(OR($O2960="",NOT(ISNUMBER($Q2960))),"",$Q2960*1000000+2960)</f>
        <v/>
      </c>
      <c r="W2960" s="29">
        <f>IF($B2960="","",IFERROR(INDEX($U$4:$U$3183,MATCH(SMALL($V$4:$V$3183,2957),$V$4:$V$3183,0)),""))</f>
        <v/>
      </c>
    </row>
    <row r="2961">
      <c r="A2961">
        <f>IFERROR(INDEX($N$4:$N$3183,MATCH(SMALL($V$4:$V$3183,2958),$V$4:$V$3183,0)),"")</f>
        <v/>
      </c>
      <c r="B2961">
        <f>IFERROR(INDEX($O$4:$O$3183,MATCH(SMALL($V$4:$V$3183,2958),$V$4:$V$3183,0)),"")</f>
        <v/>
      </c>
      <c r="C2961">
        <f>IFERROR(INDEX($P$4:$P$3183,MATCH(SMALL($V$4:$V$3183,2958),$V$4:$V$3183,0)),"")</f>
        <v/>
      </c>
      <c r="D2961" s="29">
        <f>IFERROR(INDEX($Q$4:$Q$3183,MATCH(SMALL($V$4:$V$3183,2958),$V$4:$V$3183,0)),"")</f>
        <v/>
      </c>
      <c r="E2961" s="29">
        <f>IFERROR(INDEX($R$4:$R$3183,MATCH(SMALL($V$4:$V$3183,2958),$V$4:$V$3183,0)),"")</f>
        <v/>
      </c>
      <c r="F2961">
        <f>IFERROR(INDEX($S$4:$S$3183,MATCH(SMALL($V$4:$V$3183,2958),$V$4:$V$3183,0)),"")</f>
        <v/>
      </c>
      <c r="I2961" s="29">
        <f>IF($B2961="","",IFERROR(INDEX($U$4:$U$3183,MATCH(SMALL($V$4:$V$3183,2958),$V$4:$V$3183,0)),""))</f>
        <v/>
      </c>
      <c r="J2961">
        <f>IF($B2961="","",IF($D2961&gt;$F$2,"À venir",IF($E2961&lt;$D$2,"Passé","Dans la période")))</f>
        <v/>
      </c>
      <c r="K2961">
        <f>IF(OR($B2961="",NOT(ISNUMBER($D2961))),"",IF(AND($E2961&lt;$D$2,$G2961&lt;&gt;"X",$F2961&lt;&gt;"Réalisé",$F2961&lt;&gt;"Clôturé"),"RETARD",""))</f>
        <v/>
      </c>
      <c r="L2961">
        <f>IF(OR($B2961="",NOT(ISNUMBER($D2961))),"",IF(AND($D2961&gt;=$D$2,$D2961&lt;=$H$2,$G2961&lt;&gt;"X",$F2961&lt;&gt;"Réalisé",$F2961&lt;&gt;"Clôturé"),"≤ 7 j",""))</f>
        <v/>
      </c>
      <c r="M2961" s="29">
        <f>IF($B2961="","",IFERROR(INDEX($T$4:$T$3183,MATCH(SMALL($V$4:$V$3183,2958),$V$4:$V$3183,0)),""))</f>
        <v/>
      </c>
      <c r="O2961">
        <f>IF(INDEX(Suivi!$B:$B,3017)="","",INDEX(Suivi!$B:$B,3017))</f>
        <v/>
      </c>
      <c r="P2961">
        <f>IF($O2961="","",IF(INDEX(Suivi!$D:$D,3017)="",INDEX(Suivi!$C:$C,3017),INDEX(Suivi!$D:$D,3017)))</f>
        <v/>
      </c>
      <c r="Q2961">
        <f>IF($O2961="","",INDEX(Suivi!$E:$E,3017))</f>
        <v/>
      </c>
      <c r="R2961">
        <f>IF($O2961="","",INDEX(Suivi!$F:$F,3017))</f>
        <v/>
      </c>
      <c r="S2961">
        <f>IF($O2961="","",INDEX(Suivi!$G:$G,3017))</f>
        <v/>
      </c>
      <c r="T2961">
        <f>IF($O2961="","",IF(INDEX(Dossiers!$F$4:$F$63,56)="","",INDEX(Dossiers!$F$4:$F$63,56)))</f>
        <v/>
      </c>
      <c r="U2961">
        <f>IF($O2961="","",IF(INDEX(Dossiers!$G$4:$G$63,56)="","",INDEX(Dossiers!$G$4:$G$63,56)))</f>
        <v/>
      </c>
      <c r="V2961">
        <f>IF(OR($O2961="",NOT(ISNUMBER($Q2961))),"",$Q2961*1000000+2961)</f>
        <v/>
      </c>
      <c r="W2961" s="29">
        <f>IF($B2961="","",IFERROR(INDEX($U$4:$U$3183,MATCH(SMALL($V$4:$V$3183,2958),$V$4:$V$3183,0)),""))</f>
        <v/>
      </c>
    </row>
    <row r="2962">
      <c r="A2962">
        <f>IFERROR(INDEX($N$4:$N$3183,MATCH(SMALL($V$4:$V$3183,2959),$V$4:$V$3183,0)),"")</f>
        <v/>
      </c>
      <c r="B2962">
        <f>IFERROR(INDEX($O$4:$O$3183,MATCH(SMALL($V$4:$V$3183,2959),$V$4:$V$3183,0)),"")</f>
        <v/>
      </c>
      <c r="C2962">
        <f>IFERROR(INDEX($P$4:$P$3183,MATCH(SMALL($V$4:$V$3183,2959),$V$4:$V$3183,0)),"")</f>
        <v/>
      </c>
      <c r="D2962" s="29">
        <f>IFERROR(INDEX($Q$4:$Q$3183,MATCH(SMALL($V$4:$V$3183,2959),$V$4:$V$3183,0)),"")</f>
        <v/>
      </c>
      <c r="E2962" s="29">
        <f>IFERROR(INDEX($R$4:$R$3183,MATCH(SMALL($V$4:$V$3183,2959),$V$4:$V$3183,0)),"")</f>
        <v/>
      </c>
      <c r="F2962">
        <f>IFERROR(INDEX($S$4:$S$3183,MATCH(SMALL($V$4:$V$3183,2959),$V$4:$V$3183,0)),"")</f>
        <v/>
      </c>
      <c r="I2962" s="29">
        <f>IF($B2962="","",IFERROR(INDEX($U$4:$U$3183,MATCH(SMALL($V$4:$V$3183,2959),$V$4:$V$3183,0)),""))</f>
        <v/>
      </c>
      <c r="J2962">
        <f>IF($B2962="","",IF($D2962&gt;$F$2,"À venir",IF($E2962&lt;$D$2,"Passé","Dans la période")))</f>
        <v/>
      </c>
      <c r="K2962">
        <f>IF(OR($B2962="",NOT(ISNUMBER($D2962))),"",IF(AND($E2962&lt;$D$2,$G2962&lt;&gt;"X",$F2962&lt;&gt;"Réalisé",$F2962&lt;&gt;"Clôturé"),"RETARD",""))</f>
        <v/>
      </c>
      <c r="L2962">
        <f>IF(OR($B2962="",NOT(ISNUMBER($D2962))),"",IF(AND($D2962&gt;=$D$2,$D2962&lt;=$H$2,$G2962&lt;&gt;"X",$F2962&lt;&gt;"Réalisé",$F2962&lt;&gt;"Clôturé"),"≤ 7 j",""))</f>
        <v/>
      </c>
      <c r="M2962" s="29">
        <f>IF($B2962="","",IFERROR(INDEX($T$4:$T$3183,MATCH(SMALL($V$4:$V$3183,2959),$V$4:$V$3183,0)),""))</f>
        <v/>
      </c>
      <c r="O2962">
        <f>IF(INDEX(Suivi!$B:$B,3018)="","",INDEX(Suivi!$B:$B,3018))</f>
        <v/>
      </c>
      <c r="P2962">
        <f>IF($O2962="","",IF(INDEX(Suivi!$D:$D,3018)="",INDEX(Suivi!$C:$C,3018),INDEX(Suivi!$D:$D,3018)))</f>
        <v/>
      </c>
      <c r="Q2962">
        <f>IF($O2962="","",INDEX(Suivi!$E:$E,3018))</f>
        <v/>
      </c>
      <c r="R2962">
        <f>IF($O2962="","",INDEX(Suivi!$F:$F,3018))</f>
        <v/>
      </c>
      <c r="S2962">
        <f>IF($O2962="","",INDEX(Suivi!$G:$G,3018))</f>
        <v/>
      </c>
      <c r="T2962">
        <f>IF($O2962="","",IF(INDEX(Dossiers!$F$4:$F$63,56)="","",INDEX(Dossiers!$F$4:$F$63,56)))</f>
        <v/>
      </c>
      <c r="U2962">
        <f>IF($O2962="","",IF(INDEX(Dossiers!$G$4:$G$63,56)="","",INDEX(Dossiers!$G$4:$G$63,56)))</f>
        <v/>
      </c>
      <c r="V2962">
        <f>IF(OR($O2962="",NOT(ISNUMBER($Q2962))),"",$Q2962*1000000+2962)</f>
        <v/>
      </c>
      <c r="W2962" s="29">
        <f>IF($B2962="","",IFERROR(INDEX($U$4:$U$3183,MATCH(SMALL($V$4:$V$3183,2959),$V$4:$V$3183,0)),""))</f>
        <v/>
      </c>
    </row>
    <row r="2963">
      <c r="A2963">
        <f>IFERROR(INDEX($N$4:$N$3183,MATCH(SMALL($V$4:$V$3183,2960),$V$4:$V$3183,0)),"")</f>
        <v/>
      </c>
      <c r="B2963">
        <f>IFERROR(INDEX($O$4:$O$3183,MATCH(SMALL($V$4:$V$3183,2960),$V$4:$V$3183,0)),"")</f>
        <v/>
      </c>
      <c r="C2963">
        <f>IFERROR(INDEX($P$4:$P$3183,MATCH(SMALL($V$4:$V$3183,2960),$V$4:$V$3183,0)),"")</f>
        <v/>
      </c>
      <c r="D2963" s="29">
        <f>IFERROR(INDEX($Q$4:$Q$3183,MATCH(SMALL($V$4:$V$3183,2960),$V$4:$V$3183,0)),"")</f>
        <v/>
      </c>
      <c r="E2963" s="29">
        <f>IFERROR(INDEX($R$4:$R$3183,MATCH(SMALL($V$4:$V$3183,2960),$V$4:$V$3183,0)),"")</f>
        <v/>
      </c>
      <c r="F2963">
        <f>IFERROR(INDEX($S$4:$S$3183,MATCH(SMALL($V$4:$V$3183,2960),$V$4:$V$3183,0)),"")</f>
        <v/>
      </c>
      <c r="I2963" s="29">
        <f>IF($B2963="","",IFERROR(INDEX($U$4:$U$3183,MATCH(SMALL($V$4:$V$3183,2960),$V$4:$V$3183,0)),""))</f>
        <v/>
      </c>
      <c r="J2963">
        <f>IF($B2963="","",IF($D2963&gt;$F$2,"À venir",IF($E2963&lt;$D$2,"Passé","Dans la période")))</f>
        <v/>
      </c>
      <c r="K2963">
        <f>IF(OR($B2963="",NOT(ISNUMBER($D2963))),"",IF(AND($E2963&lt;$D$2,$G2963&lt;&gt;"X",$F2963&lt;&gt;"Réalisé",$F2963&lt;&gt;"Clôturé"),"RETARD",""))</f>
        <v/>
      </c>
      <c r="L2963">
        <f>IF(OR($B2963="",NOT(ISNUMBER($D2963))),"",IF(AND($D2963&gt;=$D$2,$D2963&lt;=$H$2,$G2963&lt;&gt;"X",$F2963&lt;&gt;"Réalisé",$F2963&lt;&gt;"Clôturé"),"≤ 7 j",""))</f>
        <v/>
      </c>
      <c r="M2963" s="29">
        <f>IF($B2963="","",IFERROR(INDEX($T$4:$T$3183,MATCH(SMALL($V$4:$V$3183,2960),$V$4:$V$3183,0)),""))</f>
        <v/>
      </c>
      <c r="O2963">
        <f>IF(INDEX(Suivi!$B:$B,3019)="","",INDEX(Suivi!$B:$B,3019))</f>
        <v/>
      </c>
      <c r="P2963">
        <f>IF($O2963="","",IF(INDEX(Suivi!$D:$D,3019)="",INDEX(Suivi!$C:$C,3019),INDEX(Suivi!$D:$D,3019)))</f>
        <v/>
      </c>
      <c r="Q2963">
        <f>IF($O2963="","",INDEX(Suivi!$E:$E,3019))</f>
        <v/>
      </c>
      <c r="R2963">
        <f>IF($O2963="","",INDEX(Suivi!$F:$F,3019))</f>
        <v/>
      </c>
      <c r="S2963">
        <f>IF($O2963="","",INDEX(Suivi!$G:$G,3019))</f>
        <v/>
      </c>
      <c r="T2963">
        <f>IF($O2963="","",IF(INDEX(Dossiers!$F$4:$F$63,56)="","",INDEX(Dossiers!$F$4:$F$63,56)))</f>
        <v/>
      </c>
      <c r="U2963">
        <f>IF($O2963="","",IF(INDEX(Dossiers!$G$4:$G$63,56)="","",INDEX(Dossiers!$G$4:$G$63,56)))</f>
        <v/>
      </c>
      <c r="V2963">
        <f>IF(OR($O2963="",NOT(ISNUMBER($Q2963))),"",$Q2963*1000000+2963)</f>
        <v/>
      </c>
      <c r="W2963" s="29">
        <f>IF($B2963="","",IFERROR(INDEX($U$4:$U$3183,MATCH(SMALL($V$4:$V$3183,2960),$V$4:$V$3183,0)),""))</f>
        <v/>
      </c>
    </row>
    <row r="2964">
      <c r="A2964">
        <f>IFERROR(INDEX($N$4:$N$3183,MATCH(SMALL($V$4:$V$3183,2961),$V$4:$V$3183,0)),"")</f>
        <v/>
      </c>
      <c r="B2964">
        <f>IFERROR(INDEX($O$4:$O$3183,MATCH(SMALL($V$4:$V$3183,2961),$V$4:$V$3183,0)),"")</f>
        <v/>
      </c>
      <c r="C2964">
        <f>IFERROR(INDEX($P$4:$P$3183,MATCH(SMALL($V$4:$V$3183,2961),$V$4:$V$3183,0)),"")</f>
        <v/>
      </c>
      <c r="D2964" s="29">
        <f>IFERROR(INDEX($Q$4:$Q$3183,MATCH(SMALL($V$4:$V$3183,2961),$V$4:$V$3183,0)),"")</f>
        <v/>
      </c>
      <c r="E2964" s="29">
        <f>IFERROR(INDEX($R$4:$R$3183,MATCH(SMALL($V$4:$V$3183,2961),$V$4:$V$3183,0)),"")</f>
        <v/>
      </c>
      <c r="F2964">
        <f>IFERROR(INDEX($S$4:$S$3183,MATCH(SMALL($V$4:$V$3183,2961),$V$4:$V$3183,0)),"")</f>
        <v/>
      </c>
      <c r="I2964" s="29">
        <f>IF($B2964="","",IFERROR(INDEX($U$4:$U$3183,MATCH(SMALL($V$4:$V$3183,2961),$V$4:$V$3183,0)),""))</f>
        <v/>
      </c>
      <c r="J2964">
        <f>IF($B2964="","",IF($D2964&gt;$F$2,"À venir",IF($E2964&lt;$D$2,"Passé","Dans la période")))</f>
        <v/>
      </c>
      <c r="K2964">
        <f>IF(OR($B2964="",NOT(ISNUMBER($D2964))),"",IF(AND($E2964&lt;$D$2,$G2964&lt;&gt;"X",$F2964&lt;&gt;"Réalisé",$F2964&lt;&gt;"Clôturé"),"RETARD",""))</f>
        <v/>
      </c>
      <c r="L2964">
        <f>IF(OR($B2964="",NOT(ISNUMBER($D2964))),"",IF(AND($D2964&gt;=$D$2,$D2964&lt;=$H$2,$G2964&lt;&gt;"X",$F2964&lt;&gt;"Réalisé",$F2964&lt;&gt;"Clôturé"),"≤ 7 j",""))</f>
        <v/>
      </c>
      <c r="M2964" s="29">
        <f>IF($B2964="","",IFERROR(INDEX($T$4:$T$3183,MATCH(SMALL($V$4:$V$3183,2961),$V$4:$V$3183,0)),""))</f>
        <v/>
      </c>
      <c r="O2964">
        <f>IF(INDEX(Suivi!$B:$B,3020)="","",INDEX(Suivi!$B:$B,3020))</f>
        <v/>
      </c>
      <c r="P2964">
        <f>IF($O2964="","",IF(INDEX(Suivi!$D:$D,3020)="",INDEX(Suivi!$C:$C,3020),INDEX(Suivi!$D:$D,3020)))</f>
        <v/>
      </c>
      <c r="Q2964">
        <f>IF($O2964="","",INDEX(Suivi!$E:$E,3020))</f>
        <v/>
      </c>
      <c r="R2964">
        <f>IF($O2964="","",INDEX(Suivi!$F:$F,3020))</f>
        <v/>
      </c>
      <c r="S2964">
        <f>IF($O2964="","",INDEX(Suivi!$G:$G,3020))</f>
        <v/>
      </c>
      <c r="T2964">
        <f>IF($O2964="","",IF(INDEX(Dossiers!$F$4:$F$63,56)="","",INDEX(Dossiers!$F$4:$F$63,56)))</f>
        <v/>
      </c>
      <c r="U2964">
        <f>IF($O2964="","",IF(INDEX(Dossiers!$G$4:$G$63,56)="","",INDEX(Dossiers!$G$4:$G$63,56)))</f>
        <v/>
      </c>
      <c r="V2964">
        <f>IF(OR($O2964="",NOT(ISNUMBER($Q2964))),"",$Q2964*1000000+2964)</f>
        <v/>
      </c>
      <c r="W2964" s="29">
        <f>IF($B2964="","",IFERROR(INDEX($U$4:$U$3183,MATCH(SMALL($V$4:$V$3183,2961),$V$4:$V$3183,0)),""))</f>
        <v/>
      </c>
    </row>
    <row r="2965">
      <c r="A2965">
        <f>IFERROR(INDEX($N$4:$N$3183,MATCH(SMALL($V$4:$V$3183,2962),$V$4:$V$3183,0)),"")</f>
        <v/>
      </c>
      <c r="B2965">
        <f>IFERROR(INDEX($O$4:$O$3183,MATCH(SMALL($V$4:$V$3183,2962),$V$4:$V$3183,0)),"")</f>
        <v/>
      </c>
      <c r="C2965">
        <f>IFERROR(INDEX($P$4:$P$3183,MATCH(SMALL($V$4:$V$3183,2962),$V$4:$V$3183,0)),"")</f>
        <v/>
      </c>
      <c r="D2965" s="29">
        <f>IFERROR(INDEX($Q$4:$Q$3183,MATCH(SMALL($V$4:$V$3183,2962),$V$4:$V$3183,0)),"")</f>
        <v/>
      </c>
      <c r="E2965" s="29">
        <f>IFERROR(INDEX($R$4:$R$3183,MATCH(SMALL($V$4:$V$3183,2962),$V$4:$V$3183,0)),"")</f>
        <v/>
      </c>
      <c r="F2965">
        <f>IFERROR(INDEX($S$4:$S$3183,MATCH(SMALL($V$4:$V$3183,2962),$V$4:$V$3183,0)),"")</f>
        <v/>
      </c>
      <c r="I2965" s="29">
        <f>IF($B2965="","",IFERROR(INDEX($U$4:$U$3183,MATCH(SMALL($V$4:$V$3183,2962),$V$4:$V$3183,0)),""))</f>
        <v/>
      </c>
      <c r="J2965">
        <f>IF($B2965="","",IF($D2965&gt;$F$2,"À venir",IF($E2965&lt;$D$2,"Passé","Dans la période")))</f>
        <v/>
      </c>
      <c r="K2965">
        <f>IF(OR($B2965="",NOT(ISNUMBER($D2965))),"",IF(AND($E2965&lt;$D$2,$G2965&lt;&gt;"X",$F2965&lt;&gt;"Réalisé",$F2965&lt;&gt;"Clôturé"),"RETARD",""))</f>
        <v/>
      </c>
      <c r="L2965">
        <f>IF(OR($B2965="",NOT(ISNUMBER($D2965))),"",IF(AND($D2965&gt;=$D$2,$D2965&lt;=$H$2,$G2965&lt;&gt;"X",$F2965&lt;&gt;"Réalisé",$F2965&lt;&gt;"Clôturé"),"≤ 7 j",""))</f>
        <v/>
      </c>
      <c r="M2965" s="29">
        <f>IF($B2965="","",IFERROR(INDEX($T$4:$T$3183,MATCH(SMALL($V$4:$V$3183,2962),$V$4:$V$3183,0)),""))</f>
        <v/>
      </c>
      <c r="O2965">
        <f>IF(INDEX(Suivi!$B:$B,3021)="","",INDEX(Suivi!$B:$B,3021))</f>
        <v/>
      </c>
      <c r="P2965">
        <f>IF($O2965="","",IF(INDEX(Suivi!$D:$D,3021)="",INDEX(Suivi!$C:$C,3021),INDEX(Suivi!$D:$D,3021)))</f>
        <v/>
      </c>
      <c r="Q2965">
        <f>IF($O2965="","",INDEX(Suivi!$E:$E,3021))</f>
        <v/>
      </c>
      <c r="R2965">
        <f>IF($O2965="","",INDEX(Suivi!$F:$F,3021))</f>
        <v/>
      </c>
      <c r="S2965">
        <f>IF($O2965="","",INDEX(Suivi!$G:$G,3021))</f>
        <v/>
      </c>
      <c r="T2965">
        <f>IF($O2965="","",IF(INDEX(Dossiers!$F$4:$F$63,56)="","",INDEX(Dossiers!$F$4:$F$63,56)))</f>
        <v/>
      </c>
      <c r="U2965">
        <f>IF($O2965="","",IF(INDEX(Dossiers!$G$4:$G$63,56)="","",INDEX(Dossiers!$G$4:$G$63,56)))</f>
        <v/>
      </c>
      <c r="V2965">
        <f>IF(OR($O2965="",NOT(ISNUMBER($Q2965))),"",$Q2965*1000000+2965)</f>
        <v/>
      </c>
      <c r="W2965" s="29">
        <f>IF($B2965="","",IFERROR(INDEX($U$4:$U$3183,MATCH(SMALL($V$4:$V$3183,2962),$V$4:$V$3183,0)),""))</f>
        <v/>
      </c>
    </row>
    <row r="2966">
      <c r="A2966">
        <f>IFERROR(INDEX($N$4:$N$3183,MATCH(SMALL($V$4:$V$3183,2963),$V$4:$V$3183,0)),"")</f>
        <v/>
      </c>
      <c r="B2966">
        <f>IFERROR(INDEX($O$4:$O$3183,MATCH(SMALL($V$4:$V$3183,2963),$V$4:$V$3183,0)),"")</f>
        <v/>
      </c>
      <c r="C2966">
        <f>IFERROR(INDEX($P$4:$P$3183,MATCH(SMALL($V$4:$V$3183,2963),$V$4:$V$3183,0)),"")</f>
        <v/>
      </c>
      <c r="D2966" s="29">
        <f>IFERROR(INDEX($Q$4:$Q$3183,MATCH(SMALL($V$4:$V$3183,2963),$V$4:$V$3183,0)),"")</f>
        <v/>
      </c>
      <c r="E2966" s="29">
        <f>IFERROR(INDEX($R$4:$R$3183,MATCH(SMALL($V$4:$V$3183,2963),$V$4:$V$3183,0)),"")</f>
        <v/>
      </c>
      <c r="F2966">
        <f>IFERROR(INDEX($S$4:$S$3183,MATCH(SMALL($V$4:$V$3183,2963),$V$4:$V$3183,0)),"")</f>
        <v/>
      </c>
      <c r="I2966" s="29">
        <f>IF($B2966="","",IFERROR(INDEX($U$4:$U$3183,MATCH(SMALL($V$4:$V$3183,2963),$V$4:$V$3183,0)),""))</f>
        <v/>
      </c>
      <c r="J2966">
        <f>IF($B2966="","",IF($D2966&gt;$F$2,"À venir",IF($E2966&lt;$D$2,"Passé","Dans la période")))</f>
        <v/>
      </c>
      <c r="K2966">
        <f>IF(OR($B2966="",NOT(ISNUMBER($D2966))),"",IF(AND($E2966&lt;$D$2,$G2966&lt;&gt;"X",$F2966&lt;&gt;"Réalisé",$F2966&lt;&gt;"Clôturé"),"RETARD",""))</f>
        <v/>
      </c>
      <c r="L2966">
        <f>IF(OR($B2966="",NOT(ISNUMBER($D2966))),"",IF(AND($D2966&gt;=$D$2,$D2966&lt;=$H$2,$G2966&lt;&gt;"X",$F2966&lt;&gt;"Réalisé",$F2966&lt;&gt;"Clôturé"),"≤ 7 j",""))</f>
        <v/>
      </c>
      <c r="M2966" s="29">
        <f>IF($B2966="","",IFERROR(INDEX($T$4:$T$3183,MATCH(SMALL($V$4:$V$3183,2963),$V$4:$V$3183,0)),""))</f>
        <v/>
      </c>
      <c r="O2966">
        <f>IF(INDEX(Suivi!$B:$B,3022)="","",INDEX(Suivi!$B:$B,3022))</f>
        <v/>
      </c>
      <c r="P2966">
        <f>IF($O2966="","",IF(INDEX(Suivi!$D:$D,3022)="",INDEX(Suivi!$C:$C,3022),INDEX(Suivi!$D:$D,3022)))</f>
        <v/>
      </c>
      <c r="Q2966">
        <f>IF($O2966="","",INDEX(Suivi!$E:$E,3022))</f>
        <v/>
      </c>
      <c r="R2966">
        <f>IF($O2966="","",INDEX(Suivi!$F:$F,3022))</f>
        <v/>
      </c>
      <c r="S2966">
        <f>IF($O2966="","",INDEX(Suivi!$G:$G,3022))</f>
        <v/>
      </c>
      <c r="T2966">
        <f>IF($O2966="","",IF(INDEX(Dossiers!$F$4:$F$63,56)="","",INDEX(Dossiers!$F$4:$F$63,56)))</f>
        <v/>
      </c>
      <c r="U2966">
        <f>IF($O2966="","",IF(INDEX(Dossiers!$G$4:$G$63,56)="","",INDEX(Dossiers!$G$4:$G$63,56)))</f>
        <v/>
      </c>
      <c r="V2966">
        <f>IF(OR($O2966="",NOT(ISNUMBER($Q2966))),"",$Q2966*1000000+2966)</f>
        <v/>
      </c>
      <c r="W2966" s="29">
        <f>IF($B2966="","",IFERROR(INDEX($U$4:$U$3183,MATCH(SMALL($V$4:$V$3183,2963),$V$4:$V$3183,0)),""))</f>
        <v/>
      </c>
    </row>
    <row r="2967">
      <c r="A2967">
        <f>IFERROR(INDEX($N$4:$N$3183,MATCH(SMALL($V$4:$V$3183,2964),$V$4:$V$3183,0)),"")</f>
        <v/>
      </c>
      <c r="B2967">
        <f>IFERROR(INDEX($O$4:$O$3183,MATCH(SMALL($V$4:$V$3183,2964),$V$4:$V$3183,0)),"")</f>
        <v/>
      </c>
      <c r="C2967">
        <f>IFERROR(INDEX($P$4:$P$3183,MATCH(SMALL($V$4:$V$3183,2964),$V$4:$V$3183,0)),"")</f>
        <v/>
      </c>
      <c r="D2967" s="29">
        <f>IFERROR(INDEX($Q$4:$Q$3183,MATCH(SMALL($V$4:$V$3183,2964),$V$4:$V$3183,0)),"")</f>
        <v/>
      </c>
      <c r="E2967" s="29">
        <f>IFERROR(INDEX($R$4:$R$3183,MATCH(SMALL($V$4:$V$3183,2964),$V$4:$V$3183,0)),"")</f>
        <v/>
      </c>
      <c r="F2967">
        <f>IFERROR(INDEX($S$4:$S$3183,MATCH(SMALL($V$4:$V$3183,2964),$V$4:$V$3183,0)),"")</f>
        <v/>
      </c>
      <c r="I2967" s="29">
        <f>IF($B2967="","",IFERROR(INDEX($U$4:$U$3183,MATCH(SMALL($V$4:$V$3183,2964),$V$4:$V$3183,0)),""))</f>
        <v/>
      </c>
      <c r="J2967">
        <f>IF($B2967="","",IF($D2967&gt;$F$2,"À venir",IF($E2967&lt;$D$2,"Passé","Dans la période")))</f>
        <v/>
      </c>
      <c r="K2967">
        <f>IF(OR($B2967="",NOT(ISNUMBER($D2967))),"",IF(AND($E2967&lt;$D$2,$G2967&lt;&gt;"X",$F2967&lt;&gt;"Réalisé",$F2967&lt;&gt;"Clôturé"),"RETARD",""))</f>
        <v/>
      </c>
      <c r="L2967">
        <f>IF(OR($B2967="",NOT(ISNUMBER($D2967))),"",IF(AND($D2967&gt;=$D$2,$D2967&lt;=$H$2,$G2967&lt;&gt;"X",$F2967&lt;&gt;"Réalisé",$F2967&lt;&gt;"Clôturé"),"≤ 7 j",""))</f>
        <v/>
      </c>
      <c r="M2967" s="29">
        <f>IF($B2967="","",IFERROR(INDEX($T$4:$T$3183,MATCH(SMALL($V$4:$V$3183,2964),$V$4:$V$3183,0)),""))</f>
        <v/>
      </c>
      <c r="O2967">
        <f>IF(INDEX(Suivi!$B:$B,3023)="","",INDEX(Suivi!$B:$B,3023))</f>
        <v/>
      </c>
      <c r="P2967">
        <f>IF($O2967="","",IF(INDEX(Suivi!$D:$D,3023)="",INDEX(Suivi!$C:$C,3023),INDEX(Suivi!$D:$D,3023)))</f>
        <v/>
      </c>
      <c r="Q2967">
        <f>IF($O2967="","",INDEX(Suivi!$E:$E,3023))</f>
        <v/>
      </c>
      <c r="R2967">
        <f>IF($O2967="","",INDEX(Suivi!$F:$F,3023))</f>
        <v/>
      </c>
      <c r="S2967">
        <f>IF($O2967="","",INDEX(Suivi!$G:$G,3023))</f>
        <v/>
      </c>
      <c r="T2967">
        <f>IF($O2967="","",IF(INDEX(Dossiers!$F$4:$F$63,56)="","",INDEX(Dossiers!$F$4:$F$63,56)))</f>
        <v/>
      </c>
      <c r="U2967">
        <f>IF($O2967="","",IF(INDEX(Dossiers!$G$4:$G$63,56)="","",INDEX(Dossiers!$G$4:$G$63,56)))</f>
        <v/>
      </c>
      <c r="V2967">
        <f>IF(OR($O2967="",NOT(ISNUMBER($Q2967))),"",$Q2967*1000000+2967)</f>
        <v/>
      </c>
      <c r="W2967" s="29">
        <f>IF($B2967="","",IFERROR(INDEX($U$4:$U$3183,MATCH(SMALL($V$4:$V$3183,2964),$V$4:$V$3183,0)),""))</f>
        <v/>
      </c>
    </row>
    <row r="2968">
      <c r="A2968">
        <f>IFERROR(INDEX($N$4:$N$3183,MATCH(SMALL($V$4:$V$3183,2965),$V$4:$V$3183,0)),"")</f>
        <v/>
      </c>
      <c r="B2968">
        <f>IFERROR(INDEX($O$4:$O$3183,MATCH(SMALL($V$4:$V$3183,2965),$V$4:$V$3183,0)),"")</f>
        <v/>
      </c>
      <c r="C2968">
        <f>IFERROR(INDEX($P$4:$P$3183,MATCH(SMALL($V$4:$V$3183,2965),$V$4:$V$3183,0)),"")</f>
        <v/>
      </c>
      <c r="D2968" s="29">
        <f>IFERROR(INDEX($Q$4:$Q$3183,MATCH(SMALL($V$4:$V$3183,2965),$V$4:$V$3183,0)),"")</f>
        <v/>
      </c>
      <c r="E2968" s="29">
        <f>IFERROR(INDEX($R$4:$R$3183,MATCH(SMALL($V$4:$V$3183,2965),$V$4:$V$3183,0)),"")</f>
        <v/>
      </c>
      <c r="F2968">
        <f>IFERROR(INDEX($S$4:$S$3183,MATCH(SMALL($V$4:$V$3183,2965),$V$4:$V$3183,0)),"")</f>
        <v/>
      </c>
      <c r="I2968" s="29">
        <f>IF($B2968="","",IFERROR(INDEX($U$4:$U$3183,MATCH(SMALL($V$4:$V$3183,2965),$V$4:$V$3183,0)),""))</f>
        <v/>
      </c>
      <c r="J2968">
        <f>IF($B2968="","",IF($D2968&gt;$F$2,"À venir",IF($E2968&lt;$D$2,"Passé","Dans la période")))</f>
        <v/>
      </c>
      <c r="K2968">
        <f>IF(OR($B2968="",NOT(ISNUMBER($D2968))),"",IF(AND($E2968&lt;$D$2,$G2968&lt;&gt;"X",$F2968&lt;&gt;"Réalisé",$F2968&lt;&gt;"Clôturé"),"RETARD",""))</f>
        <v/>
      </c>
      <c r="L2968">
        <f>IF(OR($B2968="",NOT(ISNUMBER($D2968))),"",IF(AND($D2968&gt;=$D$2,$D2968&lt;=$H$2,$G2968&lt;&gt;"X",$F2968&lt;&gt;"Réalisé",$F2968&lt;&gt;"Clôturé"),"≤ 7 j",""))</f>
        <v/>
      </c>
      <c r="M2968" s="29">
        <f>IF($B2968="","",IFERROR(INDEX($T$4:$T$3183,MATCH(SMALL($V$4:$V$3183,2965),$V$4:$V$3183,0)),""))</f>
        <v/>
      </c>
      <c r="O2968">
        <f>IF(INDEX(Suivi!$B:$B,3024)="","",INDEX(Suivi!$B:$B,3024))</f>
        <v/>
      </c>
      <c r="P2968">
        <f>IF($O2968="","",IF(INDEX(Suivi!$D:$D,3024)="",INDEX(Suivi!$C:$C,3024),INDEX(Suivi!$D:$D,3024)))</f>
        <v/>
      </c>
      <c r="Q2968">
        <f>IF($O2968="","",INDEX(Suivi!$E:$E,3024))</f>
        <v/>
      </c>
      <c r="R2968">
        <f>IF($O2968="","",INDEX(Suivi!$F:$F,3024))</f>
        <v/>
      </c>
      <c r="S2968">
        <f>IF($O2968="","",INDEX(Suivi!$G:$G,3024))</f>
        <v/>
      </c>
      <c r="T2968">
        <f>IF($O2968="","",IF(INDEX(Dossiers!$F$4:$F$63,56)="","",INDEX(Dossiers!$F$4:$F$63,56)))</f>
        <v/>
      </c>
      <c r="U2968">
        <f>IF($O2968="","",IF(INDEX(Dossiers!$G$4:$G$63,56)="","",INDEX(Dossiers!$G$4:$G$63,56)))</f>
        <v/>
      </c>
      <c r="V2968">
        <f>IF(OR($O2968="",NOT(ISNUMBER($Q2968))),"",$Q2968*1000000+2968)</f>
        <v/>
      </c>
      <c r="W2968" s="29">
        <f>IF($B2968="","",IFERROR(INDEX($U$4:$U$3183,MATCH(SMALL($V$4:$V$3183,2965),$V$4:$V$3183,0)),""))</f>
        <v/>
      </c>
    </row>
    <row r="2969">
      <c r="A2969">
        <f>IFERROR(INDEX($N$4:$N$3183,MATCH(SMALL($V$4:$V$3183,2966),$V$4:$V$3183,0)),"")</f>
        <v/>
      </c>
      <c r="B2969">
        <f>IFERROR(INDEX($O$4:$O$3183,MATCH(SMALL($V$4:$V$3183,2966),$V$4:$V$3183,0)),"")</f>
        <v/>
      </c>
      <c r="C2969">
        <f>IFERROR(INDEX($P$4:$P$3183,MATCH(SMALL($V$4:$V$3183,2966),$V$4:$V$3183,0)),"")</f>
        <v/>
      </c>
      <c r="D2969" s="29">
        <f>IFERROR(INDEX($Q$4:$Q$3183,MATCH(SMALL($V$4:$V$3183,2966),$V$4:$V$3183,0)),"")</f>
        <v/>
      </c>
      <c r="E2969" s="29">
        <f>IFERROR(INDEX($R$4:$R$3183,MATCH(SMALL($V$4:$V$3183,2966),$V$4:$V$3183,0)),"")</f>
        <v/>
      </c>
      <c r="F2969">
        <f>IFERROR(INDEX($S$4:$S$3183,MATCH(SMALL($V$4:$V$3183,2966),$V$4:$V$3183,0)),"")</f>
        <v/>
      </c>
      <c r="I2969" s="29">
        <f>IF($B2969="","",IFERROR(INDEX($U$4:$U$3183,MATCH(SMALL($V$4:$V$3183,2966),$V$4:$V$3183,0)),""))</f>
        <v/>
      </c>
      <c r="J2969">
        <f>IF($B2969="","",IF($D2969&gt;$F$2,"À venir",IF($E2969&lt;$D$2,"Passé","Dans la période")))</f>
        <v/>
      </c>
      <c r="K2969">
        <f>IF(OR($B2969="",NOT(ISNUMBER($D2969))),"",IF(AND($E2969&lt;$D$2,$G2969&lt;&gt;"X",$F2969&lt;&gt;"Réalisé",$F2969&lt;&gt;"Clôturé"),"RETARD",""))</f>
        <v/>
      </c>
      <c r="L2969">
        <f>IF(OR($B2969="",NOT(ISNUMBER($D2969))),"",IF(AND($D2969&gt;=$D$2,$D2969&lt;=$H$2,$G2969&lt;&gt;"X",$F2969&lt;&gt;"Réalisé",$F2969&lt;&gt;"Clôturé"),"≤ 7 j",""))</f>
        <v/>
      </c>
      <c r="M2969" s="29">
        <f>IF($B2969="","",IFERROR(INDEX($T$4:$T$3183,MATCH(SMALL($V$4:$V$3183,2966),$V$4:$V$3183,0)),""))</f>
        <v/>
      </c>
      <c r="O2969">
        <f>IF(INDEX(Suivi!$B:$B,3025)="","",INDEX(Suivi!$B:$B,3025))</f>
        <v/>
      </c>
      <c r="P2969">
        <f>IF($O2969="","",IF(INDEX(Suivi!$D:$D,3025)="",INDEX(Suivi!$C:$C,3025),INDEX(Suivi!$D:$D,3025)))</f>
        <v/>
      </c>
      <c r="Q2969">
        <f>IF($O2969="","",INDEX(Suivi!$E:$E,3025))</f>
        <v/>
      </c>
      <c r="R2969">
        <f>IF($O2969="","",INDEX(Suivi!$F:$F,3025))</f>
        <v/>
      </c>
      <c r="S2969">
        <f>IF($O2969="","",INDEX(Suivi!$G:$G,3025))</f>
        <v/>
      </c>
      <c r="T2969">
        <f>IF($O2969="","",IF(INDEX(Dossiers!$F$4:$F$63,56)="","",INDEX(Dossiers!$F$4:$F$63,56)))</f>
        <v/>
      </c>
      <c r="U2969">
        <f>IF($O2969="","",IF(INDEX(Dossiers!$G$4:$G$63,56)="","",INDEX(Dossiers!$G$4:$G$63,56)))</f>
        <v/>
      </c>
      <c r="V2969">
        <f>IF(OR($O2969="",NOT(ISNUMBER($Q2969))),"",$Q2969*1000000+2969)</f>
        <v/>
      </c>
      <c r="W2969" s="29">
        <f>IF($B2969="","",IFERROR(INDEX($U$4:$U$3183,MATCH(SMALL($V$4:$V$3183,2966),$V$4:$V$3183,0)),""))</f>
        <v/>
      </c>
    </row>
    <row r="2970">
      <c r="A2970">
        <f>IFERROR(INDEX($N$4:$N$3183,MATCH(SMALL($V$4:$V$3183,2967),$V$4:$V$3183,0)),"")</f>
        <v/>
      </c>
      <c r="B2970">
        <f>IFERROR(INDEX($O$4:$O$3183,MATCH(SMALL($V$4:$V$3183,2967),$V$4:$V$3183,0)),"")</f>
        <v/>
      </c>
      <c r="C2970">
        <f>IFERROR(INDEX($P$4:$P$3183,MATCH(SMALL($V$4:$V$3183,2967),$V$4:$V$3183,0)),"")</f>
        <v/>
      </c>
      <c r="D2970" s="29">
        <f>IFERROR(INDEX($Q$4:$Q$3183,MATCH(SMALL($V$4:$V$3183,2967),$V$4:$V$3183,0)),"")</f>
        <v/>
      </c>
      <c r="E2970" s="29">
        <f>IFERROR(INDEX($R$4:$R$3183,MATCH(SMALL($V$4:$V$3183,2967),$V$4:$V$3183,0)),"")</f>
        <v/>
      </c>
      <c r="F2970">
        <f>IFERROR(INDEX($S$4:$S$3183,MATCH(SMALL($V$4:$V$3183,2967),$V$4:$V$3183,0)),"")</f>
        <v/>
      </c>
      <c r="I2970" s="29">
        <f>IF($B2970="","",IFERROR(INDEX($U$4:$U$3183,MATCH(SMALL($V$4:$V$3183,2967),$V$4:$V$3183,0)),""))</f>
        <v/>
      </c>
      <c r="J2970">
        <f>IF($B2970="","",IF($D2970&gt;$F$2,"À venir",IF($E2970&lt;$D$2,"Passé","Dans la période")))</f>
        <v/>
      </c>
      <c r="K2970">
        <f>IF(OR($B2970="",NOT(ISNUMBER($D2970))),"",IF(AND($E2970&lt;$D$2,$G2970&lt;&gt;"X",$F2970&lt;&gt;"Réalisé",$F2970&lt;&gt;"Clôturé"),"RETARD",""))</f>
        <v/>
      </c>
      <c r="L2970">
        <f>IF(OR($B2970="",NOT(ISNUMBER($D2970))),"",IF(AND($D2970&gt;=$D$2,$D2970&lt;=$H$2,$G2970&lt;&gt;"X",$F2970&lt;&gt;"Réalisé",$F2970&lt;&gt;"Clôturé"),"≤ 7 j",""))</f>
        <v/>
      </c>
      <c r="M2970" s="29">
        <f>IF($B2970="","",IFERROR(INDEX($T$4:$T$3183,MATCH(SMALL($V$4:$V$3183,2967),$V$4:$V$3183,0)),""))</f>
        <v/>
      </c>
      <c r="O2970">
        <f>IF(INDEX(Suivi!$B:$B,3026)="","",INDEX(Suivi!$B:$B,3026))</f>
        <v/>
      </c>
      <c r="P2970">
        <f>IF($O2970="","",IF(INDEX(Suivi!$D:$D,3026)="",INDEX(Suivi!$C:$C,3026),INDEX(Suivi!$D:$D,3026)))</f>
        <v/>
      </c>
      <c r="Q2970">
        <f>IF($O2970="","",INDEX(Suivi!$E:$E,3026))</f>
        <v/>
      </c>
      <c r="R2970">
        <f>IF($O2970="","",INDEX(Suivi!$F:$F,3026))</f>
        <v/>
      </c>
      <c r="S2970">
        <f>IF($O2970="","",INDEX(Suivi!$G:$G,3026))</f>
        <v/>
      </c>
      <c r="T2970">
        <f>IF($O2970="","",IF(INDEX(Dossiers!$F$4:$F$63,56)="","",INDEX(Dossiers!$F$4:$F$63,56)))</f>
        <v/>
      </c>
      <c r="U2970">
        <f>IF($O2970="","",IF(INDEX(Dossiers!$G$4:$G$63,56)="","",INDEX(Dossiers!$G$4:$G$63,56)))</f>
        <v/>
      </c>
      <c r="V2970">
        <f>IF(OR($O2970="",NOT(ISNUMBER($Q2970))),"",$Q2970*1000000+2970)</f>
        <v/>
      </c>
      <c r="W2970" s="29">
        <f>IF($B2970="","",IFERROR(INDEX($U$4:$U$3183,MATCH(SMALL($V$4:$V$3183,2967),$V$4:$V$3183,0)),""))</f>
        <v/>
      </c>
    </row>
    <row r="2971">
      <c r="A2971">
        <f>IFERROR(INDEX($N$4:$N$3183,MATCH(SMALL($V$4:$V$3183,2968),$V$4:$V$3183,0)),"")</f>
        <v/>
      </c>
      <c r="B2971">
        <f>IFERROR(INDEX($O$4:$O$3183,MATCH(SMALL($V$4:$V$3183,2968),$V$4:$V$3183,0)),"")</f>
        <v/>
      </c>
      <c r="C2971">
        <f>IFERROR(INDEX($P$4:$P$3183,MATCH(SMALL($V$4:$V$3183,2968),$V$4:$V$3183,0)),"")</f>
        <v/>
      </c>
      <c r="D2971" s="29">
        <f>IFERROR(INDEX($Q$4:$Q$3183,MATCH(SMALL($V$4:$V$3183,2968),$V$4:$V$3183,0)),"")</f>
        <v/>
      </c>
      <c r="E2971" s="29">
        <f>IFERROR(INDEX($R$4:$R$3183,MATCH(SMALL($V$4:$V$3183,2968),$V$4:$V$3183,0)),"")</f>
        <v/>
      </c>
      <c r="F2971">
        <f>IFERROR(INDEX($S$4:$S$3183,MATCH(SMALL($V$4:$V$3183,2968),$V$4:$V$3183,0)),"")</f>
        <v/>
      </c>
      <c r="I2971" s="29">
        <f>IF($B2971="","",IFERROR(INDEX($U$4:$U$3183,MATCH(SMALL($V$4:$V$3183,2968),$V$4:$V$3183,0)),""))</f>
        <v/>
      </c>
      <c r="J2971">
        <f>IF($B2971="","",IF($D2971&gt;$F$2,"À venir",IF($E2971&lt;$D$2,"Passé","Dans la période")))</f>
        <v/>
      </c>
      <c r="K2971">
        <f>IF(OR($B2971="",NOT(ISNUMBER($D2971))),"",IF(AND($E2971&lt;$D$2,$G2971&lt;&gt;"X",$F2971&lt;&gt;"Réalisé",$F2971&lt;&gt;"Clôturé"),"RETARD",""))</f>
        <v/>
      </c>
      <c r="L2971">
        <f>IF(OR($B2971="",NOT(ISNUMBER($D2971))),"",IF(AND($D2971&gt;=$D$2,$D2971&lt;=$H$2,$G2971&lt;&gt;"X",$F2971&lt;&gt;"Réalisé",$F2971&lt;&gt;"Clôturé"),"≤ 7 j",""))</f>
        <v/>
      </c>
      <c r="M2971" s="29">
        <f>IF($B2971="","",IFERROR(INDEX($T$4:$T$3183,MATCH(SMALL($V$4:$V$3183,2968),$V$4:$V$3183,0)),""))</f>
        <v/>
      </c>
      <c r="O2971">
        <f>IF(INDEX(Suivi!$B:$B,3027)="","",INDEX(Suivi!$B:$B,3027))</f>
        <v/>
      </c>
      <c r="P2971">
        <f>IF($O2971="","",IF(INDEX(Suivi!$D:$D,3027)="",INDEX(Suivi!$C:$C,3027),INDEX(Suivi!$D:$D,3027)))</f>
        <v/>
      </c>
      <c r="Q2971">
        <f>IF($O2971="","",INDEX(Suivi!$E:$E,3027))</f>
        <v/>
      </c>
      <c r="R2971">
        <f>IF($O2971="","",INDEX(Suivi!$F:$F,3027))</f>
        <v/>
      </c>
      <c r="S2971">
        <f>IF($O2971="","",INDEX(Suivi!$G:$G,3027))</f>
        <v/>
      </c>
      <c r="T2971">
        <f>IF($O2971="","",IF(INDEX(Dossiers!$F$4:$F$63,56)="","",INDEX(Dossiers!$F$4:$F$63,56)))</f>
        <v/>
      </c>
      <c r="U2971">
        <f>IF($O2971="","",IF(INDEX(Dossiers!$G$4:$G$63,56)="","",INDEX(Dossiers!$G$4:$G$63,56)))</f>
        <v/>
      </c>
      <c r="V2971">
        <f>IF(OR($O2971="",NOT(ISNUMBER($Q2971))),"",$Q2971*1000000+2971)</f>
        <v/>
      </c>
      <c r="W2971" s="29">
        <f>IF($B2971="","",IFERROR(INDEX($U$4:$U$3183,MATCH(SMALL($V$4:$V$3183,2968),$V$4:$V$3183,0)),""))</f>
        <v/>
      </c>
    </row>
    <row r="2972">
      <c r="A2972">
        <f>IFERROR(INDEX($N$4:$N$3183,MATCH(SMALL($V$4:$V$3183,2969),$V$4:$V$3183,0)),"")</f>
        <v/>
      </c>
      <c r="B2972">
        <f>IFERROR(INDEX($O$4:$O$3183,MATCH(SMALL($V$4:$V$3183,2969),$V$4:$V$3183,0)),"")</f>
        <v/>
      </c>
      <c r="C2972">
        <f>IFERROR(INDEX($P$4:$P$3183,MATCH(SMALL($V$4:$V$3183,2969),$V$4:$V$3183,0)),"")</f>
        <v/>
      </c>
      <c r="D2972" s="29">
        <f>IFERROR(INDEX($Q$4:$Q$3183,MATCH(SMALL($V$4:$V$3183,2969),$V$4:$V$3183,0)),"")</f>
        <v/>
      </c>
      <c r="E2972" s="29">
        <f>IFERROR(INDEX($R$4:$R$3183,MATCH(SMALL($V$4:$V$3183,2969),$V$4:$V$3183,0)),"")</f>
        <v/>
      </c>
      <c r="F2972">
        <f>IFERROR(INDEX($S$4:$S$3183,MATCH(SMALL($V$4:$V$3183,2969),$V$4:$V$3183,0)),"")</f>
        <v/>
      </c>
      <c r="I2972" s="29">
        <f>IF($B2972="","",IFERROR(INDEX($U$4:$U$3183,MATCH(SMALL($V$4:$V$3183,2969),$V$4:$V$3183,0)),""))</f>
        <v/>
      </c>
      <c r="J2972">
        <f>IF($B2972="","",IF($D2972&gt;$F$2,"À venir",IF($E2972&lt;$D$2,"Passé","Dans la période")))</f>
        <v/>
      </c>
      <c r="K2972">
        <f>IF(OR($B2972="",NOT(ISNUMBER($D2972))),"",IF(AND($E2972&lt;$D$2,$G2972&lt;&gt;"X",$F2972&lt;&gt;"Réalisé",$F2972&lt;&gt;"Clôturé"),"RETARD",""))</f>
        <v/>
      </c>
      <c r="L2972">
        <f>IF(OR($B2972="",NOT(ISNUMBER($D2972))),"",IF(AND($D2972&gt;=$D$2,$D2972&lt;=$H$2,$G2972&lt;&gt;"X",$F2972&lt;&gt;"Réalisé",$F2972&lt;&gt;"Clôturé"),"≤ 7 j",""))</f>
        <v/>
      </c>
      <c r="M2972" s="29">
        <f>IF($B2972="","",IFERROR(INDEX($T$4:$T$3183,MATCH(SMALL($V$4:$V$3183,2969),$V$4:$V$3183,0)),""))</f>
        <v/>
      </c>
      <c r="O2972">
        <f>IF(INDEX(Suivi!$B:$B,3029)="","",INDEX(Suivi!$B:$B,3029))</f>
        <v/>
      </c>
      <c r="P2972">
        <f>IF($O2972="","",IF(INDEX(Suivi!$D:$D,3029)="",INDEX(Suivi!$C:$C,3029),INDEX(Suivi!$D:$D,3029)))</f>
        <v/>
      </c>
      <c r="Q2972">
        <f>IF($O2972="","",INDEX(Suivi!$E:$E,3029))</f>
        <v/>
      </c>
      <c r="R2972">
        <f>IF($O2972="","",INDEX(Suivi!$F:$F,3029))</f>
        <v/>
      </c>
      <c r="S2972">
        <f>IF($O2972="","",INDEX(Suivi!$G:$G,3029))</f>
        <v/>
      </c>
      <c r="T2972">
        <f>IF($O2972="","",IF(INDEX(Dossiers!$F$4:$F$63,57)="","",INDEX(Dossiers!$F$4:$F$63,57)))</f>
        <v/>
      </c>
      <c r="U2972">
        <f>IF($O2972="","",IF(INDEX(Dossiers!$G$4:$G$63,57)="","",INDEX(Dossiers!$G$4:$G$63,57)))</f>
        <v/>
      </c>
      <c r="V2972">
        <f>IF(OR($O2972="",NOT(ISNUMBER($Q2972))),"",$Q2972*1000000+2972)</f>
        <v/>
      </c>
      <c r="W2972" s="29">
        <f>IF($B2972="","",IFERROR(INDEX($U$4:$U$3183,MATCH(SMALL($V$4:$V$3183,2969),$V$4:$V$3183,0)),""))</f>
        <v/>
      </c>
    </row>
    <row r="2973">
      <c r="A2973">
        <f>IFERROR(INDEX($N$4:$N$3183,MATCH(SMALL($V$4:$V$3183,2970),$V$4:$V$3183,0)),"")</f>
        <v/>
      </c>
      <c r="B2973">
        <f>IFERROR(INDEX($O$4:$O$3183,MATCH(SMALL($V$4:$V$3183,2970),$V$4:$V$3183,0)),"")</f>
        <v/>
      </c>
      <c r="C2973">
        <f>IFERROR(INDEX($P$4:$P$3183,MATCH(SMALL($V$4:$V$3183,2970),$V$4:$V$3183,0)),"")</f>
        <v/>
      </c>
      <c r="D2973" s="29">
        <f>IFERROR(INDEX($Q$4:$Q$3183,MATCH(SMALL($V$4:$V$3183,2970),$V$4:$V$3183,0)),"")</f>
        <v/>
      </c>
      <c r="E2973" s="29">
        <f>IFERROR(INDEX($R$4:$R$3183,MATCH(SMALL($V$4:$V$3183,2970),$V$4:$V$3183,0)),"")</f>
        <v/>
      </c>
      <c r="F2973">
        <f>IFERROR(INDEX($S$4:$S$3183,MATCH(SMALL($V$4:$V$3183,2970),$V$4:$V$3183,0)),"")</f>
        <v/>
      </c>
      <c r="I2973" s="29">
        <f>IF($B2973="","",IFERROR(INDEX($U$4:$U$3183,MATCH(SMALL($V$4:$V$3183,2970),$V$4:$V$3183,0)),""))</f>
        <v/>
      </c>
      <c r="J2973">
        <f>IF($B2973="","",IF($D2973&gt;$F$2,"À venir",IF($E2973&lt;$D$2,"Passé","Dans la période")))</f>
        <v/>
      </c>
      <c r="K2973">
        <f>IF(OR($B2973="",NOT(ISNUMBER($D2973))),"",IF(AND($E2973&lt;$D$2,$G2973&lt;&gt;"X",$F2973&lt;&gt;"Réalisé",$F2973&lt;&gt;"Clôturé"),"RETARD",""))</f>
        <v/>
      </c>
      <c r="L2973">
        <f>IF(OR($B2973="",NOT(ISNUMBER($D2973))),"",IF(AND($D2973&gt;=$D$2,$D2973&lt;=$H$2,$G2973&lt;&gt;"X",$F2973&lt;&gt;"Réalisé",$F2973&lt;&gt;"Clôturé"),"≤ 7 j",""))</f>
        <v/>
      </c>
      <c r="M2973" s="29">
        <f>IF($B2973="","",IFERROR(INDEX($T$4:$T$3183,MATCH(SMALL($V$4:$V$3183,2970),$V$4:$V$3183,0)),""))</f>
        <v/>
      </c>
      <c r="O2973">
        <f>IF(INDEX(Suivi!$B:$B,3030)="","",INDEX(Suivi!$B:$B,3030))</f>
        <v/>
      </c>
      <c r="P2973">
        <f>IF($O2973="","",IF(INDEX(Suivi!$D:$D,3030)="",INDEX(Suivi!$C:$C,3030),INDEX(Suivi!$D:$D,3030)))</f>
        <v/>
      </c>
      <c r="Q2973">
        <f>IF($O2973="","",INDEX(Suivi!$E:$E,3030))</f>
        <v/>
      </c>
      <c r="R2973">
        <f>IF($O2973="","",INDEX(Suivi!$F:$F,3030))</f>
        <v/>
      </c>
      <c r="S2973">
        <f>IF($O2973="","",INDEX(Suivi!$G:$G,3030))</f>
        <v/>
      </c>
      <c r="T2973">
        <f>IF($O2973="","",IF(INDEX(Dossiers!$F$4:$F$63,57)="","",INDEX(Dossiers!$F$4:$F$63,57)))</f>
        <v/>
      </c>
      <c r="U2973">
        <f>IF($O2973="","",IF(INDEX(Dossiers!$G$4:$G$63,57)="","",INDEX(Dossiers!$G$4:$G$63,57)))</f>
        <v/>
      </c>
      <c r="V2973">
        <f>IF(OR($O2973="",NOT(ISNUMBER($Q2973))),"",$Q2973*1000000+2973)</f>
        <v/>
      </c>
      <c r="W2973" s="29">
        <f>IF($B2973="","",IFERROR(INDEX($U$4:$U$3183,MATCH(SMALL($V$4:$V$3183,2970),$V$4:$V$3183,0)),""))</f>
        <v/>
      </c>
    </row>
    <row r="2974">
      <c r="A2974">
        <f>IFERROR(INDEX($N$4:$N$3183,MATCH(SMALL($V$4:$V$3183,2971),$V$4:$V$3183,0)),"")</f>
        <v/>
      </c>
      <c r="B2974">
        <f>IFERROR(INDEX($O$4:$O$3183,MATCH(SMALL($V$4:$V$3183,2971),$V$4:$V$3183,0)),"")</f>
        <v/>
      </c>
      <c r="C2974">
        <f>IFERROR(INDEX($P$4:$P$3183,MATCH(SMALL($V$4:$V$3183,2971),$V$4:$V$3183,0)),"")</f>
        <v/>
      </c>
      <c r="D2974" s="29">
        <f>IFERROR(INDEX($Q$4:$Q$3183,MATCH(SMALL($V$4:$V$3183,2971),$V$4:$V$3183,0)),"")</f>
        <v/>
      </c>
      <c r="E2974" s="29">
        <f>IFERROR(INDEX($R$4:$R$3183,MATCH(SMALL($V$4:$V$3183,2971),$V$4:$V$3183,0)),"")</f>
        <v/>
      </c>
      <c r="F2974">
        <f>IFERROR(INDEX($S$4:$S$3183,MATCH(SMALL($V$4:$V$3183,2971),$V$4:$V$3183,0)),"")</f>
        <v/>
      </c>
      <c r="I2974" s="29">
        <f>IF($B2974="","",IFERROR(INDEX($U$4:$U$3183,MATCH(SMALL($V$4:$V$3183,2971),$V$4:$V$3183,0)),""))</f>
        <v/>
      </c>
      <c r="J2974">
        <f>IF($B2974="","",IF($D2974&gt;$F$2,"À venir",IF($E2974&lt;$D$2,"Passé","Dans la période")))</f>
        <v/>
      </c>
      <c r="K2974">
        <f>IF(OR($B2974="",NOT(ISNUMBER($D2974))),"",IF(AND($E2974&lt;$D$2,$G2974&lt;&gt;"X",$F2974&lt;&gt;"Réalisé",$F2974&lt;&gt;"Clôturé"),"RETARD",""))</f>
        <v/>
      </c>
      <c r="L2974">
        <f>IF(OR($B2974="",NOT(ISNUMBER($D2974))),"",IF(AND($D2974&gt;=$D$2,$D2974&lt;=$H$2,$G2974&lt;&gt;"X",$F2974&lt;&gt;"Réalisé",$F2974&lt;&gt;"Clôturé"),"≤ 7 j",""))</f>
        <v/>
      </c>
      <c r="M2974" s="29">
        <f>IF($B2974="","",IFERROR(INDEX($T$4:$T$3183,MATCH(SMALL($V$4:$V$3183,2971),$V$4:$V$3183,0)),""))</f>
        <v/>
      </c>
      <c r="O2974">
        <f>IF(INDEX(Suivi!$B:$B,3031)="","",INDEX(Suivi!$B:$B,3031))</f>
        <v/>
      </c>
      <c r="P2974">
        <f>IF($O2974="","",IF(INDEX(Suivi!$D:$D,3031)="",INDEX(Suivi!$C:$C,3031),INDEX(Suivi!$D:$D,3031)))</f>
        <v/>
      </c>
      <c r="Q2974">
        <f>IF($O2974="","",INDEX(Suivi!$E:$E,3031))</f>
        <v/>
      </c>
      <c r="R2974">
        <f>IF($O2974="","",INDEX(Suivi!$F:$F,3031))</f>
        <v/>
      </c>
      <c r="S2974">
        <f>IF($O2974="","",INDEX(Suivi!$G:$G,3031))</f>
        <v/>
      </c>
      <c r="T2974">
        <f>IF($O2974="","",IF(INDEX(Dossiers!$F$4:$F$63,57)="","",INDEX(Dossiers!$F$4:$F$63,57)))</f>
        <v/>
      </c>
      <c r="U2974">
        <f>IF($O2974="","",IF(INDEX(Dossiers!$G$4:$G$63,57)="","",INDEX(Dossiers!$G$4:$G$63,57)))</f>
        <v/>
      </c>
      <c r="V2974">
        <f>IF(OR($O2974="",NOT(ISNUMBER($Q2974))),"",$Q2974*1000000+2974)</f>
        <v/>
      </c>
      <c r="W2974" s="29">
        <f>IF($B2974="","",IFERROR(INDEX($U$4:$U$3183,MATCH(SMALL($V$4:$V$3183,2971),$V$4:$V$3183,0)),""))</f>
        <v/>
      </c>
    </row>
    <row r="2975">
      <c r="A2975">
        <f>IFERROR(INDEX($N$4:$N$3183,MATCH(SMALL($V$4:$V$3183,2972),$V$4:$V$3183,0)),"")</f>
        <v/>
      </c>
      <c r="B2975">
        <f>IFERROR(INDEX($O$4:$O$3183,MATCH(SMALL($V$4:$V$3183,2972),$V$4:$V$3183,0)),"")</f>
        <v/>
      </c>
      <c r="C2975">
        <f>IFERROR(INDEX($P$4:$P$3183,MATCH(SMALL($V$4:$V$3183,2972),$V$4:$V$3183,0)),"")</f>
        <v/>
      </c>
      <c r="D2975" s="29">
        <f>IFERROR(INDEX($Q$4:$Q$3183,MATCH(SMALL($V$4:$V$3183,2972),$V$4:$V$3183,0)),"")</f>
        <v/>
      </c>
      <c r="E2975" s="29">
        <f>IFERROR(INDEX($R$4:$R$3183,MATCH(SMALL($V$4:$V$3183,2972),$V$4:$V$3183,0)),"")</f>
        <v/>
      </c>
      <c r="F2975">
        <f>IFERROR(INDEX($S$4:$S$3183,MATCH(SMALL($V$4:$V$3183,2972),$V$4:$V$3183,0)),"")</f>
        <v/>
      </c>
      <c r="I2975" s="29">
        <f>IF($B2975="","",IFERROR(INDEX($U$4:$U$3183,MATCH(SMALL($V$4:$V$3183,2972),$V$4:$V$3183,0)),""))</f>
        <v/>
      </c>
      <c r="J2975">
        <f>IF($B2975="","",IF($D2975&gt;$F$2,"À venir",IF($E2975&lt;$D$2,"Passé","Dans la période")))</f>
        <v/>
      </c>
      <c r="K2975">
        <f>IF(OR($B2975="",NOT(ISNUMBER($D2975))),"",IF(AND($E2975&lt;$D$2,$G2975&lt;&gt;"X",$F2975&lt;&gt;"Réalisé",$F2975&lt;&gt;"Clôturé"),"RETARD",""))</f>
        <v/>
      </c>
      <c r="L2975">
        <f>IF(OR($B2975="",NOT(ISNUMBER($D2975))),"",IF(AND($D2975&gt;=$D$2,$D2975&lt;=$H$2,$G2975&lt;&gt;"X",$F2975&lt;&gt;"Réalisé",$F2975&lt;&gt;"Clôturé"),"≤ 7 j",""))</f>
        <v/>
      </c>
      <c r="M2975" s="29">
        <f>IF($B2975="","",IFERROR(INDEX($T$4:$T$3183,MATCH(SMALL($V$4:$V$3183,2972),$V$4:$V$3183,0)),""))</f>
        <v/>
      </c>
      <c r="O2975">
        <f>IF(INDEX(Suivi!$B:$B,3032)="","",INDEX(Suivi!$B:$B,3032))</f>
        <v/>
      </c>
      <c r="P2975">
        <f>IF($O2975="","",IF(INDEX(Suivi!$D:$D,3032)="",INDEX(Suivi!$C:$C,3032),INDEX(Suivi!$D:$D,3032)))</f>
        <v/>
      </c>
      <c r="Q2975">
        <f>IF($O2975="","",INDEX(Suivi!$E:$E,3032))</f>
        <v/>
      </c>
      <c r="R2975">
        <f>IF($O2975="","",INDEX(Suivi!$F:$F,3032))</f>
        <v/>
      </c>
      <c r="S2975">
        <f>IF($O2975="","",INDEX(Suivi!$G:$G,3032))</f>
        <v/>
      </c>
      <c r="T2975">
        <f>IF($O2975="","",IF(INDEX(Dossiers!$F$4:$F$63,57)="","",INDEX(Dossiers!$F$4:$F$63,57)))</f>
        <v/>
      </c>
      <c r="U2975">
        <f>IF($O2975="","",IF(INDEX(Dossiers!$G$4:$G$63,57)="","",INDEX(Dossiers!$G$4:$G$63,57)))</f>
        <v/>
      </c>
      <c r="V2975">
        <f>IF(OR($O2975="",NOT(ISNUMBER($Q2975))),"",$Q2975*1000000+2975)</f>
        <v/>
      </c>
      <c r="W2975" s="29">
        <f>IF($B2975="","",IFERROR(INDEX($U$4:$U$3183,MATCH(SMALL($V$4:$V$3183,2972),$V$4:$V$3183,0)),""))</f>
        <v/>
      </c>
    </row>
    <row r="2976">
      <c r="A2976">
        <f>IFERROR(INDEX($N$4:$N$3183,MATCH(SMALL($V$4:$V$3183,2973),$V$4:$V$3183,0)),"")</f>
        <v/>
      </c>
      <c r="B2976">
        <f>IFERROR(INDEX($O$4:$O$3183,MATCH(SMALL($V$4:$V$3183,2973),$V$4:$V$3183,0)),"")</f>
        <v/>
      </c>
      <c r="C2976">
        <f>IFERROR(INDEX($P$4:$P$3183,MATCH(SMALL($V$4:$V$3183,2973),$V$4:$V$3183,0)),"")</f>
        <v/>
      </c>
      <c r="D2976" s="29">
        <f>IFERROR(INDEX($Q$4:$Q$3183,MATCH(SMALL($V$4:$V$3183,2973),$V$4:$V$3183,0)),"")</f>
        <v/>
      </c>
      <c r="E2976" s="29">
        <f>IFERROR(INDEX($R$4:$R$3183,MATCH(SMALL($V$4:$V$3183,2973),$V$4:$V$3183,0)),"")</f>
        <v/>
      </c>
      <c r="F2976">
        <f>IFERROR(INDEX($S$4:$S$3183,MATCH(SMALL($V$4:$V$3183,2973),$V$4:$V$3183,0)),"")</f>
        <v/>
      </c>
      <c r="I2976" s="29">
        <f>IF($B2976="","",IFERROR(INDEX($U$4:$U$3183,MATCH(SMALL($V$4:$V$3183,2973),$V$4:$V$3183,0)),""))</f>
        <v/>
      </c>
      <c r="J2976">
        <f>IF($B2976="","",IF($D2976&gt;$F$2,"À venir",IF($E2976&lt;$D$2,"Passé","Dans la période")))</f>
        <v/>
      </c>
      <c r="K2976">
        <f>IF(OR($B2976="",NOT(ISNUMBER($D2976))),"",IF(AND($E2976&lt;$D$2,$G2976&lt;&gt;"X",$F2976&lt;&gt;"Réalisé",$F2976&lt;&gt;"Clôturé"),"RETARD",""))</f>
        <v/>
      </c>
      <c r="L2976">
        <f>IF(OR($B2976="",NOT(ISNUMBER($D2976))),"",IF(AND($D2976&gt;=$D$2,$D2976&lt;=$H$2,$G2976&lt;&gt;"X",$F2976&lt;&gt;"Réalisé",$F2976&lt;&gt;"Clôturé"),"≤ 7 j",""))</f>
        <v/>
      </c>
      <c r="M2976" s="29">
        <f>IF($B2976="","",IFERROR(INDEX($T$4:$T$3183,MATCH(SMALL($V$4:$V$3183,2973),$V$4:$V$3183,0)),""))</f>
        <v/>
      </c>
      <c r="O2976">
        <f>IF(INDEX(Suivi!$B:$B,3033)="","",INDEX(Suivi!$B:$B,3033))</f>
        <v/>
      </c>
      <c r="P2976">
        <f>IF($O2976="","",IF(INDEX(Suivi!$D:$D,3033)="",INDEX(Suivi!$C:$C,3033),INDEX(Suivi!$D:$D,3033)))</f>
        <v/>
      </c>
      <c r="Q2976">
        <f>IF($O2976="","",INDEX(Suivi!$E:$E,3033))</f>
        <v/>
      </c>
      <c r="R2976">
        <f>IF($O2976="","",INDEX(Suivi!$F:$F,3033))</f>
        <v/>
      </c>
      <c r="S2976">
        <f>IF($O2976="","",INDEX(Suivi!$G:$G,3033))</f>
        <v/>
      </c>
      <c r="T2976">
        <f>IF($O2976="","",IF(INDEX(Dossiers!$F$4:$F$63,57)="","",INDEX(Dossiers!$F$4:$F$63,57)))</f>
        <v/>
      </c>
      <c r="U2976">
        <f>IF($O2976="","",IF(INDEX(Dossiers!$G$4:$G$63,57)="","",INDEX(Dossiers!$G$4:$G$63,57)))</f>
        <v/>
      </c>
      <c r="V2976">
        <f>IF(OR($O2976="",NOT(ISNUMBER($Q2976))),"",$Q2976*1000000+2976)</f>
        <v/>
      </c>
      <c r="W2976" s="29">
        <f>IF($B2976="","",IFERROR(INDEX($U$4:$U$3183,MATCH(SMALL($V$4:$V$3183,2973),$V$4:$V$3183,0)),""))</f>
        <v/>
      </c>
    </row>
    <row r="2977">
      <c r="A2977">
        <f>IFERROR(INDEX($N$4:$N$3183,MATCH(SMALL($V$4:$V$3183,2974),$V$4:$V$3183,0)),"")</f>
        <v/>
      </c>
      <c r="B2977">
        <f>IFERROR(INDEX($O$4:$O$3183,MATCH(SMALL($V$4:$V$3183,2974),$V$4:$V$3183,0)),"")</f>
        <v/>
      </c>
      <c r="C2977">
        <f>IFERROR(INDEX($P$4:$P$3183,MATCH(SMALL($V$4:$V$3183,2974),$V$4:$V$3183,0)),"")</f>
        <v/>
      </c>
      <c r="D2977" s="29">
        <f>IFERROR(INDEX($Q$4:$Q$3183,MATCH(SMALL($V$4:$V$3183,2974),$V$4:$V$3183,0)),"")</f>
        <v/>
      </c>
      <c r="E2977" s="29">
        <f>IFERROR(INDEX($R$4:$R$3183,MATCH(SMALL($V$4:$V$3183,2974),$V$4:$V$3183,0)),"")</f>
        <v/>
      </c>
      <c r="F2977">
        <f>IFERROR(INDEX($S$4:$S$3183,MATCH(SMALL($V$4:$V$3183,2974),$V$4:$V$3183,0)),"")</f>
        <v/>
      </c>
      <c r="I2977" s="29">
        <f>IF($B2977="","",IFERROR(INDEX($U$4:$U$3183,MATCH(SMALL($V$4:$V$3183,2974),$V$4:$V$3183,0)),""))</f>
        <v/>
      </c>
      <c r="J2977">
        <f>IF($B2977="","",IF($D2977&gt;$F$2,"À venir",IF($E2977&lt;$D$2,"Passé","Dans la période")))</f>
        <v/>
      </c>
      <c r="K2977">
        <f>IF(OR($B2977="",NOT(ISNUMBER($D2977))),"",IF(AND($E2977&lt;$D$2,$G2977&lt;&gt;"X",$F2977&lt;&gt;"Réalisé",$F2977&lt;&gt;"Clôturé"),"RETARD",""))</f>
        <v/>
      </c>
      <c r="L2977">
        <f>IF(OR($B2977="",NOT(ISNUMBER($D2977))),"",IF(AND($D2977&gt;=$D$2,$D2977&lt;=$H$2,$G2977&lt;&gt;"X",$F2977&lt;&gt;"Réalisé",$F2977&lt;&gt;"Clôturé"),"≤ 7 j",""))</f>
        <v/>
      </c>
      <c r="M2977" s="29">
        <f>IF($B2977="","",IFERROR(INDEX($T$4:$T$3183,MATCH(SMALL($V$4:$V$3183,2974),$V$4:$V$3183,0)),""))</f>
        <v/>
      </c>
      <c r="O2977">
        <f>IF(INDEX(Suivi!$B:$B,3034)="","",INDEX(Suivi!$B:$B,3034))</f>
        <v/>
      </c>
      <c r="P2977">
        <f>IF($O2977="","",IF(INDEX(Suivi!$D:$D,3034)="",INDEX(Suivi!$C:$C,3034),INDEX(Suivi!$D:$D,3034)))</f>
        <v/>
      </c>
      <c r="Q2977">
        <f>IF($O2977="","",INDEX(Suivi!$E:$E,3034))</f>
        <v/>
      </c>
      <c r="R2977">
        <f>IF($O2977="","",INDEX(Suivi!$F:$F,3034))</f>
        <v/>
      </c>
      <c r="S2977">
        <f>IF($O2977="","",INDEX(Suivi!$G:$G,3034))</f>
        <v/>
      </c>
      <c r="T2977">
        <f>IF($O2977="","",IF(INDEX(Dossiers!$F$4:$F$63,57)="","",INDEX(Dossiers!$F$4:$F$63,57)))</f>
        <v/>
      </c>
      <c r="U2977">
        <f>IF($O2977="","",IF(INDEX(Dossiers!$G$4:$G$63,57)="","",INDEX(Dossiers!$G$4:$G$63,57)))</f>
        <v/>
      </c>
      <c r="V2977">
        <f>IF(OR($O2977="",NOT(ISNUMBER($Q2977))),"",$Q2977*1000000+2977)</f>
        <v/>
      </c>
      <c r="W2977" s="29">
        <f>IF($B2977="","",IFERROR(INDEX($U$4:$U$3183,MATCH(SMALL($V$4:$V$3183,2974),$V$4:$V$3183,0)),""))</f>
        <v/>
      </c>
    </row>
    <row r="2978">
      <c r="A2978">
        <f>IFERROR(INDEX($N$4:$N$3183,MATCH(SMALL($V$4:$V$3183,2975),$V$4:$V$3183,0)),"")</f>
        <v/>
      </c>
      <c r="B2978">
        <f>IFERROR(INDEX($O$4:$O$3183,MATCH(SMALL($V$4:$V$3183,2975),$V$4:$V$3183,0)),"")</f>
        <v/>
      </c>
      <c r="C2978">
        <f>IFERROR(INDEX($P$4:$P$3183,MATCH(SMALL($V$4:$V$3183,2975),$V$4:$V$3183,0)),"")</f>
        <v/>
      </c>
      <c r="D2978" s="29">
        <f>IFERROR(INDEX($Q$4:$Q$3183,MATCH(SMALL($V$4:$V$3183,2975),$V$4:$V$3183,0)),"")</f>
        <v/>
      </c>
      <c r="E2978" s="29">
        <f>IFERROR(INDEX($R$4:$R$3183,MATCH(SMALL($V$4:$V$3183,2975),$V$4:$V$3183,0)),"")</f>
        <v/>
      </c>
      <c r="F2978">
        <f>IFERROR(INDEX($S$4:$S$3183,MATCH(SMALL($V$4:$V$3183,2975),$V$4:$V$3183,0)),"")</f>
        <v/>
      </c>
      <c r="I2978" s="29">
        <f>IF($B2978="","",IFERROR(INDEX($U$4:$U$3183,MATCH(SMALL($V$4:$V$3183,2975),$V$4:$V$3183,0)),""))</f>
        <v/>
      </c>
      <c r="J2978">
        <f>IF($B2978="","",IF($D2978&gt;$F$2,"À venir",IF($E2978&lt;$D$2,"Passé","Dans la période")))</f>
        <v/>
      </c>
      <c r="K2978">
        <f>IF(OR($B2978="",NOT(ISNUMBER($D2978))),"",IF(AND($E2978&lt;$D$2,$G2978&lt;&gt;"X",$F2978&lt;&gt;"Réalisé",$F2978&lt;&gt;"Clôturé"),"RETARD",""))</f>
        <v/>
      </c>
      <c r="L2978">
        <f>IF(OR($B2978="",NOT(ISNUMBER($D2978))),"",IF(AND($D2978&gt;=$D$2,$D2978&lt;=$H$2,$G2978&lt;&gt;"X",$F2978&lt;&gt;"Réalisé",$F2978&lt;&gt;"Clôturé"),"≤ 7 j",""))</f>
        <v/>
      </c>
      <c r="M2978" s="29">
        <f>IF($B2978="","",IFERROR(INDEX($T$4:$T$3183,MATCH(SMALL($V$4:$V$3183,2975),$V$4:$V$3183,0)),""))</f>
        <v/>
      </c>
      <c r="O2978">
        <f>IF(INDEX(Suivi!$B:$B,3035)="","",INDEX(Suivi!$B:$B,3035))</f>
        <v/>
      </c>
      <c r="P2978">
        <f>IF($O2978="","",IF(INDEX(Suivi!$D:$D,3035)="",INDEX(Suivi!$C:$C,3035),INDEX(Suivi!$D:$D,3035)))</f>
        <v/>
      </c>
      <c r="Q2978">
        <f>IF($O2978="","",INDEX(Suivi!$E:$E,3035))</f>
        <v/>
      </c>
      <c r="R2978">
        <f>IF($O2978="","",INDEX(Suivi!$F:$F,3035))</f>
        <v/>
      </c>
      <c r="S2978">
        <f>IF($O2978="","",INDEX(Suivi!$G:$G,3035))</f>
        <v/>
      </c>
      <c r="T2978">
        <f>IF($O2978="","",IF(INDEX(Dossiers!$F$4:$F$63,57)="","",INDEX(Dossiers!$F$4:$F$63,57)))</f>
        <v/>
      </c>
      <c r="U2978">
        <f>IF($O2978="","",IF(INDEX(Dossiers!$G$4:$G$63,57)="","",INDEX(Dossiers!$G$4:$G$63,57)))</f>
        <v/>
      </c>
      <c r="V2978">
        <f>IF(OR($O2978="",NOT(ISNUMBER($Q2978))),"",$Q2978*1000000+2978)</f>
        <v/>
      </c>
      <c r="W2978" s="29">
        <f>IF($B2978="","",IFERROR(INDEX($U$4:$U$3183,MATCH(SMALL($V$4:$V$3183,2975),$V$4:$V$3183,0)),""))</f>
        <v/>
      </c>
    </row>
    <row r="2979">
      <c r="A2979">
        <f>IFERROR(INDEX($N$4:$N$3183,MATCH(SMALL($V$4:$V$3183,2976),$V$4:$V$3183,0)),"")</f>
        <v/>
      </c>
      <c r="B2979">
        <f>IFERROR(INDEX($O$4:$O$3183,MATCH(SMALL($V$4:$V$3183,2976),$V$4:$V$3183,0)),"")</f>
        <v/>
      </c>
      <c r="C2979">
        <f>IFERROR(INDEX($P$4:$P$3183,MATCH(SMALL($V$4:$V$3183,2976),$V$4:$V$3183,0)),"")</f>
        <v/>
      </c>
      <c r="D2979" s="29">
        <f>IFERROR(INDEX($Q$4:$Q$3183,MATCH(SMALL($V$4:$V$3183,2976),$V$4:$V$3183,0)),"")</f>
        <v/>
      </c>
      <c r="E2979" s="29">
        <f>IFERROR(INDEX($R$4:$R$3183,MATCH(SMALL($V$4:$V$3183,2976),$V$4:$V$3183,0)),"")</f>
        <v/>
      </c>
      <c r="F2979">
        <f>IFERROR(INDEX($S$4:$S$3183,MATCH(SMALL($V$4:$V$3183,2976),$V$4:$V$3183,0)),"")</f>
        <v/>
      </c>
      <c r="I2979" s="29">
        <f>IF($B2979="","",IFERROR(INDEX($U$4:$U$3183,MATCH(SMALL($V$4:$V$3183,2976),$V$4:$V$3183,0)),""))</f>
        <v/>
      </c>
      <c r="J2979">
        <f>IF($B2979="","",IF($D2979&gt;$F$2,"À venir",IF($E2979&lt;$D$2,"Passé","Dans la période")))</f>
        <v/>
      </c>
      <c r="K2979">
        <f>IF(OR($B2979="",NOT(ISNUMBER($D2979))),"",IF(AND($E2979&lt;$D$2,$G2979&lt;&gt;"X",$F2979&lt;&gt;"Réalisé",$F2979&lt;&gt;"Clôturé"),"RETARD",""))</f>
        <v/>
      </c>
      <c r="L2979">
        <f>IF(OR($B2979="",NOT(ISNUMBER($D2979))),"",IF(AND($D2979&gt;=$D$2,$D2979&lt;=$H$2,$G2979&lt;&gt;"X",$F2979&lt;&gt;"Réalisé",$F2979&lt;&gt;"Clôturé"),"≤ 7 j",""))</f>
        <v/>
      </c>
      <c r="M2979" s="29">
        <f>IF($B2979="","",IFERROR(INDEX($T$4:$T$3183,MATCH(SMALL($V$4:$V$3183,2976),$V$4:$V$3183,0)),""))</f>
        <v/>
      </c>
      <c r="O2979">
        <f>IF(INDEX(Suivi!$B:$B,3036)="","",INDEX(Suivi!$B:$B,3036))</f>
        <v/>
      </c>
      <c r="P2979">
        <f>IF($O2979="","",IF(INDEX(Suivi!$D:$D,3036)="",INDEX(Suivi!$C:$C,3036),INDEX(Suivi!$D:$D,3036)))</f>
        <v/>
      </c>
      <c r="Q2979">
        <f>IF($O2979="","",INDEX(Suivi!$E:$E,3036))</f>
        <v/>
      </c>
      <c r="R2979">
        <f>IF($O2979="","",INDEX(Suivi!$F:$F,3036))</f>
        <v/>
      </c>
      <c r="S2979">
        <f>IF($O2979="","",INDEX(Suivi!$G:$G,3036))</f>
        <v/>
      </c>
      <c r="T2979">
        <f>IF($O2979="","",IF(INDEX(Dossiers!$F$4:$F$63,57)="","",INDEX(Dossiers!$F$4:$F$63,57)))</f>
        <v/>
      </c>
      <c r="U2979">
        <f>IF($O2979="","",IF(INDEX(Dossiers!$G$4:$G$63,57)="","",INDEX(Dossiers!$G$4:$G$63,57)))</f>
        <v/>
      </c>
      <c r="V2979">
        <f>IF(OR($O2979="",NOT(ISNUMBER($Q2979))),"",$Q2979*1000000+2979)</f>
        <v/>
      </c>
      <c r="W2979" s="29">
        <f>IF($B2979="","",IFERROR(INDEX($U$4:$U$3183,MATCH(SMALL($V$4:$V$3183,2976),$V$4:$V$3183,0)),""))</f>
        <v/>
      </c>
    </row>
    <row r="2980">
      <c r="A2980">
        <f>IFERROR(INDEX($N$4:$N$3183,MATCH(SMALL($V$4:$V$3183,2977),$V$4:$V$3183,0)),"")</f>
        <v/>
      </c>
      <c r="B2980">
        <f>IFERROR(INDEX($O$4:$O$3183,MATCH(SMALL($V$4:$V$3183,2977),$V$4:$V$3183,0)),"")</f>
        <v/>
      </c>
      <c r="C2980">
        <f>IFERROR(INDEX($P$4:$P$3183,MATCH(SMALL($V$4:$V$3183,2977),$V$4:$V$3183,0)),"")</f>
        <v/>
      </c>
      <c r="D2980" s="29">
        <f>IFERROR(INDEX($Q$4:$Q$3183,MATCH(SMALL($V$4:$V$3183,2977),$V$4:$V$3183,0)),"")</f>
        <v/>
      </c>
      <c r="E2980" s="29">
        <f>IFERROR(INDEX($R$4:$R$3183,MATCH(SMALL($V$4:$V$3183,2977),$V$4:$V$3183,0)),"")</f>
        <v/>
      </c>
      <c r="F2980">
        <f>IFERROR(INDEX($S$4:$S$3183,MATCH(SMALL($V$4:$V$3183,2977),$V$4:$V$3183,0)),"")</f>
        <v/>
      </c>
      <c r="I2980" s="29">
        <f>IF($B2980="","",IFERROR(INDEX($U$4:$U$3183,MATCH(SMALL($V$4:$V$3183,2977),$V$4:$V$3183,0)),""))</f>
        <v/>
      </c>
      <c r="J2980">
        <f>IF($B2980="","",IF($D2980&gt;$F$2,"À venir",IF($E2980&lt;$D$2,"Passé","Dans la période")))</f>
        <v/>
      </c>
      <c r="K2980">
        <f>IF(OR($B2980="",NOT(ISNUMBER($D2980))),"",IF(AND($E2980&lt;$D$2,$G2980&lt;&gt;"X",$F2980&lt;&gt;"Réalisé",$F2980&lt;&gt;"Clôturé"),"RETARD",""))</f>
        <v/>
      </c>
      <c r="L2980">
        <f>IF(OR($B2980="",NOT(ISNUMBER($D2980))),"",IF(AND($D2980&gt;=$D$2,$D2980&lt;=$H$2,$G2980&lt;&gt;"X",$F2980&lt;&gt;"Réalisé",$F2980&lt;&gt;"Clôturé"),"≤ 7 j",""))</f>
        <v/>
      </c>
      <c r="M2980" s="29">
        <f>IF($B2980="","",IFERROR(INDEX($T$4:$T$3183,MATCH(SMALL($V$4:$V$3183,2977),$V$4:$V$3183,0)),""))</f>
        <v/>
      </c>
      <c r="O2980">
        <f>IF(INDEX(Suivi!$B:$B,3037)="","",INDEX(Suivi!$B:$B,3037))</f>
        <v/>
      </c>
      <c r="P2980">
        <f>IF($O2980="","",IF(INDEX(Suivi!$D:$D,3037)="",INDEX(Suivi!$C:$C,3037),INDEX(Suivi!$D:$D,3037)))</f>
        <v/>
      </c>
      <c r="Q2980">
        <f>IF($O2980="","",INDEX(Suivi!$E:$E,3037))</f>
        <v/>
      </c>
      <c r="R2980">
        <f>IF($O2980="","",INDEX(Suivi!$F:$F,3037))</f>
        <v/>
      </c>
      <c r="S2980">
        <f>IF($O2980="","",INDEX(Suivi!$G:$G,3037))</f>
        <v/>
      </c>
      <c r="T2980">
        <f>IF($O2980="","",IF(INDEX(Dossiers!$F$4:$F$63,57)="","",INDEX(Dossiers!$F$4:$F$63,57)))</f>
        <v/>
      </c>
      <c r="U2980">
        <f>IF($O2980="","",IF(INDEX(Dossiers!$G$4:$G$63,57)="","",INDEX(Dossiers!$G$4:$G$63,57)))</f>
        <v/>
      </c>
      <c r="V2980">
        <f>IF(OR($O2980="",NOT(ISNUMBER($Q2980))),"",$Q2980*1000000+2980)</f>
        <v/>
      </c>
      <c r="W2980" s="29">
        <f>IF($B2980="","",IFERROR(INDEX($U$4:$U$3183,MATCH(SMALL($V$4:$V$3183,2977),$V$4:$V$3183,0)),""))</f>
        <v/>
      </c>
    </row>
    <row r="2981">
      <c r="A2981">
        <f>IFERROR(INDEX($N$4:$N$3183,MATCH(SMALL($V$4:$V$3183,2978),$V$4:$V$3183,0)),"")</f>
        <v/>
      </c>
      <c r="B2981">
        <f>IFERROR(INDEX($O$4:$O$3183,MATCH(SMALL($V$4:$V$3183,2978),$V$4:$V$3183,0)),"")</f>
        <v/>
      </c>
      <c r="C2981">
        <f>IFERROR(INDEX($P$4:$P$3183,MATCH(SMALL($V$4:$V$3183,2978),$V$4:$V$3183,0)),"")</f>
        <v/>
      </c>
      <c r="D2981" s="29">
        <f>IFERROR(INDEX($Q$4:$Q$3183,MATCH(SMALL($V$4:$V$3183,2978),$V$4:$V$3183,0)),"")</f>
        <v/>
      </c>
      <c r="E2981" s="29">
        <f>IFERROR(INDEX($R$4:$R$3183,MATCH(SMALL($V$4:$V$3183,2978),$V$4:$V$3183,0)),"")</f>
        <v/>
      </c>
      <c r="F2981">
        <f>IFERROR(INDEX($S$4:$S$3183,MATCH(SMALL($V$4:$V$3183,2978),$V$4:$V$3183,0)),"")</f>
        <v/>
      </c>
      <c r="I2981" s="29">
        <f>IF($B2981="","",IFERROR(INDEX($U$4:$U$3183,MATCH(SMALL($V$4:$V$3183,2978),$V$4:$V$3183,0)),""))</f>
        <v/>
      </c>
      <c r="J2981">
        <f>IF($B2981="","",IF($D2981&gt;$F$2,"À venir",IF($E2981&lt;$D$2,"Passé","Dans la période")))</f>
        <v/>
      </c>
      <c r="K2981">
        <f>IF(OR($B2981="",NOT(ISNUMBER($D2981))),"",IF(AND($E2981&lt;$D$2,$G2981&lt;&gt;"X",$F2981&lt;&gt;"Réalisé",$F2981&lt;&gt;"Clôturé"),"RETARD",""))</f>
        <v/>
      </c>
      <c r="L2981">
        <f>IF(OR($B2981="",NOT(ISNUMBER($D2981))),"",IF(AND($D2981&gt;=$D$2,$D2981&lt;=$H$2,$G2981&lt;&gt;"X",$F2981&lt;&gt;"Réalisé",$F2981&lt;&gt;"Clôturé"),"≤ 7 j",""))</f>
        <v/>
      </c>
      <c r="M2981" s="29">
        <f>IF($B2981="","",IFERROR(INDEX($T$4:$T$3183,MATCH(SMALL($V$4:$V$3183,2978),$V$4:$V$3183,0)),""))</f>
        <v/>
      </c>
      <c r="O2981">
        <f>IF(INDEX(Suivi!$B:$B,3038)="","",INDEX(Suivi!$B:$B,3038))</f>
        <v/>
      </c>
      <c r="P2981">
        <f>IF($O2981="","",IF(INDEX(Suivi!$D:$D,3038)="",INDEX(Suivi!$C:$C,3038),INDEX(Suivi!$D:$D,3038)))</f>
        <v/>
      </c>
      <c r="Q2981">
        <f>IF($O2981="","",INDEX(Suivi!$E:$E,3038))</f>
        <v/>
      </c>
      <c r="R2981">
        <f>IF($O2981="","",INDEX(Suivi!$F:$F,3038))</f>
        <v/>
      </c>
      <c r="S2981">
        <f>IF($O2981="","",INDEX(Suivi!$G:$G,3038))</f>
        <v/>
      </c>
      <c r="T2981">
        <f>IF($O2981="","",IF(INDEX(Dossiers!$F$4:$F$63,57)="","",INDEX(Dossiers!$F$4:$F$63,57)))</f>
        <v/>
      </c>
      <c r="U2981">
        <f>IF($O2981="","",IF(INDEX(Dossiers!$G$4:$G$63,57)="","",INDEX(Dossiers!$G$4:$G$63,57)))</f>
        <v/>
      </c>
      <c r="V2981">
        <f>IF(OR($O2981="",NOT(ISNUMBER($Q2981))),"",$Q2981*1000000+2981)</f>
        <v/>
      </c>
      <c r="W2981" s="29">
        <f>IF($B2981="","",IFERROR(INDEX($U$4:$U$3183,MATCH(SMALL($V$4:$V$3183,2978),$V$4:$V$3183,0)),""))</f>
        <v/>
      </c>
    </row>
    <row r="2982">
      <c r="A2982">
        <f>IFERROR(INDEX($N$4:$N$3183,MATCH(SMALL($V$4:$V$3183,2979),$V$4:$V$3183,0)),"")</f>
        <v/>
      </c>
      <c r="B2982">
        <f>IFERROR(INDEX($O$4:$O$3183,MATCH(SMALL($V$4:$V$3183,2979),$V$4:$V$3183,0)),"")</f>
        <v/>
      </c>
      <c r="C2982">
        <f>IFERROR(INDEX($P$4:$P$3183,MATCH(SMALL($V$4:$V$3183,2979),$V$4:$V$3183,0)),"")</f>
        <v/>
      </c>
      <c r="D2982" s="29">
        <f>IFERROR(INDEX($Q$4:$Q$3183,MATCH(SMALL($V$4:$V$3183,2979),$V$4:$V$3183,0)),"")</f>
        <v/>
      </c>
      <c r="E2982" s="29">
        <f>IFERROR(INDEX($R$4:$R$3183,MATCH(SMALL($V$4:$V$3183,2979),$V$4:$V$3183,0)),"")</f>
        <v/>
      </c>
      <c r="F2982">
        <f>IFERROR(INDEX($S$4:$S$3183,MATCH(SMALL($V$4:$V$3183,2979),$V$4:$V$3183,0)),"")</f>
        <v/>
      </c>
      <c r="I2982" s="29">
        <f>IF($B2982="","",IFERROR(INDEX($U$4:$U$3183,MATCH(SMALL($V$4:$V$3183,2979),$V$4:$V$3183,0)),""))</f>
        <v/>
      </c>
      <c r="J2982">
        <f>IF($B2982="","",IF($D2982&gt;$F$2,"À venir",IF($E2982&lt;$D$2,"Passé","Dans la période")))</f>
        <v/>
      </c>
      <c r="K2982">
        <f>IF(OR($B2982="",NOT(ISNUMBER($D2982))),"",IF(AND($E2982&lt;$D$2,$G2982&lt;&gt;"X",$F2982&lt;&gt;"Réalisé",$F2982&lt;&gt;"Clôturé"),"RETARD",""))</f>
        <v/>
      </c>
      <c r="L2982">
        <f>IF(OR($B2982="",NOT(ISNUMBER($D2982))),"",IF(AND($D2982&gt;=$D$2,$D2982&lt;=$H$2,$G2982&lt;&gt;"X",$F2982&lt;&gt;"Réalisé",$F2982&lt;&gt;"Clôturé"),"≤ 7 j",""))</f>
        <v/>
      </c>
      <c r="M2982" s="29">
        <f>IF($B2982="","",IFERROR(INDEX($T$4:$T$3183,MATCH(SMALL($V$4:$V$3183,2979),$V$4:$V$3183,0)),""))</f>
        <v/>
      </c>
      <c r="O2982">
        <f>IF(INDEX(Suivi!$B:$B,3039)="","",INDEX(Suivi!$B:$B,3039))</f>
        <v/>
      </c>
      <c r="P2982">
        <f>IF($O2982="","",IF(INDEX(Suivi!$D:$D,3039)="",INDEX(Suivi!$C:$C,3039),INDEX(Suivi!$D:$D,3039)))</f>
        <v/>
      </c>
      <c r="Q2982">
        <f>IF($O2982="","",INDEX(Suivi!$E:$E,3039))</f>
        <v/>
      </c>
      <c r="R2982">
        <f>IF($O2982="","",INDEX(Suivi!$F:$F,3039))</f>
        <v/>
      </c>
      <c r="S2982">
        <f>IF($O2982="","",INDEX(Suivi!$G:$G,3039))</f>
        <v/>
      </c>
      <c r="T2982">
        <f>IF($O2982="","",IF(INDEX(Dossiers!$F$4:$F$63,57)="","",INDEX(Dossiers!$F$4:$F$63,57)))</f>
        <v/>
      </c>
      <c r="U2982">
        <f>IF($O2982="","",IF(INDEX(Dossiers!$G$4:$G$63,57)="","",INDEX(Dossiers!$G$4:$G$63,57)))</f>
        <v/>
      </c>
      <c r="V2982">
        <f>IF(OR($O2982="",NOT(ISNUMBER($Q2982))),"",$Q2982*1000000+2982)</f>
        <v/>
      </c>
      <c r="W2982" s="29">
        <f>IF($B2982="","",IFERROR(INDEX($U$4:$U$3183,MATCH(SMALL($V$4:$V$3183,2979),$V$4:$V$3183,0)),""))</f>
        <v/>
      </c>
    </row>
    <row r="2983">
      <c r="A2983">
        <f>IFERROR(INDEX($N$4:$N$3183,MATCH(SMALL($V$4:$V$3183,2980),$V$4:$V$3183,0)),"")</f>
        <v/>
      </c>
      <c r="B2983">
        <f>IFERROR(INDEX($O$4:$O$3183,MATCH(SMALL($V$4:$V$3183,2980),$V$4:$V$3183,0)),"")</f>
        <v/>
      </c>
      <c r="C2983">
        <f>IFERROR(INDEX($P$4:$P$3183,MATCH(SMALL($V$4:$V$3183,2980),$V$4:$V$3183,0)),"")</f>
        <v/>
      </c>
      <c r="D2983" s="29">
        <f>IFERROR(INDEX($Q$4:$Q$3183,MATCH(SMALL($V$4:$V$3183,2980),$V$4:$V$3183,0)),"")</f>
        <v/>
      </c>
      <c r="E2983" s="29">
        <f>IFERROR(INDEX($R$4:$R$3183,MATCH(SMALL($V$4:$V$3183,2980),$V$4:$V$3183,0)),"")</f>
        <v/>
      </c>
      <c r="F2983">
        <f>IFERROR(INDEX($S$4:$S$3183,MATCH(SMALL($V$4:$V$3183,2980),$V$4:$V$3183,0)),"")</f>
        <v/>
      </c>
      <c r="I2983" s="29">
        <f>IF($B2983="","",IFERROR(INDEX($U$4:$U$3183,MATCH(SMALL($V$4:$V$3183,2980),$V$4:$V$3183,0)),""))</f>
        <v/>
      </c>
      <c r="J2983">
        <f>IF($B2983="","",IF($D2983&gt;$F$2,"À venir",IF($E2983&lt;$D$2,"Passé","Dans la période")))</f>
        <v/>
      </c>
      <c r="K2983">
        <f>IF(OR($B2983="",NOT(ISNUMBER($D2983))),"",IF(AND($E2983&lt;$D$2,$G2983&lt;&gt;"X",$F2983&lt;&gt;"Réalisé",$F2983&lt;&gt;"Clôturé"),"RETARD",""))</f>
        <v/>
      </c>
      <c r="L2983">
        <f>IF(OR($B2983="",NOT(ISNUMBER($D2983))),"",IF(AND($D2983&gt;=$D$2,$D2983&lt;=$H$2,$G2983&lt;&gt;"X",$F2983&lt;&gt;"Réalisé",$F2983&lt;&gt;"Clôturé"),"≤ 7 j",""))</f>
        <v/>
      </c>
      <c r="M2983" s="29">
        <f>IF($B2983="","",IFERROR(INDEX($T$4:$T$3183,MATCH(SMALL($V$4:$V$3183,2980),$V$4:$V$3183,0)),""))</f>
        <v/>
      </c>
      <c r="O2983">
        <f>IF(INDEX(Suivi!$B:$B,3040)="","",INDEX(Suivi!$B:$B,3040))</f>
        <v/>
      </c>
      <c r="P2983">
        <f>IF($O2983="","",IF(INDEX(Suivi!$D:$D,3040)="",INDEX(Suivi!$C:$C,3040),INDEX(Suivi!$D:$D,3040)))</f>
        <v/>
      </c>
      <c r="Q2983">
        <f>IF($O2983="","",INDEX(Suivi!$E:$E,3040))</f>
        <v/>
      </c>
      <c r="R2983">
        <f>IF($O2983="","",INDEX(Suivi!$F:$F,3040))</f>
        <v/>
      </c>
      <c r="S2983">
        <f>IF($O2983="","",INDEX(Suivi!$G:$G,3040))</f>
        <v/>
      </c>
      <c r="T2983">
        <f>IF($O2983="","",IF(INDEX(Dossiers!$F$4:$F$63,57)="","",INDEX(Dossiers!$F$4:$F$63,57)))</f>
        <v/>
      </c>
      <c r="U2983">
        <f>IF($O2983="","",IF(INDEX(Dossiers!$G$4:$G$63,57)="","",INDEX(Dossiers!$G$4:$G$63,57)))</f>
        <v/>
      </c>
      <c r="V2983">
        <f>IF(OR($O2983="",NOT(ISNUMBER($Q2983))),"",$Q2983*1000000+2983)</f>
        <v/>
      </c>
      <c r="W2983" s="29">
        <f>IF($B2983="","",IFERROR(INDEX($U$4:$U$3183,MATCH(SMALL($V$4:$V$3183,2980),$V$4:$V$3183,0)),""))</f>
        <v/>
      </c>
    </row>
    <row r="2984">
      <c r="A2984">
        <f>IFERROR(INDEX($N$4:$N$3183,MATCH(SMALL($V$4:$V$3183,2981),$V$4:$V$3183,0)),"")</f>
        <v/>
      </c>
      <c r="B2984">
        <f>IFERROR(INDEX($O$4:$O$3183,MATCH(SMALL($V$4:$V$3183,2981),$V$4:$V$3183,0)),"")</f>
        <v/>
      </c>
      <c r="C2984">
        <f>IFERROR(INDEX($P$4:$P$3183,MATCH(SMALL($V$4:$V$3183,2981),$V$4:$V$3183,0)),"")</f>
        <v/>
      </c>
      <c r="D2984" s="29">
        <f>IFERROR(INDEX($Q$4:$Q$3183,MATCH(SMALL($V$4:$V$3183,2981),$V$4:$V$3183,0)),"")</f>
        <v/>
      </c>
      <c r="E2984" s="29">
        <f>IFERROR(INDEX($R$4:$R$3183,MATCH(SMALL($V$4:$V$3183,2981),$V$4:$V$3183,0)),"")</f>
        <v/>
      </c>
      <c r="F2984">
        <f>IFERROR(INDEX($S$4:$S$3183,MATCH(SMALL($V$4:$V$3183,2981),$V$4:$V$3183,0)),"")</f>
        <v/>
      </c>
      <c r="I2984" s="29">
        <f>IF($B2984="","",IFERROR(INDEX($U$4:$U$3183,MATCH(SMALL($V$4:$V$3183,2981),$V$4:$V$3183,0)),""))</f>
        <v/>
      </c>
      <c r="J2984">
        <f>IF($B2984="","",IF($D2984&gt;$F$2,"À venir",IF($E2984&lt;$D$2,"Passé","Dans la période")))</f>
        <v/>
      </c>
      <c r="K2984">
        <f>IF(OR($B2984="",NOT(ISNUMBER($D2984))),"",IF(AND($E2984&lt;$D$2,$G2984&lt;&gt;"X",$F2984&lt;&gt;"Réalisé",$F2984&lt;&gt;"Clôturé"),"RETARD",""))</f>
        <v/>
      </c>
      <c r="L2984">
        <f>IF(OR($B2984="",NOT(ISNUMBER($D2984))),"",IF(AND($D2984&gt;=$D$2,$D2984&lt;=$H$2,$G2984&lt;&gt;"X",$F2984&lt;&gt;"Réalisé",$F2984&lt;&gt;"Clôturé"),"≤ 7 j",""))</f>
        <v/>
      </c>
      <c r="M2984" s="29">
        <f>IF($B2984="","",IFERROR(INDEX($T$4:$T$3183,MATCH(SMALL($V$4:$V$3183,2981),$V$4:$V$3183,0)),""))</f>
        <v/>
      </c>
      <c r="O2984">
        <f>IF(INDEX(Suivi!$B:$B,3041)="","",INDEX(Suivi!$B:$B,3041))</f>
        <v/>
      </c>
      <c r="P2984">
        <f>IF($O2984="","",IF(INDEX(Suivi!$D:$D,3041)="",INDEX(Suivi!$C:$C,3041),INDEX(Suivi!$D:$D,3041)))</f>
        <v/>
      </c>
      <c r="Q2984">
        <f>IF($O2984="","",INDEX(Suivi!$E:$E,3041))</f>
        <v/>
      </c>
      <c r="R2984">
        <f>IF($O2984="","",INDEX(Suivi!$F:$F,3041))</f>
        <v/>
      </c>
      <c r="S2984">
        <f>IF($O2984="","",INDEX(Suivi!$G:$G,3041))</f>
        <v/>
      </c>
      <c r="T2984">
        <f>IF($O2984="","",IF(INDEX(Dossiers!$F$4:$F$63,57)="","",INDEX(Dossiers!$F$4:$F$63,57)))</f>
        <v/>
      </c>
      <c r="U2984">
        <f>IF($O2984="","",IF(INDEX(Dossiers!$G$4:$G$63,57)="","",INDEX(Dossiers!$G$4:$G$63,57)))</f>
        <v/>
      </c>
      <c r="V2984">
        <f>IF(OR($O2984="",NOT(ISNUMBER($Q2984))),"",$Q2984*1000000+2984)</f>
        <v/>
      </c>
      <c r="W2984" s="29">
        <f>IF($B2984="","",IFERROR(INDEX($U$4:$U$3183,MATCH(SMALL($V$4:$V$3183,2981),$V$4:$V$3183,0)),""))</f>
        <v/>
      </c>
    </row>
    <row r="2985">
      <c r="A2985">
        <f>IFERROR(INDEX($N$4:$N$3183,MATCH(SMALL($V$4:$V$3183,2982),$V$4:$V$3183,0)),"")</f>
        <v/>
      </c>
      <c r="B2985">
        <f>IFERROR(INDEX($O$4:$O$3183,MATCH(SMALL($V$4:$V$3183,2982),$V$4:$V$3183,0)),"")</f>
        <v/>
      </c>
      <c r="C2985">
        <f>IFERROR(INDEX($P$4:$P$3183,MATCH(SMALL($V$4:$V$3183,2982),$V$4:$V$3183,0)),"")</f>
        <v/>
      </c>
      <c r="D2985" s="29">
        <f>IFERROR(INDEX($Q$4:$Q$3183,MATCH(SMALL($V$4:$V$3183,2982),$V$4:$V$3183,0)),"")</f>
        <v/>
      </c>
      <c r="E2985" s="29">
        <f>IFERROR(INDEX($R$4:$R$3183,MATCH(SMALL($V$4:$V$3183,2982),$V$4:$V$3183,0)),"")</f>
        <v/>
      </c>
      <c r="F2985">
        <f>IFERROR(INDEX($S$4:$S$3183,MATCH(SMALL($V$4:$V$3183,2982),$V$4:$V$3183,0)),"")</f>
        <v/>
      </c>
      <c r="I2985" s="29">
        <f>IF($B2985="","",IFERROR(INDEX($U$4:$U$3183,MATCH(SMALL($V$4:$V$3183,2982),$V$4:$V$3183,0)),""))</f>
        <v/>
      </c>
      <c r="J2985">
        <f>IF($B2985="","",IF($D2985&gt;$F$2,"À venir",IF($E2985&lt;$D$2,"Passé","Dans la période")))</f>
        <v/>
      </c>
      <c r="K2985">
        <f>IF(OR($B2985="",NOT(ISNUMBER($D2985))),"",IF(AND($E2985&lt;$D$2,$G2985&lt;&gt;"X",$F2985&lt;&gt;"Réalisé",$F2985&lt;&gt;"Clôturé"),"RETARD",""))</f>
        <v/>
      </c>
      <c r="L2985">
        <f>IF(OR($B2985="",NOT(ISNUMBER($D2985))),"",IF(AND($D2985&gt;=$D$2,$D2985&lt;=$H$2,$G2985&lt;&gt;"X",$F2985&lt;&gt;"Réalisé",$F2985&lt;&gt;"Clôturé"),"≤ 7 j",""))</f>
        <v/>
      </c>
      <c r="M2985" s="29">
        <f>IF($B2985="","",IFERROR(INDEX($T$4:$T$3183,MATCH(SMALL($V$4:$V$3183,2982),$V$4:$V$3183,0)),""))</f>
        <v/>
      </c>
      <c r="O2985">
        <f>IF(INDEX(Suivi!$B:$B,3042)="","",INDEX(Suivi!$B:$B,3042))</f>
        <v/>
      </c>
      <c r="P2985">
        <f>IF($O2985="","",IF(INDEX(Suivi!$D:$D,3042)="",INDEX(Suivi!$C:$C,3042),INDEX(Suivi!$D:$D,3042)))</f>
        <v/>
      </c>
      <c r="Q2985">
        <f>IF($O2985="","",INDEX(Suivi!$E:$E,3042))</f>
        <v/>
      </c>
      <c r="R2985">
        <f>IF($O2985="","",INDEX(Suivi!$F:$F,3042))</f>
        <v/>
      </c>
      <c r="S2985">
        <f>IF($O2985="","",INDEX(Suivi!$G:$G,3042))</f>
        <v/>
      </c>
      <c r="T2985">
        <f>IF($O2985="","",IF(INDEX(Dossiers!$F$4:$F$63,57)="","",INDEX(Dossiers!$F$4:$F$63,57)))</f>
        <v/>
      </c>
      <c r="U2985">
        <f>IF($O2985="","",IF(INDEX(Dossiers!$G$4:$G$63,57)="","",INDEX(Dossiers!$G$4:$G$63,57)))</f>
        <v/>
      </c>
      <c r="V2985">
        <f>IF(OR($O2985="",NOT(ISNUMBER($Q2985))),"",$Q2985*1000000+2985)</f>
        <v/>
      </c>
      <c r="W2985" s="29">
        <f>IF($B2985="","",IFERROR(INDEX($U$4:$U$3183,MATCH(SMALL($V$4:$V$3183,2982),$V$4:$V$3183,0)),""))</f>
        <v/>
      </c>
    </row>
    <row r="2986">
      <c r="A2986">
        <f>IFERROR(INDEX($N$4:$N$3183,MATCH(SMALL($V$4:$V$3183,2983),$V$4:$V$3183,0)),"")</f>
        <v/>
      </c>
      <c r="B2986">
        <f>IFERROR(INDEX($O$4:$O$3183,MATCH(SMALL($V$4:$V$3183,2983),$V$4:$V$3183,0)),"")</f>
        <v/>
      </c>
      <c r="C2986">
        <f>IFERROR(INDEX($P$4:$P$3183,MATCH(SMALL($V$4:$V$3183,2983),$V$4:$V$3183,0)),"")</f>
        <v/>
      </c>
      <c r="D2986" s="29">
        <f>IFERROR(INDEX($Q$4:$Q$3183,MATCH(SMALL($V$4:$V$3183,2983),$V$4:$V$3183,0)),"")</f>
        <v/>
      </c>
      <c r="E2986" s="29">
        <f>IFERROR(INDEX($R$4:$R$3183,MATCH(SMALL($V$4:$V$3183,2983),$V$4:$V$3183,0)),"")</f>
        <v/>
      </c>
      <c r="F2986">
        <f>IFERROR(INDEX($S$4:$S$3183,MATCH(SMALL($V$4:$V$3183,2983),$V$4:$V$3183,0)),"")</f>
        <v/>
      </c>
      <c r="I2986" s="29">
        <f>IF($B2986="","",IFERROR(INDEX($U$4:$U$3183,MATCH(SMALL($V$4:$V$3183,2983),$V$4:$V$3183,0)),""))</f>
        <v/>
      </c>
      <c r="J2986">
        <f>IF($B2986="","",IF($D2986&gt;$F$2,"À venir",IF($E2986&lt;$D$2,"Passé","Dans la période")))</f>
        <v/>
      </c>
      <c r="K2986">
        <f>IF(OR($B2986="",NOT(ISNUMBER($D2986))),"",IF(AND($E2986&lt;$D$2,$G2986&lt;&gt;"X",$F2986&lt;&gt;"Réalisé",$F2986&lt;&gt;"Clôturé"),"RETARD",""))</f>
        <v/>
      </c>
      <c r="L2986">
        <f>IF(OR($B2986="",NOT(ISNUMBER($D2986))),"",IF(AND($D2986&gt;=$D$2,$D2986&lt;=$H$2,$G2986&lt;&gt;"X",$F2986&lt;&gt;"Réalisé",$F2986&lt;&gt;"Clôturé"),"≤ 7 j",""))</f>
        <v/>
      </c>
      <c r="M2986" s="29">
        <f>IF($B2986="","",IFERROR(INDEX($T$4:$T$3183,MATCH(SMALL($V$4:$V$3183,2983),$V$4:$V$3183,0)),""))</f>
        <v/>
      </c>
      <c r="O2986">
        <f>IF(INDEX(Suivi!$B:$B,3043)="","",INDEX(Suivi!$B:$B,3043))</f>
        <v/>
      </c>
      <c r="P2986">
        <f>IF($O2986="","",IF(INDEX(Suivi!$D:$D,3043)="",INDEX(Suivi!$C:$C,3043),INDEX(Suivi!$D:$D,3043)))</f>
        <v/>
      </c>
      <c r="Q2986">
        <f>IF($O2986="","",INDEX(Suivi!$E:$E,3043))</f>
        <v/>
      </c>
      <c r="R2986">
        <f>IF($O2986="","",INDEX(Suivi!$F:$F,3043))</f>
        <v/>
      </c>
      <c r="S2986">
        <f>IF($O2986="","",INDEX(Suivi!$G:$G,3043))</f>
        <v/>
      </c>
      <c r="T2986">
        <f>IF($O2986="","",IF(INDEX(Dossiers!$F$4:$F$63,57)="","",INDEX(Dossiers!$F$4:$F$63,57)))</f>
        <v/>
      </c>
      <c r="U2986">
        <f>IF($O2986="","",IF(INDEX(Dossiers!$G$4:$G$63,57)="","",INDEX(Dossiers!$G$4:$G$63,57)))</f>
        <v/>
      </c>
      <c r="V2986">
        <f>IF(OR($O2986="",NOT(ISNUMBER($Q2986))),"",$Q2986*1000000+2986)</f>
        <v/>
      </c>
      <c r="W2986" s="29">
        <f>IF($B2986="","",IFERROR(INDEX($U$4:$U$3183,MATCH(SMALL($V$4:$V$3183,2983),$V$4:$V$3183,0)),""))</f>
        <v/>
      </c>
    </row>
    <row r="2987">
      <c r="A2987">
        <f>IFERROR(INDEX($N$4:$N$3183,MATCH(SMALL($V$4:$V$3183,2984),$V$4:$V$3183,0)),"")</f>
        <v/>
      </c>
      <c r="B2987">
        <f>IFERROR(INDEX($O$4:$O$3183,MATCH(SMALL($V$4:$V$3183,2984),$V$4:$V$3183,0)),"")</f>
        <v/>
      </c>
      <c r="C2987">
        <f>IFERROR(INDEX($P$4:$P$3183,MATCH(SMALL($V$4:$V$3183,2984),$V$4:$V$3183,0)),"")</f>
        <v/>
      </c>
      <c r="D2987" s="29">
        <f>IFERROR(INDEX($Q$4:$Q$3183,MATCH(SMALL($V$4:$V$3183,2984),$V$4:$V$3183,0)),"")</f>
        <v/>
      </c>
      <c r="E2987" s="29">
        <f>IFERROR(INDEX($R$4:$R$3183,MATCH(SMALL($V$4:$V$3183,2984),$V$4:$V$3183,0)),"")</f>
        <v/>
      </c>
      <c r="F2987">
        <f>IFERROR(INDEX($S$4:$S$3183,MATCH(SMALL($V$4:$V$3183,2984),$V$4:$V$3183,0)),"")</f>
        <v/>
      </c>
      <c r="I2987" s="29">
        <f>IF($B2987="","",IFERROR(INDEX($U$4:$U$3183,MATCH(SMALL($V$4:$V$3183,2984),$V$4:$V$3183,0)),""))</f>
        <v/>
      </c>
      <c r="J2987">
        <f>IF($B2987="","",IF($D2987&gt;$F$2,"À venir",IF($E2987&lt;$D$2,"Passé","Dans la période")))</f>
        <v/>
      </c>
      <c r="K2987">
        <f>IF(OR($B2987="",NOT(ISNUMBER($D2987))),"",IF(AND($E2987&lt;$D$2,$G2987&lt;&gt;"X",$F2987&lt;&gt;"Réalisé",$F2987&lt;&gt;"Clôturé"),"RETARD",""))</f>
        <v/>
      </c>
      <c r="L2987">
        <f>IF(OR($B2987="",NOT(ISNUMBER($D2987))),"",IF(AND($D2987&gt;=$D$2,$D2987&lt;=$H$2,$G2987&lt;&gt;"X",$F2987&lt;&gt;"Réalisé",$F2987&lt;&gt;"Clôturé"),"≤ 7 j",""))</f>
        <v/>
      </c>
      <c r="M2987" s="29">
        <f>IF($B2987="","",IFERROR(INDEX($T$4:$T$3183,MATCH(SMALL($V$4:$V$3183,2984),$V$4:$V$3183,0)),""))</f>
        <v/>
      </c>
      <c r="O2987">
        <f>IF(INDEX(Suivi!$B:$B,3044)="","",INDEX(Suivi!$B:$B,3044))</f>
        <v/>
      </c>
      <c r="P2987">
        <f>IF($O2987="","",IF(INDEX(Suivi!$D:$D,3044)="",INDEX(Suivi!$C:$C,3044),INDEX(Suivi!$D:$D,3044)))</f>
        <v/>
      </c>
      <c r="Q2987">
        <f>IF($O2987="","",INDEX(Suivi!$E:$E,3044))</f>
        <v/>
      </c>
      <c r="R2987">
        <f>IF($O2987="","",INDEX(Suivi!$F:$F,3044))</f>
        <v/>
      </c>
      <c r="S2987">
        <f>IF($O2987="","",INDEX(Suivi!$G:$G,3044))</f>
        <v/>
      </c>
      <c r="T2987">
        <f>IF($O2987="","",IF(INDEX(Dossiers!$F$4:$F$63,57)="","",INDEX(Dossiers!$F$4:$F$63,57)))</f>
        <v/>
      </c>
      <c r="U2987">
        <f>IF($O2987="","",IF(INDEX(Dossiers!$G$4:$G$63,57)="","",INDEX(Dossiers!$G$4:$G$63,57)))</f>
        <v/>
      </c>
      <c r="V2987">
        <f>IF(OR($O2987="",NOT(ISNUMBER($Q2987))),"",$Q2987*1000000+2987)</f>
        <v/>
      </c>
      <c r="W2987" s="29">
        <f>IF($B2987="","",IFERROR(INDEX($U$4:$U$3183,MATCH(SMALL($V$4:$V$3183,2984),$V$4:$V$3183,0)),""))</f>
        <v/>
      </c>
    </row>
    <row r="2988">
      <c r="A2988">
        <f>IFERROR(INDEX($N$4:$N$3183,MATCH(SMALL($V$4:$V$3183,2985),$V$4:$V$3183,0)),"")</f>
        <v/>
      </c>
      <c r="B2988">
        <f>IFERROR(INDEX($O$4:$O$3183,MATCH(SMALL($V$4:$V$3183,2985),$V$4:$V$3183,0)),"")</f>
        <v/>
      </c>
      <c r="C2988">
        <f>IFERROR(INDEX($P$4:$P$3183,MATCH(SMALL($V$4:$V$3183,2985),$V$4:$V$3183,0)),"")</f>
        <v/>
      </c>
      <c r="D2988" s="29">
        <f>IFERROR(INDEX($Q$4:$Q$3183,MATCH(SMALL($V$4:$V$3183,2985),$V$4:$V$3183,0)),"")</f>
        <v/>
      </c>
      <c r="E2988" s="29">
        <f>IFERROR(INDEX($R$4:$R$3183,MATCH(SMALL($V$4:$V$3183,2985),$V$4:$V$3183,0)),"")</f>
        <v/>
      </c>
      <c r="F2988">
        <f>IFERROR(INDEX($S$4:$S$3183,MATCH(SMALL($V$4:$V$3183,2985),$V$4:$V$3183,0)),"")</f>
        <v/>
      </c>
      <c r="I2988" s="29">
        <f>IF($B2988="","",IFERROR(INDEX($U$4:$U$3183,MATCH(SMALL($V$4:$V$3183,2985),$V$4:$V$3183,0)),""))</f>
        <v/>
      </c>
      <c r="J2988">
        <f>IF($B2988="","",IF($D2988&gt;$F$2,"À venir",IF($E2988&lt;$D$2,"Passé","Dans la période")))</f>
        <v/>
      </c>
      <c r="K2988">
        <f>IF(OR($B2988="",NOT(ISNUMBER($D2988))),"",IF(AND($E2988&lt;$D$2,$G2988&lt;&gt;"X",$F2988&lt;&gt;"Réalisé",$F2988&lt;&gt;"Clôturé"),"RETARD",""))</f>
        <v/>
      </c>
      <c r="L2988">
        <f>IF(OR($B2988="",NOT(ISNUMBER($D2988))),"",IF(AND($D2988&gt;=$D$2,$D2988&lt;=$H$2,$G2988&lt;&gt;"X",$F2988&lt;&gt;"Réalisé",$F2988&lt;&gt;"Clôturé"),"≤ 7 j",""))</f>
        <v/>
      </c>
      <c r="M2988" s="29">
        <f>IF($B2988="","",IFERROR(INDEX($T$4:$T$3183,MATCH(SMALL($V$4:$V$3183,2985),$V$4:$V$3183,0)),""))</f>
        <v/>
      </c>
      <c r="O2988">
        <f>IF(INDEX(Suivi!$B:$B,3045)="","",INDEX(Suivi!$B:$B,3045))</f>
        <v/>
      </c>
      <c r="P2988">
        <f>IF($O2988="","",IF(INDEX(Suivi!$D:$D,3045)="",INDEX(Suivi!$C:$C,3045),INDEX(Suivi!$D:$D,3045)))</f>
        <v/>
      </c>
      <c r="Q2988">
        <f>IF($O2988="","",INDEX(Suivi!$E:$E,3045))</f>
        <v/>
      </c>
      <c r="R2988">
        <f>IF($O2988="","",INDEX(Suivi!$F:$F,3045))</f>
        <v/>
      </c>
      <c r="S2988">
        <f>IF($O2988="","",INDEX(Suivi!$G:$G,3045))</f>
        <v/>
      </c>
      <c r="T2988">
        <f>IF($O2988="","",IF(INDEX(Dossiers!$F$4:$F$63,57)="","",INDEX(Dossiers!$F$4:$F$63,57)))</f>
        <v/>
      </c>
      <c r="U2988">
        <f>IF($O2988="","",IF(INDEX(Dossiers!$G$4:$G$63,57)="","",INDEX(Dossiers!$G$4:$G$63,57)))</f>
        <v/>
      </c>
      <c r="V2988">
        <f>IF(OR($O2988="",NOT(ISNUMBER($Q2988))),"",$Q2988*1000000+2988)</f>
        <v/>
      </c>
      <c r="W2988" s="29">
        <f>IF($B2988="","",IFERROR(INDEX($U$4:$U$3183,MATCH(SMALL($V$4:$V$3183,2985),$V$4:$V$3183,0)),""))</f>
        <v/>
      </c>
    </row>
    <row r="2989">
      <c r="A2989">
        <f>IFERROR(INDEX($N$4:$N$3183,MATCH(SMALL($V$4:$V$3183,2986),$V$4:$V$3183,0)),"")</f>
        <v/>
      </c>
      <c r="B2989">
        <f>IFERROR(INDEX($O$4:$O$3183,MATCH(SMALL($V$4:$V$3183,2986),$V$4:$V$3183,0)),"")</f>
        <v/>
      </c>
      <c r="C2989">
        <f>IFERROR(INDEX($P$4:$P$3183,MATCH(SMALL($V$4:$V$3183,2986),$V$4:$V$3183,0)),"")</f>
        <v/>
      </c>
      <c r="D2989" s="29">
        <f>IFERROR(INDEX($Q$4:$Q$3183,MATCH(SMALL($V$4:$V$3183,2986),$V$4:$V$3183,0)),"")</f>
        <v/>
      </c>
      <c r="E2989" s="29">
        <f>IFERROR(INDEX($R$4:$R$3183,MATCH(SMALL($V$4:$V$3183,2986),$V$4:$V$3183,0)),"")</f>
        <v/>
      </c>
      <c r="F2989">
        <f>IFERROR(INDEX($S$4:$S$3183,MATCH(SMALL($V$4:$V$3183,2986),$V$4:$V$3183,0)),"")</f>
        <v/>
      </c>
      <c r="I2989" s="29">
        <f>IF($B2989="","",IFERROR(INDEX($U$4:$U$3183,MATCH(SMALL($V$4:$V$3183,2986),$V$4:$V$3183,0)),""))</f>
        <v/>
      </c>
      <c r="J2989">
        <f>IF($B2989="","",IF($D2989&gt;$F$2,"À venir",IF($E2989&lt;$D$2,"Passé","Dans la période")))</f>
        <v/>
      </c>
      <c r="K2989">
        <f>IF(OR($B2989="",NOT(ISNUMBER($D2989))),"",IF(AND($E2989&lt;$D$2,$G2989&lt;&gt;"X",$F2989&lt;&gt;"Réalisé",$F2989&lt;&gt;"Clôturé"),"RETARD",""))</f>
        <v/>
      </c>
      <c r="L2989">
        <f>IF(OR($B2989="",NOT(ISNUMBER($D2989))),"",IF(AND($D2989&gt;=$D$2,$D2989&lt;=$H$2,$G2989&lt;&gt;"X",$F2989&lt;&gt;"Réalisé",$F2989&lt;&gt;"Clôturé"),"≤ 7 j",""))</f>
        <v/>
      </c>
      <c r="M2989" s="29">
        <f>IF($B2989="","",IFERROR(INDEX($T$4:$T$3183,MATCH(SMALL($V$4:$V$3183,2986),$V$4:$V$3183,0)),""))</f>
        <v/>
      </c>
      <c r="O2989">
        <f>IF(INDEX(Suivi!$B:$B,3046)="","",INDEX(Suivi!$B:$B,3046))</f>
        <v/>
      </c>
      <c r="P2989">
        <f>IF($O2989="","",IF(INDEX(Suivi!$D:$D,3046)="",INDEX(Suivi!$C:$C,3046),INDEX(Suivi!$D:$D,3046)))</f>
        <v/>
      </c>
      <c r="Q2989">
        <f>IF($O2989="","",INDEX(Suivi!$E:$E,3046))</f>
        <v/>
      </c>
      <c r="R2989">
        <f>IF($O2989="","",INDEX(Suivi!$F:$F,3046))</f>
        <v/>
      </c>
      <c r="S2989">
        <f>IF($O2989="","",INDEX(Suivi!$G:$G,3046))</f>
        <v/>
      </c>
      <c r="T2989">
        <f>IF($O2989="","",IF(INDEX(Dossiers!$F$4:$F$63,57)="","",INDEX(Dossiers!$F$4:$F$63,57)))</f>
        <v/>
      </c>
      <c r="U2989">
        <f>IF($O2989="","",IF(INDEX(Dossiers!$G$4:$G$63,57)="","",INDEX(Dossiers!$G$4:$G$63,57)))</f>
        <v/>
      </c>
      <c r="V2989">
        <f>IF(OR($O2989="",NOT(ISNUMBER($Q2989))),"",$Q2989*1000000+2989)</f>
        <v/>
      </c>
      <c r="W2989" s="29">
        <f>IF($B2989="","",IFERROR(INDEX($U$4:$U$3183,MATCH(SMALL($V$4:$V$3183,2986),$V$4:$V$3183,0)),""))</f>
        <v/>
      </c>
    </row>
    <row r="2990">
      <c r="A2990">
        <f>IFERROR(INDEX($N$4:$N$3183,MATCH(SMALL($V$4:$V$3183,2987),$V$4:$V$3183,0)),"")</f>
        <v/>
      </c>
      <c r="B2990">
        <f>IFERROR(INDEX($O$4:$O$3183,MATCH(SMALL($V$4:$V$3183,2987),$V$4:$V$3183,0)),"")</f>
        <v/>
      </c>
      <c r="C2990">
        <f>IFERROR(INDEX($P$4:$P$3183,MATCH(SMALL($V$4:$V$3183,2987),$V$4:$V$3183,0)),"")</f>
        <v/>
      </c>
      <c r="D2990" s="29">
        <f>IFERROR(INDEX($Q$4:$Q$3183,MATCH(SMALL($V$4:$V$3183,2987),$V$4:$V$3183,0)),"")</f>
        <v/>
      </c>
      <c r="E2990" s="29">
        <f>IFERROR(INDEX($R$4:$R$3183,MATCH(SMALL($V$4:$V$3183,2987),$V$4:$V$3183,0)),"")</f>
        <v/>
      </c>
      <c r="F2990">
        <f>IFERROR(INDEX($S$4:$S$3183,MATCH(SMALL($V$4:$V$3183,2987),$V$4:$V$3183,0)),"")</f>
        <v/>
      </c>
      <c r="I2990" s="29">
        <f>IF($B2990="","",IFERROR(INDEX($U$4:$U$3183,MATCH(SMALL($V$4:$V$3183,2987),$V$4:$V$3183,0)),""))</f>
        <v/>
      </c>
      <c r="J2990">
        <f>IF($B2990="","",IF($D2990&gt;$F$2,"À venir",IF($E2990&lt;$D$2,"Passé","Dans la période")))</f>
        <v/>
      </c>
      <c r="K2990">
        <f>IF(OR($B2990="",NOT(ISNUMBER($D2990))),"",IF(AND($E2990&lt;$D$2,$G2990&lt;&gt;"X",$F2990&lt;&gt;"Réalisé",$F2990&lt;&gt;"Clôturé"),"RETARD",""))</f>
        <v/>
      </c>
      <c r="L2990">
        <f>IF(OR($B2990="",NOT(ISNUMBER($D2990))),"",IF(AND($D2990&gt;=$D$2,$D2990&lt;=$H$2,$G2990&lt;&gt;"X",$F2990&lt;&gt;"Réalisé",$F2990&lt;&gt;"Clôturé"),"≤ 7 j",""))</f>
        <v/>
      </c>
      <c r="M2990" s="29">
        <f>IF($B2990="","",IFERROR(INDEX($T$4:$T$3183,MATCH(SMALL($V$4:$V$3183,2987),$V$4:$V$3183,0)),""))</f>
        <v/>
      </c>
      <c r="O2990">
        <f>IF(INDEX(Suivi!$B:$B,3047)="","",INDEX(Suivi!$B:$B,3047))</f>
        <v/>
      </c>
      <c r="P2990">
        <f>IF($O2990="","",IF(INDEX(Suivi!$D:$D,3047)="",INDEX(Suivi!$C:$C,3047),INDEX(Suivi!$D:$D,3047)))</f>
        <v/>
      </c>
      <c r="Q2990">
        <f>IF($O2990="","",INDEX(Suivi!$E:$E,3047))</f>
        <v/>
      </c>
      <c r="R2990">
        <f>IF($O2990="","",INDEX(Suivi!$F:$F,3047))</f>
        <v/>
      </c>
      <c r="S2990">
        <f>IF($O2990="","",INDEX(Suivi!$G:$G,3047))</f>
        <v/>
      </c>
      <c r="T2990">
        <f>IF($O2990="","",IF(INDEX(Dossiers!$F$4:$F$63,57)="","",INDEX(Dossiers!$F$4:$F$63,57)))</f>
        <v/>
      </c>
      <c r="U2990">
        <f>IF($O2990="","",IF(INDEX(Dossiers!$G$4:$G$63,57)="","",INDEX(Dossiers!$G$4:$G$63,57)))</f>
        <v/>
      </c>
      <c r="V2990">
        <f>IF(OR($O2990="",NOT(ISNUMBER($Q2990))),"",$Q2990*1000000+2990)</f>
        <v/>
      </c>
      <c r="W2990" s="29">
        <f>IF($B2990="","",IFERROR(INDEX($U$4:$U$3183,MATCH(SMALL($V$4:$V$3183,2987),$V$4:$V$3183,0)),""))</f>
        <v/>
      </c>
    </row>
    <row r="2991">
      <c r="A2991">
        <f>IFERROR(INDEX($N$4:$N$3183,MATCH(SMALL($V$4:$V$3183,2988),$V$4:$V$3183,0)),"")</f>
        <v/>
      </c>
      <c r="B2991">
        <f>IFERROR(INDEX($O$4:$O$3183,MATCH(SMALL($V$4:$V$3183,2988),$V$4:$V$3183,0)),"")</f>
        <v/>
      </c>
      <c r="C2991">
        <f>IFERROR(INDEX($P$4:$P$3183,MATCH(SMALL($V$4:$V$3183,2988),$V$4:$V$3183,0)),"")</f>
        <v/>
      </c>
      <c r="D2991" s="29">
        <f>IFERROR(INDEX($Q$4:$Q$3183,MATCH(SMALL($V$4:$V$3183,2988),$V$4:$V$3183,0)),"")</f>
        <v/>
      </c>
      <c r="E2991" s="29">
        <f>IFERROR(INDEX($R$4:$R$3183,MATCH(SMALL($V$4:$V$3183,2988),$V$4:$V$3183,0)),"")</f>
        <v/>
      </c>
      <c r="F2991">
        <f>IFERROR(INDEX($S$4:$S$3183,MATCH(SMALL($V$4:$V$3183,2988),$V$4:$V$3183,0)),"")</f>
        <v/>
      </c>
      <c r="I2991" s="29">
        <f>IF($B2991="","",IFERROR(INDEX($U$4:$U$3183,MATCH(SMALL($V$4:$V$3183,2988),$V$4:$V$3183,0)),""))</f>
        <v/>
      </c>
      <c r="J2991">
        <f>IF($B2991="","",IF($D2991&gt;$F$2,"À venir",IF($E2991&lt;$D$2,"Passé","Dans la période")))</f>
        <v/>
      </c>
      <c r="K2991">
        <f>IF(OR($B2991="",NOT(ISNUMBER($D2991))),"",IF(AND($E2991&lt;$D$2,$G2991&lt;&gt;"X",$F2991&lt;&gt;"Réalisé",$F2991&lt;&gt;"Clôturé"),"RETARD",""))</f>
        <v/>
      </c>
      <c r="L2991">
        <f>IF(OR($B2991="",NOT(ISNUMBER($D2991))),"",IF(AND($D2991&gt;=$D$2,$D2991&lt;=$H$2,$G2991&lt;&gt;"X",$F2991&lt;&gt;"Réalisé",$F2991&lt;&gt;"Clôturé"),"≤ 7 j",""))</f>
        <v/>
      </c>
      <c r="M2991" s="29">
        <f>IF($B2991="","",IFERROR(INDEX($T$4:$T$3183,MATCH(SMALL($V$4:$V$3183,2988),$V$4:$V$3183,0)),""))</f>
        <v/>
      </c>
      <c r="O2991">
        <f>IF(INDEX(Suivi!$B:$B,3048)="","",INDEX(Suivi!$B:$B,3048))</f>
        <v/>
      </c>
      <c r="P2991">
        <f>IF($O2991="","",IF(INDEX(Suivi!$D:$D,3048)="",INDEX(Suivi!$C:$C,3048),INDEX(Suivi!$D:$D,3048)))</f>
        <v/>
      </c>
      <c r="Q2991">
        <f>IF($O2991="","",INDEX(Suivi!$E:$E,3048))</f>
        <v/>
      </c>
      <c r="R2991">
        <f>IF($O2991="","",INDEX(Suivi!$F:$F,3048))</f>
        <v/>
      </c>
      <c r="S2991">
        <f>IF($O2991="","",INDEX(Suivi!$G:$G,3048))</f>
        <v/>
      </c>
      <c r="T2991">
        <f>IF($O2991="","",IF(INDEX(Dossiers!$F$4:$F$63,57)="","",INDEX(Dossiers!$F$4:$F$63,57)))</f>
        <v/>
      </c>
      <c r="U2991">
        <f>IF($O2991="","",IF(INDEX(Dossiers!$G$4:$G$63,57)="","",INDEX(Dossiers!$G$4:$G$63,57)))</f>
        <v/>
      </c>
      <c r="V2991">
        <f>IF(OR($O2991="",NOT(ISNUMBER($Q2991))),"",$Q2991*1000000+2991)</f>
        <v/>
      </c>
      <c r="W2991" s="29">
        <f>IF($B2991="","",IFERROR(INDEX($U$4:$U$3183,MATCH(SMALL($V$4:$V$3183,2988),$V$4:$V$3183,0)),""))</f>
        <v/>
      </c>
    </row>
    <row r="2992">
      <c r="A2992">
        <f>IFERROR(INDEX($N$4:$N$3183,MATCH(SMALL($V$4:$V$3183,2989),$V$4:$V$3183,0)),"")</f>
        <v/>
      </c>
      <c r="B2992">
        <f>IFERROR(INDEX($O$4:$O$3183,MATCH(SMALL($V$4:$V$3183,2989),$V$4:$V$3183,0)),"")</f>
        <v/>
      </c>
      <c r="C2992">
        <f>IFERROR(INDEX($P$4:$P$3183,MATCH(SMALL($V$4:$V$3183,2989),$V$4:$V$3183,0)),"")</f>
        <v/>
      </c>
      <c r="D2992" s="29">
        <f>IFERROR(INDEX($Q$4:$Q$3183,MATCH(SMALL($V$4:$V$3183,2989),$V$4:$V$3183,0)),"")</f>
        <v/>
      </c>
      <c r="E2992" s="29">
        <f>IFERROR(INDEX($R$4:$R$3183,MATCH(SMALL($V$4:$V$3183,2989),$V$4:$V$3183,0)),"")</f>
        <v/>
      </c>
      <c r="F2992">
        <f>IFERROR(INDEX($S$4:$S$3183,MATCH(SMALL($V$4:$V$3183,2989),$V$4:$V$3183,0)),"")</f>
        <v/>
      </c>
      <c r="I2992" s="29">
        <f>IF($B2992="","",IFERROR(INDEX($U$4:$U$3183,MATCH(SMALL($V$4:$V$3183,2989),$V$4:$V$3183,0)),""))</f>
        <v/>
      </c>
      <c r="J2992">
        <f>IF($B2992="","",IF($D2992&gt;$F$2,"À venir",IF($E2992&lt;$D$2,"Passé","Dans la période")))</f>
        <v/>
      </c>
      <c r="K2992">
        <f>IF(OR($B2992="",NOT(ISNUMBER($D2992))),"",IF(AND($E2992&lt;$D$2,$G2992&lt;&gt;"X",$F2992&lt;&gt;"Réalisé",$F2992&lt;&gt;"Clôturé"),"RETARD",""))</f>
        <v/>
      </c>
      <c r="L2992">
        <f>IF(OR($B2992="",NOT(ISNUMBER($D2992))),"",IF(AND($D2992&gt;=$D$2,$D2992&lt;=$H$2,$G2992&lt;&gt;"X",$F2992&lt;&gt;"Réalisé",$F2992&lt;&gt;"Clôturé"),"≤ 7 j",""))</f>
        <v/>
      </c>
      <c r="M2992" s="29">
        <f>IF($B2992="","",IFERROR(INDEX($T$4:$T$3183,MATCH(SMALL($V$4:$V$3183,2989),$V$4:$V$3183,0)),""))</f>
        <v/>
      </c>
      <c r="O2992">
        <f>IF(INDEX(Suivi!$B:$B,3049)="","",INDEX(Suivi!$B:$B,3049))</f>
        <v/>
      </c>
      <c r="P2992">
        <f>IF($O2992="","",IF(INDEX(Suivi!$D:$D,3049)="",INDEX(Suivi!$C:$C,3049),INDEX(Suivi!$D:$D,3049)))</f>
        <v/>
      </c>
      <c r="Q2992">
        <f>IF($O2992="","",INDEX(Suivi!$E:$E,3049))</f>
        <v/>
      </c>
      <c r="R2992">
        <f>IF($O2992="","",INDEX(Suivi!$F:$F,3049))</f>
        <v/>
      </c>
      <c r="S2992">
        <f>IF($O2992="","",INDEX(Suivi!$G:$G,3049))</f>
        <v/>
      </c>
      <c r="T2992">
        <f>IF($O2992="","",IF(INDEX(Dossiers!$F$4:$F$63,57)="","",INDEX(Dossiers!$F$4:$F$63,57)))</f>
        <v/>
      </c>
      <c r="U2992">
        <f>IF($O2992="","",IF(INDEX(Dossiers!$G$4:$G$63,57)="","",INDEX(Dossiers!$G$4:$G$63,57)))</f>
        <v/>
      </c>
      <c r="V2992">
        <f>IF(OR($O2992="",NOT(ISNUMBER($Q2992))),"",$Q2992*1000000+2992)</f>
        <v/>
      </c>
      <c r="W2992" s="29">
        <f>IF($B2992="","",IFERROR(INDEX($U$4:$U$3183,MATCH(SMALL($V$4:$V$3183,2989),$V$4:$V$3183,0)),""))</f>
        <v/>
      </c>
    </row>
    <row r="2993">
      <c r="A2993">
        <f>IFERROR(INDEX($N$4:$N$3183,MATCH(SMALL($V$4:$V$3183,2990),$V$4:$V$3183,0)),"")</f>
        <v/>
      </c>
      <c r="B2993">
        <f>IFERROR(INDEX($O$4:$O$3183,MATCH(SMALL($V$4:$V$3183,2990),$V$4:$V$3183,0)),"")</f>
        <v/>
      </c>
      <c r="C2993">
        <f>IFERROR(INDEX($P$4:$P$3183,MATCH(SMALL($V$4:$V$3183,2990),$V$4:$V$3183,0)),"")</f>
        <v/>
      </c>
      <c r="D2993" s="29">
        <f>IFERROR(INDEX($Q$4:$Q$3183,MATCH(SMALL($V$4:$V$3183,2990),$V$4:$V$3183,0)),"")</f>
        <v/>
      </c>
      <c r="E2993" s="29">
        <f>IFERROR(INDEX($R$4:$R$3183,MATCH(SMALL($V$4:$V$3183,2990),$V$4:$V$3183,0)),"")</f>
        <v/>
      </c>
      <c r="F2993">
        <f>IFERROR(INDEX($S$4:$S$3183,MATCH(SMALL($V$4:$V$3183,2990),$V$4:$V$3183,0)),"")</f>
        <v/>
      </c>
      <c r="I2993" s="29">
        <f>IF($B2993="","",IFERROR(INDEX($U$4:$U$3183,MATCH(SMALL($V$4:$V$3183,2990),$V$4:$V$3183,0)),""))</f>
        <v/>
      </c>
      <c r="J2993">
        <f>IF($B2993="","",IF($D2993&gt;$F$2,"À venir",IF($E2993&lt;$D$2,"Passé","Dans la période")))</f>
        <v/>
      </c>
      <c r="K2993">
        <f>IF(OR($B2993="",NOT(ISNUMBER($D2993))),"",IF(AND($E2993&lt;$D$2,$G2993&lt;&gt;"X",$F2993&lt;&gt;"Réalisé",$F2993&lt;&gt;"Clôturé"),"RETARD",""))</f>
        <v/>
      </c>
      <c r="L2993">
        <f>IF(OR($B2993="",NOT(ISNUMBER($D2993))),"",IF(AND($D2993&gt;=$D$2,$D2993&lt;=$H$2,$G2993&lt;&gt;"X",$F2993&lt;&gt;"Réalisé",$F2993&lt;&gt;"Clôturé"),"≤ 7 j",""))</f>
        <v/>
      </c>
      <c r="M2993" s="29">
        <f>IF($B2993="","",IFERROR(INDEX($T$4:$T$3183,MATCH(SMALL($V$4:$V$3183,2990),$V$4:$V$3183,0)),""))</f>
        <v/>
      </c>
      <c r="O2993">
        <f>IF(INDEX(Suivi!$B:$B,3050)="","",INDEX(Suivi!$B:$B,3050))</f>
        <v/>
      </c>
      <c r="P2993">
        <f>IF($O2993="","",IF(INDEX(Suivi!$D:$D,3050)="",INDEX(Suivi!$C:$C,3050),INDEX(Suivi!$D:$D,3050)))</f>
        <v/>
      </c>
      <c r="Q2993">
        <f>IF($O2993="","",INDEX(Suivi!$E:$E,3050))</f>
        <v/>
      </c>
      <c r="R2993">
        <f>IF($O2993="","",INDEX(Suivi!$F:$F,3050))</f>
        <v/>
      </c>
      <c r="S2993">
        <f>IF($O2993="","",INDEX(Suivi!$G:$G,3050))</f>
        <v/>
      </c>
      <c r="T2993">
        <f>IF($O2993="","",IF(INDEX(Dossiers!$F$4:$F$63,57)="","",INDEX(Dossiers!$F$4:$F$63,57)))</f>
        <v/>
      </c>
      <c r="U2993">
        <f>IF($O2993="","",IF(INDEX(Dossiers!$G$4:$G$63,57)="","",INDEX(Dossiers!$G$4:$G$63,57)))</f>
        <v/>
      </c>
      <c r="V2993">
        <f>IF(OR($O2993="",NOT(ISNUMBER($Q2993))),"",$Q2993*1000000+2993)</f>
        <v/>
      </c>
      <c r="W2993" s="29">
        <f>IF($B2993="","",IFERROR(INDEX($U$4:$U$3183,MATCH(SMALL($V$4:$V$3183,2990),$V$4:$V$3183,0)),""))</f>
        <v/>
      </c>
    </row>
    <row r="2994">
      <c r="A2994">
        <f>IFERROR(INDEX($N$4:$N$3183,MATCH(SMALL($V$4:$V$3183,2991),$V$4:$V$3183,0)),"")</f>
        <v/>
      </c>
      <c r="B2994">
        <f>IFERROR(INDEX($O$4:$O$3183,MATCH(SMALL($V$4:$V$3183,2991),$V$4:$V$3183,0)),"")</f>
        <v/>
      </c>
      <c r="C2994">
        <f>IFERROR(INDEX($P$4:$P$3183,MATCH(SMALL($V$4:$V$3183,2991),$V$4:$V$3183,0)),"")</f>
        <v/>
      </c>
      <c r="D2994" s="29">
        <f>IFERROR(INDEX($Q$4:$Q$3183,MATCH(SMALL($V$4:$V$3183,2991),$V$4:$V$3183,0)),"")</f>
        <v/>
      </c>
      <c r="E2994" s="29">
        <f>IFERROR(INDEX($R$4:$R$3183,MATCH(SMALL($V$4:$V$3183,2991),$V$4:$V$3183,0)),"")</f>
        <v/>
      </c>
      <c r="F2994">
        <f>IFERROR(INDEX($S$4:$S$3183,MATCH(SMALL($V$4:$V$3183,2991),$V$4:$V$3183,0)),"")</f>
        <v/>
      </c>
      <c r="I2994" s="29">
        <f>IF($B2994="","",IFERROR(INDEX($U$4:$U$3183,MATCH(SMALL($V$4:$V$3183,2991),$V$4:$V$3183,0)),""))</f>
        <v/>
      </c>
      <c r="J2994">
        <f>IF($B2994="","",IF($D2994&gt;$F$2,"À venir",IF($E2994&lt;$D$2,"Passé","Dans la période")))</f>
        <v/>
      </c>
      <c r="K2994">
        <f>IF(OR($B2994="",NOT(ISNUMBER($D2994))),"",IF(AND($E2994&lt;$D$2,$G2994&lt;&gt;"X",$F2994&lt;&gt;"Réalisé",$F2994&lt;&gt;"Clôturé"),"RETARD",""))</f>
        <v/>
      </c>
      <c r="L2994">
        <f>IF(OR($B2994="",NOT(ISNUMBER($D2994))),"",IF(AND($D2994&gt;=$D$2,$D2994&lt;=$H$2,$G2994&lt;&gt;"X",$F2994&lt;&gt;"Réalisé",$F2994&lt;&gt;"Clôturé"),"≤ 7 j",""))</f>
        <v/>
      </c>
      <c r="M2994" s="29">
        <f>IF($B2994="","",IFERROR(INDEX($T$4:$T$3183,MATCH(SMALL($V$4:$V$3183,2991),$V$4:$V$3183,0)),""))</f>
        <v/>
      </c>
      <c r="O2994">
        <f>IF(INDEX(Suivi!$B:$B,3051)="","",INDEX(Suivi!$B:$B,3051))</f>
        <v/>
      </c>
      <c r="P2994">
        <f>IF($O2994="","",IF(INDEX(Suivi!$D:$D,3051)="",INDEX(Suivi!$C:$C,3051),INDEX(Suivi!$D:$D,3051)))</f>
        <v/>
      </c>
      <c r="Q2994">
        <f>IF($O2994="","",INDEX(Suivi!$E:$E,3051))</f>
        <v/>
      </c>
      <c r="R2994">
        <f>IF($O2994="","",INDEX(Suivi!$F:$F,3051))</f>
        <v/>
      </c>
      <c r="S2994">
        <f>IF($O2994="","",INDEX(Suivi!$G:$G,3051))</f>
        <v/>
      </c>
      <c r="T2994">
        <f>IF($O2994="","",IF(INDEX(Dossiers!$F$4:$F$63,57)="","",INDEX(Dossiers!$F$4:$F$63,57)))</f>
        <v/>
      </c>
      <c r="U2994">
        <f>IF($O2994="","",IF(INDEX(Dossiers!$G$4:$G$63,57)="","",INDEX(Dossiers!$G$4:$G$63,57)))</f>
        <v/>
      </c>
      <c r="V2994">
        <f>IF(OR($O2994="",NOT(ISNUMBER($Q2994))),"",$Q2994*1000000+2994)</f>
        <v/>
      </c>
      <c r="W2994" s="29">
        <f>IF($B2994="","",IFERROR(INDEX($U$4:$U$3183,MATCH(SMALL($V$4:$V$3183,2991),$V$4:$V$3183,0)),""))</f>
        <v/>
      </c>
    </row>
    <row r="2995">
      <c r="A2995">
        <f>IFERROR(INDEX($N$4:$N$3183,MATCH(SMALL($V$4:$V$3183,2992),$V$4:$V$3183,0)),"")</f>
        <v/>
      </c>
      <c r="B2995">
        <f>IFERROR(INDEX($O$4:$O$3183,MATCH(SMALL($V$4:$V$3183,2992),$V$4:$V$3183,0)),"")</f>
        <v/>
      </c>
      <c r="C2995">
        <f>IFERROR(INDEX($P$4:$P$3183,MATCH(SMALL($V$4:$V$3183,2992),$V$4:$V$3183,0)),"")</f>
        <v/>
      </c>
      <c r="D2995" s="29">
        <f>IFERROR(INDEX($Q$4:$Q$3183,MATCH(SMALL($V$4:$V$3183,2992),$V$4:$V$3183,0)),"")</f>
        <v/>
      </c>
      <c r="E2995" s="29">
        <f>IFERROR(INDEX($R$4:$R$3183,MATCH(SMALL($V$4:$V$3183,2992),$V$4:$V$3183,0)),"")</f>
        <v/>
      </c>
      <c r="F2995">
        <f>IFERROR(INDEX($S$4:$S$3183,MATCH(SMALL($V$4:$V$3183,2992),$V$4:$V$3183,0)),"")</f>
        <v/>
      </c>
      <c r="I2995" s="29">
        <f>IF($B2995="","",IFERROR(INDEX($U$4:$U$3183,MATCH(SMALL($V$4:$V$3183,2992),$V$4:$V$3183,0)),""))</f>
        <v/>
      </c>
      <c r="J2995">
        <f>IF($B2995="","",IF($D2995&gt;$F$2,"À venir",IF($E2995&lt;$D$2,"Passé","Dans la période")))</f>
        <v/>
      </c>
      <c r="K2995">
        <f>IF(OR($B2995="",NOT(ISNUMBER($D2995))),"",IF(AND($E2995&lt;$D$2,$G2995&lt;&gt;"X",$F2995&lt;&gt;"Réalisé",$F2995&lt;&gt;"Clôturé"),"RETARD",""))</f>
        <v/>
      </c>
      <c r="L2995">
        <f>IF(OR($B2995="",NOT(ISNUMBER($D2995))),"",IF(AND($D2995&gt;=$D$2,$D2995&lt;=$H$2,$G2995&lt;&gt;"X",$F2995&lt;&gt;"Réalisé",$F2995&lt;&gt;"Clôturé"),"≤ 7 j",""))</f>
        <v/>
      </c>
      <c r="M2995" s="29">
        <f>IF($B2995="","",IFERROR(INDEX($T$4:$T$3183,MATCH(SMALL($V$4:$V$3183,2992),$V$4:$V$3183,0)),""))</f>
        <v/>
      </c>
      <c r="O2995">
        <f>IF(INDEX(Suivi!$B:$B,3052)="","",INDEX(Suivi!$B:$B,3052))</f>
        <v/>
      </c>
      <c r="P2995">
        <f>IF($O2995="","",IF(INDEX(Suivi!$D:$D,3052)="",INDEX(Suivi!$C:$C,3052),INDEX(Suivi!$D:$D,3052)))</f>
        <v/>
      </c>
      <c r="Q2995">
        <f>IF($O2995="","",INDEX(Suivi!$E:$E,3052))</f>
        <v/>
      </c>
      <c r="R2995">
        <f>IF($O2995="","",INDEX(Suivi!$F:$F,3052))</f>
        <v/>
      </c>
      <c r="S2995">
        <f>IF($O2995="","",INDEX(Suivi!$G:$G,3052))</f>
        <v/>
      </c>
      <c r="T2995">
        <f>IF($O2995="","",IF(INDEX(Dossiers!$F$4:$F$63,57)="","",INDEX(Dossiers!$F$4:$F$63,57)))</f>
        <v/>
      </c>
      <c r="U2995">
        <f>IF($O2995="","",IF(INDEX(Dossiers!$G$4:$G$63,57)="","",INDEX(Dossiers!$G$4:$G$63,57)))</f>
        <v/>
      </c>
      <c r="V2995">
        <f>IF(OR($O2995="",NOT(ISNUMBER($Q2995))),"",$Q2995*1000000+2995)</f>
        <v/>
      </c>
      <c r="W2995" s="29">
        <f>IF($B2995="","",IFERROR(INDEX($U$4:$U$3183,MATCH(SMALL($V$4:$V$3183,2992),$V$4:$V$3183,0)),""))</f>
        <v/>
      </c>
    </row>
    <row r="2996">
      <c r="A2996">
        <f>IFERROR(INDEX($N$4:$N$3183,MATCH(SMALL($V$4:$V$3183,2993),$V$4:$V$3183,0)),"")</f>
        <v/>
      </c>
      <c r="B2996">
        <f>IFERROR(INDEX($O$4:$O$3183,MATCH(SMALL($V$4:$V$3183,2993),$V$4:$V$3183,0)),"")</f>
        <v/>
      </c>
      <c r="C2996">
        <f>IFERROR(INDEX($P$4:$P$3183,MATCH(SMALL($V$4:$V$3183,2993),$V$4:$V$3183,0)),"")</f>
        <v/>
      </c>
      <c r="D2996" s="29">
        <f>IFERROR(INDEX($Q$4:$Q$3183,MATCH(SMALL($V$4:$V$3183,2993),$V$4:$V$3183,0)),"")</f>
        <v/>
      </c>
      <c r="E2996" s="29">
        <f>IFERROR(INDEX($R$4:$R$3183,MATCH(SMALL($V$4:$V$3183,2993),$V$4:$V$3183,0)),"")</f>
        <v/>
      </c>
      <c r="F2996">
        <f>IFERROR(INDEX($S$4:$S$3183,MATCH(SMALL($V$4:$V$3183,2993),$V$4:$V$3183,0)),"")</f>
        <v/>
      </c>
      <c r="I2996" s="29">
        <f>IF($B2996="","",IFERROR(INDEX($U$4:$U$3183,MATCH(SMALL($V$4:$V$3183,2993),$V$4:$V$3183,0)),""))</f>
        <v/>
      </c>
      <c r="J2996">
        <f>IF($B2996="","",IF($D2996&gt;$F$2,"À venir",IF($E2996&lt;$D$2,"Passé","Dans la période")))</f>
        <v/>
      </c>
      <c r="K2996">
        <f>IF(OR($B2996="",NOT(ISNUMBER($D2996))),"",IF(AND($E2996&lt;$D$2,$G2996&lt;&gt;"X",$F2996&lt;&gt;"Réalisé",$F2996&lt;&gt;"Clôturé"),"RETARD",""))</f>
        <v/>
      </c>
      <c r="L2996">
        <f>IF(OR($B2996="",NOT(ISNUMBER($D2996))),"",IF(AND($D2996&gt;=$D$2,$D2996&lt;=$H$2,$G2996&lt;&gt;"X",$F2996&lt;&gt;"Réalisé",$F2996&lt;&gt;"Clôturé"),"≤ 7 j",""))</f>
        <v/>
      </c>
      <c r="M2996" s="29">
        <f>IF($B2996="","",IFERROR(INDEX($T$4:$T$3183,MATCH(SMALL($V$4:$V$3183,2993),$V$4:$V$3183,0)),""))</f>
        <v/>
      </c>
      <c r="O2996">
        <f>IF(INDEX(Suivi!$B:$B,3053)="","",INDEX(Suivi!$B:$B,3053))</f>
        <v/>
      </c>
      <c r="P2996">
        <f>IF($O2996="","",IF(INDEX(Suivi!$D:$D,3053)="",INDEX(Suivi!$C:$C,3053),INDEX(Suivi!$D:$D,3053)))</f>
        <v/>
      </c>
      <c r="Q2996">
        <f>IF($O2996="","",INDEX(Suivi!$E:$E,3053))</f>
        <v/>
      </c>
      <c r="R2996">
        <f>IF($O2996="","",INDEX(Suivi!$F:$F,3053))</f>
        <v/>
      </c>
      <c r="S2996">
        <f>IF($O2996="","",INDEX(Suivi!$G:$G,3053))</f>
        <v/>
      </c>
      <c r="T2996">
        <f>IF($O2996="","",IF(INDEX(Dossiers!$F$4:$F$63,57)="","",INDEX(Dossiers!$F$4:$F$63,57)))</f>
        <v/>
      </c>
      <c r="U2996">
        <f>IF($O2996="","",IF(INDEX(Dossiers!$G$4:$G$63,57)="","",INDEX(Dossiers!$G$4:$G$63,57)))</f>
        <v/>
      </c>
      <c r="V2996">
        <f>IF(OR($O2996="",NOT(ISNUMBER($Q2996))),"",$Q2996*1000000+2996)</f>
        <v/>
      </c>
      <c r="W2996" s="29">
        <f>IF($B2996="","",IFERROR(INDEX($U$4:$U$3183,MATCH(SMALL($V$4:$V$3183,2993),$V$4:$V$3183,0)),""))</f>
        <v/>
      </c>
    </row>
    <row r="2997">
      <c r="A2997">
        <f>IFERROR(INDEX($N$4:$N$3183,MATCH(SMALL($V$4:$V$3183,2994),$V$4:$V$3183,0)),"")</f>
        <v/>
      </c>
      <c r="B2997">
        <f>IFERROR(INDEX($O$4:$O$3183,MATCH(SMALL($V$4:$V$3183,2994),$V$4:$V$3183,0)),"")</f>
        <v/>
      </c>
      <c r="C2997">
        <f>IFERROR(INDEX($P$4:$P$3183,MATCH(SMALL($V$4:$V$3183,2994),$V$4:$V$3183,0)),"")</f>
        <v/>
      </c>
      <c r="D2997" s="29">
        <f>IFERROR(INDEX($Q$4:$Q$3183,MATCH(SMALL($V$4:$V$3183,2994),$V$4:$V$3183,0)),"")</f>
        <v/>
      </c>
      <c r="E2997" s="29">
        <f>IFERROR(INDEX($R$4:$R$3183,MATCH(SMALL($V$4:$V$3183,2994),$V$4:$V$3183,0)),"")</f>
        <v/>
      </c>
      <c r="F2997">
        <f>IFERROR(INDEX($S$4:$S$3183,MATCH(SMALL($V$4:$V$3183,2994),$V$4:$V$3183,0)),"")</f>
        <v/>
      </c>
      <c r="I2997" s="29">
        <f>IF($B2997="","",IFERROR(INDEX($U$4:$U$3183,MATCH(SMALL($V$4:$V$3183,2994),$V$4:$V$3183,0)),""))</f>
        <v/>
      </c>
      <c r="J2997">
        <f>IF($B2997="","",IF($D2997&gt;$F$2,"À venir",IF($E2997&lt;$D$2,"Passé","Dans la période")))</f>
        <v/>
      </c>
      <c r="K2997">
        <f>IF(OR($B2997="",NOT(ISNUMBER($D2997))),"",IF(AND($E2997&lt;$D$2,$G2997&lt;&gt;"X",$F2997&lt;&gt;"Réalisé",$F2997&lt;&gt;"Clôturé"),"RETARD",""))</f>
        <v/>
      </c>
      <c r="L2997">
        <f>IF(OR($B2997="",NOT(ISNUMBER($D2997))),"",IF(AND($D2997&gt;=$D$2,$D2997&lt;=$H$2,$G2997&lt;&gt;"X",$F2997&lt;&gt;"Réalisé",$F2997&lt;&gt;"Clôturé"),"≤ 7 j",""))</f>
        <v/>
      </c>
      <c r="M2997" s="29">
        <f>IF($B2997="","",IFERROR(INDEX($T$4:$T$3183,MATCH(SMALL($V$4:$V$3183,2994),$V$4:$V$3183,0)),""))</f>
        <v/>
      </c>
      <c r="O2997">
        <f>IF(INDEX(Suivi!$B:$B,3054)="","",INDEX(Suivi!$B:$B,3054))</f>
        <v/>
      </c>
      <c r="P2997">
        <f>IF($O2997="","",IF(INDEX(Suivi!$D:$D,3054)="",INDEX(Suivi!$C:$C,3054),INDEX(Suivi!$D:$D,3054)))</f>
        <v/>
      </c>
      <c r="Q2997">
        <f>IF($O2997="","",INDEX(Suivi!$E:$E,3054))</f>
        <v/>
      </c>
      <c r="R2997">
        <f>IF($O2997="","",INDEX(Suivi!$F:$F,3054))</f>
        <v/>
      </c>
      <c r="S2997">
        <f>IF($O2997="","",INDEX(Suivi!$G:$G,3054))</f>
        <v/>
      </c>
      <c r="T2997">
        <f>IF($O2997="","",IF(INDEX(Dossiers!$F$4:$F$63,57)="","",INDEX(Dossiers!$F$4:$F$63,57)))</f>
        <v/>
      </c>
      <c r="U2997">
        <f>IF($O2997="","",IF(INDEX(Dossiers!$G$4:$G$63,57)="","",INDEX(Dossiers!$G$4:$G$63,57)))</f>
        <v/>
      </c>
      <c r="V2997">
        <f>IF(OR($O2997="",NOT(ISNUMBER($Q2997))),"",$Q2997*1000000+2997)</f>
        <v/>
      </c>
      <c r="W2997" s="29">
        <f>IF($B2997="","",IFERROR(INDEX($U$4:$U$3183,MATCH(SMALL($V$4:$V$3183,2994),$V$4:$V$3183,0)),""))</f>
        <v/>
      </c>
    </row>
    <row r="2998">
      <c r="A2998">
        <f>IFERROR(INDEX($N$4:$N$3183,MATCH(SMALL($V$4:$V$3183,2995),$V$4:$V$3183,0)),"")</f>
        <v/>
      </c>
      <c r="B2998">
        <f>IFERROR(INDEX($O$4:$O$3183,MATCH(SMALL($V$4:$V$3183,2995),$V$4:$V$3183,0)),"")</f>
        <v/>
      </c>
      <c r="C2998">
        <f>IFERROR(INDEX($P$4:$P$3183,MATCH(SMALL($V$4:$V$3183,2995),$V$4:$V$3183,0)),"")</f>
        <v/>
      </c>
      <c r="D2998" s="29">
        <f>IFERROR(INDEX($Q$4:$Q$3183,MATCH(SMALL($V$4:$V$3183,2995),$V$4:$V$3183,0)),"")</f>
        <v/>
      </c>
      <c r="E2998" s="29">
        <f>IFERROR(INDEX($R$4:$R$3183,MATCH(SMALL($V$4:$V$3183,2995),$V$4:$V$3183,0)),"")</f>
        <v/>
      </c>
      <c r="F2998">
        <f>IFERROR(INDEX($S$4:$S$3183,MATCH(SMALL($V$4:$V$3183,2995),$V$4:$V$3183,0)),"")</f>
        <v/>
      </c>
      <c r="I2998" s="29">
        <f>IF($B2998="","",IFERROR(INDEX($U$4:$U$3183,MATCH(SMALL($V$4:$V$3183,2995),$V$4:$V$3183,0)),""))</f>
        <v/>
      </c>
      <c r="J2998">
        <f>IF($B2998="","",IF($D2998&gt;$F$2,"À venir",IF($E2998&lt;$D$2,"Passé","Dans la période")))</f>
        <v/>
      </c>
      <c r="K2998">
        <f>IF(OR($B2998="",NOT(ISNUMBER($D2998))),"",IF(AND($E2998&lt;$D$2,$G2998&lt;&gt;"X",$F2998&lt;&gt;"Réalisé",$F2998&lt;&gt;"Clôturé"),"RETARD",""))</f>
        <v/>
      </c>
      <c r="L2998">
        <f>IF(OR($B2998="",NOT(ISNUMBER($D2998))),"",IF(AND($D2998&gt;=$D$2,$D2998&lt;=$H$2,$G2998&lt;&gt;"X",$F2998&lt;&gt;"Réalisé",$F2998&lt;&gt;"Clôturé"),"≤ 7 j",""))</f>
        <v/>
      </c>
      <c r="M2998" s="29">
        <f>IF($B2998="","",IFERROR(INDEX($T$4:$T$3183,MATCH(SMALL($V$4:$V$3183,2995),$V$4:$V$3183,0)),""))</f>
        <v/>
      </c>
      <c r="O2998">
        <f>IF(INDEX(Suivi!$B:$B,3055)="","",INDEX(Suivi!$B:$B,3055))</f>
        <v/>
      </c>
      <c r="P2998">
        <f>IF($O2998="","",IF(INDEX(Suivi!$D:$D,3055)="",INDEX(Suivi!$C:$C,3055),INDEX(Suivi!$D:$D,3055)))</f>
        <v/>
      </c>
      <c r="Q2998">
        <f>IF($O2998="","",INDEX(Suivi!$E:$E,3055))</f>
        <v/>
      </c>
      <c r="R2998">
        <f>IF($O2998="","",INDEX(Suivi!$F:$F,3055))</f>
        <v/>
      </c>
      <c r="S2998">
        <f>IF($O2998="","",INDEX(Suivi!$G:$G,3055))</f>
        <v/>
      </c>
      <c r="T2998">
        <f>IF($O2998="","",IF(INDEX(Dossiers!$F$4:$F$63,57)="","",INDEX(Dossiers!$F$4:$F$63,57)))</f>
        <v/>
      </c>
      <c r="U2998">
        <f>IF($O2998="","",IF(INDEX(Dossiers!$G$4:$G$63,57)="","",INDEX(Dossiers!$G$4:$G$63,57)))</f>
        <v/>
      </c>
      <c r="V2998">
        <f>IF(OR($O2998="",NOT(ISNUMBER($Q2998))),"",$Q2998*1000000+2998)</f>
        <v/>
      </c>
      <c r="W2998" s="29">
        <f>IF($B2998="","",IFERROR(INDEX($U$4:$U$3183,MATCH(SMALL($V$4:$V$3183,2995),$V$4:$V$3183,0)),""))</f>
        <v/>
      </c>
    </row>
    <row r="2999">
      <c r="A2999">
        <f>IFERROR(INDEX($N$4:$N$3183,MATCH(SMALL($V$4:$V$3183,2996),$V$4:$V$3183,0)),"")</f>
        <v/>
      </c>
      <c r="B2999">
        <f>IFERROR(INDEX($O$4:$O$3183,MATCH(SMALL($V$4:$V$3183,2996),$V$4:$V$3183,0)),"")</f>
        <v/>
      </c>
      <c r="C2999">
        <f>IFERROR(INDEX($P$4:$P$3183,MATCH(SMALL($V$4:$V$3183,2996),$V$4:$V$3183,0)),"")</f>
        <v/>
      </c>
      <c r="D2999" s="29">
        <f>IFERROR(INDEX($Q$4:$Q$3183,MATCH(SMALL($V$4:$V$3183,2996),$V$4:$V$3183,0)),"")</f>
        <v/>
      </c>
      <c r="E2999" s="29">
        <f>IFERROR(INDEX($R$4:$R$3183,MATCH(SMALL($V$4:$V$3183,2996),$V$4:$V$3183,0)),"")</f>
        <v/>
      </c>
      <c r="F2999">
        <f>IFERROR(INDEX($S$4:$S$3183,MATCH(SMALL($V$4:$V$3183,2996),$V$4:$V$3183,0)),"")</f>
        <v/>
      </c>
      <c r="I2999" s="29">
        <f>IF($B2999="","",IFERROR(INDEX($U$4:$U$3183,MATCH(SMALL($V$4:$V$3183,2996),$V$4:$V$3183,0)),""))</f>
        <v/>
      </c>
      <c r="J2999">
        <f>IF($B2999="","",IF($D2999&gt;$F$2,"À venir",IF($E2999&lt;$D$2,"Passé","Dans la période")))</f>
        <v/>
      </c>
      <c r="K2999">
        <f>IF(OR($B2999="",NOT(ISNUMBER($D2999))),"",IF(AND($E2999&lt;$D$2,$G2999&lt;&gt;"X",$F2999&lt;&gt;"Réalisé",$F2999&lt;&gt;"Clôturé"),"RETARD",""))</f>
        <v/>
      </c>
      <c r="L2999">
        <f>IF(OR($B2999="",NOT(ISNUMBER($D2999))),"",IF(AND($D2999&gt;=$D$2,$D2999&lt;=$H$2,$G2999&lt;&gt;"X",$F2999&lt;&gt;"Réalisé",$F2999&lt;&gt;"Clôturé"),"≤ 7 j",""))</f>
        <v/>
      </c>
      <c r="M2999" s="29">
        <f>IF($B2999="","",IFERROR(INDEX($T$4:$T$3183,MATCH(SMALL($V$4:$V$3183,2996),$V$4:$V$3183,0)),""))</f>
        <v/>
      </c>
      <c r="O2999">
        <f>IF(INDEX(Suivi!$B:$B,3056)="","",INDEX(Suivi!$B:$B,3056))</f>
        <v/>
      </c>
      <c r="P2999">
        <f>IF($O2999="","",IF(INDEX(Suivi!$D:$D,3056)="",INDEX(Suivi!$C:$C,3056),INDEX(Suivi!$D:$D,3056)))</f>
        <v/>
      </c>
      <c r="Q2999">
        <f>IF($O2999="","",INDEX(Suivi!$E:$E,3056))</f>
        <v/>
      </c>
      <c r="R2999">
        <f>IF($O2999="","",INDEX(Suivi!$F:$F,3056))</f>
        <v/>
      </c>
      <c r="S2999">
        <f>IF($O2999="","",INDEX(Suivi!$G:$G,3056))</f>
        <v/>
      </c>
      <c r="T2999">
        <f>IF($O2999="","",IF(INDEX(Dossiers!$F$4:$F$63,57)="","",INDEX(Dossiers!$F$4:$F$63,57)))</f>
        <v/>
      </c>
      <c r="U2999">
        <f>IF($O2999="","",IF(INDEX(Dossiers!$G$4:$G$63,57)="","",INDEX(Dossiers!$G$4:$G$63,57)))</f>
        <v/>
      </c>
      <c r="V2999">
        <f>IF(OR($O2999="",NOT(ISNUMBER($Q2999))),"",$Q2999*1000000+2999)</f>
        <v/>
      </c>
      <c r="W2999" s="29">
        <f>IF($B2999="","",IFERROR(INDEX($U$4:$U$3183,MATCH(SMALL($V$4:$V$3183,2996),$V$4:$V$3183,0)),""))</f>
        <v/>
      </c>
    </row>
    <row r="3000">
      <c r="A3000">
        <f>IFERROR(INDEX($N$4:$N$3183,MATCH(SMALL($V$4:$V$3183,2997),$V$4:$V$3183,0)),"")</f>
        <v/>
      </c>
      <c r="B3000">
        <f>IFERROR(INDEX($O$4:$O$3183,MATCH(SMALL($V$4:$V$3183,2997),$V$4:$V$3183,0)),"")</f>
        <v/>
      </c>
      <c r="C3000">
        <f>IFERROR(INDEX($P$4:$P$3183,MATCH(SMALL($V$4:$V$3183,2997),$V$4:$V$3183,0)),"")</f>
        <v/>
      </c>
      <c r="D3000" s="29">
        <f>IFERROR(INDEX($Q$4:$Q$3183,MATCH(SMALL($V$4:$V$3183,2997),$V$4:$V$3183,0)),"")</f>
        <v/>
      </c>
      <c r="E3000" s="29">
        <f>IFERROR(INDEX($R$4:$R$3183,MATCH(SMALL($V$4:$V$3183,2997),$V$4:$V$3183,0)),"")</f>
        <v/>
      </c>
      <c r="F3000">
        <f>IFERROR(INDEX($S$4:$S$3183,MATCH(SMALL($V$4:$V$3183,2997),$V$4:$V$3183,0)),"")</f>
        <v/>
      </c>
      <c r="I3000" s="29">
        <f>IF($B3000="","",IFERROR(INDEX($U$4:$U$3183,MATCH(SMALL($V$4:$V$3183,2997),$V$4:$V$3183,0)),""))</f>
        <v/>
      </c>
      <c r="J3000">
        <f>IF($B3000="","",IF($D3000&gt;$F$2,"À venir",IF($E3000&lt;$D$2,"Passé","Dans la période")))</f>
        <v/>
      </c>
      <c r="K3000">
        <f>IF(OR($B3000="",NOT(ISNUMBER($D3000))),"",IF(AND($E3000&lt;$D$2,$G3000&lt;&gt;"X",$F3000&lt;&gt;"Réalisé",$F3000&lt;&gt;"Clôturé"),"RETARD",""))</f>
        <v/>
      </c>
      <c r="L3000">
        <f>IF(OR($B3000="",NOT(ISNUMBER($D3000))),"",IF(AND($D3000&gt;=$D$2,$D3000&lt;=$H$2,$G3000&lt;&gt;"X",$F3000&lt;&gt;"Réalisé",$F3000&lt;&gt;"Clôturé"),"≤ 7 j",""))</f>
        <v/>
      </c>
      <c r="M3000" s="29">
        <f>IF($B3000="","",IFERROR(INDEX($T$4:$T$3183,MATCH(SMALL($V$4:$V$3183,2997),$V$4:$V$3183,0)),""))</f>
        <v/>
      </c>
      <c r="O3000">
        <f>IF(INDEX(Suivi!$B:$B,3057)="","",INDEX(Suivi!$B:$B,3057))</f>
        <v/>
      </c>
      <c r="P3000">
        <f>IF($O3000="","",IF(INDEX(Suivi!$D:$D,3057)="",INDEX(Suivi!$C:$C,3057),INDEX(Suivi!$D:$D,3057)))</f>
        <v/>
      </c>
      <c r="Q3000">
        <f>IF($O3000="","",INDEX(Suivi!$E:$E,3057))</f>
        <v/>
      </c>
      <c r="R3000">
        <f>IF($O3000="","",INDEX(Suivi!$F:$F,3057))</f>
        <v/>
      </c>
      <c r="S3000">
        <f>IF($O3000="","",INDEX(Suivi!$G:$G,3057))</f>
        <v/>
      </c>
      <c r="T3000">
        <f>IF($O3000="","",IF(INDEX(Dossiers!$F$4:$F$63,57)="","",INDEX(Dossiers!$F$4:$F$63,57)))</f>
        <v/>
      </c>
      <c r="U3000">
        <f>IF($O3000="","",IF(INDEX(Dossiers!$G$4:$G$63,57)="","",INDEX(Dossiers!$G$4:$G$63,57)))</f>
        <v/>
      </c>
      <c r="V3000">
        <f>IF(OR($O3000="",NOT(ISNUMBER($Q3000))),"",$Q3000*1000000+3000)</f>
        <v/>
      </c>
      <c r="W3000" s="29">
        <f>IF($B3000="","",IFERROR(INDEX($U$4:$U$3183,MATCH(SMALL($V$4:$V$3183,2997),$V$4:$V$3183,0)),""))</f>
        <v/>
      </c>
    </row>
    <row r="3001">
      <c r="A3001">
        <f>IFERROR(INDEX($N$4:$N$3183,MATCH(SMALL($V$4:$V$3183,2998),$V$4:$V$3183,0)),"")</f>
        <v/>
      </c>
      <c r="B3001">
        <f>IFERROR(INDEX($O$4:$O$3183,MATCH(SMALL($V$4:$V$3183,2998),$V$4:$V$3183,0)),"")</f>
        <v/>
      </c>
      <c r="C3001">
        <f>IFERROR(INDEX($P$4:$P$3183,MATCH(SMALL($V$4:$V$3183,2998),$V$4:$V$3183,0)),"")</f>
        <v/>
      </c>
      <c r="D3001" s="29">
        <f>IFERROR(INDEX($Q$4:$Q$3183,MATCH(SMALL($V$4:$V$3183,2998),$V$4:$V$3183,0)),"")</f>
        <v/>
      </c>
      <c r="E3001" s="29">
        <f>IFERROR(INDEX($R$4:$R$3183,MATCH(SMALL($V$4:$V$3183,2998),$V$4:$V$3183,0)),"")</f>
        <v/>
      </c>
      <c r="F3001">
        <f>IFERROR(INDEX($S$4:$S$3183,MATCH(SMALL($V$4:$V$3183,2998),$V$4:$V$3183,0)),"")</f>
        <v/>
      </c>
      <c r="I3001" s="29">
        <f>IF($B3001="","",IFERROR(INDEX($U$4:$U$3183,MATCH(SMALL($V$4:$V$3183,2998),$V$4:$V$3183,0)),""))</f>
        <v/>
      </c>
      <c r="J3001">
        <f>IF($B3001="","",IF($D3001&gt;$F$2,"À venir",IF($E3001&lt;$D$2,"Passé","Dans la période")))</f>
        <v/>
      </c>
      <c r="K3001">
        <f>IF(OR($B3001="",NOT(ISNUMBER($D3001))),"",IF(AND($E3001&lt;$D$2,$G3001&lt;&gt;"X",$F3001&lt;&gt;"Réalisé",$F3001&lt;&gt;"Clôturé"),"RETARD",""))</f>
        <v/>
      </c>
      <c r="L3001">
        <f>IF(OR($B3001="",NOT(ISNUMBER($D3001))),"",IF(AND($D3001&gt;=$D$2,$D3001&lt;=$H$2,$G3001&lt;&gt;"X",$F3001&lt;&gt;"Réalisé",$F3001&lt;&gt;"Clôturé"),"≤ 7 j",""))</f>
        <v/>
      </c>
      <c r="M3001" s="29">
        <f>IF($B3001="","",IFERROR(INDEX($T$4:$T$3183,MATCH(SMALL($V$4:$V$3183,2998),$V$4:$V$3183,0)),""))</f>
        <v/>
      </c>
      <c r="O3001">
        <f>IF(INDEX(Suivi!$B:$B,3058)="","",INDEX(Suivi!$B:$B,3058))</f>
        <v/>
      </c>
      <c r="P3001">
        <f>IF($O3001="","",IF(INDEX(Suivi!$D:$D,3058)="",INDEX(Suivi!$C:$C,3058),INDEX(Suivi!$D:$D,3058)))</f>
        <v/>
      </c>
      <c r="Q3001">
        <f>IF($O3001="","",INDEX(Suivi!$E:$E,3058))</f>
        <v/>
      </c>
      <c r="R3001">
        <f>IF($O3001="","",INDEX(Suivi!$F:$F,3058))</f>
        <v/>
      </c>
      <c r="S3001">
        <f>IF($O3001="","",INDEX(Suivi!$G:$G,3058))</f>
        <v/>
      </c>
      <c r="T3001">
        <f>IF($O3001="","",IF(INDEX(Dossiers!$F$4:$F$63,57)="","",INDEX(Dossiers!$F$4:$F$63,57)))</f>
        <v/>
      </c>
      <c r="U3001">
        <f>IF($O3001="","",IF(INDEX(Dossiers!$G$4:$G$63,57)="","",INDEX(Dossiers!$G$4:$G$63,57)))</f>
        <v/>
      </c>
      <c r="V3001">
        <f>IF(OR($O3001="",NOT(ISNUMBER($Q3001))),"",$Q3001*1000000+3001)</f>
        <v/>
      </c>
      <c r="W3001" s="29">
        <f>IF($B3001="","",IFERROR(INDEX($U$4:$U$3183,MATCH(SMALL($V$4:$V$3183,2998),$V$4:$V$3183,0)),""))</f>
        <v/>
      </c>
    </row>
    <row r="3002">
      <c r="A3002">
        <f>IFERROR(INDEX($N$4:$N$3183,MATCH(SMALL($V$4:$V$3183,2999),$V$4:$V$3183,0)),"")</f>
        <v/>
      </c>
      <c r="B3002">
        <f>IFERROR(INDEX($O$4:$O$3183,MATCH(SMALL($V$4:$V$3183,2999),$V$4:$V$3183,0)),"")</f>
        <v/>
      </c>
      <c r="C3002">
        <f>IFERROR(INDEX($P$4:$P$3183,MATCH(SMALL($V$4:$V$3183,2999),$V$4:$V$3183,0)),"")</f>
        <v/>
      </c>
      <c r="D3002" s="29">
        <f>IFERROR(INDEX($Q$4:$Q$3183,MATCH(SMALL($V$4:$V$3183,2999),$V$4:$V$3183,0)),"")</f>
        <v/>
      </c>
      <c r="E3002" s="29">
        <f>IFERROR(INDEX($R$4:$R$3183,MATCH(SMALL($V$4:$V$3183,2999),$V$4:$V$3183,0)),"")</f>
        <v/>
      </c>
      <c r="F3002">
        <f>IFERROR(INDEX($S$4:$S$3183,MATCH(SMALL($V$4:$V$3183,2999),$V$4:$V$3183,0)),"")</f>
        <v/>
      </c>
      <c r="I3002" s="29">
        <f>IF($B3002="","",IFERROR(INDEX($U$4:$U$3183,MATCH(SMALL($V$4:$V$3183,2999),$V$4:$V$3183,0)),""))</f>
        <v/>
      </c>
      <c r="J3002">
        <f>IF($B3002="","",IF($D3002&gt;$F$2,"À venir",IF($E3002&lt;$D$2,"Passé","Dans la période")))</f>
        <v/>
      </c>
      <c r="K3002">
        <f>IF(OR($B3002="",NOT(ISNUMBER($D3002))),"",IF(AND($E3002&lt;$D$2,$G3002&lt;&gt;"X",$F3002&lt;&gt;"Réalisé",$F3002&lt;&gt;"Clôturé"),"RETARD",""))</f>
        <v/>
      </c>
      <c r="L3002">
        <f>IF(OR($B3002="",NOT(ISNUMBER($D3002))),"",IF(AND($D3002&gt;=$D$2,$D3002&lt;=$H$2,$G3002&lt;&gt;"X",$F3002&lt;&gt;"Réalisé",$F3002&lt;&gt;"Clôturé"),"≤ 7 j",""))</f>
        <v/>
      </c>
      <c r="M3002" s="29">
        <f>IF($B3002="","",IFERROR(INDEX($T$4:$T$3183,MATCH(SMALL($V$4:$V$3183,2999),$V$4:$V$3183,0)),""))</f>
        <v/>
      </c>
      <c r="O3002">
        <f>IF(INDEX(Suivi!$B:$B,3059)="","",INDEX(Suivi!$B:$B,3059))</f>
        <v/>
      </c>
      <c r="P3002">
        <f>IF($O3002="","",IF(INDEX(Suivi!$D:$D,3059)="",INDEX(Suivi!$C:$C,3059),INDEX(Suivi!$D:$D,3059)))</f>
        <v/>
      </c>
      <c r="Q3002">
        <f>IF($O3002="","",INDEX(Suivi!$E:$E,3059))</f>
        <v/>
      </c>
      <c r="R3002">
        <f>IF($O3002="","",INDEX(Suivi!$F:$F,3059))</f>
        <v/>
      </c>
      <c r="S3002">
        <f>IF($O3002="","",INDEX(Suivi!$G:$G,3059))</f>
        <v/>
      </c>
      <c r="T3002">
        <f>IF($O3002="","",IF(INDEX(Dossiers!$F$4:$F$63,57)="","",INDEX(Dossiers!$F$4:$F$63,57)))</f>
        <v/>
      </c>
      <c r="U3002">
        <f>IF($O3002="","",IF(INDEX(Dossiers!$G$4:$G$63,57)="","",INDEX(Dossiers!$G$4:$G$63,57)))</f>
        <v/>
      </c>
      <c r="V3002">
        <f>IF(OR($O3002="",NOT(ISNUMBER($Q3002))),"",$Q3002*1000000+3002)</f>
        <v/>
      </c>
      <c r="W3002" s="29">
        <f>IF($B3002="","",IFERROR(INDEX($U$4:$U$3183,MATCH(SMALL($V$4:$V$3183,2999),$V$4:$V$3183,0)),""))</f>
        <v/>
      </c>
    </row>
    <row r="3003">
      <c r="A3003">
        <f>IFERROR(INDEX($N$4:$N$3183,MATCH(SMALL($V$4:$V$3183,3000),$V$4:$V$3183,0)),"")</f>
        <v/>
      </c>
      <c r="B3003">
        <f>IFERROR(INDEX($O$4:$O$3183,MATCH(SMALL($V$4:$V$3183,3000),$V$4:$V$3183,0)),"")</f>
        <v/>
      </c>
      <c r="C3003">
        <f>IFERROR(INDEX($P$4:$P$3183,MATCH(SMALL($V$4:$V$3183,3000),$V$4:$V$3183,0)),"")</f>
        <v/>
      </c>
      <c r="D3003" s="29">
        <f>IFERROR(INDEX($Q$4:$Q$3183,MATCH(SMALL($V$4:$V$3183,3000),$V$4:$V$3183,0)),"")</f>
        <v/>
      </c>
      <c r="E3003" s="29">
        <f>IFERROR(INDEX($R$4:$R$3183,MATCH(SMALL($V$4:$V$3183,3000),$V$4:$V$3183,0)),"")</f>
        <v/>
      </c>
      <c r="F3003">
        <f>IFERROR(INDEX($S$4:$S$3183,MATCH(SMALL($V$4:$V$3183,3000),$V$4:$V$3183,0)),"")</f>
        <v/>
      </c>
      <c r="I3003" s="29">
        <f>IF($B3003="","",IFERROR(INDEX($U$4:$U$3183,MATCH(SMALL($V$4:$V$3183,3000),$V$4:$V$3183,0)),""))</f>
        <v/>
      </c>
      <c r="J3003">
        <f>IF($B3003="","",IF($D3003&gt;$F$2,"À venir",IF($E3003&lt;$D$2,"Passé","Dans la période")))</f>
        <v/>
      </c>
      <c r="K3003">
        <f>IF(OR($B3003="",NOT(ISNUMBER($D3003))),"",IF(AND($E3003&lt;$D$2,$G3003&lt;&gt;"X",$F3003&lt;&gt;"Réalisé",$F3003&lt;&gt;"Clôturé"),"RETARD",""))</f>
        <v/>
      </c>
      <c r="L3003">
        <f>IF(OR($B3003="",NOT(ISNUMBER($D3003))),"",IF(AND($D3003&gt;=$D$2,$D3003&lt;=$H$2,$G3003&lt;&gt;"X",$F3003&lt;&gt;"Réalisé",$F3003&lt;&gt;"Clôturé"),"≤ 7 j",""))</f>
        <v/>
      </c>
      <c r="M3003" s="29">
        <f>IF($B3003="","",IFERROR(INDEX($T$4:$T$3183,MATCH(SMALL($V$4:$V$3183,3000),$V$4:$V$3183,0)),""))</f>
        <v/>
      </c>
      <c r="O3003">
        <f>IF(INDEX(Suivi!$B:$B,3060)="","",INDEX(Suivi!$B:$B,3060))</f>
        <v/>
      </c>
      <c r="P3003">
        <f>IF($O3003="","",IF(INDEX(Suivi!$D:$D,3060)="",INDEX(Suivi!$C:$C,3060),INDEX(Suivi!$D:$D,3060)))</f>
        <v/>
      </c>
      <c r="Q3003">
        <f>IF($O3003="","",INDEX(Suivi!$E:$E,3060))</f>
        <v/>
      </c>
      <c r="R3003">
        <f>IF($O3003="","",INDEX(Suivi!$F:$F,3060))</f>
        <v/>
      </c>
      <c r="S3003">
        <f>IF($O3003="","",INDEX(Suivi!$G:$G,3060))</f>
        <v/>
      </c>
      <c r="T3003">
        <f>IF($O3003="","",IF(INDEX(Dossiers!$F$4:$F$63,57)="","",INDEX(Dossiers!$F$4:$F$63,57)))</f>
        <v/>
      </c>
      <c r="U3003">
        <f>IF($O3003="","",IF(INDEX(Dossiers!$G$4:$G$63,57)="","",INDEX(Dossiers!$G$4:$G$63,57)))</f>
        <v/>
      </c>
      <c r="V3003">
        <f>IF(OR($O3003="",NOT(ISNUMBER($Q3003))),"",$Q3003*1000000+3003)</f>
        <v/>
      </c>
      <c r="W3003" s="29">
        <f>IF($B3003="","",IFERROR(INDEX($U$4:$U$3183,MATCH(SMALL($V$4:$V$3183,3000),$V$4:$V$3183,0)),""))</f>
        <v/>
      </c>
    </row>
    <row r="3004">
      <c r="A3004">
        <f>IFERROR(INDEX($N$4:$N$3183,MATCH(SMALL($V$4:$V$3183,3001),$V$4:$V$3183,0)),"")</f>
        <v/>
      </c>
      <c r="B3004">
        <f>IFERROR(INDEX($O$4:$O$3183,MATCH(SMALL($V$4:$V$3183,3001),$V$4:$V$3183,0)),"")</f>
        <v/>
      </c>
      <c r="C3004">
        <f>IFERROR(INDEX($P$4:$P$3183,MATCH(SMALL($V$4:$V$3183,3001),$V$4:$V$3183,0)),"")</f>
        <v/>
      </c>
      <c r="D3004" s="29">
        <f>IFERROR(INDEX($Q$4:$Q$3183,MATCH(SMALL($V$4:$V$3183,3001),$V$4:$V$3183,0)),"")</f>
        <v/>
      </c>
      <c r="E3004" s="29">
        <f>IFERROR(INDEX($R$4:$R$3183,MATCH(SMALL($V$4:$V$3183,3001),$V$4:$V$3183,0)),"")</f>
        <v/>
      </c>
      <c r="F3004">
        <f>IFERROR(INDEX($S$4:$S$3183,MATCH(SMALL($V$4:$V$3183,3001),$V$4:$V$3183,0)),"")</f>
        <v/>
      </c>
      <c r="I3004" s="29">
        <f>IF($B3004="","",IFERROR(INDEX($U$4:$U$3183,MATCH(SMALL($V$4:$V$3183,3001),$V$4:$V$3183,0)),""))</f>
        <v/>
      </c>
      <c r="J3004">
        <f>IF($B3004="","",IF($D3004&gt;$F$2,"À venir",IF($E3004&lt;$D$2,"Passé","Dans la période")))</f>
        <v/>
      </c>
      <c r="K3004">
        <f>IF(OR($B3004="",NOT(ISNUMBER($D3004))),"",IF(AND($E3004&lt;$D$2,$G3004&lt;&gt;"X",$F3004&lt;&gt;"Réalisé",$F3004&lt;&gt;"Clôturé"),"RETARD",""))</f>
        <v/>
      </c>
      <c r="L3004">
        <f>IF(OR($B3004="",NOT(ISNUMBER($D3004))),"",IF(AND($D3004&gt;=$D$2,$D3004&lt;=$H$2,$G3004&lt;&gt;"X",$F3004&lt;&gt;"Réalisé",$F3004&lt;&gt;"Clôturé"),"≤ 7 j",""))</f>
        <v/>
      </c>
      <c r="M3004" s="29">
        <f>IF($B3004="","",IFERROR(INDEX($T$4:$T$3183,MATCH(SMALL($V$4:$V$3183,3001),$V$4:$V$3183,0)),""))</f>
        <v/>
      </c>
      <c r="O3004">
        <f>IF(INDEX(Suivi!$B:$B,3061)="","",INDEX(Suivi!$B:$B,3061))</f>
        <v/>
      </c>
      <c r="P3004">
        <f>IF($O3004="","",IF(INDEX(Suivi!$D:$D,3061)="",INDEX(Suivi!$C:$C,3061),INDEX(Suivi!$D:$D,3061)))</f>
        <v/>
      </c>
      <c r="Q3004">
        <f>IF($O3004="","",INDEX(Suivi!$E:$E,3061))</f>
        <v/>
      </c>
      <c r="R3004">
        <f>IF($O3004="","",INDEX(Suivi!$F:$F,3061))</f>
        <v/>
      </c>
      <c r="S3004">
        <f>IF($O3004="","",INDEX(Suivi!$G:$G,3061))</f>
        <v/>
      </c>
      <c r="T3004">
        <f>IF($O3004="","",IF(INDEX(Dossiers!$F$4:$F$63,57)="","",INDEX(Dossiers!$F$4:$F$63,57)))</f>
        <v/>
      </c>
      <c r="U3004">
        <f>IF($O3004="","",IF(INDEX(Dossiers!$G$4:$G$63,57)="","",INDEX(Dossiers!$G$4:$G$63,57)))</f>
        <v/>
      </c>
      <c r="V3004">
        <f>IF(OR($O3004="",NOT(ISNUMBER($Q3004))),"",$Q3004*1000000+3004)</f>
        <v/>
      </c>
      <c r="W3004" s="29">
        <f>IF($B3004="","",IFERROR(INDEX($U$4:$U$3183,MATCH(SMALL($V$4:$V$3183,3001),$V$4:$V$3183,0)),""))</f>
        <v/>
      </c>
    </row>
    <row r="3005">
      <c r="A3005">
        <f>IFERROR(INDEX($N$4:$N$3183,MATCH(SMALL($V$4:$V$3183,3002),$V$4:$V$3183,0)),"")</f>
        <v/>
      </c>
      <c r="B3005">
        <f>IFERROR(INDEX($O$4:$O$3183,MATCH(SMALL($V$4:$V$3183,3002),$V$4:$V$3183,0)),"")</f>
        <v/>
      </c>
      <c r="C3005">
        <f>IFERROR(INDEX($P$4:$P$3183,MATCH(SMALL($V$4:$V$3183,3002),$V$4:$V$3183,0)),"")</f>
        <v/>
      </c>
      <c r="D3005" s="29">
        <f>IFERROR(INDEX($Q$4:$Q$3183,MATCH(SMALL($V$4:$V$3183,3002),$V$4:$V$3183,0)),"")</f>
        <v/>
      </c>
      <c r="E3005" s="29">
        <f>IFERROR(INDEX($R$4:$R$3183,MATCH(SMALL($V$4:$V$3183,3002),$V$4:$V$3183,0)),"")</f>
        <v/>
      </c>
      <c r="F3005">
        <f>IFERROR(INDEX($S$4:$S$3183,MATCH(SMALL($V$4:$V$3183,3002),$V$4:$V$3183,0)),"")</f>
        <v/>
      </c>
      <c r="I3005" s="29">
        <f>IF($B3005="","",IFERROR(INDEX($U$4:$U$3183,MATCH(SMALL($V$4:$V$3183,3002),$V$4:$V$3183,0)),""))</f>
        <v/>
      </c>
      <c r="J3005">
        <f>IF($B3005="","",IF($D3005&gt;$F$2,"À venir",IF($E3005&lt;$D$2,"Passé","Dans la période")))</f>
        <v/>
      </c>
      <c r="K3005">
        <f>IF(OR($B3005="",NOT(ISNUMBER($D3005))),"",IF(AND($E3005&lt;$D$2,$G3005&lt;&gt;"X",$F3005&lt;&gt;"Réalisé",$F3005&lt;&gt;"Clôturé"),"RETARD",""))</f>
        <v/>
      </c>
      <c r="L3005">
        <f>IF(OR($B3005="",NOT(ISNUMBER($D3005))),"",IF(AND($D3005&gt;=$D$2,$D3005&lt;=$H$2,$G3005&lt;&gt;"X",$F3005&lt;&gt;"Réalisé",$F3005&lt;&gt;"Clôturé"),"≤ 7 j",""))</f>
        <v/>
      </c>
      <c r="M3005" s="29">
        <f>IF($B3005="","",IFERROR(INDEX($T$4:$T$3183,MATCH(SMALL($V$4:$V$3183,3002),$V$4:$V$3183,0)),""))</f>
        <v/>
      </c>
      <c r="O3005">
        <f>IF(INDEX(Suivi!$B:$B,3062)="","",INDEX(Suivi!$B:$B,3062))</f>
        <v/>
      </c>
      <c r="P3005">
        <f>IF($O3005="","",IF(INDEX(Suivi!$D:$D,3062)="",INDEX(Suivi!$C:$C,3062),INDEX(Suivi!$D:$D,3062)))</f>
        <v/>
      </c>
      <c r="Q3005">
        <f>IF($O3005="","",INDEX(Suivi!$E:$E,3062))</f>
        <v/>
      </c>
      <c r="R3005">
        <f>IF($O3005="","",INDEX(Suivi!$F:$F,3062))</f>
        <v/>
      </c>
      <c r="S3005">
        <f>IF($O3005="","",INDEX(Suivi!$G:$G,3062))</f>
        <v/>
      </c>
      <c r="T3005">
        <f>IF($O3005="","",IF(INDEX(Dossiers!$F$4:$F$63,57)="","",INDEX(Dossiers!$F$4:$F$63,57)))</f>
        <v/>
      </c>
      <c r="U3005">
        <f>IF($O3005="","",IF(INDEX(Dossiers!$G$4:$G$63,57)="","",INDEX(Dossiers!$G$4:$G$63,57)))</f>
        <v/>
      </c>
      <c r="V3005">
        <f>IF(OR($O3005="",NOT(ISNUMBER($Q3005))),"",$Q3005*1000000+3005)</f>
        <v/>
      </c>
      <c r="W3005" s="29">
        <f>IF($B3005="","",IFERROR(INDEX($U$4:$U$3183,MATCH(SMALL($V$4:$V$3183,3002),$V$4:$V$3183,0)),""))</f>
        <v/>
      </c>
    </row>
    <row r="3006">
      <c r="A3006">
        <f>IFERROR(INDEX($N$4:$N$3183,MATCH(SMALL($V$4:$V$3183,3003),$V$4:$V$3183,0)),"")</f>
        <v/>
      </c>
      <c r="B3006">
        <f>IFERROR(INDEX($O$4:$O$3183,MATCH(SMALL($V$4:$V$3183,3003),$V$4:$V$3183,0)),"")</f>
        <v/>
      </c>
      <c r="C3006">
        <f>IFERROR(INDEX($P$4:$P$3183,MATCH(SMALL($V$4:$V$3183,3003),$V$4:$V$3183,0)),"")</f>
        <v/>
      </c>
      <c r="D3006" s="29">
        <f>IFERROR(INDEX($Q$4:$Q$3183,MATCH(SMALL($V$4:$V$3183,3003),$V$4:$V$3183,0)),"")</f>
        <v/>
      </c>
      <c r="E3006" s="29">
        <f>IFERROR(INDEX($R$4:$R$3183,MATCH(SMALL($V$4:$V$3183,3003),$V$4:$V$3183,0)),"")</f>
        <v/>
      </c>
      <c r="F3006">
        <f>IFERROR(INDEX($S$4:$S$3183,MATCH(SMALL($V$4:$V$3183,3003),$V$4:$V$3183,0)),"")</f>
        <v/>
      </c>
      <c r="I3006" s="29">
        <f>IF($B3006="","",IFERROR(INDEX($U$4:$U$3183,MATCH(SMALL($V$4:$V$3183,3003),$V$4:$V$3183,0)),""))</f>
        <v/>
      </c>
      <c r="J3006">
        <f>IF($B3006="","",IF($D3006&gt;$F$2,"À venir",IF($E3006&lt;$D$2,"Passé","Dans la période")))</f>
        <v/>
      </c>
      <c r="K3006">
        <f>IF(OR($B3006="",NOT(ISNUMBER($D3006))),"",IF(AND($E3006&lt;$D$2,$G3006&lt;&gt;"X",$F3006&lt;&gt;"Réalisé",$F3006&lt;&gt;"Clôturé"),"RETARD",""))</f>
        <v/>
      </c>
      <c r="L3006">
        <f>IF(OR($B3006="",NOT(ISNUMBER($D3006))),"",IF(AND($D3006&gt;=$D$2,$D3006&lt;=$H$2,$G3006&lt;&gt;"X",$F3006&lt;&gt;"Réalisé",$F3006&lt;&gt;"Clôturé"),"≤ 7 j",""))</f>
        <v/>
      </c>
      <c r="M3006" s="29">
        <f>IF($B3006="","",IFERROR(INDEX($T$4:$T$3183,MATCH(SMALL($V$4:$V$3183,3003),$V$4:$V$3183,0)),""))</f>
        <v/>
      </c>
      <c r="O3006">
        <f>IF(INDEX(Suivi!$B:$B,3063)="","",INDEX(Suivi!$B:$B,3063))</f>
        <v/>
      </c>
      <c r="P3006">
        <f>IF($O3006="","",IF(INDEX(Suivi!$D:$D,3063)="",INDEX(Suivi!$C:$C,3063),INDEX(Suivi!$D:$D,3063)))</f>
        <v/>
      </c>
      <c r="Q3006">
        <f>IF($O3006="","",INDEX(Suivi!$E:$E,3063))</f>
        <v/>
      </c>
      <c r="R3006">
        <f>IF($O3006="","",INDEX(Suivi!$F:$F,3063))</f>
        <v/>
      </c>
      <c r="S3006">
        <f>IF($O3006="","",INDEX(Suivi!$G:$G,3063))</f>
        <v/>
      </c>
      <c r="T3006">
        <f>IF($O3006="","",IF(INDEX(Dossiers!$F$4:$F$63,57)="","",INDEX(Dossiers!$F$4:$F$63,57)))</f>
        <v/>
      </c>
      <c r="U3006">
        <f>IF($O3006="","",IF(INDEX(Dossiers!$G$4:$G$63,57)="","",INDEX(Dossiers!$G$4:$G$63,57)))</f>
        <v/>
      </c>
      <c r="V3006">
        <f>IF(OR($O3006="",NOT(ISNUMBER($Q3006))),"",$Q3006*1000000+3006)</f>
        <v/>
      </c>
      <c r="W3006" s="29">
        <f>IF($B3006="","",IFERROR(INDEX($U$4:$U$3183,MATCH(SMALL($V$4:$V$3183,3003),$V$4:$V$3183,0)),""))</f>
        <v/>
      </c>
    </row>
    <row r="3007">
      <c r="A3007">
        <f>IFERROR(INDEX($N$4:$N$3183,MATCH(SMALL($V$4:$V$3183,3004),$V$4:$V$3183,0)),"")</f>
        <v/>
      </c>
      <c r="B3007">
        <f>IFERROR(INDEX($O$4:$O$3183,MATCH(SMALL($V$4:$V$3183,3004),$V$4:$V$3183,0)),"")</f>
        <v/>
      </c>
      <c r="C3007">
        <f>IFERROR(INDEX($P$4:$P$3183,MATCH(SMALL($V$4:$V$3183,3004),$V$4:$V$3183,0)),"")</f>
        <v/>
      </c>
      <c r="D3007" s="29">
        <f>IFERROR(INDEX($Q$4:$Q$3183,MATCH(SMALL($V$4:$V$3183,3004),$V$4:$V$3183,0)),"")</f>
        <v/>
      </c>
      <c r="E3007" s="29">
        <f>IFERROR(INDEX($R$4:$R$3183,MATCH(SMALL($V$4:$V$3183,3004),$V$4:$V$3183,0)),"")</f>
        <v/>
      </c>
      <c r="F3007">
        <f>IFERROR(INDEX($S$4:$S$3183,MATCH(SMALL($V$4:$V$3183,3004),$V$4:$V$3183,0)),"")</f>
        <v/>
      </c>
      <c r="I3007" s="29">
        <f>IF($B3007="","",IFERROR(INDEX($U$4:$U$3183,MATCH(SMALL($V$4:$V$3183,3004),$V$4:$V$3183,0)),""))</f>
        <v/>
      </c>
      <c r="J3007">
        <f>IF($B3007="","",IF($D3007&gt;$F$2,"À venir",IF($E3007&lt;$D$2,"Passé","Dans la période")))</f>
        <v/>
      </c>
      <c r="K3007">
        <f>IF(OR($B3007="",NOT(ISNUMBER($D3007))),"",IF(AND($E3007&lt;$D$2,$G3007&lt;&gt;"X",$F3007&lt;&gt;"Réalisé",$F3007&lt;&gt;"Clôturé"),"RETARD",""))</f>
        <v/>
      </c>
      <c r="L3007">
        <f>IF(OR($B3007="",NOT(ISNUMBER($D3007))),"",IF(AND($D3007&gt;=$D$2,$D3007&lt;=$H$2,$G3007&lt;&gt;"X",$F3007&lt;&gt;"Réalisé",$F3007&lt;&gt;"Clôturé"),"≤ 7 j",""))</f>
        <v/>
      </c>
      <c r="M3007" s="29">
        <f>IF($B3007="","",IFERROR(INDEX($T$4:$T$3183,MATCH(SMALL($V$4:$V$3183,3004),$V$4:$V$3183,0)),""))</f>
        <v/>
      </c>
      <c r="O3007">
        <f>IF(INDEX(Suivi!$B:$B,3064)="","",INDEX(Suivi!$B:$B,3064))</f>
        <v/>
      </c>
      <c r="P3007">
        <f>IF($O3007="","",IF(INDEX(Suivi!$D:$D,3064)="",INDEX(Suivi!$C:$C,3064),INDEX(Suivi!$D:$D,3064)))</f>
        <v/>
      </c>
      <c r="Q3007">
        <f>IF($O3007="","",INDEX(Suivi!$E:$E,3064))</f>
        <v/>
      </c>
      <c r="R3007">
        <f>IF($O3007="","",INDEX(Suivi!$F:$F,3064))</f>
        <v/>
      </c>
      <c r="S3007">
        <f>IF($O3007="","",INDEX(Suivi!$G:$G,3064))</f>
        <v/>
      </c>
      <c r="T3007">
        <f>IF($O3007="","",IF(INDEX(Dossiers!$F$4:$F$63,57)="","",INDEX(Dossiers!$F$4:$F$63,57)))</f>
        <v/>
      </c>
      <c r="U3007">
        <f>IF($O3007="","",IF(INDEX(Dossiers!$G$4:$G$63,57)="","",INDEX(Dossiers!$G$4:$G$63,57)))</f>
        <v/>
      </c>
      <c r="V3007">
        <f>IF(OR($O3007="",NOT(ISNUMBER($Q3007))),"",$Q3007*1000000+3007)</f>
        <v/>
      </c>
      <c r="W3007" s="29">
        <f>IF($B3007="","",IFERROR(INDEX($U$4:$U$3183,MATCH(SMALL($V$4:$V$3183,3004),$V$4:$V$3183,0)),""))</f>
        <v/>
      </c>
    </row>
    <row r="3008">
      <c r="A3008">
        <f>IFERROR(INDEX($N$4:$N$3183,MATCH(SMALL($V$4:$V$3183,3005),$V$4:$V$3183,0)),"")</f>
        <v/>
      </c>
      <c r="B3008">
        <f>IFERROR(INDEX($O$4:$O$3183,MATCH(SMALL($V$4:$V$3183,3005),$V$4:$V$3183,0)),"")</f>
        <v/>
      </c>
      <c r="C3008">
        <f>IFERROR(INDEX($P$4:$P$3183,MATCH(SMALL($V$4:$V$3183,3005),$V$4:$V$3183,0)),"")</f>
        <v/>
      </c>
      <c r="D3008" s="29">
        <f>IFERROR(INDEX($Q$4:$Q$3183,MATCH(SMALL($V$4:$V$3183,3005),$V$4:$V$3183,0)),"")</f>
        <v/>
      </c>
      <c r="E3008" s="29">
        <f>IFERROR(INDEX($R$4:$R$3183,MATCH(SMALL($V$4:$V$3183,3005),$V$4:$V$3183,0)),"")</f>
        <v/>
      </c>
      <c r="F3008">
        <f>IFERROR(INDEX($S$4:$S$3183,MATCH(SMALL($V$4:$V$3183,3005),$V$4:$V$3183,0)),"")</f>
        <v/>
      </c>
      <c r="I3008" s="29">
        <f>IF($B3008="","",IFERROR(INDEX($U$4:$U$3183,MATCH(SMALL($V$4:$V$3183,3005),$V$4:$V$3183,0)),""))</f>
        <v/>
      </c>
      <c r="J3008">
        <f>IF($B3008="","",IF($D3008&gt;$F$2,"À venir",IF($E3008&lt;$D$2,"Passé","Dans la période")))</f>
        <v/>
      </c>
      <c r="K3008">
        <f>IF(OR($B3008="",NOT(ISNUMBER($D3008))),"",IF(AND($E3008&lt;$D$2,$G3008&lt;&gt;"X",$F3008&lt;&gt;"Réalisé",$F3008&lt;&gt;"Clôturé"),"RETARD",""))</f>
        <v/>
      </c>
      <c r="L3008">
        <f>IF(OR($B3008="",NOT(ISNUMBER($D3008))),"",IF(AND($D3008&gt;=$D$2,$D3008&lt;=$H$2,$G3008&lt;&gt;"X",$F3008&lt;&gt;"Réalisé",$F3008&lt;&gt;"Clôturé"),"≤ 7 j",""))</f>
        <v/>
      </c>
      <c r="M3008" s="29">
        <f>IF($B3008="","",IFERROR(INDEX($T$4:$T$3183,MATCH(SMALL($V$4:$V$3183,3005),$V$4:$V$3183,0)),""))</f>
        <v/>
      </c>
      <c r="O3008">
        <f>IF(INDEX(Suivi!$B:$B,3065)="","",INDEX(Suivi!$B:$B,3065))</f>
        <v/>
      </c>
      <c r="P3008">
        <f>IF($O3008="","",IF(INDEX(Suivi!$D:$D,3065)="",INDEX(Suivi!$C:$C,3065),INDEX(Suivi!$D:$D,3065)))</f>
        <v/>
      </c>
      <c r="Q3008">
        <f>IF($O3008="","",INDEX(Suivi!$E:$E,3065))</f>
        <v/>
      </c>
      <c r="R3008">
        <f>IF($O3008="","",INDEX(Suivi!$F:$F,3065))</f>
        <v/>
      </c>
      <c r="S3008">
        <f>IF($O3008="","",INDEX(Suivi!$G:$G,3065))</f>
        <v/>
      </c>
      <c r="T3008">
        <f>IF($O3008="","",IF(INDEX(Dossiers!$F$4:$F$63,57)="","",INDEX(Dossiers!$F$4:$F$63,57)))</f>
        <v/>
      </c>
      <c r="U3008">
        <f>IF($O3008="","",IF(INDEX(Dossiers!$G$4:$G$63,57)="","",INDEX(Dossiers!$G$4:$G$63,57)))</f>
        <v/>
      </c>
      <c r="V3008">
        <f>IF(OR($O3008="",NOT(ISNUMBER($Q3008))),"",$Q3008*1000000+3008)</f>
        <v/>
      </c>
      <c r="W3008" s="29">
        <f>IF($B3008="","",IFERROR(INDEX($U$4:$U$3183,MATCH(SMALL($V$4:$V$3183,3005),$V$4:$V$3183,0)),""))</f>
        <v/>
      </c>
    </row>
    <row r="3009">
      <c r="A3009">
        <f>IFERROR(INDEX($N$4:$N$3183,MATCH(SMALL($V$4:$V$3183,3006),$V$4:$V$3183,0)),"")</f>
        <v/>
      </c>
      <c r="B3009">
        <f>IFERROR(INDEX($O$4:$O$3183,MATCH(SMALL($V$4:$V$3183,3006),$V$4:$V$3183,0)),"")</f>
        <v/>
      </c>
      <c r="C3009">
        <f>IFERROR(INDEX($P$4:$P$3183,MATCH(SMALL($V$4:$V$3183,3006),$V$4:$V$3183,0)),"")</f>
        <v/>
      </c>
      <c r="D3009" s="29">
        <f>IFERROR(INDEX($Q$4:$Q$3183,MATCH(SMALL($V$4:$V$3183,3006),$V$4:$V$3183,0)),"")</f>
        <v/>
      </c>
      <c r="E3009" s="29">
        <f>IFERROR(INDEX($R$4:$R$3183,MATCH(SMALL($V$4:$V$3183,3006),$V$4:$V$3183,0)),"")</f>
        <v/>
      </c>
      <c r="F3009">
        <f>IFERROR(INDEX($S$4:$S$3183,MATCH(SMALL($V$4:$V$3183,3006),$V$4:$V$3183,0)),"")</f>
        <v/>
      </c>
      <c r="I3009" s="29">
        <f>IF($B3009="","",IFERROR(INDEX($U$4:$U$3183,MATCH(SMALL($V$4:$V$3183,3006),$V$4:$V$3183,0)),""))</f>
        <v/>
      </c>
      <c r="J3009">
        <f>IF($B3009="","",IF($D3009&gt;$F$2,"À venir",IF($E3009&lt;$D$2,"Passé","Dans la période")))</f>
        <v/>
      </c>
      <c r="K3009">
        <f>IF(OR($B3009="",NOT(ISNUMBER($D3009))),"",IF(AND($E3009&lt;$D$2,$G3009&lt;&gt;"X",$F3009&lt;&gt;"Réalisé",$F3009&lt;&gt;"Clôturé"),"RETARD",""))</f>
        <v/>
      </c>
      <c r="L3009">
        <f>IF(OR($B3009="",NOT(ISNUMBER($D3009))),"",IF(AND($D3009&gt;=$D$2,$D3009&lt;=$H$2,$G3009&lt;&gt;"X",$F3009&lt;&gt;"Réalisé",$F3009&lt;&gt;"Clôturé"),"≤ 7 j",""))</f>
        <v/>
      </c>
      <c r="M3009" s="29">
        <f>IF($B3009="","",IFERROR(INDEX($T$4:$T$3183,MATCH(SMALL($V$4:$V$3183,3006),$V$4:$V$3183,0)),""))</f>
        <v/>
      </c>
      <c r="O3009">
        <f>IF(INDEX(Suivi!$B:$B,3066)="","",INDEX(Suivi!$B:$B,3066))</f>
        <v/>
      </c>
      <c r="P3009">
        <f>IF($O3009="","",IF(INDEX(Suivi!$D:$D,3066)="",INDEX(Suivi!$C:$C,3066),INDEX(Suivi!$D:$D,3066)))</f>
        <v/>
      </c>
      <c r="Q3009">
        <f>IF($O3009="","",INDEX(Suivi!$E:$E,3066))</f>
        <v/>
      </c>
      <c r="R3009">
        <f>IF($O3009="","",INDEX(Suivi!$F:$F,3066))</f>
        <v/>
      </c>
      <c r="S3009">
        <f>IF($O3009="","",INDEX(Suivi!$G:$G,3066))</f>
        <v/>
      </c>
      <c r="T3009">
        <f>IF($O3009="","",IF(INDEX(Dossiers!$F$4:$F$63,57)="","",INDEX(Dossiers!$F$4:$F$63,57)))</f>
        <v/>
      </c>
      <c r="U3009">
        <f>IF($O3009="","",IF(INDEX(Dossiers!$G$4:$G$63,57)="","",INDEX(Dossiers!$G$4:$G$63,57)))</f>
        <v/>
      </c>
      <c r="V3009">
        <f>IF(OR($O3009="",NOT(ISNUMBER($Q3009))),"",$Q3009*1000000+3009)</f>
        <v/>
      </c>
      <c r="W3009" s="29">
        <f>IF($B3009="","",IFERROR(INDEX($U$4:$U$3183,MATCH(SMALL($V$4:$V$3183,3006),$V$4:$V$3183,0)),""))</f>
        <v/>
      </c>
    </row>
    <row r="3010">
      <c r="A3010">
        <f>IFERROR(INDEX($N$4:$N$3183,MATCH(SMALL($V$4:$V$3183,3007),$V$4:$V$3183,0)),"")</f>
        <v/>
      </c>
      <c r="B3010">
        <f>IFERROR(INDEX($O$4:$O$3183,MATCH(SMALL($V$4:$V$3183,3007),$V$4:$V$3183,0)),"")</f>
        <v/>
      </c>
      <c r="C3010">
        <f>IFERROR(INDEX($P$4:$P$3183,MATCH(SMALL($V$4:$V$3183,3007),$V$4:$V$3183,0)),"")</f>
        <v/>
      </c>
      <c r="D3010" s="29">
        <f>IFERROR(INDEX($Q$4:$Q$3183,MATCH(SMALL($V$4:$V$3183,3007),$V$4:$V$3183,0)),"")</f>
        <v/>
      </c>
      <c r="E3010" s="29">
        <f>IFERROR(INDEX($R$4:$R$3183,MATCH(SMALL($V$4:$V$3183,3007),$V$4:$V$3183,0)),"")</f>
        <v/>
      </c>
      <c r="F3010">
        <f>IFERROR(INDEX($S$4:$S$3183,MATCH(SMALL($V$4:$V$3183,3007),$V$4:$V$3183,0)),"")</f>
        <v/>
      </c>
      <c r="I3010" s="29">
        <f>IF($B3010="","",IFERROR(INDEX($U$4:$U$3183,MATCH(SMALL($V$4:$V$3183,3007),$V$4:$V$3183,0)),""))</f>
        <v/>
      </c>
      <c r="J3010">
        <f>IF($B3010="","",IF($D3010&gt;$F$2,"À venir",IF($E3010&lt;$D$2,"Passé","Dans la période")))</f>
        <v/>
      </c>
      <c r="K3010">
        <f>IF(OR($B3010="",NOT(ISNUMBER($D3010))),"",IF(AND($E3010&lt;$D$2,$G3010&lt;&gt;"X",$F3010&lt;&gt;"Réalisé",$F3010&lt;&gt;"Clôturé"),"RETARD",""))</f>
        <v/>
      </c>
      <c r="L3010">
        <f>IF(OR($B3010="",NOT(ISNUMBER($D3010))),"",IF(AND($D3010&gt;=$D$2,$D3010&lt;=$H$2,$G3010&lt;&gt;"X",$F3010&lt;&gt;"Réalisé",$F3010&lt;&gt;"Clôturé"),"≤ 7 j",""))</f>
        <v/>
      </c>
      <c r="M3010" s="29">
        <f>IF($B3010="","",IFERROR(INDEX($T$4:$T$3183,MATCH(SMALL($V$4:$V$3183,3007),$V$4:$V$3183,0)),""))</f>
        <v/>
      </c>
      <c r="O3010">
        <f>IF(INDEX(Suivi!$B:$B,3067)="","",INDEX(Suivi!$B:$B,3067))</f>
        <v/>
      </c>
      <c r="P3010">
        <f>IF($O3010="","",IF(INDEX(Suivi!$D:$D,3067)="",INDEX(Suivi!$C:$C,3067),INDEX(Suivi!$D:$D,3067)))</f>
        <v/>
      </c>
      <c r="Q3010">
        <f>IF($O3010="","",INDEX(Suivi!$E:$E,3067))</f>
        <v/>
      </c>
      <c r="R3010">
        <f>IF($O3010="","",INDEX(Suivi!$F:$F,3067))</f>
        <v/>
      </c>
      <c r="S3010">
        <f>IF($O3010="","",INDEX(Suivi!$G:$G,3067))</f>
        <v/>
      </c>
      <c r="T3010">
        <f>IF($O3010="","",IF(INDEX(Dossiers!$F$4:$F$63,57)="","",INDEX(Dossiers!$F$4:$F$63,57)))</f>
        <v/>
      </c>
      <c r="U3010">
        <f>IF($O3010="","",IF(INDEX(Dossiers!$G$4:$G$63,57)="","",INDEX(Dossiers!$G$4:$G$63,57)))</f>
        <v/>
      </c>
      <c r="V3010">
        <f>IF(OR($O3010="",NOT(ISNUMBER($Q3010))),"",$Q3010*1000000+3010)</f>
        <v/>
      </c>
      <c r="W3010" s="29">
        <f>IF($B3010="","",IFERROR(INDEX($U$4:$U$3183,MATCH(SMALL($V$4:$V$3183,3007),$V$4:$V$3183,0)),""))</f>
        <v/>
      </c>
    </row>
    <row r="3011">
      <c r="A3011">
        <f>IFERROR(INDEX($N$4:$N$3183,MATCH(SMALL($V$4:$V$3183,3008),$V$4:$V$3183,0)),"")</f>
        <v/>
      </c>
      <c r="B3011">
        <f>IFERROR(INDEX($O$4:$O$3183,MATCH(SMALL($V$4:$V$3183,3008),$V$4:$V$3183,0)),"")</f>
        <v/>
      </c>
      <c r="C3011">
        <f>IFERROR(INDEX($P$4:$P$3183,MATCH(SMALL($V$4:$V$3183,3008),$V$4:$V$3183,0)),"")</f>
        <v/>
      </c>
      <c r="D3011" s="29">
        <f>IFERROR(INDEX($Q$4:$Q$3183,MATCH(SMALL($V$4:$V$3183,3008),$V$4:$V$3183,0)),"")</f>
        <v/>
      </c>
      <c r="E3011" s="29">
        <f>IFERROR(INDEX($R$4:$R$3183,MATCH(SMALL($V$4:$V$3183,3008),$V$4:$V$3183,0)),"")</f>
        <v/>
      </c>
      <c r="F3011">
        <f>IFERROR(INDEX($S$4:$S$3183,MATCH(SMALL($V$4:$V$3183,3008),$V$4:$V$3183,0)),"")</f>
        <v/>
      </c>
      <c r="I3011" s="29">
        <f>IF($B3011="","",IFERROR(INDEX($U$4:$U$3183,MATCH(SMALL($V$4:$V$3183,3008),$V$4:$V$3183,0)),""))</f>
        <v/>
      </c>
      <c r="J3011">
        <f>IF($B3011="","",IF($D3011&gt;$F$2,"À venir",IF($E3011&lt;$D$2,"Passé","Dans la période")))</f>
        <v/>
      </c>
      <c r="K3011">
        <f>IF(OR($B3011="",NOT(ISNUMBER($D3011))),"",IF(AND($E3011&lt;$D$2,$G3011&lt;&gt;"X",$F3011&lt;&gt;"Réalisé",$F3011&lt;&gt;"Clôturé"),"RETARD",""))</f>
        <v/>
      </c>
      <c r="L3011">
        <f>IF(OR($B3011="",NOT(ISNUMBER($D3011))),"",IF(AND($D3011&gt;=$D$2,$D3011&lt;=$H$2,$G3011&lt;&gt;"X",$F3011&lt;&gt;"Réalisé",$F3011&lt;&gt;"Clôturé"),"≤ 7 j",""))</f>
        <v/>
      </c>
      <c r="M3011" s="29">
        <f>IF($B3011="","",IFERROR(INDEX($T$4:$T$3183,MATCH(SMALL($V$4:$V$3183,3008),$V$4:$V$3183,0)),""))</f>
        <v/>
      </c>
      <c r="O3011">
        <f>IF(INDEX(Suivi!$B:$B,3068)="","",INDEX(Suivi!$B:$B,3068))</f>
        <v/>
      </c>
      <c r="P3011">
        <f>IF($O3011="","",IF(INDEX(Suivi!$D:$D,3068)="",INDEX(Suivi!$C:$C,3068),INDEX(Suivi!$D:$D,3068)))</f>
        <v/>
      </c>
      <c r="Q3011">
        <f>IF($O3011="","",INDEX(Suivi!$E:$E,3068))</f>
        <v/>
      </c>
      <c r="R3011">
        <f>IF($O3011="","",INDEX(Suivi!$F:$F,3068))</f>
        <v/>
      </c>
      <c r="S3011">
        <f>IF($O3011="","",INDEX(Suivi!$G:$G,3068))</f>
        <v/>
      </c>
      <c r="T3011">
        <f>IF($O3011="","",IF(INDEX(Dossiers!$F$4:$F$63,57)="","",INDEX(Dossiers!$F$4:$F$63,57)))</f>
        <v/>
      </c>
      <c r="U3011">
        <f>IF($O3011="","",IF(INDEX(Dossiers!$G$4:$G$63,57)="","",INDEX(Dossiers!$G$4:$G$63,57)))</f>
        <v/>
      </c>
      <c r="V3011">
        <f>IF(OR($O3011="",NOT(ISNUMBER($Q3011))),"",$Q3011*1000000+3011)</f>
        <v/>
      </c>
      <c r="W3011" s="29">
        <f>IF($B3011="","",IFERROR(INDEX($U$4:$U$3183,MATCH(SMALL($V$4:$V$3183,3008),$V$4:$V$3183,0)),""))</f>
        <v/>
      </c>
    </row>
    <row r="3012">
      <c r="A3012">
        <f>IFERROR(INDEX($N$4:$N$3183,MATCH(SMALL($V$4:$V$3183,3009),$V$4:$V$3183,0)),"")</f>
        <v/>
      </c>
      <c r="B3012">
        <f>IFERROR(INDEX($O$4:$O$3183,MATCH(SMALL($V$4:$V$3183,3009),$V$4:$V$3183,0)),"")</f>
        <v/>
      </c>
      <c r="C3012">
        <f>IFERROR(INDEX($P$4:$P$3183,MATCH(SMALL($V$4:$V$3183,3009),$V$4:$V$3183,0)),"")</f>
        <v/>
      </c>
      <c r="D3012" s="29">
        <f>IFERROR(INDEX($Q$4:$Q$3183,MATCH(SMALL($V$4:$V$3183,3009),$V$4:$V$3183,0)),"")</f>
        <v/>
      </c>
      <c r="E3012" s="29">
        <f>IFERROR(INDEX($R$4:$R$3183,MATCH(SMALL($V$4:$V$3183,3009),$V$4:$V$3183,0)),"")</f>
        <v/>
      </c>
      <c r="F3012">
        <f>IFERROR(INDEX($S$4:$S$3183,MATCH(SMALL($V$4:$V$3183,3009),$V$4:$V$3183,0)),"")</f>
        <v/>
      </c>
      <c r="I3012" s="29">
        <f>IF($B3012="","",IFERROR(INDEX($U$4:$U$3183,MATCH(SMALL($V$4:$V$3183,3009),$V$4:$V$3183,0)),""))</f>
        <v/>
      </c>
      <c r="J3012">
        <f>IF($B3012="","",IF($D3012&gt;$F$2,"À venir",IF($E3012&lt;$D$2,"Passé","Dans la période")))</f>
        <v/>
      </c>
      <c r="K3012">
        <f>IF(OR($B3012="",NOT(ISNUMBER($D3012))),"",IF(AND($E3012&lt;$D$2,$G3012&lt;&gt;"X",$F3012&lt;&gt;"Réalisé",$F3012&lt;&gt;"Clôturé"),"RETARD",""))</f>
        <v/>
      </c>
      <c r="L3012">
        <f>IF(OR($B3012="",NOT(ISNUMBER($D3012))),"",IF(AND($D3012&gt;=$D$2,$D3012&lt;=$H$2,$G3012&lt;&gt;"X",$F3012&lt;&gt;"Réalisé",$F3012&lt;&gt;"Clôturé"),"≤ 7 j",""))</f>
        <v/>
      </c>
      <c r="M3012" s="29">
        <f>IF($B3012="","",IFERROR(INDEX($T$4:$T$3183,MATCH(SMALL($V$4:$V$3183,3009),$V$4:$V$3183,0)),""))</f>
        <v/>
      </c>
      <c r="O3012">
        <f>IF(INDEX(Suivi!$B:$B,3069)="","",INDEX(Suivi!$B:$B,3069))</f>
        <v/>
      </c>
      <c r="P3012">
        <f>IF($O3012="","",IF(INDEX(Suivi!$D:$D,3069)="",INDEX(Suivi!$C:$C,3069),INDEX(Suivi!$D:$D,3069)))</f>
        <v/>
      </c>
      <c r="Q3012">
        <f>IF($O3012="","",INDEX(Suivi!$E:$E,3069))</f>
        <v/>
      </c>
      <c r="R3012">
        <f>IF($O3012="","",INDEX(Suivi!$F:$F,3069))</f>
        <v/>
      </c>
      <c r="S3012">
        <f>IF($O3012="","",INDEX(Suivi!$G:$G,3069))</f>
        <v/>
      </c>
      <c r="T3012">
        <f>IF($O3012="","",IF(INDEX(Dossiers!$F$4:$F$63,57)="","",INDEX(Dossiers!$F$4:$F$63,57)))</f>
        <v/>
      </c>
      <c r="U3012">
        <f>IF($O3012="","",IF(INDEX(Dossiers!$G$4:$G$63,57)="","",INDEX(Dossiers!$G$4:$G$63,57)))</f>
        <v/>
      </c>
      <c r="V3012">
        <f>IF(OR($O3012="",NOT(ISNUMBER($Q3012))),"",$Q3012*1000000+3012)</f>
        <v/>
      </c>
      <c r="W3012" s="29">
        <f>IF($B3012="","",IFERROR(INDEX($U$4:$U$3183,MATCH(SMALL($V$4:$V$3183,3009),$V$4:$V$3183,0)),""))</f>
        <v/>
      </c>
    </row>
    <row r="3013">
      <c r="A3013">
        <f>IFERROR(INDEX($N$4:$N$3183,MATCH(SMALL($V$4:$V$3183,3010),$V$4:$V$3183,0)),"")</f>
        <v/>
      </c>
      <c r="B3013">
        <f>IFERROR(INDEX($O$4:$O$3183,MATCH(SMALL($V$4:$V$3183,3010),$V$4:$V$3183,0)),"")</f>
        <v/>
      </c>
      <c r="C3013">
        <f>IFERROR(INDEX($P$4:$P$3183,MATCH(SMALL($V$4:$V$3183,3010),$V$4:$V$3183,0)),"")</f>
        <v/>
      </c>
      <c r="D3013" s="29">
        <f>IFERROR(INDEX($Q$4:$Q$3183,MATCH(SMALL($V$4:$V$3183,3010),$V$4:$V$3183,0)),"")</f>
        <v/>
      </c>
      <c r="E3013" s="29">
        <f>IFERROR(INDEX($R$4:$R$3183,MATCH(SMALL($V$4:$V$3183,3010),$V$4:$V$3183,0)),"")</f>
        <v/>
      </c>
      <c r="F3013">
        <f>IFERROR(INDEX($S$4:$S$3183,MATCH(SMALL($V$4:$V$3183,3010),$V$4:$V$3183,0)),"")</f>
        <v/>
      </c>
      <c r="I3013" s="29">
        <f>IF($B3013="","",IFERROR(INDEX($U$4:$U$3183,MATCH(SMALL($V$4:$V$3183,3010),$V$4:$V$3183,0)),""))</f>
        <v/>
      </c>
      <c r="J3013">
        <f>IF($B3013="","",IF($D3013&gt;$F$2,"À venir",IF($E3013&lt;$D$2,"Passé","Dans la période")))</f>
        <v/>
      </c>
      <c r="K3013">
        <f>IF(OR($B3013="",NOT(ISNUMBER($D3013))),"",IF(AND($E3013&lt;$D$2,$G3013&lt;&gt;"X",$F3013&lt;&gt;"Réalisé",$F3013&lt;&gt;"Clôturé"),"RETARD",""))</f>
        <v/>
      </c>
      <c r="L3013">
        <f>IF(OR($B3013="",NOT(ISNUMBER($D3013))),"",IF(AND($D3013&gt;=$D$2,$D3013&lt;=$H$2,$G3013&lt;&gt;"X",$F3013&lt;&gt;"Réalisé",$F3013&lt;&gt;"Clôturé"),"≤ 7 j",""))</f>
        <v/>
      </c>
      <c r="M3013" s="29">
        <f>IF($B3013="","",IFERROR(INDEX($T$4:$T$3183,MATCH(SMALL($V$4:$V$3183,3010),$V$4:$V$3183,0)),""))</f>
        <v/>
      </c>
      <c r="O3013">
        <f>IF(INDEX(Suivi!$B:$B,3070)="","",INDEX(Suivi!$B:$B,3070))</f>
        <v/>
      </c>
      <c r="P3013">
        <f>IF($O3013="","",IF(INDEX(Suivi!$D:$D,3070)="",INDEX(Suivi!$C:$C,3070),INDEX(Suivi!$D:$D,3070)))</f>
        <v/>
      </c>
      <c r="Q3013">
        <f>IF($O3013="","",INDEX(Suivi!$E:$E,3070))</f>
        <v/>
      </c>
      <c r="R3013">
        <f>IF($O3013="","",INDEX(Suivi!$F:$F,3070))</f>
        <v/>
      </c>
      <c r="S3013">
        <f>IF($O3013="","",INDEX(Suivi!$G:$G,3070))</f>
        <v/>
      </c>
      <c r="T3013">
        <f>IF($O3013="","",IF(INDEX(Dossiers!$F$4:$F$63,57)="","",INDEX(Dossiers!$F$4:$F$63,57)))</f>
        <v/>
      </c>
      <c r="U3013">
        <f>IF($O3013="","",IF(INDEX(Dossiers!$G$4:$G$63,57)="","",INDEX(Dossiers!$G$4:$G$63,57)))</f>
        <v/>
      </c>
      <c r="V3013">
        <f>IF(OR($O3013="",NOT(ISNUMBER($Q3013))),"",$Q3013*1000000+3013)</f>
        <v/>
      </c>
      <c r="W3013" s="29">
        <f>IF($B3013="","",IFERROR(INDEX($U$4:$U$3183,MATCH(SMALL($V$4:$V$3183,3010),$V$4:$V$3183,0)),""))</f>
        <v/>
      </c>
    </row>
    <row r="3014">
      <c r="A3014">
        <f>IFERROR(INDEX($N$4:$N$3183,MATCH(SMALL($V$4:$V$3183,3011),$V$4:$V$3183,0)),"")</f>
        <v/>
      </c>
      <c r="B3014">
        <f>IFERROR(INDEX($O$4:$O$3183,MATCH(SMALL($V$4:$V$3183,3011),$V$4:$V$3183,0)),"")</f>
        <v/>
      </c>
      <c r="C3014">
        <f>IFERROR(INDEX($P$4:$P$3183,MATCH(SMALL($V$4:$V$3183,3011),$V$4:$V$3183,0)),"")</f>
        <v/>
      </c>
      <c r="D3014" s="29">
        <f>IFERROR(INDEX($Q$4:$Q$3183,MATCH(SMALL($V$4:$V$3183,3011),$V$4:$V$3183,0)),"")</f>
        <v/>
      </c>
      <c r="E3014" s="29">
        <f>IFERROR(INDEX($R$4:$R$3183,MATCH(SMALL($V$4:$V$3183,3011),$V$4:$V$3183,0)),"")</f>
        <v/>
      </c>
      <c r="F3014">
        <f>IFERROR(INDEX($S$4:$S$3183,MATCH(SMALL($V$4:$V$3183,3011),$V$4:$V$3183,0)),"")</f>
        <v/>
      </c>
      <c r="I3014" s="29">
        <f>IF($B3014="","",IFERROR(INDEX($U$4:$U$3183,MATCH(SMALL($V$4:$V$3183,3011),$V$4:$V$3183,0)),""))</f>
        <v/>
      </c>
      <c r="J3014">
        <f>IF($B3014="","",IF($D3014&gt;$F$2,"À venir",IF($E3014&lt;$D$2,"Passé","Dans la période")))</f>
        <v/>
      </c>
      <c r="K3014">
        <f>IF(OR($B3014="",NOT(ISNUMBER($D3014))),"",IF(AND($E3014&lt;$D$2,$G3014&lt;&gt;"X",$F3014&lt;&gt;"Réalisé",$F3014&lt;&gt;"Clôturé"),"RETARD",""))</f>
        <v/>
      </c>
      <c r="L3014">
        <f>IF(OR($B3014="",NOT(ISNUMBER($D3014))),"",IF(AND($D3014&gt;=$D$2,$D3014&lt;=$H$2,$G3014&lt;&gt;"X",$F3014&lt;&gt;"Réalisé",$F3014&lt;&gt;"Clôturé"),"≤ 7 j",""))</f>
        <v/>
      </c>
      <c r="M3014" s="29">
        <f>IF($B3014="","",IFERROR(INDEX($T$4:$T$3183,MATCH(SMALL($V$4:$V$3183,3011),$V$4:$V$3183,0)),""))</f>
        <v/>
      </c>
      <c r="O3014">
        <f>IF(INDEX(Suivi!$B:$B,3071)="","",INDEX(Suivi!$B:$B,3071))</f>
        <v/>
      </c>
      <c r="P3014">
        <f>IF($O3014="","",IF(INDEX(Suivi!$D:$D,3071)="",INDEX(Suivi!$C:$C,3071),INDEX(Suivi!$D:$D,3071)))</f>
        <v/>
      </c>
      <c r="Q3014">
        <f>IF($O3014="","",INDEX(Suivi!$E:$E,3071))</f>
        <v/>
      </c>
      <c r="R3014">
        <f>IF($O3014="","",INDEX(Suivi!$F:$F,3071))</f>
        <v/>
      </c>
      <c r="S3014">
        <f>IF($O3014="","",INDEX(Suivi!$G:$G,3071))</f>
        <v/>
      </c>
      <c r="T3014">
        <f>IF($O3014="","",IF(INDEX(Dossiers!$F$4:$F$63,57)="","",INDEX(Dossiers!$F$4:$F$63,57)))</f>
        <v/>
      </c>
      <c r="U3014">
        <f>IF($O3014="","",IF(INDEX(Dossiers!$G$4:$G$63,57)="","",INDEX(Dossiers!$G$4:$G$63,57)))</f>
        <v/>
      </c>
      <c r="V3014">
        <f>IF(OR($O3014="",NOT(ISNUMBER($Q3014))),"",$Q3014*1000000+3014)</f>
        <v/>
      </c>
      <c r="W3014" s="29">
        <f>IF($B3014="","",IFERROR(INDEX($U$4:$U$3183,MATCH(SMALL($V$4:$V$3183,3011),$V$4:$V$3183,0)),""))</f>
        <v/>
      </c>
    </row>
    <row r="3015">
      <c r="A3015">
        <f>IFERROR(INDEX($N$4:$N$3183,MATCH(SMALL($V$4:$V$3183,3012),$V$4:$V$3183,0)),"")</f>
        <v/>
      </c>
      <c r="B3015">
        <f>IFERROR(INDEX($O$4:$O$3183,MATCH(SMALL($V$4:$V$3183,3012),$V$4:$V$3183,0)),"")</f>
        <v/>
      </c>
      <c r="C3015">
        <f>IFERROR(INDEX($P$4:$P$3183,MATCH(SMALL($V$4:$V$3183,3012),$V$4:$V$3183,0)),"")</f>
        <v/>
      </c>
      <c r="D3015" s="29">
        <f>IFERROR(INDEX($Q$4:$Q$3183,MATCH(SMALL($V$4:$V$3183,3012),$V$4:$V$3183,0)),"")</f>
        <v/>
      </c>
      <c r="E3015" s="29">
        <f>IFERROR(INDEX($R$4:$R$3183,MATCH(SMALL($V$4:$V$3183,3012),$V$4:$V$3183,0)),"")</f>
        <v/>
      </c>
      <c r="F3015">
        <f>IFERROR(INDEX($S$4:$S$3183,MATCH(SMALL($V$4:$V$3183,3012),$V$4:$V$3183,0)),"")</f>
        <v/>
      </c>
      <c r="I3015" s="29">
        <f>IF($B3015="","",IFERROR(INDEX($U$4:$U$3183,MATCH(SMALL($V$4:$V$3183,3012),$V$4:$V$3183,0)),""))</f>
        <v/>
      </c>
      <c r="J3015">
        <f>IF($B3015="","",IF($D3015&gt;$F$2,"À venir",IF($E3015&lt;$D$2,"Passé","Dans la période")))</f>
        <v/>
      </c>
      <c r="K3015">
        <f>IF(OR($B3015="",NOT(ISNUMBER($D3015))),"",IF(AND($E3015&lt;$D$2,$G3015&lt;&gt;"X",$F3015&lt;&gt;"Réalisé",$F3015&lt;&gt;"Clôturé"),"RETARD",""))</f>
        <v/>
      </c>
      <c r="L3015">
        <f>IF(OR($B3015="",NOT(ISNUMBER($D3015))),"",IF(AND($D3015&gt;=$D$2,$D3015&lt;=$H$2,$G3015&lt;&gt;"X",$F3015&lt;&gt;"Réalisé",$F3015&lt;&gt;"Clôturé"),"≤ 7 j",""))</f>
        <v/>
      </c>
      <c r="M3015" s="29">
        <f>IF($B3015="","",IFERROR(INDEX($T$4:$T$3183,MATCH(SMALL($V$4:$V$3183,3012),$V$4:$V$3183,0)),""))</f>
        <v/>
      </c>
      <c r="O3015">
        <f>IF(INDEX(Suivi!$B:$B,3072)="","",INDEX(Suivi!$B:$B,3072))</f>
        <v/>
      </c>
      <c r="P3015">
        <f>IF($O3015="","",IF(INDEX(Suivi!$D:$D,3072)="",INDEX(Suivi!$C:$C,3072),INDEX(Suivi!$D:$D,3072)))</f>
        <v/>
      </c>
      <c r="Q3015">
        <f>IF($O3015="","",INDEX(Suivi!$E:$E,3072))</f>
        <v/>
      </c>
      <c r="R3015">
        <f>IF($O3015="","",INDEX(Suivi!$F:$F,3072))</f>
        <v/>
      </c>
      <c r="S3015">
        <f>IF($O3015="","",INDEX(Suivi!$G:$G,3072))</f>
        <v/>
      </c>
      <c r="T3015">
        <f>IF($O3015="","",IF(INDEX(Dossiers!$F$4:$F$63,57)="","",INDEX(Dossiers!$F$4:$F$63,57)))</f>
        <v/>
      </c>
      <c r="U3015">
        <f>IF($O3015="","",IF(INDEX(Dossiers!$G$4:$G$63,57)="","",INDEX(Dossiers!$G$4:$G$63,57)))</f>
        <v/>
      </c>
      <c r="V3015">
        <f>IF(OR($O3015="",NOT(ISNUMBER($Q3015))),"",$Q3015*1000000+3015)</f>
        <v/>
      </c>
      <c r="W3015" s="29">
        <f>IF($B3015="","",IFERROR(INDEX($U$4:$U$3183,MATCH(SMALL($V$4:$V$3183,3012),$V$4:$V$3183,0)),""))</f>
        <v/>
      </c>
    </row>
    <row r="3016">
      <c r="A3016">
        <f>IFERROR(INDEX($N$4:$N$3183,MATCH(SMALL($V$4:$V$3183,3013),$V$4:$V$3183,0)),"")</f>
        <v/>
      </c>
      <c r="B3016">
        <f>IFERROR(INDEX($O$4:$O$3183,MATCH(SMALL($V$4:$V$3183,3013),$V$4:$V$3183,0)),"")</f>
        <v/>
      </c>
      <c r="C3016">
        <f>IFERROR(INDEX($P$4:$P$3183,MATCH(SMALL($V$4:$V$3183,3013),$V$4:$V$3183,0)),"")</f>
        <v/>
      </c>
      <c r="D3016" s="29">
        <f>IFERROR(INDEX($Q$4:$Q$3183,MATCH(SMALL($V$4:$V$3183,3013),$V$4:$V$3183,0)),"")</f>
        <v/>
      </c>
      <c r="E3016" s="29">
        <f>IFERROR(INDEX($R$4:$R$3183,MATCH(SMALL($V$4:$V$3183,3013),$V$4:$V$3183,0)),"")</f>
        <v/>
      </c>
      <c r="F3016">
        <f>IFERROR(INDEX($S$4:$S$3183,MATCH(SMALL($V$4:$V$3183,3013),$V$4:$V$3183,0)),"")</f>
        <v/>
      </c>
      <c r="I3016" s="29">
        <f>IF($B3016="","",IFERROR(INDEX($U$4:$U$3183,MATCH(SMALL($V$4:$V$3183,3013),$V$4:$V$3183,0)),""))</f>
        <v/>
      </c>
      <c r="J3016">
        <f>IF($B3016="","",IF($D3016&gt;$F$2,"À venir",IF($E3016&lt;$D$2,"Passé","Dans la période")))</f>
        <v/>
      </c>
      <c r="K3016">
        <f>IF(OR($B3016="",NOT(ISNUMBER($D3016))),"",IF(AND($E3016&lt;$D$2,$G3016&lt;&gt;"X",$F3016&lt;&gt;"Réalisé",$F3016&lt;&gt;"Clôturé"),"RETARD",""))</f>
        <v/>
      </c>
      <c r="L3016">
        <f>IF(OR($B3016="",NOT(ISNUMBER($D3016))),"",IF(AND($D3016&gt;=$D$2,$D3016&lt;=$H$2,$G3016&lt;&gt;"X",$F3016&lt;&gt;"Réalisé",$F3016&lt;&gt;"Clôturé"),"≤ 7 j",""))</f>
        <v/>
      </c>
      <c r="M3016" s="29">
        <f>IF($B3016="","",IFERROR(INDEX($T$4:$T$3183,MATCH(SMALL($V$4:$V$3183,3013),$V$4:$V$3183,0)),""))</f>
        <v/>
      </c>
      <c r="O3016">
        <f>IF(INDEX(Suivi!$B:$B,3073)="","",INDEX(Suivi!$B:$B,3073))</f>
        <v/>
      </c>
      <c r="P3016">
        <f>IF($O3016="","",IF(INDEX(Suivi!$D:$D,3073)="",INDEX(Suivi!$C:$C,3073),INDEX(Suivi!$D:$D,3073)))</f>
        <v/>
      </c>
      <c r="Q3016">
        <f>IF($O3016="","",INDEX(Suivi!$E:$E,3073))</f>
        <v/>
      </c>
      <c r="R3016">
        <f>IF($O3016="","",INDEX(Suivi!$F:$F,3073))</f>
        <v/>
      </c>
      <c r="S3016">
        <f>IF($O3016="","",INDEX(Suivi!$G:$G,3073))</f>
        <v/>
      </c>
      <c r="T3016">
        <f>IF($O3016="","",IF(INDEX(Dossiers!$F$4:$F$63,57)="","",INDEX(Dossiers!$F$4:$F$63,57)))</f>
        <v/>
      </c>
      <c r="U3016">
        <f>IF($O3016="","",IF(INDEX(Dossiers!$G$4:$G$63,57)="","",INDEX(Dossiers!$G$4:$G$63,57)))</f>
        <v/>
      </c>
      <c r="V3016">
        <f>IF(OR($O3016="",NOT(ISNUMBER($Q3016))),"",$Q3016*1000000+3016)</f>
        <v/>
      </c>
      <c r="W3016" s="29">
        <f>IF($B3016="","",IFERROR(INDEX($U$4:$U$3183,MATCH(SMALL($V$4:$V$3183,3013),$V$4:$V$3183,0)),""))</f>
        <v/>
      </c>
    </row>
    <row r="3017">
      <c r="A3017">
        <f>IFERROR(INDEX($N$4:$N$3183,MATCH(SMALL($V$4:$V$3183,3014),$V$4:$V$3183,0)),"")</f>
        <v/>
      </c>
      <c r="B3017">
        <f>IFERROR(INDEX($O$4:$O$3183,MATCH(SMALL($V$4:$V$3183,3014),$V$4:$V$3183,0)),"")</f>
        <v/>
      </c>
      <c r="C3017">
        <f>IFERROR(INDEX($P$4:$P$3183,MATCH(SMALL($V$4:$V$3183,3014),$V$4:$V$3183,0)),"")</f>
        <v/>
      </c>
      <c r="D3017" s="29">
        <f>IFERROR(INDEX($Q$4:$Q$3183,MATCH(SMALL($V$4:$V$3183,3014),$V$4:$V$3183,0)),"")</f>
        <v/>
      </c>
      <c r="E3017" s="29">
        <f>IFERROR(INDEX($R$4:$R$3183,MATCH(SMALL($V$4:$V$3183,3014),$V$4:$V$3183,0)),"")</f>
        <v/>
      </c>
      <c r="F3017">
        <f>IFERROR(INDEX($S$4:$S$3183,MATCH(SMALL($V$4:$V$3183,3014),$V$4:$V$3183,0)),"")</f>
        <v/>
      </c>
      <c r="I3017" s="29">
        <f>IF($B3017="","",IFERROR(INDEX($U$4:$U$3183,MATCH(SMALL($V$4:$V$3183,3014),$V$4:$V$3183,0)),""))</f>
        <v/>
      </c>
      <c r="J3017">
        <f>IF($B3017="","",IF($D3017&gt;$F$2,"À venir",IF($E3017&lt;$D$2,"Passé","Dans la période")))</f>
        <v/>
      </c>
      <c r="K3017">
        <f>IF(OR($B3017="",NOT(ISNUMBER($D3017))),"",IF(AND($E3017&lt;$D$2,$G3017&lt;&gt;"X",$F3017&lt;&gt;"Réalisé",$F3017&lt;&gt;"Clôturé"),"RETARD",""))</f>
        <v/>
      </c>
      <c r="L3017">
        <f>IF(OR($B3017="",NOT(ISNUMBER($D3017))),"",IF(AND($D3017&gt;=$D$2,$D3017&lt;=$H$2,$G3017&lt;&gt;"X",$F3017&lt;&gt;"Réalisé",$F3017&lt;&gt;"Clôturé"),"≤ 7 j",""))</f>
        <v/>
      </c>
      <c r="M3017" s="29">
        <f>IF($B3017="","",IFERROR(INDEX($T$4:$T$3183,MATCH(SMALL($V$4:$V$3183,3014),$V$4:$V$3183,0)),""))</f>
        <v/>
      </c>
      <c r="O3017">
        <f>IF(INDEX(Suivi!$B:$B,3074)="","",INDEX(Suivi!$B:$B,3074))</f>
        <v/>
      </c>
      <c r="P3017">
        <f>IF($O3017="","",IF(INDEX(Suivi!$D:$D,3074)="",INDEX(Suivi!$C:$C,3074),INDEX(Suivi!$D:$D,3074)))</f>
        <v/>
      </c>
      <c r="Q3017">
        <f>IF($O3017="","",INDEX(Suivi!$E:$E,3074))</f>
        <v/>
      </c>
      <c r="R3017">
        <f>IF($O3017="","",INDEX(Suivi!$F:$F,3074))</f>
        <v/>
      </c>
      <c r="S3017">
        <f>IF($O3017="","",INDEX(Suivi!$G:$G,3074))</f>
        <v/>
      </c>
      <c r="T3017">
        <f>IF($O3017="","",IF(INDEX(Dossiers!$F$4:$F$63,57)="","",INDEX(Dossiers!$F$4:$F$63,57)))</f>
        <v/>
      </c>
      <c r="U3017">
        <f>IF($O3017="","",IF(INDEX(Dossiers!$G$4:$G$63,57)="","",INDEX(Dossiers!$G$4:$G$63,57)))</f>
        <v/>
      </c>
      <c r="V3017">
        <f>IF(OR($O3017="",NOT(ISNUMBER($Q3017))),"",$Q3017*1000000+3017)</f>
        <v/>
      </c>
      <c r="W3017" s="29">
        <f>IF($B3017="","",IFERROR(INDEX($U$4:$U$3183,MATCH(SMALL($V$4:$V$3183,3014),$V$4:$V$3183,0)),""))</f>
        <v/>
      </c>
    </row>
    <row r="3018">
      <c r="A3018">
        <f>IFERROR(INDEX($N$4:$N$3183,MATCH(SMALL($V$4:$V$3183,3015),$V$4:$V$3183,0)),"")</f>
        <v/>
      </c>
      <c r="B3018">
        <f>IFERROR(INDEX($O$4:$O$3183,MATCH(SMALL($V$4:$V$3183,3015),$V$4:$V$3183,0)),"")</f>
        <v/>
      </c>
      <c r="C3018">
        <f>IFERROR(INDEX($P$4:$P$3183,MATCH(SMALL($V$4:$V$3183,3015),$V$4:$V$3183,0)),"")</f>
        <v/>
      </c>
      <c r="D3018" s="29">
        <f>IFERROR(INDEX($Q$4:$Q$3183,MATCH(SMALL($V$4:$V$3183,3015),$V$4:$V$3183,0)),"")</f>
        <v/>
      </c>
      <c r="E3018" s="29">
        <f>IFERROR(INDEX($R$4:$R$3183,MATCH(SMALL($V$4:$V$3183,3015),$V$4:$V$3183,0)),"")</f>
        <v/>
      </c>
      <c r="F3018">
        <f>IFERROR(INDEX($S$4:$S$3183,MATCH(SMALL($V$4:$V$3183,3015),$V$4:$V$3183,0)),"")</f>
        <v/>
      </c>
      <c r="I3018" s="29">
        <f>IF($B3018="","",IFERROR(INDEX($U$4:$U$3183,MATCH(SMALL($V$4:$V$3183,3015),$V$4:$V$3183,0)),""))</f>
        <v/>
      </c>
      <c r="J3018">
        <f>IF($B3018="","",IF($D3018&gt;$F$2,"À venir",IF($E3018&lt;$D$2,"Passé","Dans la période")))</f>
        <v/>
      </c>
      <c r="K3018">
        <f>IF(OR($B3018="",NOT(ISNUMBER($D3018))),"",IF(AND($E3018&lt;$D$2,$G3018&lt;&gt;"X",$F3018&lt;&gt;"Réalisé",$F3018&lt;&gt;"Clôturé"),"RETARD",""))</f>
        <v/>
      </c>
      <c r="L3018">
        <f>IF(OR($B3018="",NOT(ISNUMBER($D3018))),"",IF(AND($D3018&gt;=$D$2,$D3018&lt;=$H$2,$G3018&lt;&gt;"X",$F3018&lt;&gt;"Réalisé",$F3018&lt;&gt;"Clôturé"),"≤ 7 j",""))</f>
        <v/>
      </c>
      <c r="M3018" s="29">
        <f>IF($B3018="","",IFERROR(INDEX($T$4:$T$3183,MATCH(SMALL($V$4:$V$3183,3015),$V$4:$V$3183,0)),""))</f>
        <v/>
      </c>
      <c r="O3018">
        <f>IF(INDEX(Suivi!$B:$B,3075)="","",INDEX(Suivi!$B:$B,3075))</f>
        <v/>
      </c>
      <c r="P3018">
        <f>IF($O3018="","",IF(INDEX(Suivi!$D:$D,3075)="",INDEX(Suivi!$C:$C,3075),INDEX(Suivi!$D:$D,3075)))</f>
        <v/>
      </c>
      <c r="Q3018">
        <f>IF($O3018="","",INDEX(Suivi!$E:$E,3075))</f>
        <v/>
      </c>
      <c r="R3018">
        <f>IF($O3018="","",INDEX(Suivi!$F:$F,3075))</f>
        <v/>
      </c>
      <c r="S3018">
        <f>IF($O3018="","",INDEX(Suivi!$G:$G,3075))</f>
        <v/>
      </c>
      <c r="T3018">
        <f>IF($O3018="","",IF(INDEX(Dossiers!$F$4:$F$63,57)="","",INDEX(Dossiers!$F$4:$F$63,57)))</f>
        <v/>
      </c>
      <c r="U3018">
        <f>IF($O3018="","",IF(INDEX(Dossiers!$G$4:$G$63,57)="","",INDEX(Dossiers!$G$4:$G$63,57)))</f>
        <v/>
      </c>
      <c r="V3018">
        <f>IF(OR($O3018="",NOT(ISNUMBER($Q3018))),"",$Q3018*1000000+3018)</f>
        <v/>
      </c>
      <c r="W3018" s="29">
        <f>IF($B3018="","",IFERROR(INDEX($U$4:$U$3183,MATCH(SMALL($V$4:$V$3183,3015),$V$4:$V$3183,0)),""))</f>
        <v/>
      </c>
    </row>
    <row r="3019">
      <c r="A3019">
        <f>IFERROR(INDEX($N$4:$N$3183,MATCH(SMALL($V$4:$V$3183,3016),$V$4:$V$3183,0)),"")</f>
        <v/>
      </c>
      <c r="B3019">
        <f>IFERROR(INDEX($O$4:$O$3183,MATCH(SMALL($V$4:$V$3183,3016),$V$4:$V$3183,0)),"")</f>
        <v/>
      </c>
      <c r="C3019">
        <f>IFERROR(INDEX($P$4:$P$3183,MATCH(SMALL($V$4:$V$3183,3016),$V$4:$V$3183,0)),"")</f>
        <v/>
      </c>
      <c r="D3019" s="29">
        <f>IFERROR(INDEX($Q$4:$Q$3183,MATCH(SMALL($V$4:$V$3183,3016),$V$4:$V$3183,0)),"")</f>
        <v/>
      </c>
      <c r="E3019" s="29">
        <f>IFERROR(INDEX($R$4:$R$3183,MATCH(SMALL($V$4:$V$3183,3016),$V$4:$V$3183,0)),"")</f>
        <v/>
      </c>
      <c r="F3019">
        <f>IFERROR(INDEX($S$4:$S$3183,MATCH(SMALL($V$4:$V$3183,3016),$V$4:$V$3183,0)),"")</f>
        <v/>
      </c>
      <c r="I3019" s="29">
        <f>IF($B3019="","",IFERROR(INDEX($U$4:$U$3183,MATCH(SMALL($V$4:$V$3183,3016),$V$4:$V$3183,0)),""))</f>
        <v/>
      </c>
      <c r="J3019">
        <f>IF($B3019="","",IF($D3019&gt;$F$2,"À venir",IF($E3019&lt;$D$2,"Passé","Dans la période")))</f>
        <v/>
      </c>
      <c r="K3019">
        <f>IF(OR($B3019="",NOT(ISNUMBER($D3019))),"",IF(AND($E3019&lt;$D$2,$G3019&lt;&gt;"X",$F3019&lt;&gt;"Réalisé",$F3019&lt;&gt;"Clôturé"),"RETARD",""))</f>
        <v/>
      </c>
      <c r="L3019">
        <f>IF(OR($B3019="",NOT(ISNUMBER($D3019))),"",IF(AND($D3019&gt;=$D$2,$D3019&lt;=$H$2,$G3019&lt;&gt;"X",$F3019&lt;&gt;"Réalisé",$F3019&lt;&gt;"Clôturé"),"≤ 7 j",""))</f>
        <v/>
      </c>
      <c r="M3019" s="29">
        <f>IF($B3019="","",IFERROR(INDEX($T$4:$T$3183,MATCH(SMALL($V$4:$V$3183,3016),$V$4:$V$3183,0)),""))</f>
        <v/>
      </c>
      <c r="O3019">
        <f>IF(INDEX(Suivi!$B:$B,3076)="","",INDEX(Suivi!$B:$B,3076))</f>
        <v/>
      </c>
      <c r="P3019">
        <f>IF($O3019="","",IF(INDEX(Suivi!$D:$D,3076)="",INDEX(Suivi!$C:$C,3076),INDEX(Suivi!$D:$D,3076)))</f>
        <v/>
      </c>
      <c r="Q3019">
        <f>IF($O3019="","",INDEX(Suivi!$E:$E,3076))</f>
        <v/>
      </c>
      <c r="R3019">
        <f>IF($O3019="","",INDEX(Suivi!$F:$F,3076))</f>
        <v/>
      </c>
      <c r="S3019">
        <f>IF($O3019="","",INDEX(Suivi!$G:$G,3076))</f>
        <v/>
      </c>
      <c r="T3019">
        <f>IF($O3019="","",IF(INDEX(Dossiers!$F$4:$F$63,57)="","",INDEX(Dossiers!$F$4:$F$63,57)))</f>
        <v/>
      </c>
      <c r="U3019">
        <f>IF($O3019="","",IF(INDEX(Dossiers!$G$4:$G$63,57)="","",INDEX(Dossiers!$G$4:$G$63,57)))</f>
        <v/>
      </c>
      <c r="V3019">
        <f>IF(OR($O3019="",NOT(ISNUMBER($Q3019))),"",$Q3019*1000000+3019)</f>
        <v/>
      </c>
      <c r="W3019" s="29">
        <f>IF($B3019="","",IFERROR(INDEX($U$4:$U$3183,MATCH(SMALL($V$4:$V$3183,3016),$V$4:$V$3183,0)),""))</f>
        <v/>
      </c>
    </row>
    <row r="3020">
      <c r="A3020">
        <f>IFERROR(INDEX($N$4:$N$3183,MATCH(SMALL($V$4:$V$3183,3017),$V$4:$V$3183,0)),"")</f>
        <v/>
      </c>
      <c r="B3020">
        <f>IFERROR(INDEX($O$4:$O$3183,MATCH(SMALL($V$4:$V$3183,3017),$V$4:$V$3183,0)),"")</f>
        <v/>
      </c>
      <c r="C3020">
        <f>IFERROR(INDEX($P$4:$P$3183,MATCH(SMALL($V$4:$V$3183,3017),$V$4:$V$3183,0)),"")</f>
        <v/>
      </c>
      <c r="D3020" s="29">
        <f>IFERROR(INDEX($Q$4:$Q$3183,MATCH(SMALL($V$4:$V$3183,3017),$V$4:$V$3183,0)),"")</f>
        <v/>
      </c>
      <c r="E3020" s="29">
        <f>IFERROR(INDEX($R$4:$R$3183,MATCH(SMALL($V$4:$V$3183,3017),$V$4:$V$3183,0)),"")</f>
        <v/>
      </c>
      <c r="F3020">
        <f>IFERROR(INDEX($S$4:$S$3183,MATCH(SMALL($V$4:$V$3183,3017),$V$4:$V$3183,0)),"")</f>
        <v/>
      </c>
      <c r="I3020" s="29">
        <f>IF($B3020="","",IFERROR(INDEX($U$4:$U$3183,MATCH(SMALL($V$4:$V$3183,3017),$V$4:$V$3183,0)),""))</f>
        <v/>
      </c>
      <c r="J3020">
        <f>IF($B3020="","",IF($D3020&gt;$F$2,"À venir",IF($E3020&lt;$D$2,"Passé","Dans la période")))</f>
        <v/>
      </c>
      <c r="K3020">
        <f>IF(OR($B3020="",NOT(ISNUMBER($D3020))),"",IF(AND($E3020&lt;$D$2,$G3020&lt;&gt;"X",$F3020&lt;&gt;"Réalisé",$F3020&lt;&gt;"Clôturé"),"RETARD",""))</f>
        <v/>
      </c>
      <c r="L3020">
        <f>IF(OR($B3020="",NOT(ISNUMBER($D3020))),"",IF(AND($D3020&gt;=$D$2,$D3020&lt;=$H$2,$G3020&lt;&gt;"X",$F3020&lt;&gt;"Réalisé",$F3020&lt;&gt;"Clôturé"),"≤ 7 j",""))</f>
        <v/>
      </c>
      <c r="M3020" s="29">
        <f>IF($B3020="","",IFERROR(INDEX($T$4:$T$3183,MATCH(SMALL($V$4:$V$3183,3017),$V$4:$V$3183,0)),""))</f>
        <v/>
      </c>
      <c r="O3020">
        <f>IF(INDEX(Suivi!$B:$B,3077)="","",INDEX(Suivi!$B:$B,3077))</f>
        <v/>
      </c>
      <c r="P3020">
        <f>IF($O3020="","",IF(INDEX(Suivi!$D:$D,3077)="",INDEX(Suivi!$C:$C,3077),INDEX(Suivi!$D:$D,3077)))</f>
        <v/>
      </c>
      <c r="Q3020">
        <f>IF($O3020="","",INDEX(Suivi!$E:$E,3077))</f>
        <v/>
      </c>
      <c r="R3020">
        <f>IF($O3020="","",INDEX(Suivi!$F:$F,3077))</f>
        <v/>
      </c>
      <c r="S3020">
        <f>IF($O3020="","",INDEX(Suivi!$G:$G,3077))</f>
        <v/>
      </c>
      <c r="T3020">
        <f>IF($O3020="","",IF(INDEX(Dossiers!$F$4:$F$63,57)="","",INDEX(Dossiers!$F$4:$F$63,57)))</f>
        <v/>
      </c>
      <c r="U3020">
        <f>IF($O3020="","",IF(INDEX(Dossiers!$G$4:$G$63,57)="","",INDEX(Dossiers!$G$4:$G$63,57)))</f>
        <v/>
      </c>
      <c r="V3020">
        <f>IF(OR($O3020="",NOT(ISNUMBER($Q3020))),"",$Q3020*1000000+3020)</f>
        <v/>
      </c>
      <c r="W3020" s="29">
        <f>IF($B3020="","",IFERROR(INDEX($U$4:$U$3183,MATCH(SMALL($V$4:$V$3183,3017),$V$4:$V$3183,0)),""))</f>
        <v/>
      </c>
    </row>
    <row r="3021">
      <c r="A3021">
        <f>IFERROR(INDEX($N$4:$N$3183,MATCH(SMALL($V$4:$V$3183,3018),$V$4:$V$3183,0)),"")</f>
        <v/>
      </c>
      <c r="B3021">
        <f>IFERROR(INDEX($O$4:$O$3183,MATCH(SMALL($V$4:$V$3183,3018),$V$4:$V$3183,0)),"")</f>
        <v/>
      </c>
      <c r="C3021">
        <f>IFERROR(INDEX($P$4:$P$3183,MATCH(SMALL($V$4:$V$3183,3018),$V$4:$V$3183,0)),"")</f>
        <v/>
      </c>
      <c r="D3021" s="29">
        <f>IFERROR(INDEX($Q$4:$Q$3183,MATCH(SMALL($V$4:$V$3183,3018),$V$4:$V$3183,0)),"")</f>
        <v/>
      </c>
      <c r="E3021" s="29">
        <f>IFERROR(INDEX($R$4:$R$3183,MATCH(SMALL($V$4:$V$3183,3018),$V$4:$V$3183,0)),"")</f>
        <v/>
      </c>
      <c r="F3021">
        <f>IFERROR(INDEX($S$4:$S$3183,MATCH(SMALL($V$4:$V$3183,3018),$V$4:$V$3183,0)),"")</f>
        <v/>
      </c>
      <c r="I3021" s="29">
        <f>IF($B3021="","",IFERROR(INDEX($U$4:$U$3183,MATCH(SMALL($V$4:$V$3183,3018),$V$4:$V$3183,0)),""))</f>
        <v/>
      </c>
      <c r="J3021">
        <f>IF($B3021="","",IF($D3021&gt;$F$2,"À venir",IF($E3021&lt;$D$2,"Passé","Dans la période")))</f>
        <v/>
      </c>
      <c r="K3021">
        <f>IF(OR($B3021="",NOT(ISNUMBER($D3021))),"",IF(AND($E3021&lt;$D$2,$G3021&lt;&gt;"X",$F3021&lt;&gt;"Réalisé",$F3021&lt;&gt;"Clôturé"),"RETARD",""))</f>
        <v/>
      </c>
      <c r="L3021">
        <f>IF(OR($B3021="",NOT(ISNUMBER($D3021))),"",IF(AND($D3021&gt;=$D$2,$D3021&lt;=$H$2,$G3021&lt;&gt;"X",$F3021&lt;&gt;"Réalisé",$F3021&lt;&gt;"Clôturé"),"≤ 7 j",""))</f>
        <v/>
      </c>
      <c r="M3021" s="29">
        <f>IF($B3021="","",IFERROR(INDEX($T$4:$T$3183,MATCH(SMALL($V$4:$V$3183,3018),$V$4:$V$3183,0)),""))</f>
        <v/>
      </c>
      <c r="O3021">
        <f>IF(INDEX(Suivi!$B:$B,3078)="","",INDEX(Suivi!$B:$B,3078))</f>
        <v/>
      </c>
      <c r="P3021">
        <f>IF($O3021="","",IF(INDEX(Suivi!$D:$D,3078)="",INDEX(Suivi!$C:$C,3078),INDEX(Suivi!$D:$D,3078)))</f>
        <v/>
      </c>
      <c r="Q3021">
        <f>IF($O3021="","",INDEX(Suivi!$E:$E,3078))</f>
        <v/>
      </c>
      <c r="R3021">
        <f>IF($O3021="","",INDEX(Suivi!$F:$F,3078))</f>
        <v/>
      </c>
      <c r="S3021">
        <f>IF($O3021="","",INDEX(Suivi!$G:$G,3078))</f>
        <v/>
      </c>
      <c r="T3021">
        <f>IF($O3021="","",IF(INDEX(Dossiers!$F$4:$F$63,57)="","",INDEX(Dossiers!$F$4:$F$63,57)))</f>
        <v/>
      </c>
      <c r="U3021">
        <f>IF($O3021="","",IF(INDEX(Dossiers!$G$4:$G$63,57)="","",INDEX(Dossiers!$G$4:$G$63,57)))</f>
        <v/>
      </c>
      <c r="V3021">
        <f>IF(OR($O3021="",NOT(ISNUMBER($Q3021))),"",$Q3021*1000000+3021)</f>
        <v/>
      </c>
      <c r="W3021" s="29">
        <f>IF($B3021="","",IFERROR(INDEX($U$4:$U$3183,MATCH(SMALL($V$4:$V$3183,3018),$V$4:$V$3183,0)),""))</f>
        <v/>
      </c>
    </row>
    <row r="3022">
      <c r="A3022">
        <f>IFERROR(INDEX($N$4:$N$3183,MATCH(SMALL($V$4:$V$3183,3019),$V$4:$V$3183,0)),"")</f>
        <v/>
      </c>
      <c r="B3022">
        <f>IFERROR(INDEX($O$4:$O$3183,MATCH(SMALL($V$4:$V$3183,3019),$V$4:$V$3183,0)),"")</f>
        <v/>
      </c>
      <c r="C3022">
        <f>IFERROR(INDEX($P$4:$P$3183,MATCH(SMALL($V$4:$V$3183,3019),$V$4:$V$3183,0)),"")</f>
        <v/>
      </c>
      <c r="D3022" s="29">
        <f>IFERROR(INDEX($Q$4:$Q$3183,MATCH(SMALL($V$4:$V$3183,3019),$V$4:$V$3183,0)),"")</f>
        <v/>
      </c>
      <c r="E3022" s="29">
        <f>IFERROR(INDEX($R$4:$R$3183,MATCH(SMALL($V$4:$V$3183,3019),$V$4:$V$3183,0)),"")</f>
        <v/>
      </c>
      <c r="F3022">
        <f>IFERROR(INDEX($S$4:$S$3183,MATCH(SMALL($V$4:$V$3183,3019),$V$4:$V$3183,0)),"")</f>
        <v/>
      </c>
      <c r="I3022" s="29">
        <f>IF($B3022="","",IFERROR(INDEX($U$4:$U$3183,MATCH(SMALL($V$4:$V$3183,3019),$V$4:$V$3183,0)),""))</f>
        <v/>
      </c>
      <c r="J3022">
        <f>IF($B3022="","",IF($D3022&gt;$F$2,"À venir",IF($E3022&lt;$D$2,"Passé","Dans la période")))</f>
        <v/>
      </c>
      <c r="K3022">
        <f>IF(OR($B3022="",NOT(ISNUMBER($D3022))),"",IF(AND($E3022&lt;$D$2,$G3022&lt;&gt;"X",$F3022&lt;&gt;"Réalisé",$F3022&lt;&gt;"Clôturé"),"RETARD",""))</f>
        <v/>
      </c>
      <c r="L3022">
        <f>IF(OR($B3022="",NOT(ISNUMBER($D3022))),"",IF(AND($D3022&gt;=$D$2,$D3022&lt;=$H$2,$G3022&lt;&gt;"X",$F3022&lt;&gt;"Réalisé",$F3022&lt;&gt;"Clôturé"),"≤ 7 j",""))</f>
        <v/>
      </c>
      <c r="M3022" s="29">
        <f>IF($B3022="","",IFERROR(INDEX($T$4:$T$3183,MATCH(SMALL($V$4:$V$3183,3019),$V$4:$V$3183,0)),""))</f>
        <v/>
      </c>
      <c r="O3022">
        <f>IF(INDEX(Suivi!$B:$B,3079)="","",INDEX(Suivi!$B:$B,3079))</f>
        <v/>
      </c>
      <c r="P3022">
        <f>IF($O3022="","",IF(INDEX(Suivi!$D:$D,3079)="",INDEX(Suivi!$C:$C,3079),INDEX(Suivi!$D:$D,3079)))</f>
        <v/>
      </c>
      <c r="Q3022">
        <f>IF($O3022="","",INDEX(Suivi!$E:$E,3079))</f>
        <v/>
      </c>
      <c r="R3022">
        <f>IF($O3022="","",INDEX(Suivi!$F:$F,3079))</f>
        <v/>
      </c>
      <c r="S3022">
        <f>IF($O3022="","",INDEX(Suivi!$G:$G,3079))</f>
        <v/>
      </c>
      <c r="T3022">
        <f>IF($O3022="","",IF(INDEX(Dossiers!$F$4:$F$63,57)="","",INDEX(Dossiers!$F$4:$F$63,57)))</f>
        <v/>
      </c>
      <c r="U3022">
        <f>IF($O3022="","",IF(INDEX(Dossiers!$G$4:$G$63,57)="","",INDEX(Dossiers!$G$4:$G$63,57)))</f>
        <v/>
      </c>
      <c r="V3022">
        <f>IF(OR($O3022="",NOT(ISNUMBER($Q3022))),"",$Q3022*1000000+3022)</f>
        <v/>
      </c>
      <c r="W3022" s="29">
        <f>IF($B3022="","",IFERROR(INDEX($U$4:$U$3183,MATCH(SMALL($V$4:$V$3183,3019),$V$4:$V$3183,0)),""))</f>
        <v/>
      </c>
    </row>
    <row r="3023">
      <c r="A3023">
        <f>IFERROR(INDEX($N$4:$N$3183,MATCH(SMALL($V$4:$V$3183,3020),$V$4:$V$3183,0)),"")</f>
        <v/>
      </c>
      <c r="B3023">
        <f>IFERROR(INDEX($O$4:$O$3183,MATCH(SMALL($V$4:$V$3183,3020),$V$4:$V$3183,0)),"")</f>
        <v/>
      </c>
      <c r="C3023">
        <f>IFERROR(INDEX($P$4:$P$3183,MATCH(SMALL($V$4:$V$3183,3020),$V$4:$V$3183,0)),"")</f>
        <v/>
      </c>
      <c r="D3023" s="29">
        <f>IFERROR(INDEX($Q$4:$Q$3183,MATCH(SMALL($V$4:$V$3183,3020),$V$4:$V$3183,0)),"")</f>
        <v/>
      </c>
      <c r="E3023" s="29">
        <f>IFERROR(INDEX($R$4:$R$3183,MATCH(SMALL($V$4:$V$3183,3020),$V$4:$V$3183,0)),"")</f>
        <v/>
      </c>
      <c r="F3023">
        <f>IFERROR(INDEX($S$4:$S$3183,MATCH(SMALL($V$4:$V$3183,3020),$V$4:$V$3183,0)),"")</f>
        <v/>
      </c>
      <c r="I3023" s="29">
        <f>IF($B3023="","",IFERROR(INDEX($U$4:$U$3183,MATCH(SMALL($V$4:$V$3183,3020),$V$4:$V$3183,0)),""))</f>
        <v/>
      </c>
      <c r="J3023">
        <f>IF($B3023="","",IF($D3023&gt;$F$2,"À venir",IF($E3023&lt;$D$2,"Passé","Dans la période")))</f>
        <v/>
      </c>
      <c r="K3023">
        <f>IF(OR($B3023="",NOT(ISNUMBER($D3023))),"",IF(AND($E3023&lt;$D$2,$G3023&lt;&gt;"X",$F3023&lt;&gt;"Réalisé",$F3023&lt;&gt;"Clôturé"),"RETARD",""))</f>
        <v/>
      </c>
      <c r="L3023">
        <f>IF(OR($B3023="",NOT(ISNUMBER($D3023))),"",IF(AND($D3023&gt;=$D$2,$D3023&lt;=$H$2,$G3023&lt;&gt;"X",$F3023&lt;&gt;"Réalisé",$F3023&lt;&gt;"Clôturé"),"≤ 7 j",""))</f>
        <v/>
      </c>
      <c r="M3023" s="29">
        <f>IF($B3023="","",IFERROR(INDEX($T$4:$T$3183,MATCH(SMALL($V$4:$V$3183,3020),$V$4:$V$3183,0)),""))</f>
        <v/>
      </c>
      <c r="O3023">
        <f>IF(INDEX(Suivi!$B:$B,3080)="","",INDEX(Suivi!$B:$B,3080))</f>
        <v/>
      </c>
      <c r="P3023">
        <f>IF($O3023="","",IF(INDEX(Suivi!$D:$D,3080)="",INDEX(Suivi!$C:$C,3080),INDEX(Suivi!$D:$D,3080)))</f>
        <v/>
      </c>
      <c r="Q3023">
        <f>IF($O3023="","",INDEX(Suivi!$E:$E,3080))</f>
        <v/>
      </c>
      <c r="R3023">
        <f>IF($O3023="","",INDEX(Suivi!$F:$F,3080))</f>
        <v/>
      </c>
      <c r="S3023">
        <f>IF($O3023="","",INDEX(Suivi!$G:$G,3080))</f>
        <v/>
      </c>
      <c r="T3023">
        <f>IF($O3023="","",IF(INDEX(Dossiers!$F$4:$F$63,57)="","",INDEX(Dossiers!$F$4:$F$63,57)))</f>
        <v/>
      </c>
      <c r="U3023">
        <f>IF($O3023="","",IF(INDEX(Dossiers!$G$4:$G$63,57)="","",INDEX(Dossiers!$G$4:$G$63,57)))</f>
        <v/>
      </c>
      <c r="V3023">
        <f>IF(OR($O3023="",NOT(ISNUMBER($Q3023))),"",$Q3023*1000000+3023)</f>
        <v/>
      </c>
      <c r="W3023" s="29">
        <f>IF($B3023="","",IFERROR(INDEX($U$4:$U$3183,MATCH(SMALL($V$4:$V$3183,3020),$V$4:$V$3183,0)),""))</f>
        <v/>
      </c>
    </row>
    <row r="3024">
      <c r="A3024">
        <f>IFERROR(INDEX($N$4:$N$3183,MATCH(SMALL($V$4:$V$3183,3021),$V$4:$V$3183,0)),"")</f>
        <v/>
      </c>
      <c r="B3024">
        <f>IFERROR(INDEX($O$4:$O$3183,MATCH(SMALL($V$4:$V$3183,3021),$V$4:$V$3183,0)),"")</f>
        <v/>
      </c>
      <c r="C3024">
        <f>IFERROR(INDEX($P$4:$P$3183,MATCH(SMALL($V$4:$V$3183,3021),$V$4:$V$3183,0)),"")</f>
        <v/>
      </c>
      <c r="D3024" s="29">
        <f>IFERROR(INDEX($Q$4:$Q$3183,MATCH(SMALL($V$4:$V$3183,3021),$V$4:$V$3183,0)),"")</f>
        <v/>
      </c>
      <c r="E3024" s="29">
        <f>IFERROR(INDEX($R$4:$R$3183,MATCH(SMALL($V$4:$V$3183,3021),$V$4:$V$3183,0)),"")</f>
        <v/>
      </c>
      <c r="F3024">
        <f>IFERROR(INDEX($S$4:$S$3183,MATCH(SMALL($V$4:$V$3183,3021),$V$4:$V$3183,0)),"")</f>
        <v/>
      </c>
      <c r="I3024" s="29">
        <f>IF($B3024="","",IFERROR(INDEX($U$4:$U$3183,MATCH(SMALL($V$4:$V$3183,3021),$V$4:$V$3183,0)),""))</f>
        <v/>
      </c>
      <c r="J3024">
        <f>IF($B3024="","",IF($D3024&gt;$F$2,"À venir",IF($E3024&lt;$D$2,"Passé","Dans la période")))</f>
        <v/>
      </c>
      <c r="K3024">
        <f>IF(OR($B3024="",NOT(ISNUMBER($D3024))),"",IF(AND($E3024&lt;$D$2,$G3024&lt;&gt;"X",$F3024&lt;&gt;"Réalisé",$F3024&lt;&gt;"Clôturé"),"RETARD",""))</f>
        <v/>
      </c>
      <c r="L3024">
        <f>IF(OR($B3024="",NOT(ISNUMBER($D3024))),"",IF(AND($D3024&gt;=$D$2,$D3024&lt;=$H$2,$G3024&lt;&gt;"X",$F3024&lt;&gt;"Réalisé",$F3024&lt;&gt;"Clôturé"),"≤ 7 j",""))</f>
        <v/>
      </c>
      <c r="M3024" s="29">
        <f>IF($B3024="","",IFERROR(INDEX($T$4:$T$3183,MATCH(SMALL($V$4:$V$3183,3021),$V$4:$V$3183,0)),""))</f>
        <v/>
      </c>
      <c r="O3024">
        <f>IF(INDEX(Suivi!$B:$B,3081)="","",INDEX(Suivi!$B:$B,3081))</f>
        <v/>
      </c>
      <c r="P3024">
        <f>IF($O3024="","",IF(INDEX(Suivi!$D:$D,3081)="",INDEX(Suivi!$C:$C,3081),INDEX(Suivi!$D:$D,3081)))</f>
        <v/>
      </c>
      <c r="Q3024">
        <f>IF($O3024="","",INDEX(Suivi!$E:$E,3081))</f>
        <v/>
      </c>
      <c r="R3024">
        <f>IF($O3024="","",INDEX(Suivi!$F:$F,3081))</f>
        <v/>
      </c>
      <c r="S3024">
        <f>IF($O3024="","",INDEX(Suivi!$G:$G,3081))</f>
        <v/>
      </c>
      <c r="T3024">
        <f>IF($O3024="","",IF(INDEX(Dossiers!$F$4:$F$63,57)="","",INDEX(Dossiers!$F$4:$F$63,57)))</f>
        <v/>
      </c>
      <c r="U3024">
        <f>IF($O3024="","",IF(INDEX(Dossiers!$G$4:$G$63,57)="","",INDEX(Dossiers!$G$4:$G$63,57)))</f>
        <v/>
      </c>
      <c r="V3024">
        <f>IF(OR($O3024="",NOT(ISNUMBER($Q3024))),"",$Q3024*1000000+3024)</f>
        <v/>
      </c>
      <c r="W3024" s="29">
        <f>IF($B3024="","",IFERROR(INDEX($U$4:$U$3183,MATCH(SMALL($V$4:$V$3183,3021),$V$4:$V$3183,0)),""))</f>
        <v/>
      </c>
    </row>
    <row r="3025">
      <c r="A3025">
        <f>IFERROR(INDEX($N$4:$N$3183,MATCH(SMALL($V$4:$V$3183,3022),$V$4:$V$3183,0)),"")</f>
        <v/>
      </c>
      <c r="B3025">
        <f>IFERROR(INDEX($O$4:$O$3183,MATCH(SMALL($V$4:$V$3183,3022),$V$4:$V$3183,0)),"")</f>
        <v/>
      </c>
      <c r="C3025">
        <f>IFERROR(INDEX($P$4:$P$3183,MATCH(SMALL($V$4:$V$3183,3022),$V$4:$V$3183,0)),"")</f>
        <v/>
      </c>
      <c r="D3025" s="29">
        <f>IFERROR(INDEX($Q$4:$Q$3183,MATCH(SMALL($V$4:$V$3183,3022),$V$4:$V$3183,0)),"")</f>
        <v/>
      </c>
      <c r="E3025" s="29">
        <f>IFERROR(INDEX($R$4:$R$3183,MATCH(SMALL($V$4:$V$3183,3022),$V$4:$V$3183,0)),"")</f>
        <v/>
      </c>
      <c r="F3025">
        <f>IFERROR(INDEX($S$4:$S$3183,MATCH(SMALL($V$4:$V$3183,3022),$V$4:$V$3183,0)),"")</f>
        <v/>
      </c>
      <c r="I3025" s="29">
        <f>IF($B3025="","",IFERROR(INDEX($U$4:$U$3183,MATCH(SMALL($V$4:$V$3183,3022),$V$4:$V$3183,0)),""))</f>
        <v/>
      </c>
      <c r="J3025">
        <f>IF($B3025="","",IF($D3025&gt;$F$2,"À venir",IF($E3025&lt;$D$2,"Passé","Dans la période")))</f>
        <v/>
      </c>
      <c r="K3025">
        <f>IF(OR($B3025="",NOT(ISNUMBER($D3025))),"",IF(AND($E3025&lt;$D$2,$G3025&lt;&gt;"X",$F3025&lt;&gt;"Réalisé",$F3025&lt;&gt;"Clôturé"),"RETARD",""))</f>
        <v/>
      </c>
      <c r="L3025">
        <f>IF(OR($B3025="",NOT(ISNUMBER($D3025))),"",IF(AND($D3025&gt;=$D$2,$D3025&lt;=$H$2,$G3025&lt;&gt;"X",$F3025&lt;&gt;"Réalisé",$F3025&lt;&gt;"Clôturé"),"≤ 7 j",""))</f>
        <v/>
      </c>
      <c r="M3025" s="29">
        <f>IF($B3025="","",IFERROR(INDEX($T$4:$T$3183,MATCH(SMALL($V$4:$V$3183,3022),$V$4:$V$3183,0)),""))</f>
        <v/>
      </c>
      <c r="O3025">
        <f>IF(INDEX(Suivi!$B:$B,3083)="","",INDEX(Suivi!$B:$B,3083))</f>
        <v/>
      </c>
      <c r="P3025">
        <f>IF($O3025="","",IF(INDEX(Suivi!$D:$D,3083)="",INDEX(Suivi!$C:$C,3083),INDEX(Suivi!$D:$D,3083)))</f>
        <v/>
      </c>
      <c r="Q3025">
        <f>IF($O3025="","",INDEX(Suivi!$E:$E,3083))</f>
        <v/>
      </c>
      <c r="R3025">
        <f>IF($O3025="","",INDEX(Suivi!$F:$F,3083))</f>
        <v/>
      </c>
      <c r="S3025">
        <f>IF($O3025="","",INDEX(Suivi!$G:$G,3083))</f>
        <v/>
      </c>
      <c r="T3025">
        <f>IF($O3025="","",IF(INDEX(Dossiers!$F$4:$F$63,58)="","",INDEX(Dossiers!$F$4:$F$63,58)))</f>
        <v/>
      </c>
      <c r="U3025">
        <f>IF($O3025="","",IF(INDEX(Dossiers!$G$4:$G$63,58)="","",INDEX(Dossiers!$G$4:$G$63,58)))</f>
        <v/>
      </c>
      <c r="V3025">
        <f>IF(OR($O3025="",NOT(ISNUMBER($Q3025))),"",$Q3025*1000000+3025)</f>
        <v/>
      </c>
      <c r="W3025" s="29">
        <f>IF($B3025="","",IFERROR(INDEX($U$4:$U$3183,MATCH(SMALL($V$4:$V$3183,3022),$V$4:$V$3183,0)),""))</f>
        <v/>
      </c>
    </row>
    <row r="3026">
      <c r="A3026">
        <f>IFERROR(INDEX($N$4:$N$3183,MATCH(SMALL($V$4:$V$3183,3023),$V$4:$V$3183,0)),"")</f>
        <v/>
      </c>
      <c r="B3026">
        <f>IFERROR(INDEX($O$4:$O$3183,MATCH(SMALL($V$4:$V$3183,3023),$V$4:$V$3183,0)),"")</f>
        <v/>
      </c>
      <c r="C3026">
        <f>IFERROR(INDEX($P$4:$P$3183,MATCH(SMALL($V$4:$V$3183,3023),$V$4:$V$3183,0)),"")</f>
        <v/>
      </c>
      <c r="D3026" s="29">
        <f>IFERROR(INDEX($Q$4:$Q$3183,MATCH(SMALL($V$4:$V$3183,3023),$V$4:$V$3183,0)),"")</f>
        <v/>
      </c>
      <c r="E3026" s="29">
        <f>IFERROR(INDEX($R$4:$R$3183,MATCH(SMALL($V$4:$V$3183,3023),$V$4:$V$3183,0)),"")</f>
        <v/>
      </c>
      <c r="F3026">
        <f>IFERROR(INDEX($S$4:$S$3183,MATCH(SMALL($V$4:$V$3183,3023),$V$4:$V$3183,0)),"")</f>
        <v/>
      </c>
      <c r="I3026" s="29">
        <f>IF($B3026="","",IFERROR(INDEX($U$4:$U$3183,MATCH(SMALL($V$4:$V$3183,3023),$V$4:$V$3183,0)),""))</f>
        <v/>
      </c>
      <c r="J3026">
        <f>IF($B3026="","",IF($D3026&gt;$F$2,"À venir",IF($E3026&lt;$D$2,"Passé","Dans la période")))</f>
        <v/>
      </c>
      <c r="K3026">
        <f>IF(OR($B3026="",NOT(ISNUMBER($D3026))),"",IF(AND($E3026&lt;$D$2,$G3026&lt;&gt;"X",$F3026&lt;&gt;"Réalisé",$F3026&lt;&gt;"Clôturé"),"RETARD",""))</f>
        <v/>
      </c>
      <c r="L3026">
        <f>IF(OR($B3026="",NOT(ISNUMBER($D3026))),"",IF(AND($D3026&gt;=$D$2,$D3026&lt;=$H$2,$G3026&lt;&gt;"X",$F3026&lt;&gt;"Réalisé",$F3026&lt;&gt;"Clôturé"),"≤ 7 j",""))</f>
        <v/>
      </c>
      <c r="M3026" s="29">
        <f>IF($B3026="","",IFERROR(INDEX($T$4:$T$3183,MATCH(SMALL($V$4:$V$3183,3023),$V$4:$V$3183,0)),""))</f>
        <v/>
      </c>
      <c r="O3026">
        <f>IF(INDEX(Suivi!$B:$B,3084)="","",INDEX(Suivi!$B:$B,3084))</f>
        <v/>
      </c>
      <c r="P3026">
        <f>IF($O3026="","",IF(INDEX(Suivi!$D:$D,3084)="",INDEX(Suivi!$C:$C,3084),INDEX(Suivi!$D:$D,3084)))</f>
        <v/>
      </c>
      <c r="Q3026">
        <f>IF($O3026="","",INDEX(Suivi!$E:$E,3084))</f>
        <v/>
      </c>
      <c r="R3026">
        <f>IF($O3026="","",INDEX(Suivi!$F:$F,3084))</f>
        <v/>
      </c>
      <c r="S3026">
        <f>IF($O3026="","",INDEX(Suivi!$G:$G,3084))</f>
        <v/>
      </c>
      <c r="T3026">
        <f>IF($O3026="","",IF(INDEX(Dossiers!$F$4:$F$63,58)="","",INDEX(Dossiers!$F$4:$F$63,58)))</f>
        <v/>
      </c>
      <c r="U3026">
        <f>IF($O3026="","",IF(INDEX(Dossiers!$G$4:$G$63,58)="","",INDEX(Dossiers!$G$4:$G$63,58)))</f>
        <v/>
      </c>
      <c r="V3026">
        <f>IF(OR($O3026="",NOT(ISNUMBER($Q3026))),"",$Q3026*1000000+3026)</f>
        <v/>
      </c>
      <c r="W3026" s="29">
        <f>IF($B3026="","",IFERROR(INDEX($U$4:$U$3183,MATCH(SMALL($V$4:$V$3183,3023),$V$4:$V$3183,0)),""))</f>
        <v/>
      </c>
    </row>
    <row r="3027">
      <c r="A3027">
        <f>IFERROR(INDEX($N$4:$N$3183,MATCH(SMALL($V$4:$V$3183,3024),$V$4:$V$3183,0)),"")</f>
        <v/>
      </c>
      <c r="B3027">
        <f>IFERROR(INDEX($O$4:$O$3183,MATCH(SMALL($V$4:$V$3183,3024),$V$4:$V$3183,0)),"")</f>
        <v/>
      </c>
      <c r="C3027">
        <f>IFERROR(INDEX($P$4:$P$3183,MATCH(SMALL($V$4:$V$3183,3024),$V$4:$V$3183,0)),"")</f>
        <v/>
      </c>
      <c r="D3027" s="29">
        <f>IFERROR(INDEX($Q$4:$Q$3183,MATCH(SMALL($V$4:$V$3183,3024),$V$4:$V$3183,0)),"")</f>
        <v/>
      </c>
      <c r="E3027" s="29">
        <f>IFERROR(INDEX($R$4:$R$3183,MATCH(SMALL($V$4:$V$3183,3024),$V$4:$V$3183,0)),"")</f>
        <v/>
      </c>
      <c r="F3027">
        <f>IFERROR(INDEX($S$4:$S$3183,MATCH(SMALL($V$4:$V$3183,3024),$V$4:$V$3183,0)),"")</f>
        <v/>
      </c>
      <c r="I3027" s="29">
        <f>IF($B3027="","",IFERROR(INDEX($U$4:$U$3183,MATCH(SMALL($V$4:$V$3183,3024),$V$4:$V$3183,0)),""))</f>
        <v/>
      </c>
      <c r="J3027">
        <f>IF($B3027="","",IF($D3027&gt;$F$2,"À venir",IF($E3027&lt;$D$2,"Passé","Dans la période")))</f>
        <v/>
      </c>
      <c r="K3027">
        <f>IF(OR($B3027="",NOT(ISNUMBER($D3027))),"",IF(AND($E3027&lt;$D$2,$G3027&lt;&gt;"X",$F3027&lt;&gt;"Réalisé",$F3027&lt;&gt;"Clôturé"),"RETARD",""))</f>
        <v/>
      </c>
      <c r="L3027">
        <f>IF(OR($B3027="",NOT(ISNUMBER($D3027))),"",IF(AND($D3027&gt;=$D$2,$D3027&lt;=$H$2,$G3027&lt;&gt;"X",$F3027&lt;&gt;"Réalisé",$F3027&lt;&gt;"Clôturé"),"≤ 7 j",""))</f>
        <v/>
      </c>
      <c r="M3027" s="29">
        <f>IF($B3027="","",IFERROR(INDEX($T$4:$T$3183,MATCH(SMALL($V$4:$V$3183,3024),$V$4:$V$3183,0)),""))</f>
        <v/>
      </c>
      <c r="O3027">
        <f>IF(INDEX(Suivi!$B:$B,3085)="","",INDEX(Suivi!$B:$B,3085))</f>
        <v/>
      </c>
      <c r="P3027">
        <f>IF($O3027="","",IF(INDEX(Suivi!$D:$D,3085)="",INDEX(Suivi!$C:$C,3085),INDEX(Suivi!$D:$D,3085)))</f>
        <v/>
      </c>
      <c r="Q3027">
        <f>IF($O3027="","",INDEX(Suivi!$E:$E,3085))</f>
        <v/>
      </c>
      <c r="R3027">
        <f>IF($O3027="","",INDEX(Suivi!$F:$F,3085))</f>
        <v/>
      </c>
      <c r="S3027">
        <f>IF($O3027="","",INDEX(Suivi!$G:$G,3085))</f>
        <v/>
      </c>
      <c r="T3027">
        <f>IF($O3027="","",IF(INDEX(Dossiers!$F$4:$F$63,58)="","",INDEX(Dossiers!$F$4:$F$63,58)))</f>
        <v/>
      </c>
      <c r="U3027">
        <f>IF($O3027="","",IF(INDEX(Dossiers!$G$4:$G$63,58)="","",INDEX(Dossiers!$G$4:$G$63,58)))</f>
        <v/>
      </c>
      <c r="V3027">
        <f>IF(OR($O3027="",NOT(ISNUMBER($Q3027))),"",$Q3027*1000000+3027)</f>
        <v/>
      </c>
      <c r="W3027" s="29">
        <f>IF($B3027="","",IFERROR(INDEX($U$4:$U$3183,MATCH(SMALL($V$4:$V$3183,3024),$V$4:$V$3183,0)),""))</f>
        <v/>
      </c>
    </row>
    <row r="3028">
      <c r="A3028">
        <f>IFERROR(INDEX($N$4:$N$3183,MATCH(SMALL($V$4:$V$3183,3025),$V$4:$V$3183,0)),"")</f>
        <v/>
      </c>
      <c r="B3028">
        <f>IFERROR(INDEX($O$4:$O$3183,MATCH(SMALL($V$4:$V$3183,3025),$V$4:$V$3183,0)),"")</f>
        <v/>
      </c>
      <c r="C3028">
        <f>IFERROR(INDEX($P$4:$P$3183,MATCH(SMALL($V$4:$V$3183,3025),$V$4:$V$3183,0)),"")</f>
        <v/>
      </c>
      <c r="D3028" s="29">
        <f>IFERROR(INDEX($Q$4:$Q$3183,MATCH(SMALL($V$4:$V$3183,3025),$V$4:$V$3183,0)),"")</f>
        <v/>
      </c>
      <c r="E3028" s="29">
        <f>IFERROR(INDEX($R$4:$R$3183,MATCH(SMALL($V$4:$V$3183,3025),$V$4:$V$3183,0)),"")</f>
        <v/>
      </c>
      <c r="F3028">
        <f>IFERROR(INDEX($S$4:$S$3183,MATCH(SMALL($V$4:$V$3183,3025),$V$4:$V$3183,0)),"")</f>
        <v/>
      </c>
      <c r="I3028" s="29">
        <f>IF($B3028="","",IFERROR(INDEX($U$4:$U$3183,MATCH(SMALL($V$4:$V$3183,3025),$V$4:$V$3183,0)),""))</f>
        <v/>
      </c>
      <c r="J3028">
        <f>IF($B3028="","",IF($D3028&gt;$F$2,"À venir",IF($E3028&lt;$D$2,"Passé","Dans la période")))</f>
        <v/>
      </c>
      <c r="K3028">
        <f>IF(OR($B3028="",NOT(ISNUMBER($D3028))),"",IF(AND($E3028&lt;$D$2,$G3028&lt;&gt;"X",$F3028&lt;&gt;"Réalisé",$F3028&lt;&gt;"Clôturé"),"RETARD",""))</f>
        <v/>
      </c>
      <c r="L3028">
        <f>IF(OR($B3028="",NOT(ISNUMBER($D3028))),"",IF(AND($D3028&gt;=$D$2,$D3028&lt;=$H$2,$G3028&lt;&gt;"X",$F3028&lt;&gt;"Réalisé",$F3028&lt;&gt;"Clôturé"),"≤ 7 j",""))</f>
        <v/>
      </c>
      <c r="M3028" s="29">
        <f>IF($B3028="","",IFERROR(INDEX($T$4:$T$3183,MATCH(SMALL($V$4:$V$3183,3025),$V$4:$V$3183,0)),""))</f>
        <v/>
      </c>
      <c r="O3028">
        <f>IF(INDEX(Suivi!$B:$B,3086)="","",INDEX(Suivi!$B:$B,3086))</f>
        <v/>
      </c>
      <c r="P3028">
        <f>IF($O3028="","",IF(INDEX(Suivi!$D:$D,3086)="",INDEX(Suivi!$C:$C,3086),INDEX(Suivi!$D:$D,3086)))</f>
        <v/>
      </c>
      <c r="Q3028">
        <f>IF($O3028="","",INDEX(Suivi!$E:$E,3086))</f>
        <v/>
      </c>
      <c r="R3028">
        <f>IF($O3028="","",INDEX(Suivi!$F:$F,3086))</f>
        <v/>
      </c>
      <c r="S3028">
        <f>IF($O3028="","",INDEX(Suivi!$G:$G,3086))</f>
        <v/>
      </c>
      <c r="T3028">
        <f>IF($O3028="","",IF(INDEX(Dossiers!$F$4:$F$63,58)="","",INDEX(Dossiers!$F$4:$F$63,58)))</f>
        <v/>
      </c>
      <c r="U3028">
        <f>IF($O3028="","",IF(INDEX(Dossiers!$G$4:$G$63,58)="","",INDEX(Dossiers!$G$4:$G$63,58)))</f>
        <v/>
      </c>
      <c r="V3028">
        <f>IF(OR($O3028="",NOT(ISNUMBER($Q3028))),"",$Q3028*1000000+3028)</f>
        <v/>
      </c>
      <c r="W3028" s="29">
        <f>IF($B3028="","",IFERROR(INDEX($U$4:$U$3183,MATCH(SMALL($V$4:$V$3183,3025),$V$4:$V$3183,0)),""))</f>
        <v/>
      </c>
    </row>
    <row r="3029">
      <c r="A3029">
        <f>IFERROR(INDEX($N$4:$N$3183,MATCH(SMALL($V$4:$V$3183,3026),$V$4:$V$3183,0)),"")</f>
        <v/>
      </c>
      <c r="B3029">
        <f>IFERROR(INDEX($O$4:$O$3183,MATCH(SMALL($V$4:$V$3183,3026),$V$4:$V$3183,0)),"")</f>
        <v/>
      </c>
      <c r="C3029">
        <f>IFERROR(INDEX($P$4:$P$3183,MATCH(SMALL($V$4:$V$3183,3026),$V$4:$V$3183,0)),"")</f>
        <v/>
      </c>
      <c r="D3029" s="29">
        <f>IFERROR(INDEX($Q$4:$Q$3183,MATCH(SMALL($V$4:$V$3183,3026),$V$4:$V$3183,0)),"")</f>
        <v/>
      </c>
      <c r="E3029" s="29">
        <f>IFERROR(INDEX($R$4:$R$3183,MATCH(SMALL($V$4:$V$3183,3026),$V$4:$V$3183,0)),"")</f>
        <v/>
      </c>
      <c r="F3029">
        <f>IFERROR(INDEX($S$4:$S$3183,MATCH(SMALL($V$4:$V$3183,3026),$V$4:$V$3183,0)),"")</f>
        <v/>
      </c>
      <c r="I3029" s="29">
        <f>IF($B3029="","",IFERROR(INDEX($U$4:$U$3183,MATCH(SMALL($V$4:$V$3183,3026),$V$4:$V$3183,0)),""))</f>
        <v/>
      </c>
      <c r="J3029">
        <f>IF($B3029="","",IF($D3029&gt;$F$2,"À venir",IF($E3029&lt;$D$2,"Passé","Dans la période")))</f>
        <v/>
      </c>
      <c r="K3029">
        <f>IF(OR($B3029="",NOT(ISNUMBER($D3029))),"",IF(AND($E3029&lt;$D$2,$G3029&lt;&gt;"X",$F3029&lt;&gt;"Réalisé",$F3029&lt;&gt;"Clôturé"),"RETARD",""))</f>
        <v/>
      </c>
      <c r="L3029">
        <f>IF(OR($B3029="",NOT(ISNUMBER($D3029))),"",IF(AND($D3029&gt;=$D$2,$D3029&lt;=$H$2,$G3029&lt;&gt;"X",$F3029&lt;&gt;"Réalisé",$F3029&lt;&gt;"Clôturé"),"≤ 7 j",""))</f>
        <v/>
      </c>
      <c r="M3029" s="29">
        <f>IF($B3029="","",IFERROR(INDEX($T$4:$T$3183,MATCH(SMALL($V$4:$V$3183,3026),$V$4:$V$3183,0)),""))</f>
        <v/>
      </c>
      <c r="O3029">
        <f>IF(INDEX(Suivi!$B:$B,3087)="","",INDEX(Suivi!$B:$B,3087))</f>
        <v/>
      </c>
      <c r="P3029">
        <f>IF($O3029="","",IF(INDEX(Suivi!$D:$D,3087)="",INDEX(Suivi!$C:$C,3087),INDEX(Suivi!$D:$D,3087)))</f>
        <v/>
      </c>
      <c r="Q3029">
        <f>IF($O3029="","",INDEX(Suivi!$E:$E,3087))</f>
        <v/>
      </c>
      <c r="R3029">
        <f>IF($O3029="","",INDEX(Suivi!$F:$F,3087))</f>
        <v/>
      </c>
      <c r="S3029">
        <f>IF($O3029="","",INDEX(Suivi!$G:$G,3087))</f>
        <v/>
      </c>
      <c r="T3029">
        <f>IF($O3029="","",IF(INDEX(Dossiers!$F$4:$F$63,58)="","",INDEX(Dossiers!$F$4:$F$63,58)))</f>
        <v/>
      </c>
      <c r="U3029">
        <f>IF($O3029="","",IF(INDEX(Dossiers!$G$4:$G$63,58)="","",INDEX(Dossiers!$G$4:$G$63,58)))</f>
        <v/>
      </c>
      <c r="V3029">
        <f>IF(OR($O3029="",NOT(ISNUMBER($Q3029))),"",$Q3029*1000000+3029)</f>
        <v/>
      </c>
      <c r="W3029" s="29">
        <f>IF($B3029="","",IFERROR(INDEX($U$4:$U$3183,MATCH(SMALL($V$4:$V$3183,3026),$V$4:$V$3183,0)),""))</f>
        <v/>
      </c>
    </row>
    <row r="3030">
      <c r="A3030">
        <f>IFERROR(INDEX($N$4:$N$3183,MATCH(SMALL($V$4:$V$3183,3027),$V$4:$V$3183,0)),"")</f>
        <v/>
      </c>
      <c r="B3030">
        <f>IFERROR(INDEX($O$4:$O$3183,MATCH(SMALL($V$4:$V$3183,3027),$V$4:$V$3183,0)),"")</f>
        <v/>
      </c>
      <c r="C3030">
        <f>IFERROR(INDEX($P$4:$P$3183,MATCH(SMALL($V$4:$V$3183,3027),$V$4:$V$3183,0)),"")</f>
        <v/>
      </c>
      <c r="D3030" s="29">
        <f>IFERROR(INDEX($Q$4:$Q$3183,MATCH(SMALL($V$4:$V$3183,3027),$V$4:$V$3183,0)),"")</f>
        <v/>
      </c>
      <c r="E3030" s="29">
        <f>IFERROR(INDEX($R$4:$R$3183,MATCH(SMALL($V$4:$V$3183,3027),$V$4:$V$3183,0)),"")</f>
        <v/>
      </c>
      <c r="F3030">
        <f>IFERROR(INDEX($S$4:$S$3183,MATCH(SMALL($V$4:$V$3183,3027),$V$4:$V$3183,0)),"")</f>
        <v/>
      </c>
      <c r="I3030" s="29">
        <f>IF($B3030="","",IFERROR(INDEX($U$4:$U$3183,MATCH(SMALL($V$4:$V$3183,3027),$V$4:$V$3183,0)),""))</f>
        <v/>
      </c>
      <c r="J3030">
        <f>IF($B3030="","",IF($D3030&gt;$F$2,"À venir",IF($E3030&lt;$D$2,"Passé","Dans la période")))</f>
        <v/>
      </c>
      <c r="K3030">
        <f>IF(OR($B3030="",NOT(ISNUMBER($D3030))),"",IF(AND($E3030&lt;$D$2,$G3030&lt;&gt;"X",$F3030&lt;&gt;"Réalisé",$F3030&lt;&gt;"Clôturé"),"RETARD",""))</f>
        <v/>
      </c>
      <c r="L3030">
        <f>IF(OR($B3030="",NOT(ISNUMBER($D3030))),"",IF(AND($D3030&gt;=$D$2,$D3030&lt;=$H$2,$G3030&lt;&gt;"X",$F3030&lt;&gt;"Réalisé",$F3030&lt;&gt;"Clôturé"),"≤ 7 j",""))</f>
        <v/>
      </c>
      <c r="M3030" s="29">
        <f>IF($B3030="","",IFERROR(INDEX($T$4:$T$3183,MATCH(SMALL($V$4:$V$3183,3027),$V$4:$V$3183,0)),""))</f>
        <v/>
      </c>
      <c r="O3030">
        <f>IF(INDEX(Suivi!$B:$B,3088)="","",INDEX(Suivi!$B:$B,3088))</f>
        <v/>
      </c>
      <c r="P3030">
        <f>IF($O3030="","",IF(INDEX(Suivi!$D:$D,3088)="",INDEX(Suivi!$C:$C,3088),INDEX(Suivi!$D:$D,3088)))</f>
        <v/>
      </c>
      <c r="Q3030">
        <f>IF($O3030="","",INDEX(Suivi!$E:$E,3088))</f>
        <v/>
      </c>
      <c r="R3030">
        <f>IF($O3030="","",INDEX(Suivi!$F:$F,3088))</f>
        <v/>
      </c>
      <c r="S3030">
        <f>IF($O3030="","",INDEX(Suivi!$G:$G,3088))</f>
        <v/>
      </c>
      <c r="T3030">
        <f>IF($O3030="","",IF(INDEX(Dossiers!$F$4:$F$63,58)="","",INDEX(Dossiers!$F$4:$F$63,58)))</f>
        <v/>
      </c>
      <c r="U3030">
        <f>IF($O3030="","",IF(INDEX(Dossiers!$G$4:$G$63,58)="","",INDEX(Dossiers!$G$4:$G$63,58)))</f>
        <v/>
      </c>
      <c r="V3030">
        <f>IF(OR($O3030="",NOT(ISNUMBER($Q3030))),"",$Q3030*1000000+3030)</f>
        <v/>
      </c>
      <c r="W3030" s="29">
        <f>IF($B3030="","",IFERROR(INDEX($U$4:$U$3183,MATCH(SMALL($V$4:$V$3183,3027),$V$4:$V$3183,0)),""))</f>
        <v/>
      </c>
    </row>
    <row r="3031">
      <c r="A3031">
        <f>IFERROR(INDEX($N$4:$N$3183,MATCH(SMALL($V$4:$V$3183,3028),$V$4:$V$3183,0)),"")</f>
        <v/>
      </c>
      <c r="B3031">
        <f>IFERROR(INDEX($O$4:$O$3183,MATCH(SMALL($V$4:$V$3183,3028),$V$4:$V$3183,0)),"")</f>
        <v/>
      </c>
      <c r="C3031">
        <f>IFERROR(INDEX($P$4:$P$3183,MATCH(SMALL($V$4:$V$3183,3028),$V$4:$V$3183,0)),"")</f>
        <v/>
      </c>
      <c r="D3031" s="29">
        <f>IFERROR(INDEX($Q$4:$Q$3183,MATCH(SMALL($V$4:$V$3183,3028),$V$4:$V$3183,0)),"")</f>
        <v/>
      </c>
      <c r="E3031" s="29">
        <f>IFERROR(INDEX($R$4:$R$3183,MATCH(SMALL($V$4:$V$3183,3028),$V$4:$V$3183,0)),"")</f>
        <v/>
      </c>
      <c r="F3031">
        <f>IFERROR(INDEX($S$4:$S$3183,MATCH(SMALL($V$4:$V$3183,3028),$V$4:$V$3183,0)),"")</f>
        <v/>
      </c>
      <c r="I3031" s="29">
        <f>IF($B3031="","",IFERROR(INDEX($U$4:$U$3183,MATCH(SMALL($V$4:$V$3183,3028),$V$4:$V$3183,0)),""))</f>
        <v/>
      </c>
      <c r="J3031">
        <f>IF($B3031="","",IF($D3031&gt;$F$2,"À venir",IF($E3031&lt;$D$2,"Passé","Dans la période")))</f>
        <v/>
      </c>
      <c r="K3031">
        <f>IF(OR($B3031="",NOT(ISNUMBER($D3031))),"",IF(AND($E3031&lt;$D$2,$G3031&lt;&gt;"X",$F3031&lt;&gt;"Réalisé",$F3031&lt;&gt;"Clôturé"),"RETARD",""))</f>
        <v/>
      </c>
      <c r="L3031">
        <f>IF(OR($B3031="",NOT(ISNUMBER($D3031))),"",IF(AND($D3031&gt;=$D$2,$D3031&lt;=$H$2,$G3031&lt;&gt;"X",$F3031&lt;&gt;"Réalisé",$F3031&lt;&gt;"Clôturé"),"≤ 7 j",""))</f>
        <v/>
      </c>
      <c r="M3031" s="29">
        <f>IF($B3031="","",IFERROR(INDEX($T$4:$T$3183,MATCH(SMALL($V$4:$V$3183,3028),$V$4:$V$3183,0)),""))</f>
        <v/>
      </c>
      <c r="O3031">
        <f>IF(INDEX(Suivi!$B:$B,3089)="","",INDEX(Suivi!$B:$B,3089))</f>
        <v/>
      </c>
      <c r="P3031">
        <f>IF($O3031="","",IF(INDEX(Suivi!$D:$D,3089)="",INDEX(Suivi!$C:$C,3089),INDEX(Suivi!$D:$D,3089)))</f>
        <v/>
      </c>
      <c r="Q3031">
        <f>IF($O3031="","",INDEX(Suivi!$E:$E,3089))</f>
        <v/>
      </c>
      <c r="R3031">
        <f>IF($O3031="","",INDEX(Suivi!$F:$F,3089))</f>
        <v/>
      </c>
      <c r="S3031">
        <f>IF($O3031="","",INDEX(Suivi!$G:$G,3089))</f>
        <v/>
      </c>
      <c r="T3031">
        <f>IF($O3031="","",IF(INDEX(Dossiers!$F$4:$F$63,58)="","",INDEX(Dossiers!$F$4:$F$63,58)))</f>
        <v/>
      </c>
      <c r="U3031">
        <f>IF($O3031="","",IF(INDEX(Dossiers!$G$4:$G$63,58)="","",INDEX(Dossiers!$G$4:$G$63,58)))</f>
        <v/>
      </c>
      <c r="V3031">
        <f>IF(OR($O3031="",NOT(ISNUMBER($Q3031))),"",$Q3031*1000000+3031)</f>
        <v/>
      </c>
      <c r="W3031" s="29">
        <f>IF($B3031="","",IFERROR(INDEX($U$4:$U$3183,MATCH(SMALL($V$4:$V$3183,3028),$V$4:$V$3183,0)),""))</f>
        <v/>
      </c>
    </row>
    <row r="3032">
      <c r="A3032">
        <f>IFERROR(INDEX($N$4:$N$3183,MATCH(SMALL($V$4:$V$3183,3029),$V$4:$V$3183,0)),"")</f>
        <v/>
      </c>
      <c r="B3032">
        <f>IFERROR(INDEX($O$4:$O$3183,MATCH(SMALL($V$4:$V$3183,3029),$V$4:$V$3183,0)),"")</f>
        <v/>
      </c>
      <c r="C3032">
        <f>IFERROR(INDEX($P$4:$P$3183,MATCH(SMALL($V$4:$V$3183,3029),$V$4:$V$3183,0)),"")</f>
        <v/>
      </c>
      <c r="D3032" s="29">
        <f>IFERROR(INDEX($Q$4:$Q$3183,MATCH(SMALL($V$4:$V$3183,3029),$V$4:$V$3183,0)),"")</f>
        <v/>
      </c>
      <c r="E3032" s="29">
        <f>IFERROR(INDEX($R$4:$R$3183,MATCH(SMALL($V$4:$V$3183,3029),$V$4:$V$3183,0)),"")</f>
        <v/>
      </c>
      <c r="F3032">
        <f>IFERROR(INDEX($S$4:$S$3183,MATCH(SMALL($V$4:$V$3183,3029),$V$4:$V$3183,0)),"")</f>
        <v/>
      </c>
      <c r="I3032" s="29">
        <f>IF($B3032="","",IFERROR(INDEX($U$4:$U$3183,MATCH(SMALL($V$4:$V$3183,3029),$V$4:$V$3183,0)),""))</f>
        <v/>
      </c>
      <c r="J3032">
        <f>IF($B3032="","",IF($D3032&gt;$F$2,"À venir",IF($E3032&lt;$D$2,"Passé","Dans la période")))</f>
        <v/>
      </c>
      <c r="K3032">
        <f>IF(OR($B3032="",NOT(ISNUMBER($D3032))),"",IF(AND($E3032&lt;$D$2,$G3032&lt;&gt;"X",$F3032&lt;&gt;"Réalisé",$F3032&lt;&gt;"Clôturé"),"RETARD",""))</f>
        <v/>
      </c>
      <c r="L3032">
        <f>IF(OR($B3032="",NOT(ISNUMBER($D3032))),"",IF(AND($D3032&gt;=$D$2,$D3032&lt;=$H$2,$G3032&lt;&gt;"X",$F3032&lt;&gt;"Réalisé",$F3032&lt;&gt;"Clôturé"),"≤ 7 j",""))</f>
        <v/>
      </c>
      <c r="M3032" s="29">
        <f>IF($B3032="","",IFERROR(INDEX($T$4:$T$3183,MATCH(SMALL($V$4:$V$3183,3029),$V$4:$V$3183,0)),""))</f>
        <v/>
      </c>
      <c r="O3032">
        <f>IF(INDEX(Suivi!$B:$B,3090)="","",INDEX(Suivi!$B:$B,3090))</f>
        <v/>
      </c>
      <c r="P3032">
        <f>IF($O3032="","",IF(INDEX(Suivi!$D:$D,3090)="",INDEX(Suivi!$C:$C,3090),INDEX(Suivi!$D:$D,3090)))</f>
        <v/>
      </c>
      <c r="Q3032">
        <f>IF($O3032="","",INDEX(Suivi!$E:$E,3090))</f>
        <v/>
      </c>
      <c r="R3032">
        <f>IF($O3032="","",INDEX(Suivi!$F:$F,3090))</f>
        <v/>
      </c>
      <c r="S3032">
        <f>IF($O3032="","",INDEX(Suivi!$G:$G,3090))</f>
        <v/>
      </c>
      <c r="T3032">
        <f>IF($O3032="","",IF(INDEX(Dossiers!$F$4:$F$63,58)="","",INDEX(Dossiers!$F$4:$F$63,58)))</f>
        <v/>
      </c>
      <c r="U3032">
        <f>IF($O3032="","",IF(INDEX(Dossiers!$G$4:$G$63,58)="","",INDEX(Dossiers!$G$4:$G$63,58)))</f>
        <v/>
      </c>
      <c r="V3032">
        <f>IF(OR($O3032="",NOT(ISNUMBER($Q3032))),"",$Q3032*1000000+3032)</f>
        <v/>
      </c>
      <c r="W3032" s="29">
        <f>IF($B3032="","",IFERROR(INDEX($U$4:$U$3183,MATCH(SMALL($V$4:$V$3183,3029),$V$4:$V$3183,0)),""))</f>
        <v/>
      </c>
    </row>
    <row r="3033">
      <c r="A3033">
        <f>IFERROR(INDEX($N$4:$N$3183,MATCH(SMALL($V$4:$V$3183,3030),$V$4:$V$3183,0)),"")</f>
        <v/>
      </c>
      <c r="B3033">
        <f>IFERROR(INDEX($O$4:$O$3183,MATCH(SMALL($V$4:$V$3183,3030),$V$4:$V$3183,0)),"")</f>
        <v/>
      </c>
      <c r="C3033">
        <f>IFERROR(INDEX($P$4:$P$3183,MATCH(SMALL($V$4:$V$3183,3030),$V$4:$V$3183,0)),"")</f>
        <v/>
      </c>
      <c r="D3033" s="29">
        <f>IFERROR(INDEX($Q$4:$Q$3183,MATCH(SMALL($V$4:$V$3183,3030),$V$4:$V$3183,0)),"")</f>
        <v/>
      </c>
      <c r="E3033" s="29">
        <f>IFERROR(INDEX($R$4:$R$3183,MATCH(SMALL($V$4:$V$3183,3030),$V$4:$V$3183,0)),"")</f>
        <v/>
      </c>
      <c r="F3033">
        <f>IFERROR(INDEX($S$4:$S$3183,MATCH(SMALL($V$4:$V$3183,3030),$V$4:$V$3183,0)),"")</f>
        <v/>
      </c>
      <c r="I3033" s="29">
        <f>IF($B3033="","",IFERROR(INDEX($U$4:$U$3183,MATCH(SMALL($V$4:$V$3183,3030),$V$4:$V$3183,0)),""))</f>
        <v/>
      </c>
      <c r="J3033">
        <f>IF($B3033="","",IF($D3033&gt;$F$2,"À venir",IF($E3033&lt;$D$2,"Passé","Dans la période")))</f>
        <v/>
      </c>
      <c r="K3033">
        <f>IF(OR($B3033="",NOT(ISNUMBER($D3033))),"",IF(AND($E3033&lt;$D$2,$G3033&lt;&gt;"X",$F3033&lt;&gt;"Réalisé",$F3033&lt;&gt;"Clôturé"),"RETARD",""))</f>
        <v/>
      </c>
      <c r="L3033">
        <f>IF(OR($B3033="",NOT(ISNUMBER($D3033))),"",IF(AND($D3033&gt;=$D$2,$D3033&lt;=$H$2,$G3033&lt;&gt;"X",$F3033&lt;&gt;"Réalisé",$F3033&lt;&gt;"Clôturé"),"≤ 7 j",""))</f>
        <v/>
      </c>
      <c r="M3033" s="29">
        <f>IF($B3033="","",IFERROR(INDEX($T$4:$T$3183,MATCH(SMALL($V$4:$V$3183,3030),$V$4:$V$3183,0)),""))</f>
        <v/>
      </c>
      <c r="O3033">
        <f>IF(INDEX(Suivi!$B:$B,3091)="","",INDEX(Suivi!$B:$B,3091))</f>
        <v/>
      </c>
      <c r="P3033">
        <f>IF($O3033="","",IF(INDEX(Suivi!$D:$D,3091)="",INDEX(Suivi!$C:$C,3091),INDEX(Suivi!$D:$D,3091)))</f>
        <v/>
      </c>
      <c r="Q3033">
        <f>IF($O3033="","",INDEX(Suivi!$E:$E,3091))</f>
        <v/>
      </c>
      <c r="R3033">
        <f>IF($O3033="","",INDEX(Suivi!$F:$F,3091))</f>
        <v/>
      </c>
      <c r="S3033">
        <f>IF($O3033="","",INDEX(Suivi!$G:$G,3091))</f>
        <v/>
      </c>
      <c r="T3033">
        <f>IF($O3033="","",IF(INDEX(Dossiers!$F$4:$F$63,58)="","",INDEX(Dossiers!$F$4:$F$63,58)))</f>
        <v/>
      </c>
      <c r="U3033">
        <f>IF($O3033="","",IF(INDEX(Dossiers!$G$4:$G$63,58)="","",INDEX(Dossiers!$G$4:$G$63,58)))</f>
        <v/>
      </c>
      <c r="V3033">
        <f>IF(OR($O3033="",NOT(ISNUMBER($Q3033))),"",$Q3033*1000000+3033)</f>
        <v/>
      </c>
      <c r="W3033" s="29">
        <f>IF($B3033="","",IFERROR(INDEX($U$4:$U$3183,MATCH(SMALL($V$4:$V$3183,3030),$V$4:$V$3183,0)),""))</f>
        <v/>
      </c>
    </row>
    <row r="3034">
      <c r="A3034">
        <f>IFERROR(INDEX($N$4:$N$3183,MATCH(SMALL($V$4:$V$3183,3031),$V$4:$V$3183,0)),"")</f>
        <v/>
      </c>
      <c r="B3034">
        <f>IFERROR(INDEX($O$4:$O$3183,MATCH(SMALL($V$4:$V$3183,3031),$V$4:$V$3183,0)),"")</f>
        <v/>
      </c>
      <c r="C3034">
        <f>IFERROR(INDEX($P$4:$P$3183,MATCH(SMALL($V$4:$V$3183,3031),$V$4:$V$3183,0)),"")</f>
        <v/>
      </c>
      <c r="D3034" s="29">
        <f>IFERROR(INDEX($Q$4:$Q$3183,MATCH(SMALL($V$4:$V$3183,3031),$V$4:$V$3183,0)),"")</f>
        <v/>
      </c>
      <c r="E3034" s="29">
        <f>IFERROR(INDEX($R$4:$R$3183,MATCH(SMALL($V$4:$V$3183,3031),$V$4:$V$3183,0)),"")</f>
        <v/>
      </c>
      <c r="F3034">
        <f>IFERROR(INDEX($S$4:$S$3183,MATCH(SMALL($V$4:$V$3183,3031),$V$4:$V$3183,0)),"")</f>
        <v/>
      </c>
      <c r="I3034" s="29">
        <f>IF($B3034="","",IFERROR(INDEX($U$4:$U$3183,MATCH(SMALL($V$4:$V$3183,3031),$V$4:$V$3183,0)),""))</f>
        <v/>
      </c>
      <c r="J3034">
        <f>IF($B3034="","",IF($D3034&gt;$F$2,"À venir",IF($E3034&lt;$D$2,"Passé","Dans la période")))</f>
        <v/>
      </c>
      <c r="K3034">
        <f>IF(OR($B3034="",NOT(ISNUMBER($D3034))),"",IF(AND($E3034&lt;$D$2,$G3034&lt;&gt;"X",$F3034&lt;&gt;"Réalisé",$F3034&lt;&gt;"Clôturé"),"RETARD",""))</f>
        <v/>
      </c>
      <c r="L3034">
        <f>IF(OR($B3034="",NOT(ISNUMBER($D3034))),"",IF(AND($D3034&gt;=$D$2,$D3034&lt;=$H$2,$G3034&lt;&gt;"X",$F3034&lt;&gt;"Réalisé",$F3034&lt;&gt;"Clôturé"),"≤ 7 j",""))</f>
        <v/>
      </c>
      <c r="M3034" s="29">
        <f>IF($B3034="","",IFERROR(INDEX($T$4:$T$3183,MATCH(SMALL($V$4:$V$3183,3031),$V$4:$V$3183,0)),""))</f>
        <v/>
      </c>
      <c r="O3034">
        <f>IF(INDEX(Suivi!$B:$B,3092)="","",INDEX(Suivi!$B:$B,3092))</f>
        <v/>
      </c>
      <c r="P3034">
        <f>IF($O3034="","",IF(INDEX(Suivi!$D:$D,3092)="",INDEX(Suivi!$C:$C,3092),INDEX(Suivi!$D:$D,3092)))</f>
        <v/>
      </c>
      <c r="Q3034">
        <f>IF($O3034="","",INDEX(Suivi!$E:$E,3092))</f>
        <v/>
      </c>
      <c r="R3034">
        <f>IF($O3034="","",INDEX(Suivi!$F:$F,3092))</f>
        <v/>
      </c>
      <c r="S3034">
        <f>IF($O3034="","",INDEX(Suivi!$G:$G,3092))</f>
        <v/>
      </c>
      <c r="T3034">
        <f>IF($O3034="","",IF(INDEX(Dossiers!$F$4:$F$63,58)="","",INDEX(Dossiers!$F$4:$F$63,58)))</f>
        <v/>
      </c>
      <c r="U3034">
        <f>IF($O3034="","",IF(INDEX(Dossiers!$G$4:$G$63,58)="","",INDEX(Dossiers!$G$4:$G$63,58)))</f>
        <v/>
      </c>
      <c r="V3034">
        <f>IF(OR($O3034="",NOT(ISNUMBER($Q3034))),"",$Q3034*1000000+3034)</f>
        <v/>
      </c>
      <c r="W3034" s="29">
        <f>IF($B3034="","",IFERROR(INDEX($U$4:$U$3183,MATCH(SMALL($V$4:$V$3183,3031),$V$4:$V$3183,0)),""))</f>
        <v/>
      </c>
    </row>
    <row r="3035">
      <c r="A3035">
        <f>IFERROR(INDEX($N$4:$N$3183,MATCH(SMALL($V$4:$V$3183,3032),$V$4:$V$3183,0)),"")</f>
        <v/>
      </c>
      <c r="B3035">
        <f>IFERROR(INDEX($O$4:$O$3183,MATCH(SMALL($V$4:$V$3183,3032),$V$4:$V$3183,0)),"")</f>
        <v/>
      </c>
      <c r="C3035">
        <f>IFERROR(INDEX($P$4:$P$3183,MATCH(SMALL($V$4:$V$3183,3032),$V$4:$V$3183,0)),"")</f>
        <v/>
      </c>
      <c r="D3035" s="29">
        <f>IFERROR(INDEX($Q$4:$Q$3183,MATCH(SMALL($V$4:$V$3183,3032),$V$4:$V$3183,0)),"")</f>
        <v/>
      </c>
      <c r="E3035" s="29">
        <f>IFERROR(INDEX($R$4:$R$3183,MATCH(SMALL($V$4:$V$3183,3032),$V$4:$V$3183,0)),"")</f>
        <v/>
      </c>
      <c r="F3035">
        <f>IFERROR(INDEX($S$4:$S$3183,MATCH(SMALL($V$4:$V$3183,3032),$V$4:$V$3183,0)),"")</f>
        <v/>
      </c>
      <c r="I3035" s="29">
        <f>IF($B3035="","",IFERROR(INDEX($U$4:$U$3183,MATCH(SMALL($V$4:$V$3183,3032),$V$4:$V$3183,0)),""))</f>
        <v/>
      </c>
      <c r="J3035">
        <f>IF($B3035="","",IF($D3035&gt;$F$2,"À venir",IF($E3035&lt;$D$2,"Passé","Dans la période")))</f>
        <v/>
      </c>
      <c r="K3035">
        <f>IF(OR($B3035="",NOT(ISNUMBER($D3035))),"",IF(AND($E3035&lt;$D$2,$G3035&lt;&gt;"X",$F3035&lt;&gt;"Réalisé",$F3035&lt;&gt;"Clôturé"),"RETARD",""))</f>
        <v/>
      </c>
      <c r="L3035">
        <f>IF(OR($B3035="",NOT(ISNUMBER($D3035))),"",IF(AND($D3035&gt;=$D$2,$D3035&lt;=$H$2,$G3035&lt;&gt;"X",$F3035&lt;&gt;"Réalisé",$F3035&lt;&gt;"Clôturé"),"≤ 7 j",""))</f>
        <v/>
      </c>
      <c r="M3035" s="29">
        <f>IF($B3035="","",IFERROR(INDEX($T$4:$T$3183,MATCH(SMALL($V$4:$V$3183,3032),$V$4:$V$3183,0)),""))</f>
        <v/>
      </c>
      <c r="O3035">
        <f>IF(INDEX(Suivi!$B:$B,3093)="","",INDEX(Suivi!$B:$B,3093))</f>
        <v/>
      </c>
      <c r="P3035">
        <f>IF($O3035="","",IF(INDEX(Suivi!$D:$D,3093)="",INDEX(Suivi!$C:$C,3093),INDEX(Suivi!$D:$D,3093)))</f>
        <v/>
      </c>
      <c r="Q3035">
        <f>IF($O3035="","",INDEX(Suivi!$E:$E,3093))</f>
        <v/>
      </c>
      <c r="R3035">
        <f>IF($O3035="","",INDEX(Suivi!$F:$F,3093))</f>
        <v/>
      </c>
      <c r="S3035">
        <f>IF($O3035="","",INDEX(Suivi!$G:$G,3093))</f>
        <v/>
      </c>
      <c r="T3035">
        <f>IF($O3035="","",IF(INDEX(Dossiers!$F$4:$F$63,58)="","",INDEX(Dossiers!$F$4:$F$63,58)))</f>
        <v/>
      </c>
      <c r="U3035">
        <f>IF($O3035="","",IF(INDEX(Dossiers!$G$4:$G$63,58)="","",INDEX(Dossiers!$G$4:$G$63,58)))</f>
        <v/>
      </c>
      <c r="V3035">
        <f>IF(OR($O3035="",NOT(ISNUMBER($Q3035))),"",$Q3035*1000000+3035)</f>
        <v/>
      </c>
      <c r="W3035" s="29">
        <f>IF($B3035="","",IFERROR(INDEX($U$4:$U$3183,MATCH(SMALL($V$4:$V$3183,3032),$V$4:$V$3183,0)),""))</f>
        <v/>
      </c>
    </row>
    <row r="3036">
      <c r="A3036">
        <f>IFERROR(INDEX($N$4:$N$3183,MATCH(SMALL($V$4:$V$3183,3033),$V$4:$V$3183,0)),"")</f>
        <v/>
      </c>
      <c r="B3036">
        <f>IFERROR(INDEX($O$4:$O$3183,MATCH(SMALL($V$4:$V$3183,3033),$V$4:$V$3183,0)),"")</f>
        <v/>
      </c>
      <c r="C3036">
        <f>IFERROR(INDEX($P$4:$P$3183,MATCH(SMALL($V$4:$V$3183,3033),$V$4:$V$3183,0)),"")</f>
        <v/>
      </c>
      <c r="D3036" s="29">
        <f>IFERROR(INDEX($Q$4:$Q$3183,MATCH(SMALL($V$4:$V$3183,3033),$V$4:$V$3183,0)),"")</f>
        <v/>
      </c>
      <c r="E3036" s="29">
        <f>IFERROR(INDEX($R$4:$R$3183,MATCH(SMALL($V$4:$V$3183,3033),$V$4:$V$3183,0)),"")</f>
        <v/>
      </c>
      <c r="F3036">
        <f>IFERROR(INDEX($S$4:$S$3183,MATCH(SMALL($V$4:$V$3183,3033),$V$4:$V$3183,0)),"")</f>
        <v/>
      </c>
      <c r="I3036" s="29">
        <f>IF($B3036="","",IFERROR(INDEX($U$4:$U$3183,MATCH(SMALL($V$4:$V$3183,3033),$V$4:$V$3183,0)),""))</f>
        <v/>
      </c>
      <c r="J3036">
        <f>IF($B3036="","",IF($D3036&gt;$F$2,"À venir",IF($E3036&lt;$D$2,"Passé","Dans la période")))</f>
        <v/>
      </c>
      <c r="K3036">
        <f>IF(OR($B3036="",NOT(ISNUMBER($D3036))),"",IF(AND($E3036&lt;$D$2,$G3036&lt;&gt;"X",$F3036&lt;&gt;"Réalisé",$F3036&lt;&gt;"Clôturé"),"RETARD",""))</f>
        <v/>
      </c>
      <c r="L3036">
        <f>IF(OR($B3036="",NOT(ISNUMBER($D3036))),"",IF(AND($D3036&gt;=$D$2,$D3036&lt;=$H$2,$G3036&lt;&gt;"X",$F3036&lt;&gt;"Réalisé",$F3036&lt;&gt;"Clôturé"),"≤ 7 j",""))</f>
        <v/>
      </c>
      <c r="M3036" s="29">
        <f>IF($B3036="","",IFERROR(INDEX($T$4:$T$3183,MATCH(SMALL($V$4:$V$3183,3033),$V$4:$V$3183,0)),""))</f>
        <v/>
      </c>
      <c r="O3036">
        <f>IF(INDEX(Suivi!$B:$B,3094)="","",INDEX(Suivi!$B:$B,3094))</f>
        <v/>
      </c>
      <c r="P3036">
        <f>IF($O3036="","",IF(INDEX(Suivi!$D:$D,3094)="",INDEX(Suivi!$C:$C,3094),INDEX(Suivi!$D:$D,3094)))</f>
        <v/>
      </c>
      <c r="Q3036">
        <f>IF($O3036="","",INDEX(Suivi!$E:$E,3094))</f>
        <v/>
      </c>
      <c r="R3036">
        <f>IF($O3036="","",INDEX(Suivi!$F:$F,3094))</f>
        <v/>
      </c>
      <c r="S3036">
        <f>IF($O3036="","",INDEX(Suivi!$G:$G,3094))</f>
        <v/>
      </c>
      <c r="T3036">
        <f>IF($O3036="","",IF(INDEX(Dossiers!$F$4:$F$63,58)="","",INDEX(Dossiers!$F$4:$F$63,58)))</f>
        <v/>
      </c>
      <c r="U3036">
        <f>IF($O3036="","",IF(INDEX(Dossiers!$G$4:$G$63,58)="","",INDEX(Dossiers!$G$4:$G$63,58)))</f>
        <v/>
      </c>
      <c r="V3036">
        <f>IF(OR($O3036="",NOT(ISNUMBER($Q3036))),"",$Q3036*1000000+3036)</f>
        <v/>
      </c>
      <c r="W3036" s="29">
        <f>IF($B3036="","",IFERROR(INDEX($U$4:$U$3183,MATCH(SMALL($V$4:$V$3183,3033),$V$4:$V$3183,0)),""))</f>
        <v/>
      </c>
    </row>
    <row r="3037">
      <c r="A3037">
        <f>IFERROR(INDEX($N$4:$N$3183,MATCH(SMALL($V$4:$V$3183,3034),$V$4:$V$3183,0)),"")</f>
        <v/>
      </c>
      <c r="B3037">
        <f>IFERROR(INDEX($O$4:$O$3183,MATCH(SMALL($V$4:$V$3183,3034),$V$4:$V$3183,0)),"")</f>
        <v/>
      </c>
      <c r="C3037">
        <f>IFERROR(INDEX($P$4:$P$3183,MATCH(SMALL($V$4:$V$3183,3034),$V$4:$V$3183,0)),"")</f>
        <v/>
      </c>
      <c r="D3037" s="29">
        <f>IFERROR(INDEX($Q$4:$Q$3183,MATCH(SMALL($V$4:$V$3183,3034),$V$4:$V$3183,0)),"")</f>
        <v/>
      </c>
      <c r="E3037" s="29">
        <f>IFERROR(INDEX($R$4:$R$3183,MATCH(SMALL($V$4:$V$3183,3034),$V$4:$V$3183,0)),"")</f>
        <v/>
      </c>
      <c r="F3037">
        <f>IFERROR(INDEX($S$4:$S$3183,MATCH(SMALL($V$4:$V$3183,3034),$V$4:$V$3183,0)),"")</f>
        <v/>
      </c>
      <c r="I3037" s="29">
        <f>IF($B3037="","",IFERROR(INDEX($U$4:$U$3183,MATCH(SMALL($V$4:$V$3183,3034),$V$4:$V$3183,0)),""))</f>
        <v/>
      </c>
      <c r="J3037">
        <f>IF($B3037="","",IF($D3037&gt;$F$2,"À venir",IF($E3037&lt;$D$2,"Passé","Dans la période")))</f>
        <v/>
      </c>
      <c r="K3037">
        <f>IF(OR($B3037="",NOT(ISNUMBER($D3037))),"",IF(AND($E3037&lt;$D$2,$G3037&lt;&gt;"X",$F3037&lt;&gt;"Réalisé",$F3037&lt;&gt;"Clôturé"),"RETARD",""))</f>
        <v/>
      </c>
      <c r="L3037">
        <f>IF(OR($B3037="",NOT(ISNUMBER($D3037))),"",IF(AND($D3037&gt;=$D$2,$D3037&lt;=$H$2,$G3037&lt;&gt;"X",$F3037&lt;&gt;"Réalisé",$F3037&lt;&gt;"Clôturé"),"≤ 7 j",""))</f>
        <v/>
      </c>
      <c r="M3037" s="29">
        <f>IF($B3037="","",IFERROR(INDEX($T$4:$T$3183,MATCH(SMALL($V$4:$V$3183,3034),$V$4:$V$3183,0)),""))</f>
        <v/>
      </c>
      <c r="O3037">
        <f>IF(INDEX(Suivi!$B:$B,3095)="","",INDEX(Suivi!$B:$B,3095))</f>
        <v/>
      </c>
      <c r="P3037">
        <f>IF($O3037="","",IF(INDEX(Suivi!$D:$D,3095)="",INDEX(Suivi!$C:$C,3095),INDEX(Suivi!$D:$D,3095)))</f>
        <v/>
      </c>
      <c r="Q3037">
        <f>IF($O3037="","",INDEX(Suivi!$E:$E,3095))</f>
        <v/>
      </c>
      <c r="R3037">
        <f>IF($O3037="","",INDEX(Suivi!$F:$F,3095))</f>
        <v/>
      </c>
      <c r="S3037">
        <f>IF($O3037="","",INDEX(Suivi!$G:$G,3095))</f>
        <v/>
      </c>
      <c r="T3037">
        <f>IF($O3037="","",IF(INDEX(Dossiers!$F$4:$F$63,58)="","",INDEX(Dossiers!$F$4:$F$63,58)))</f>
        <v/>
      </c>
      <c r="U3037">
        <f>IF($O3037="","",IF(INDEX(Dossiers!$G$4:$G$63,58)="","",INDEX(Dossiers!$G$4:$G$63,58)))</f>
        <v/>
      </c>
      <c r="V3037">
        <f>IF(OR($O3037="",NOT(ISNUMBER($Q3037))),"",$Q3037*1000000+3037)</f>
        <v/>
      </c>
      <c r="W3037" s="29">
        <f>IF($B3037="","",IFERROR(INDEX($U$4:$U$3183,MATCH(SMALL($V$4:$V$3183,3034),$V$4:$V$3183,0)),""))</f>
        <v/>
      </c>
    </row>
    <row r="3038">
      <c r="A3038">
        <f>IFERROR(INDEX($N$4:$N$3183,MATCH(SMALL($V$4:$V$3183,3035),$V$4:$V$3183,0)),"")</f>
        <v/>
      </c>
      <c r="B3038">
        <f>IFERROR(INDEX($O$4:$O$3183,MATCH(SMALL($V$4:$V$3183,3035),$V$4:$V$3183,0)),"")</f>
        <v/>
      </c>
      <c r="C3038">
        <f>IFERROR(INDEX($P$4:$P$3183,MATCH(SMALL($V$4:$V$3183,3035),$V$4:$V$3183,0)),"")</f>
        <v/>
      </c>
      <c r="D3038" s="29">
        <f>IFERROR(INDEX($Q$4:$Q$3183,MATCH(SMALL($V$4:$V$3183,3035),$V$4:$V$3183,0)),"")</f>
        <v/>
      </c>
      <c r="E3038" s="29">
        <f>IFERROR(INDEX($R$4:$R$3183,MATCH(SMALL($V$4:$V$3183,3035),$V$4:$V$3183,0)),"")</f>
        <v/>
      </c>
      <c r="F3038">
        <f>IFERROR(INDEX($S$4:$S$3183,MATCH(SMALL($V$4:$V$3183,3035),$V$4:$V$3183,0)),"")</f>
        <v/>
      </c>
      <c r="I3038" s="29">
        <f>IF($B3038="","",IFERROR(INDEX($U$4:$U$3183,MATCH(SMALL($V$4:$V$3183,3035),$V$4:$V$3183,0)),""))</f>
        <v/>
      </c>
      <c r="J3038">
        <f>IF($B3038="","",IF($D3038&gt;$F$2,"À venir",IF($E3038&lt;$D$2,"Passé","Dans la période")))</f>
        <v/>
      </c>
      <c r="K3038">
        <f>IF(OR($B3038="",NOT(ISNUMBER($D3038))),"",IF(AND($E3038&lt;$D$2,$G3038&lt;&gt;"X",$F3038&lt;&gt;"Réalisé",$F3038&lt;&gt;"Clôturé"),"RETARD",""))</f>
        <v/>
      </c>
      <c r="L3038">
        <f>IF(OR($B3038="",NOT(ISNUMBER($D3038))),"",IF(AND($D3038&gt;=$D$2,$D3038&lt;=$H$2,$G3038&lt;&gt;"X",$F3038&lt;&gt;"Réalisé",$F3038&lt;&gt;"Clôturé"),"≤ 7 j",""))</f>
        <v/>
      </c>
      <c r="M3038" s="29">
        <f>IF($B3038="","",IFERROR(INDEX($T$4:$T$3183,MATCH(SMALL($V$4:$V$3183,3035),$V$4:$V$3183,0)),""))</f>
        <v/>
      </c>
      <c r="O3038">
        <f>IF(INDEX(Suivi!$B:$B,3096)="","",INDEX(Suivi!$B:$B,3096))</f>
        <v/>
      </c>
      <c r="P3038">
        <f>IF($O3038="","",IF(INDEX(Suivi!$D:$D,3096)="",INDEX(Suivi!$C:$C,3096),INDEX(Suivi!$D:$D,3096)))</f>
        <v/>
      </c>
      <c r="Q3038">
        <f>IF($O3038="","",INDEX(Suivi!$E:$E,3096))</f>
        <v/>
      </c>
      <c r="R3038">
        <f>IF($O3038="","",INDEX(Suivi!$F:$F,3096))</f>
        <v/>
      </c>
      <c r="S3038">
        <f>IF($O3038="","",INDEX(Suivi!$G:$G,3096))</f>
        <v/>
      </c>
      <c r="T3038">
        <f>IF($O3038="","",IF(INDEX(Dossiers!$F$4:$F$63,58)="","",INDEX(Dossiers!$F$4:$F$63,58)))</f>
        <v/>
      </c>
      <c r="U3038">
        <f>IF($O3038="","",IF(INDEX(Dossiers!$G$4:$G$63,58)="","",INDEX(Dossiers!$G$4:$G$63,58)))</f>
        <v/>
      </c>
      <c r="V3038">
        <f>IF(OR($O3038="",NOT(ISNUMBER($Q3038))),"",$Q3038*1000000+3038)</f>
        <v/>
      </c>
      <c r="W3038" s="29">
        <f>IF($B3038="","",IFERROR(INDEX($U$4:$U$3183,MATCH(SMALL($V$4:$V$3183,3035),$V$4:$V$3183,0)),""))</f>
        <v/>
      </c>
    </row>
    <row r="3039">
      <c r="A3039">
        <f>IFERROR(INDEX($N$4:$N$3183,MATCH(SMALL($V$4:$V$3183,3036),$V$4:$V$3183,0)),"")</f>
        <v/>
      </c>
      <c r="B3039">
        <f>IFERROR(INDEX($O$4:$O$3183,MATCH(SMALL($V$4:$V$3183,3036),$V$4:$V$3183,0)),"")</f>
        <v/>
      </c>
      <c r="C3039">
        <f>IFERROR(INDEX($P$4:$P$3183,MATCH(SMALL($V$4:$V$3183,3036),$V$4:$V$3183,0)),"")</f>
        <v/>
      </c>
      <c r="D3039" s="29">
        <f>IFERROR(INDEX($Q$4:$Q$3183,MATCH(SMALL($V$4:$V$3183,3036),$V$4:$V$3183,0)),"")</f>
        <v/>
      </c>
      <c r="E3039" s="29">
        <f>IFERROR(INDEX($R$4:$R$3183,MATCH(SMALL($V$4:$V$3183,3036),$V$4:$V$3183,0)),"")</f>
        <v/>
      </c>
      <c r="F3039">
        <f>IFERROR(INDEX($S$4:$S$3183,MATCH(SMALL($V$4:$V$3183,3036),$V$4:$V$3183,0)),"")</f>
        <v/>
      </c>
      <c r="I3039" s="29">
        <f>IF($B3039="","",IFERROR(INDEX($U$4:$U$3183,MATCH(SMALL($V$4:$V$3183,3036),$V$4:$V$3183,0)),""))</f>
        <v/>
      </c>
      <c r="J3039">
        <f>IF($B3039="","",IF($D3039&gt;$F$2,"À venir",IF($E3039&lt;$D$2,"Passé","Dans la période")))</f>
        <v/>
      </c>
      <c r="K3039">
        <f>IF(OR($B3039="",NOT(ISNUMBER($D3039))),"",IF(AND($E3039&lt;$D$2,$G3039&lt;&gt;"X",$F3039&lt;&gt;"Réalisé",$F3039&lt;&gt;"Clôturé"),"RETARD",""))</f>
        <v/>
      </c>
      <c r="L3039">
        <f>IF(OR($B3039="",NOT(ISNUMBER($D3039))),"",IF(AND($D3039&gt;=$D$2,$D3039&lt;=$H$2,$G3039&lt;&gt;"X",$F3039&lt;&gt;"Réalisé",$F3039&lt;&gt;"Clôturé"),"≤ 7 j",""))</f>
        <v/>
      </c>
      <c r="M3039" s="29">
        <f>IF($B3039="","",IFERROR(INDEX($T$4:$T$3183,MATCH(SMALL($V$4:$V$3183,3036),$V$4:$V$3183,0)),""))</f>
        <v/>
      </c>
      <c r="O3039">
        <f>IF(INDEX(Suivi!$B:$B,3097)="","",INDEX(Suivi!$B:$B,3097))</f>
        <v/>
      </c>
      <c r="P3039">
        <f>IF($O3039="","",IF(INDEX(Suivi!$D:$D,3097)="",INDEX(Suivi!$C:$C,3097),INDEX(Suivi!$D:$D,3097)))</f>
        <v/>
      </c>
      <c r="Q3039">
        <f>IF($O3039="","",INDEX(Suivi!$E:$E,3097))</f>
        <v/>
      </c>
      <c r="R3039">
        <f>IF($O3039="","",INDEX(Suivi!$F:$F,3097))</f>
        <v/>
      </c>
      <c r="S3039">
        <f>IF($O3039="","",INDEX(Suivi!$G:$G,3097))</f>
        <v/>
      </c>
      <c r="T3039">
        <f>IF($O3039="","",IF(INDEX(Dossiers!$F$4:$F$63,58)="","",INDEX(Dossiers!$F$4:$F$63,58)))</f>
        <v/>
      </c>
      <c r="U3039">
        <f>IF($O3039="","",IF(INDEX(Dossiers!$G$4:$G$63,58)="","",INDEX(Dossiers!$G$4:$G$63,58)))</f>
        <v/>
      </c>
      <c r="V3039">
        <f>IF(OR($O3039="",NOT(ISNUMBER($Q3039))),"",$Q3039*1000000+3039)</f>
        <v/>
      </c>
      <c r="W3039" s="29">
        <f>IF($B3039="","",IFERROR(INDEX($U$4:$U$3183,MATCH(SMALL($V$4:$V$3183,3036),$V$4:$V$3183,0)),""))</f>
        <v/>
      </c>
    </row>
    <row r="3040">
      <c r="A3040">
        <f>IFERROR(INDEX($N$4:$N$3183,MATCH(SMALL($V$4:$V$3183,3037),$V$4:$V$3183,0)),"")</f>
        <v/>
      </c>
      <c r="B3040">
        <f>IFERROR(INDEX($O$4:$O$3183,MATCH(SMALL($V$4:$V$3183,3037),$V$4:$V$3183,0)),"")</f>
        <v/>
      </c>
      <c r="C3040">
        <f>IFERROR(INDEX($P$4:$P$3183,MATCH(SMALL($V$4:$V$3183,3037),$V$4:$V$3183,0)),"")</f>
        <v/>
      </c>
      <c r="D3040" s="29">
        <f>IFERROR(INDEX($Q$4:$Q$3183,MATCH(SMALL($V$4:$V$3183,3037),$V$4:$V$3183,0)),"")</f>
        <v/>
      </c>
      <c r="E3040" s="29">
        <f>IFERROR(INDEX($R$4:$R$3183,MATCH(SMALL($V$4:$V$3183,3037),$V$4:$V$3183,0)),"")</f>
        <v/>
      </c>
      <c r="F3040">
        <f>IFERROR(INDEX($S$4:$S$3183,MATCH(SMALL($V$4:$V$3183,3037),$V$4:$V$3183,0)),"")</f>
        <v/>
      </c>
      <c r="I3040" s="29">
        <f>IF($B3040="","",IFERROR(INDEX($U$4:$U$3183,MATCH(SMALL($V$4:$V$3183,3037),$V$4:$V$3183,0)),""))</f>
        <v/>
      </c>
      <c r="J3040">
        <f>IF($B3040="","",IF($D3040&gt;$F$2,"À venir",IF($E3040&lt;$D$2,"Passé","Dans la période")))</f>
        <v/>
      </c>
      <c r="K3040">
        <f>IF(OR($B3040="",NOT(ISNUMBER($D3040))),"",IF(AND($E3040&lt;$D$2,$G3040&lt;&gt;"X",$F3040&lt;&gt;"Réalisé",$F3040&lt;&gt;"Clôturé"),"RETARD",""))</f>
        <v/>
      </c>
      <c r="L3040">
        <f>IF(OR($B3040="",NOT(ISNUMBER($D3040))),"",IF(AND($D3040&gt;=$D$2,$D3040&lt;=$H$2,$G3040&lt;&gt;"X",$F3040&lt;&gt;"Réalisé",$F3040&lt;&gt;"Clôturé"),"≤ 7 j",""))</f>
        <v/>
      </c>
      <c r="M3040" s="29">
        <f>IF($B3040="","",IFERROR(INDEX($T$4:$T$3183,MATCH(SMALL($V$4:$V$3183,3037),$V$4:$V$3183,0)),""))</f>
        <v/>
      </c>
      <c r="O3040">
        <f>IF(INDEX(Suivi!$B:$B,3098)="","",INDEX(Suivi!$B:$B,3098))</f>
        <v/>
      </c>
      <c r="P3040">
        <f>IF($O3040="","",IF(INDEX(Suivi!$D:$D,3098)="",INDEX(Suivi!$C:$C,3098),INDEX(Suivi!$D:$D,3098)))</f>
        <v/>
      </c>
      <c r="Q3040">
        <f>IF($O3040="","",INDEX(Suivi!$E:$E,3098))</f>
        <v/>
      </c>
      <c r="R3040">
        <f>IF($O3040="","",INDEX(Suivi!$F:$F,3098))</f>
        <v/>
      </c>
      <c r="S3040">
        <f>IF($O3040="","",INDEX(Suivi!$G:$G,3098))</f>
        <v/>
      </c>
      <c r="T3040">
        <f>IF($O3040="","",IF(INDEX(Dossiers!$F$4:$F$63,58)="","",INDEX(Dossiers!$F$4:$F$63,58)))</f>
        <v/>
      </c>
      <c r="U3040">
        <f>IF($O3040="","",IF(INDEX(Dossiers!$G$4:$G$63,58)="","",INDEX(Dossiers!$G$4:$G$63,58)))</f>
        <v/>
      </c>
      <c r="V3040">
        <f>IF(OR($O3040="",NOT(ISNUMBER($Q3040))),"",$Q3040*1000000+3040)</f>
        <v/>
      </c>
      <c r="W3040" s="29">
        <f>IF($B3040="","",IFERROR(INDEX($U$4:$U$3183,MATCH(SMALL($V$4:$V$3183,3037),$V$4:$V$3183,0)),""))</f>
        <v/>
      </c>
    </row>
    <row r="3041">
      <c r="A3041">
        <f>IFERROR(INDEX($N$4:$N$3183,MATCH(SMALL($V$4:$V$3183,3038),$V$4:$V$3183,0)),"")</f>
        <v/>
      </c>
      <c r="B3041">
        <f>IFERROR(INDEX($O$4:$O$3183,MATCH(SMALL($V$4:$V$3183,3038),$V$4:$V$3183,0)),"")</f>
        <v/>
      </c>
      <c r="C3041">
        <f>IFERROR(INDEX($P$4:$P$3183,MATCH(SMALL($V$4:$V$3183,3038),$V$4:$V$3183,0)),"")</f>
        <v/>
      </c>
      <c r="D3041" s="29">
        <f>IFERROR(INDEX($Q$4:$Q$3183,MATCH(SMALL($V$4:$V$3183,3038),$V$4:$V$3183,0)),"")</f>
        <v/>
      </c>
      <c r="E3041" s="29">
        <f>IFERROR(INDEX($R$4:$R$3183,MATCH(SMALL($V$4:$V$3183,3038),$V$4:$V$3183,0)),"")</f>
        <v/>
      </c>
      <c r="F3041">
        <f>IFERROR(INDEX($S$4:$S$3183,MATCH(SMALL($V$4:$V$3183,3038),$V$4:$V$3183,0)),"")</f>
        <v/>
      </c>
      <c r="I3041" s="29">
        <f>IF($B3041="","",IFERROR(INDEX($U$4:$U$3183,MATCH(SMALL($V$4:$V$3183,3038),$V$4:$V$3183,0)),""))</f>
        <v/>
      </c>
      <c r="J3041">
        <f>IF($B3041="","",IF($D3041&gt;$F$2,"À venir",IF($E3041&lt;$D$2,"Passé","Dans la période")))</f>
        <v/>
      </c>
      <c r="K3041">
        <f>IF(OR($B3041="",NOT(ISNUMBER($D3041))),"",IF(AND($E3041&lt;$D$2,$G3041&lt;&gt;"X",$F3041&lt;&gt;"Réalisé",$F3041&lt;&gt;"Clôturé"),"RETARD",""))</f>
        <v/>
      </c>
      <c r="L3041">
        <f>IF(OR($B3041="",NOT(ISNUMBER($D3041))),"",IF(AND($D3041&gt;=$D$2,$D3041&lt;=$H$2,$G3041&lt;&gt;"X",$F3041&lt;&gt;"Réalisé",$F3041&lt;&gt;"Clôturé"),"≤ 7 j",""))</f>
        <v/>
      </c>
      <c r="M3041" s="29">
        <f>IF($B3041="","",IFERROR(INDEX($T$4:$T$3183,MATCH(SMALL($V$4:$V$3183,3038),$V$4:$V$3183,0)),""))</f>
        <v/>
      </c>
      <c r="O3041">
        <f>IF(INDEX(Suivi!$B:$B,3099)="","",INDEX(Suivi!$B:$B,3099))</f>
        <v/>
      </c>
      <c r="P3041">
        <f>IF($O3041="","",IF(INDEX(Suivi!$D:$D,3099)="",INDEX(Suivi!$C:$C,3099),INDEX(Suivi!$D:$D,3099)))</f>
        <v/>
      </c>
      <c r="Q3041">
        <f>IF($O3041="","",INDEX(Suivi!$E:$E,3099))</f>
        <v/>
      </c>
      <c r="R3041">
        <f>IF($O3041="","",INDEX(Suivi!$F:$F,3099))</f>
        <v/>
      </c>
      <c r="S3041">
        <f>IF($O3041="","",INDEX(Suivi!$G:$G,3099))</f>
        <v/>
      </c>
      <c r="T3041">
        <f>IF($O3041="","",IF(INDEX(Dossiers!$F$4:$F$63,58)="","",INDEX(Dossiers!$F$4:$F$63,58)))</f>
        <v/>
      </c>
      <c r="U3041">
        <f>IF($O3041="","",IF(INDEX(Dossiers!$G$4:$G$63,58)="","",INDEX(Dossiers!$G$4:$G$63,58)))</f>
        <v/>
      </c>
      <c r="V3041">
        <f>IF(OR($O3041="",NOT(ISNUMBER($Q3041))),"",$Q3041*1000000+3041)</f>
        <v/>
      </c>
      <c r="W3041" s="29">
        <f>IF($B3041="","",IFERROR(INDEX($U$4:$U$3183,MATCH(SMALL($V$4:$V$3183,3038),$V$4:$V$3183,0)),""))</f>
        <v/>
      </c>
    </row>
    <row r="3042">
      <c r="A3042">
        <f>IFERROR(INDEX($N$4:$N$3183,MATCH(SMALL($V$4:$V$3183,3039),$V$4:$V$3183,0)),"")</f>
        <v/>
      </c>
      <c r="B3042">
        <f>IFERROR(INDEX($O$4:$O$3183,MATCH(SMALL($V$4:$V$3183,3039),$V$4:$V$3183,0)),"")</f>
        <v/>
      </c>
      <c r="C3042">
        <f>IFERROR(INDEX($P$4:$P$3183,MATCH(SMALL($V$4:$V$3183,3039),$V$4:$V$3183,0)),"")</f>
        <v/>
      </c>
      <c r="D3042" s="29">
        <f>IFERROR(INDEX($Q$4:$Q$3183,MATCH(SMALL($V$4:$V$3183,3039),$V$4:$V$3183,0)),"")</f>
        <v/>
      </c>
      <c r="E3042" s="29">
        <f>IFERROR(INDEX($R$4:$R$3183,MATCH(SMALL($V$4:$V$3183,3039),$V$4:$V$3183,0)),"")</f>
        <v/>
      </c>
      <c r="F3042">
        <f>IFERROR(INDEX($S$4:$S$3183,MATCH(SMALL($V$4:$V$3183,3039),$V$4:$V$3183,0)),"")</f>
        <v/>
      </c>
      <c r="I3042" s="29">
        <f>IF($B3042="","",IFERROR(INDEX($U$4:$U$3183,MATCH(SMALL($V$4:$V$3183,3039),$V$4:$V$3183,0)),""))</f>
        <v/>
      </c>
      <c r="J3042">
        <f>IF($B3042="","",IF($D3042&gt;$F$2,"À venir",IF($E3042&lt;$D$2,"Passé","Dans la période")))</f>
        <v/>
      </c>
      <c r="K3042">
        <f>IF(OR($B3042="",NOT(ISNUMBER($D3042))),"",IF(AND($E3042&lt;$D$2,$G3042&lt;&gt;"X",$F3042&lt;&gt;"Réalisé",$F3042&lt;&gt;"Clôturé"),"RETARD",""))</f>
        <v/>
      </c>
      <c r="L3042">
        <f>IF(OR($B3042="",NOT(ISNUMBER($D3042))),"",IF(AND($D3042&gt;=$D$2,$D3042&lt;=$H$2,$G3042&lt;&gt;"X",$F3042&lt;&gt;"Réalisé",$F3042&lt;&gt;"Clôturé"),"≤ 7 j",""))</f>
        <v/>
      </c>
      <c r="M3042" s="29">
        <f>IF($B3042="","",IFERROR(INDEX($T$4:$T$3183,MATCH(SMALL($V$4:$V$3183,3039),$V$4:$V$3183,0)),""))</f>
        <v/>
      </c>
      <c r="O3042">
        <f>IF(INDEX(Suivi!$B:$B,3100)="","",INDEX(Suivi!$B:$B,3100))</f>
        <v/>
      </c>
      <c r="P3042">
        <f>IF($O3042="","",IF(INDEX(Suivi!$D:$D,3100)="",INDEX(Suivi!$C:$C,3100),INDEX(Suivi!$D:$D,3100)))</f>
        <v/>
      </c>
      <c r="Q3042">
        <f>IF($O3042="","",INDEX(Suivi!$E:$E,3100))</f>
        <v/>
      </c>
      <c r="R3042">
        <f>IF($O3042="","",INDEX(Suivi!$F:$F,3100))</f>
        <v/>
      </c>
      <c r="S3042">
        <f>IF($O3042="","",INDEX(Suivi!$G:$G,3100))</f>
        <v/>
      </c>
      <c r="T3042">
        <f>IF($O3042="","",IF(INDEX(Dossiers!$F$4:$F$63,58)="","",INDEX(Dossiers!$F$4:$F$63,58)))</f>
        <v/>
      </c>
      <c r="U3042">
        <f>IF($O3042="","",IF(INDEX(Dossiers!$G$4:$G$63,58)="","",INDEX(Dossiers!$G$4:$G$63,58)))</f>
        <v/>
      </c>
      <c r="V3042">
        <f>IF(OR($O3042="",NOT(ISNUMBER($Q3042))),"",$Q3042*1000000+3042)</f>
        <v/>
      </c>
      <c r="W3042" s="29">
        <f>IF($B3042="","",IFERROR(INDEX($U$4:$U$3183,MATCH(SMALL($V$4:$V$3183,3039),$V$4:$V$3183,0)),""))</f>
        <v/>
      </c>
    </row>
    <row r="3043">
      <c r="A3043">
        <f>IFERROR(INDEX($N$4:$N$3183,MATCH(SMALL($V$4:$V$3183,3040),$V$4:$V$3183,0)),"")</f>
        <v/>
      </c>
      <c r="B3043">
        <f>IFERROR(INDEX($O$4:$O$3183,MATCH(SMALL($V$4:$V$3183,3040),$V$4:$V$3183,0)),"")</f>
        <v/>
      </c>
      <c r="C3043">
        <f>IFERROR(INDEX($P$4:$P$3183,MATCH(SMALL($V$4:$V$3183,3040),$V$4:$V$3183,0)),"")</f>
        <v/>
      </c>
      <c r="D3043" s="29">
        <f>IFERROR(INDEX($Q$4:$Q$3183,MATCH(SMALL($V$4:$V$3183,3040),$V$4:$V$3183,0)),"")</f>
        <v/>
      </c>
      <c r="E3043" s="29">
        <f>IFERROR(INDEX($R$4:$R$3183,MATCH(SMALL($V$4:$V$3183,3040),$V$4:$V$3183,0)),"")</f>
        <v/>
      </c>
      <c r="F3043">
        <f>IFERROR(INDEX($S$4:$S$3183,MATCH(SMALL($V$4:$V$3183,3040),$V$4:$V$3183,0)),"")</f>
        <v/>
      </c>
      <c r="I3043" s="29">
        <f>IF($B3043="","",IFERROR(INDEX($U$4:$U$3183,MATCH(SMALL($V$4:$V$3183,3040),$V$4:$V$3183,0)),""))</f>
        <v/>
      </c>
      <c r="J3043">
        <f>IF($B3043="","",IF($D3043&gt;$F$2,"À venir",IF($E3043&lt;$D$2,"Passé","Dans la période")))</f>
        <v/>
      </c>
      <c r="K3043">
        <f>IF(OR($B3043="",NOT(ISNUMBER($D3043))),"",IF(AND($E3043&lt;$D$2,$G3043&lt;&gt;"X",$F3043&lt;&gt;"Réalisé",$F3043&lt;&gt;"Clôturé"),"RETARD",""))</f>
        <v/>
      </c>
      <c r="L3043">
        <f>IF(OR($B3043="",NOT(ISNUMBER($D3043))),"",IF(AND($D3043&gt;=$D$2,$D3043&lt;=$H$2,$G3043&lt;&gt;"X",$F3043&lt;&gt;"Réalisé",$F3043&lt;&gt;"Clôturé"),"≤ 7 j",""))</f>
        <v/>
      </c>
      <c r="M3043" s="29">
        <f>IF($B3043="","",IFERROR(INDEX($T$4:$T$3183,MATCH(SMALL($V$4:$V$3183,3040),$V$4:$V$3183,0)),""))</f>
        <v/>
      </c>
      <c r="O3043">
        <f>IF(INDEX(Suivi!$B:$B,3101)="","",INDEX(Suivi!$B:$B,3101))</f>
        <v/>
      </c>
      <c r="P3043">
        <f>IF($O3043="","",IF(INDEX(Suivi!$D:$D,3101)="",INDEX(Suivi!$C:$C,3101),INDEX(Suivi!$D:$D,3101)))</f>
        <v/>
      </c>
      <c r="Q3043">
        <f>IF($O3043="","",INDEX(Suivi!$E:$E,3101))</f>
        <v/>
      </c>
      <c r="R3043">
        <f>IF($O3043="","",INDEX(Suivi!$F:$F,3101))</f>
        <v/>
      </c>
      <c r="S3043">
        <f>IF($O3043="","",INDEX(Suivi!$G:$G,3101))</f>
        <v/>
      </c>
      <c r="T3043">
        <f>IF($O3043="","",IF(INDEX(Dossiers!$F$4:$F$63,58)="","",INDEX(Dossiers!$F$4:$F$63,58)))</f>
        <v/>
      </c>
      <c r="U3043">
        <f>IF($O3043="","",IF(INDEX(Dossiers!$G$4:$G$63,58)="","",INDEX(Dossiers!$G$4:$G$63,58)))</f>
        <v/>
      </c>
      <c r="V3043">
        <f>IF(OR($O3043="",NOT(ISNUMBER($Q3043))),"",$Q3043*1000000+3043)</f>
        <v/>
      </c>
      <c r="W3043" s="29">
        <f>IF($B3043="","",IFERROR(INDEX($U$4:$U$3183,MATCH(SMALL($V$4:$V$3183,3040),$V$4:$V$3183,0)),""))</f>
        <v/>
      </c>
    </row>
    <row r="3044">
      <c r="A3044">
        <f>IFERROR(INDEX($N$4:$N$3183,MATCH(SMALL($V$4:$V$3183,3041),$V$4:$V$3183,0)),"")</f>
        <v/>
      </c>
      <c r="B3044">
        <f>IFERROR(INDEX($O$4:$O$3183,MATCH(SMALL($V$4:$V$3183,3041),$V$4:$V$3183,0)),"")</f>
        <v/>
      </c>
      <c r="C3044">
        <f>IFERROR(INDEX($P$4:$P$3183,MATCH(SMALL($V$4:$V$3183,3041),$V$4:$V$3183,0)),"")</f>
        <v/>
      </c>
      <c r="D3044" s="29">
        <f>IFERROR(INDEX($Q$4:$Q$3183,MATCH(SMALL($V$4:$V$3183,3041),$V$4:$V$3183,0)),"")</f>
        <v/>
      </c>
      <c r="E3044" s="29">
        <f>IFERROR(INDEX($R$4:$R$3183,MATCH(SMALL($V$4:$V$3183,3041),$V$4:$V$3183,0)),"")</f>
        <v/>
      </c>
      <c r="F3044">
        <f>IFERROR(INDEX($S$4:$S$3183,MATCH(SMALL($V$4:$V$3183,3041),$V$4:$V$3183,0)),"")</f>
        <v/>
      </c>
      <c r="I3044" s="29">
        <f>IF($B3044="","",IFERROR(INDEX($U$4:$U$3183,MATCH(SMALL($V$4:$V$3183,3041),$V$4:$V$3183,0)),""))</f>
        <v/>
      </c>
      <c r="J3044">
        <f>IF($B3044="","",IF($D3044&gt;$F$2,"À venir",IF($E3044&lt;$D$2,"Passé","Dans la période")))</f>
        <v/>
      </c>
      <c r="K3044">
        <f>IF(OR($B3044="",NOT(ISNUMBER($D3044))),"",IF(AND($E3044&lt;$D$2,$G3044&lt;&gt;"X",$F3044&lt;&gt;"Réalisé",$F3044&lt;&gt;"Clôturé"),"RETARD",""))</f>
        <v/>
      </c>
      <c r="L3044">
        <f>IF(OR($B3044="",NOT(ISNUMBER($D3044))),"",IF(AND($D3044&gt;=$D$2,$D3044&lt;=$H$2,$G3044&lt;&gt;"X",$F3044&lt;&gt;"Réalisé",$F3044&lt;&gt;"Clôturé"),"≤ 7 j",""))</f>
        <v/>
      </c>
      <c r="M3044" s="29">
        <f>IF($B3044="","",IFERROR(INDEX($T$4:$T$3183,MATCH(SMALL($V$4:$V$3183,3041),$V$4:$V$3183,0)),""))</f>
        <v/>
      </c>
      <c r="O3044">
        <f>IF(INDEX(Suivi!$B:$B,3102)="","",INDEX(Suivi!$B:$B,3102))</f>
        <v/>
      </c>
      <c r="P3044">
        <f>IF($O3044="","",IF(INDEX(Suivi!$D:$D,3102)="",INDEX(Suivi!$C:$C,3102),INDEX(Suivi!$D:$D,3102)))</f>
        <v/>
      </c>
      <c r="Q3044">
        <f>IF($O3044="","",INDEX(Suivi!$E:$E,3102))</f>
        <v/>
      </c>
      <c r="R3044">
        <f>IF($O3044="","",INDEX(Suivi!$F:$F,3102))</f>
        <v/>
      </c>
      <c r="S3044">
        <f>IF($O3044="","",INDEX(Suivi!$G:$G,3102))</f>
        <v/>
      </c>
      <c r="T3044">
        <f>IF($O3044="","",IF(INDEX(Dossiers!$F$4:$F$63,58)="","",INDEX(Dossiers!$F$4:$F$63,58)))</f>
        <v/>
      </c>
      <c r="U3044">
        <f>IF($O3044="","",IF(INDEX(Dossiers!$G$4:$G$63,58)="","",INDEX(Dossiers!$G$4:$G$63,58)))</f>
        <v/>
      </c>
      <c r="V3044">
        <f>IF(OR($O3044="",NOT(ISNUMBER($Q3044))),"",$Q3044*1000000+3044)</f>
        <v/>
      </c>
      <c r="W3044" s="29">
        <f>IF($B3044="","",IFERROR(INDEX($U$4:$U$3183,MATCH(SMALL($V$4:$V$3183,3041),$V$4:$V$3183,0)),""))</f>
        <v/>
      </c>
    </row>
    <row r="3045">
      <c r="A3045">
        <f>IFERROR(INDEX($N$4:$N$3183,MATCH(SMALL($V$4:$V$3183,3042),$V$4:$V$3183,0)),"")</f>
        <v/>
      </c>
      <c r="B3045">
        <f>IFERROR(INDEX($O$4:$O$3183,MATCH(SMALL($V$4:$V$3183,3042),$V$4:$V$3183,0)),"")</f>
        <v/>
      </c>
      <c r="C3045">
        <f>IFERROR(INDEX($P$4:$P$3183,MATCH(SMALL($V$4:$V$3183,3042),$V$4:$V$3183,0)),"")</f>
        <v/>
      </c>
      <c r="D3045" s="29">
        <f>IFERROR(INDEX($Q$4:$Q$3183,MATCH(SMALL($V$4:$V$3183,3042),$V$4:$V$3183,0)),"")</f>
        <v/>
      </c>
      <c r="E3045" s="29">
        <f>IFERROR(INDEX($R$4:$R$3183,MATCH(SMALL($V$4:$V$3183,3042),$V$4:$V$3183,0)),"")</f>
        <v/>
      </c>
      <c r="F3045">
        <f>IFERROR(INDEX($S$4:$S$3183,MATCH(SMALL($V$4:$V$3183,3042),$V$4:$V$3183,0)),"")</f>
        <v/>
      </c>
      <c r="I3045" s="29">
        <f>IF($B3045="","",IFERROR(INDEX($U$4:$U$3183,MATCH(SMALL($V$4:$V$3183,3042),$V$4:$V$3183,0)),""))</f>
        <v/>
      </c>
      <c r="J3045">
        <f>IF($B3045="","",IF($D3045&gt;$F$2,"À venir",IF($E3045&lt;$D$2,"Passé","Dans la période")))</f>
        <v/>
      </c>
      <c r="K3045">
        <f>IF(OR($B3045="",NOT(ISNUMBER($D3045))),"",IF(AND($E3045&lt;$D$2,$G3045&lt;&gt;"X",$F3045&lt;&gt;"Réalisé",$F3045&lt;&gt;"Clôturé"),"RETARD",""))</f>
        <v/>
      </c>
      <c r="L3045">
        <f>IF(OR($B3045="",NOT(ISNUMBER($D3045))),"",IF(AND($D3045&gt;=$D$2,$D3045&lt;=$H$2,$G3045&lt;&gt;"X",$F3045&lt;&gt;"Réalisé",$F3045&lt;&gt;"Clôturé"),"≤ 7 j",""))</f>
        <v/>
      </c>
      <c r="M3045" s="29">
        <f>IF($B3045="","",IFERROR(INDEX($T$4:$T$3183,MATCH(SMALL($V$4:$V$3183,3042),$V$4:$V$3183,0)),""))</f>
        <v/>
      </c>
      <c r="O3045">
        <f>IF(INDEX(Suivi!$B:$B,3103)="","",INDEX(Suivi!$B:$B,3103))</f>
        <v/>
      </c>
      <c r="P3045">
        <f>IF($O3045="","",IF(INDEX(Suivi!$D:$D,3103)="",INDEX(Suivi!$C:$C,3103),INDEX(Suivi!$D:$D,3103)))</f>
        <v/>
      </c>
      <c r="Q3045">
        <f>IF($O3045="","",INDEX(Suivi!$E:$E,3103))</f>
        <v/>
      </c>
      <c r="R3045">
        <f>IF($O3045="","",INDEX(Suivi!$F:$F,3103))</f>
        <v/>
      </c>
      <c r="S3045">
        <f>IF($O3045="","",INDEX(Suivi!$G:$G,3103))</f>
        <v/>
      </c>
      <c r="T3045">
        <f>IF($O3045="","",IF(INDEX(Dossiers!$F$4:$F$63,58)="","",INDEX(Dossiers!$F$4:$F$63,58)))</f>
        <v/>
      </c>
      <c r="U3045">
        <f>IF($O3045="","",IF(INDEX(Dossiers!$G$4:$G$63,58)="","",INDEX(Dossiers!$G$4:$G$63,58)))</f>
        <v/>
      </c>
      <c r="V3045">
        <f>IF(OR($O3045="",NOT(ISNUMBER($Q3045))),"",$Q3045*1000000+3045)</f>
        <v/>
      </c>
      <c r="W3045" s="29">
        <f>IF($B3045="","",IFERROR(INDEX($U$4:$U$3183,MATCH(SMALL($V$4:$V$3183,3042),$V$4:$V$3183,0)),""))</f>
        <v/>
      </c>
    </row>
    <row r="3046">
      <c r="A3046">
        <f>IFERROR(INDEX($N$4:$N$3183,MATCH(SMALL($V$4:$V$3183,3043),$V$4:$V$3183,0)),"")</f>
        <v/>
      </c>
      <c r="B3046">
        <f>IFERROR(INDEX($O$4:$O$3183,MATCH(SMALL($V$4:$V$3183,3043),$V$4:$V$3183,0)),"")</f>
        <v/>
      </c>
      <c r="C3046">
        <f>IFERROR(INDEX($P$4:$P$3183,MATCH(SMALL($V$4:$V$3183,3043),$V$4:$V$3183,0)),"")</f>
        <v/>
      </c>
      <c r="D3046" s="29">
        <f>IFERROR(INDEX($Q$4:$Q$3183,MATCH(SMALL($V$4:$V$3183,3043),$V$4:$V$3183,0)),"")</f>
        <v/>
      </c>
      <c r="E3046" s="29">
        <f>IFERROR(INDEX($R$4:$R$3183,MATCH(SMALL($V$4:$V$3183,3043),$V$4:$V$3183,0)),"")</f>
        <v/>
      </c>
      <c r="F3046">
        <f>IFERROR(INDEX($S$4:$S$3183,MATCH(SMALL($V$4:$V$3183,3043),$V$4:$V$3183,0)),"")</f>
        <v/>
      </c>
      <c r="I3046" s="29">
        <f>IF($B3046="","",IFERROR(INDEX($U$4:$U$3183,MATCH(SMALL($V$4:$V$3183,3043),$V$4:$V$3183,0)),""))</f>
        <v/>
      </c>
      <c r="J3046">
        <f>IF($B3046="","",IF($D3046&gt;$F$2,"À venir",IF($E3046&lt;$D$2,"Passé","Dans la période")))</f>
        <v/>
      </c>
      <c r="K3046">
        <f>IF(OR($B3046="",NOT(ISNUMBER($D3046))),"",IF(AND($E3046&lt;$D$2,$G3046&lt;&gt;"X",$F3046&lt;&gt;"Réalisé",$F3046&lt;&gt;"Clôturé"),"RETARD",""))</f>
        <v/>
      </c>
      <c r="L3046">
        <f>IF(OR($B3046="",NOT(ISNUMBER($D3046))),"",IF(AND($D3046&gt;=$D$2,$D3046&lt;=$H$2,$G3046&lt;&gt;"X",$F3046&lt;&gt;"Réalisé",$F3046&lt;&gt;"Clôturé"),"≤ 7 j",""))</f>
        <v/>
      </c>
      <c r="M3046" s="29">
        <f>IF($B3046="","",IFERROR(INDEX($T$4:$T$3183,MATCH(SMALL($V$4:$V$3183,3043),$V$4:$V$3183,0)),""))</f>
        <v/>
      </c>
      <c r="O3046">
        <f>IF(INDEX(Suivi!$B:$B,3104)="","",INDEX(Suivi!$B:$B,3104))</f>
        <v/>
      </c>
      <c r="P3046">
        <f>IF($O3046="","",IF(INDEX(Suivi!$D:$D,3104)="",INDEX(Suivi!$C:$C,3104),INDEX(Suivi!$D:$D,3104)))</f>
        <v/>
      </c>
      <c r="Q3046">
        <f>IF($O3046="","",INDEX(Suivi!$E:$E,3104))</f>
        <v/>
      </c>
      <c r="R3046">
        <f>IF($O3046="","",INDEX(Suivi!$F:$F,3104))</f>
        <v/>
      </c>
      <c r="S3046">
        <f>IF($O3046="","",INDEX(Suivi!$G:$G,3104))</f>
        <v/>
      </c>
      <c r="T3046">
        <f>IF($O3046="","",IF(INDEX(Dossiers!$F$4:$F$63,58)="","",INDEX(Dossiers!$F$4:$F$63,58)))</f>
        <v/>
      </c>
      <c r="U3046">
        <f>IF($O3046="","",IF(INDEX(Dossiers!$G$4:$G$63,58)="","",INDEX(Dossiers!$G$4:$G$63,58)))</f>
        <v/>
      </c>
      <c r="V3046">
        <f>IF(OR($O3046="",NOT(ISNUMBER($Q3046))),"",$Q3046*1000000+3046)</f>
        <v/>
      </c>
      <c r="W3046" s="29">
        <f>IF($B3046="","",IFERROR(INDEX($U$4:$U$3183,MATCH(SMALL($V$4:$V$3183,3043),$V$4:$V$3183,0)),""))</f>
        <v/>
      </c>
    </row>
    <row r="3047">
      <c r="A3047">
        <f>IFERROR(INDEX($N$4:$N$3183,MATCH(SMALL($V$4:$V$3183,3044),$V$4:$V$3183,0)),"")</f>
        <v/>
      </c>
      <c r="B3047">
        <f>IFERROR(INDEX($O$4:$O$3183,MATCH(SMALL($V$4:$V$3183,3044),$V$4:$V$3183,0)),"")</f>
        <v/>
      </c>
      <c r="C3047">
        <f>IFERROR(INDEX($P$4:$P$3183,MATCH(SMALL($V$4:$V$3183,3044),$V$4:$V$3183,0)),"")</f>
        <v/>
      </c>
      <c r="D3047" s="29">
        <f>IFERROR(INDEX($Q$4:$Q$3183,MATCH(SMALL($V$4:$V$3183,3044),$V$4:$V$3183,0)),"")</f>
        <v/>
      </c>
      <c r="E3047" s="29">
        <f>IFERROR(INDEX($R$4:$R$3183,MATCH(SMALL($V$4:$V$3183,3044),$V$4:$V$3183,0)),"")</f>
        <v/>
      </c>
      <c r="F3047">
        <f>IFERROR(INDEX($S$4:$S$3183,MATCH(SMALL($V$4:$V$3183,3044),$V$4:$V$3183,0)),"")</f>
        <v/>
      </c>
      <c r="I3047" s="29">
        <f>IF($B3047="","",IFERROR(INDEX($U$4:$U$3183,MATCH(SMALL($V$4:$V$3183,3044),$V$4:$V$3183,0)),""))</f>
        <v/>
      </c>
      <c r="J3047">
        <f>IF($B3047="","",IF($D3047&gt;$F$2,"À venir",IF($E3047&lt;$D$2,"Passé","Dans la période")))</f>
        <v/>
      </c>
      <c r="K3047">
        <f>IF(OR($B3047="",NOT(ISNUMBER($D3047))),"",IF(AND($E3047&lt;$D$2,$G3047&lt;&gt;"X",$F3047&lt;&gt;"Réalisé",$F3047&lt;&gt;"Clôturé"),"RETARD",""))</f>
        <v/>
      </c>
      <c r="L3047">
        <f>IF(OR($B3047="",NOT(ISNUMBER($D3047))),"",IF(AND($D3047&gt;=$D$2,$D3047&lt;=$H$2,$G3047&lt;&gt;"X",$F3047&lt;&gt;"Réalisé",$F3047&lt;&gt;"Clôturé"),"≤ 7 j",""))</f>
        <v/>
      </c>
      <c r="M3047" s="29">
        <f>IF($B3047="","",IFERROR(INDEX($T$4:$T$3183,MATCH(SMALL($V$4:$V$3183,3044),$V$4:$V$3183,0)),""))</f>
        <v/>
      </c>
      <c r="O3047">
        <f>IF(INDEX(Suivi!$B:$B,3105)="","",INDEX(Suivi!$B:$B,3105))</f>
        <v/>
      </c>
      <c r="P3047">
        <f>IF($O3047="","",IF(INDEX(Suivi!$D:$D,3105)="",INDEX(Suivi!$C:$C,3105),INDEX(Suivi!$D:$D,3105)))</f>
        <v/>
      </c>
      <c r="Q3047">
        <f>IF($O3047="","",INDEX(Suivi!$E:$E,3105))</f>
        <v/>
      </c>
      <c r="R3047">
        <f>IF($O3047="","",INDEX(Suivi!$F:$F,3105))</f>
        <v/>
      </c>
      <c r="S3047">
        <f>IF($O3047="","",INDEX(Suivi!$G:$G,3105))</f>
        <v/>
      </c>
      <c r="T3047">
        <f>IF($O3047="","",IF(INDEX(Dossiers!$F$4:$F$63,58)="","",INDEX(Dossiers!$F$4:$F$63,58)))</f>
        <v/>
      </c>
      <c r="U3047">
        <f>IF($O3047="","",IF(INDEX(Dossiers!$G$4:$G$63,58)="","",INDEX(Dossiers!$G$4:$G$63,58)))</f>
        <v/>
      </c>
      <c r="V3047">
        <f>IF(OR($O3047="",NOT(ISNUMBER($Q3047))),"",$Q3047*1000000+3047)</f>
        <v/>
      </c>
      <c r="W3047" s="29">
        <f>IF($B3047="","",IFERROR(INDEX($U$4:$U$3183,MATCH(SMALL($V$4:$V$3183,3044),$V$4:$V$3183,0)),""))</f>
        <v/>
      </c>
    </row>
    <row r="3048">
      <c r="A3048">
        <f>IFERROR(INDEX($N$4:$N$3183,MATCH(SMALL($V$4:$V$3183,3045),$V$4:$V$3183,0)),"")</f>
        <v/>
      </c>
      <c r="B3048">
        <f>IFERROR(INDEX($O$4:$O$3183,MATCH(SMALL($V$4:$V$3183,3045),$V$4:$V$3183,0)),"")</f>
        <v/>
      </c>
      <c r="C3048">
        <f>IFERROR(INDEX($P$4:$P$3183,MATCH(SMALL($V$4:$V$3183,3045),$V$4:$V$3183,0)),"")</f>
        <v/>
      </c>
      <c r="D3048" s="29">
        <f>IFERROR(INDEX($Q$4:$Q$3183,MATCH(SMALL($V$4:$V$3183,3045),$V$4:$V$3183,0)),"")</f>
        <v/>
      </c>
      <c r="E3048" s="29">
        <f>IFERROR(INDEX($R$4:$R$3183,MATCH(SMALL($V$4:$V$3183,3045),$V$4:$V$3183,0)),"")</f>
        <v/>
      </c>
      <c r="F3048">
        <f>IFERROR(INDEX($S$4:$S$3183,MATCH(SMALL($V$4:$V$3183,3045),$V$4:$V$3183,0)),"")</f>
        <v/>
      </c>
      <c r="I3048" s="29">
        <f>IF($B3048="","",IFERROR(INDEX($U$4:$U$3183,MATCH(SMALL($V$4:$V$3183,3045),$V$4:$V$3183,0)),""))</f>
        <v/>
      </c>
      <c r="J3048">
        <f>IF($B3048="","",IF($D3048&gt;$F$2,"À venir",IF($E3048&lt;$D$2,"Passé","Dans la période")))</f>
        <v/>
      </c>
      <c r="K3048">
        <f>IF(OR($B3048="",NOT(ISNUMBER($D3048))),"",IF(AND($E3048&lt;$D$2,$G3048&lt;&gt;"X",$F3048&lt;&gt;"Réalisé",$F3048&lt;&gt;"Clôturé"),"RETARD",""))</f>
        <v/>
      </c>
      <c r="L3048">
        <f>IF(OR($B3048="",NOT(ISNUMBER($D3048))),"",IF(AND($D3048&gt;=$D$2,$D3048&lt;=$H$2,$G3048&lt;&gt;"X",$F3048&lt;&gt;"Réalisé",$F3048&lt;&gt;"Clôturé"),"≤ 7 j",""))</f>
        <v/>
      </c>
      <c r="M3048" s="29">
        <f>IF($B3048="","",IFERROR(INDEX($T$4:$T$3183,MATCH(SMALL($V$4:$V$3183,3045),$V$4:$V$3183,0)),""))</f>
        <v/>
      </c>
      <c r="O3048">
        <f>IF(INDEX(Suivi!$B:$B,3106)="","",INDEX(Suivi!$B:$B,3106))</f>
        <v/>
      </c>
      <c r="P3048">
        <f>IF($O3048="","",IF(INDEX(Suivi!$D:$D,3106)="",INDEX(Suivi!$C:$C,3106),INDEX(Suivi!$D:$D,3106)))</f>
        <v/>
      </c>
      <c r="Q3048">
        <f>IF($O3048="","",INDEX(Suivi!$E:$E,3106))</f>
        <v/>
      </c>
      <c r="R3048">
        <f>IF($O3048="","",INDEX(Suivi!$F:$F,3106))</f>
        <v/>
      </c>
      <c r="S3048">
        <f>IF($O3048="","",INDEX(Suivi!$G:$G,3106))</f>
        <v/>
      </c>
      <c r="T3048">
        <f>IF($O3048="","",IF(INDEX(Dossiers!$F$4:$F$63,58)="","",INDEX(Dossiers!$F$4:$F$63,58)))</f>
        <v/>
      </c>
      <c r="U3048">
        <f>IF($O3048="","",IF(INDEX(Dossiers!$G$4:$G$63,58)="","",INDEX(Dossiers!$G$4:$G$63,58)))</f>
        <v/>
      </c>
      <c r="V3048">
        <f>IF(OR($O3048="",NOT(ISNUMBER($Q3048))),"",$Q3048*1000000+3048)</f>
        <v/>
      </c>
      <c r="W3048" s="29">
        <f>IF($B3048="","",IFERROR(INDEX($U$4:$U$3183,MATCH(SMALL($V$4:$V$3183,3045),$V$4:$V$3183,0)),""))</f>
        <v/>
      </c>
    </row>
    <row r="3049">
      <c r="A3049">
        <f>IFERROR(INDEX($N$4:$N$3183,MATCH(SMALL($V$4:$V$3183,3046),$V$4:$V$3183,0)),"")</f>
        <v/>
      </c>
      <c r="B3049">
        <f>IFERROR(INDEX($O$4:$O$3183,MATCH(SMALL($V$4:$V$3183,3046),$V$4:$V$3183,0)),"")</f>
        <v/>
      </c>
      <c r="C3049">
        <f>IFERROR(INDEX($P$4:$P$3183,MATCH(SMALL($V$4:$V$3183,3046),$V$4:$V$3183,0)),"")</f>
        <v/>
      </c>
      <c r="D3049" s="29">
        <f>IFERROR(INDEX($Q$4:$Q$3183,MATCH(SMALL($V$4:$V$3183,3046),$V$4:$V$3183,0)),"")</f>
        <v/>
      </c>
      <c r="E3049" s="29">
        <f>IFERROR(INDEX($R$4:$R$3183,MATCH(SMALL($V$4:$V$3183,3046),$V$4:$V$3183,0)),"")</f>
        <v/>
      </c>
      <c r="F3049">
        <f>IFERROR(INDEX($S$4:$S$3183,MATCH(SMALL($V$4:$V$3183,3046),$V$4:$V$3183,0)),"")</f>
        <v/>
      </c>
      <c r="I3049" s="29">
        <f>IF($B3049="","",IFERROR(INDEX($U$4:$U$3183,MATCH(SMALL($V$4:$V$3183,3046),$V$4:$V$3183,0)),""))</f>
        <v/>
      </c>
      <c r="J3049">
        <f>IF($B3049="","",IF($D3049&gt;$F$2,"À venir",IF($E3049&lt;$D$2,"Passé","Dans la période")))</f>
        <v/>
      </c>
      <c r="K3049">
        <f>IF(OR($B3049="",NOT(ISNUMBER($D3049))),"",IF(AND($E3049&lt;$D$2,$G3049&lt;&gt;"X",$F3049&lt;&gt;"Réalisé",$F3049&lt;&gt;"Clôturé"),"RETARD",""))</f>
        <v/>
      </c>
      <c r="L3049">
        <f>IF(OR($B3049="",NOT(ISNUMBER($D3049))),"",IF(AND($D3049&gt;=$D$2,$D3049&lt;=$H$2,$G3049&lt;&gt;"X",$F3049&lt;&gt;"Réalisé",$F3049&lt;&gt;"Clôturé"),"≤ 7 j",""))</f>
        <v/>
      </c>
      <c r="M3049" s="29">
        <f>IF($B3049="","",IFERROR(INDEX($T$4:$T$3183,MATCH(SMALL($V$4:$V$3183,3046),$V$4:$V$3183,0)),""))</f>
        <v/>
      </c>
      <c r="O3049">
        <f>IF(INDEX(Suivi!$B:$B,3107)="","",INDEX(Suivi!$B:$B,3107))</f>
        <v/>
      </c>
      <c r="P3049">
        <f>IF($O3049="","",IF(INDEX(Suivi!$D:$D,3107)="",INDEX(Suivi!$C:$C,3107),INDEX(Suivi!$D:$D,3107)))</f>
        <v/>
      </c>
      <c r="Q3049">
        <f>IF($O3049="","",INDEX(Suivi!$E:$E,3107))</f>
        <v/>
      </c>
      <c r="R3049">
        <f>IF($O3049="","",INDEX(Suivi!$F:$F,3107))</f>
        <v/>
      </c>
      <c r="S3049">
        <f>IF($O3049="","",INDEX(Suivi!$G:$G,3107))</f>
        <v/>
      </c>
      <c r="T3049">
        <f>IF($O3049="","",IF(INDEX(Dossiers!$F$4:$F$63,58)="","",INDEX(Dossiers!$F$4:$F$63,58)))</f>
        <v/>
      </c>
      <c r="U3049">
        <f>IF($O3049="","",IF(INDEX(Dossiers!$G$4:$G$63,58)="","",INDEX(Dossiers!$G$4:$G$63,58)))</f>
        <v/>
      </c>
      <c r="V3049">
        <f>IF(OR($O3049="",NOT(ISNUMBER($Q3049))),"",$Q3049*1000000+3049)</f>
        <v/>
      </c>
      <c r="W3049" s="29">
        <f>IF($B3049="","",IFERROR(INDEX($U$4:$U$3183,MATCH(SMALL($V$4:$V$3183,3046),$V$4:$V$3183,0)),""))</f>
        <v/>
      </c>
    </row>
    <row r="3050">
      <c r="A3050">
        <f>IFERROR(INDEX($N$4:$N$3183,MATCH(SMALL($V$4:$V$3183,3047),$V$4:$V$3183,0)),"")</f>
        <v/>
      </c>
      <c r="B3050">
        <f>IFERROR(INDEX($O$4:$O$3183,MATCH(SMALL($V$4:$V$3183,3047),$V$4:$V$3183,0)),"")</f>
        <v/>
      </c>
      <c r="C3050">
        <f>IFERROR(INDEX($P$4:$P$3183,MATCH(SMALL($V$4:$V$3183,3047),$V$4:$V$3183,0)),"")</f>
        <v/>
      </c>
      <c r="D3050" s="29">
        <f>IFERROR(INDEX($Q$4:$Q$3183,MATCH(SMALL($V$4:$V$3183,3047),$V$4:$V$3183,0)),"")</f>
        <v/>
      </c>
      <c r="E3050" s="29">
        <f>IFERROR(INDEX($R$4:$R$3183,MATCH(SMALL($V$4:$V$3183,3047),$V$4:$V$3183,0)),"")</f>
        <v/>
      </c>
      <c r="F3050">
        <f>IFERROR(INDEX($S$4:$S$3183,MATCH(SMALL($V$4:$V$3183,3047),$V$4:$V$3183,0)),"")</f>
        <v/>
      </c>
      <c r="I3050" s="29">
        <f>IF($B3050="","",IFERROR(INDEX($U$4:$U$3183,MATCH(SMALL($V$4:$V$3183,3047),$V$4:$V$3183,0)),""))</f>
        <v/>
      </c>
      <c r="J3050">
        <f>IF($B3050="","",IF($D3050&gt;$F$2,"À venir",IF($E3050&lt;$D$2,"Passé","Dans la période")))</f>
        <v/>
      </c>
      <c r="K3050">
        <f>IF(OR($B3050="",NOT(ISNUMBER($D3050))),"",IF(AND($E3050&lt;$D$2,$G3050&lt;&gt;"X",$F3050&lt;&gt;"Réalisé",$F3050&lt;&gt;"Clôturé"),"RETARD",""))</f>
        <v/>
      </c>
      <c r="L3050">
        <f>IF(OR($B3050="",NOT(ISNUMBER($D3050))),"",IF(AND($D3050&gt;=$D$2,$D3050&lt;=$H$2,$G3050&lt;&gt;"X",$F3050&lt;&gt;"Réalisé",$F3050&lt;&gt;"Clôturé"),"≤ 7 j",""))</f>
        <v/>
      </c>
      <c r="M3050" s="29">
        <f>IF($B3050="","",IFERROR(INDEX($T$4:$T$3183,MATCH(SMALL($V$4:$V$3183,3047),$V$4:$V$3183,0)),""))</f>
        <v/>
      </c>
      <c r="O3050">
        <f>IF(INDEX(Suivi!$B:$B,3108)="","",INDEX(Suivi!$B:$B,3108))</f>
        <v/>
      </c>
      <c r="P3050">
        <f>IF($O3050="","",IF(INDEX(Suivi!$D:$D,3108)="",INDEX(Suivi!$C:$C,3108),INDEX(Suivi!$D:$D,3108)))</f>
        <v/>
      </c>
      <c r="Q3050">
        <f>IF($O3050="","",INDEX(Suivi!$E:$E,3108))</f>
        <v/>
      </c>
      <c r="R3050">
        <f>IF($O3050="","",INDEX(Suivi!$F:$F,3108))</f>
        <v/>
      </c>
      <c r="S3050">
        <f>IF($O3050="","",INDEX(Suivi!$G:$G,3108))</f>
        <v/>
      </c>
      <c r="T3050">
        <f>IF($O3050="","",IF(INDEX(Dossiers!$F$4:$F$63,58)="","",INDEX(Dossiers!$F$4:$F$63,58)))</f>
        <v/>
      </c>
      <c r="U3050">
        <f>IF($O3050="","",IF(INDEX(Dossiers!$G$4:$G$63,58)="","",INDEX(Dossiers!$G$4:$G$63,58)))</f>
        <v/>
      </c>
      <c r="V3050">
        <f>IF(OR($O3050="",NOT(ISNUMBER($Q3050))),"",$Q3050*1000000+3050)</f>
        <v/>
      </c>
      <c r="W3050" s="29">
        <f>IF($B3050="","",IFERROR(INDEX($U$4:$U$3183,MATCH(SMALL($V$4:$V$3183,3047),$V$4:$V$3183,0)),""))</f>
        <v/>
      </c>
    </row>
    <row r="3051">
      <c r="A3051">
        <f>IFERROR(INDEX($N$4:$N$3183,MATCH(SMALL($V$4:$V$3183,3048),$V$4:$V$3183,0)),"")</f>
        <v/>
      </c>
      <c r="B3051">
        <f>IFERROR(INDEX($O$4:$O$3183,MATCH(SMALL($V$4:$V$3183,3048),$V$4:$V$3183,0)),"")</f>
        <v/>
      </c>
      <c r="C3051">
        <f>IFERROR(INDEX($P$4:$P$3183,MATCH(SMALL($V$4:$V$3183,3048),$V$4:$V$3183,0)),"")</f>
        <v/>
      </c>
      <c r="D3051" s="29">
        <f>IFERROR(INDEX($Q$4:$Q$3183,MATCH(SMALL($V$4:$V$3183,3048),$V$4:$V$3183,0)),"")</f>
        <v/>
      </c>
      <c r="E3051" s="29">
        <f>IFERROR(INDEX($R$4:$R$3183,MATCH(SMALL($V$4:$V$3183,3048),$V$4:$V$3183,0)),"")</f>
        <v/>
      </c>
      <c r="F3051">
        <f>IFERROR(INDEX($S$4:$S$3183,MATCH(SMALL($V$4:$V$3183,3048),$V$4:$V$3183,0)),"")</f>
        <v/>
      </c>
      <c r="I3051" s="29">
        <f>IF($B3051="","",IFERROR(INDEX($U$4:$U$3183,MATCH(SMALL($V$4:$V$3183,3048),$V$4:$V$3183,0)),""))</f>
        <v/>
      </c>
      <c r="J3051">
        <f>IF($B3051="","",IF($D3051&gt;$F$2,"À venir",IF($E3051&lt;$D$2,"Passé","Dans la période")))</f>
        <v/>
      </c>
      <c r="K3051">
        <f>IF(OR($B3051="",NOT(ISNUMBER($D3051))),"",IF(AND($E3051&lt;$D$2,$G3051&lt;&gt;"X",$F3051&lt;&gt;"Réalisé",$F3051&lt;&gt;"Clôturé"),"RETARD",""))</f>
        <v/>
      </c>
      <c r="L3051">
        <f>IF(OR($B3051="",NOT(ISNUMBER($D3051))),"",IF(AND($D3051&gt;=$D$2,$D3051&lt;=$H$2,$G3051&lt;&gt;"X",$F3051&lt;&gt;"Réalisé",$F3051&lt;&gt;"Clôturé"),"≤ 7 j",""))</f>
        <v/>
      </c>
      <c r="M3051" s="29">
        <f>IF($B3051="","",IFERROR(INDEX($T$4:$T$3183,MATCH(SMALL($V$4:$V$3183,3048),$V$4:$V$3183,0)),""))</f>
        <v/>
      </c>
      <c r="O3051">
        <f>IF(INDEX(Suivi!$B:$B,3109)="","",INDEX(Suivi!$B:$B,3109))</f>
        <v/>
      </c>
      <c r="P3051">
        <f>IF($O3051="","",IF(INDEX(Suivi!$D:$D,3109)="",INDEX(Suivi!$C:$C,3109),INDEX(Suivi!$D:$D,3109)))</f>
        <v/>
      </c>
      <c r="Q3051">
        <f>IF($O3051="","",INDEX(Suivi!$E:$E,3109))</f>
        <v/>
      </c>
      <c r="R3051">
        <f>IF($O3051="","",INDEX(Suivi!$F:$F,3109))</f>
        <v/>
      </c>
      <c r="S3051">
        <f>IF($O3051="","",INDEX(Suivi!$G:$G,3109))</f>
        <v/>
      </c>
      <c r="T3051">
        <f>IF($O3051="","",IF(INDEX(Dossiers!$F$4:$F$63,58)="","",INDEX(Dossiers!$F$4:$F$63,58)))</f>
        <v/>
      </c>
      <c r="U3051">
        <f>IF($O3051="","",IF(INDEX(Dossiers!$G$4:$G$63,58)="","",INDEX(Dossiers!$G$4:$G$63,58)))</f>
        <v/>
      </c>
      <c r="V3051">
        <f>IF(OR($O3051="",NOT(ISNUMBER($Q3051))),"",$Q3051*1000000+3051)</f>
        <v/>
      </c>
      <c r="W3051" s="29">
        <f>IF($B3051="","",IFERROR(INDEX($U$4:$U$3183,MATCH(SMALL($V$4:$V$3183,3048),$V$4:$V$3183,0)),""))</f>
        <v/>
      </c>
    </row>
    <row r="3052">
      <c r="A3052">
        <f>IFERROR(INDEX($N$4:$N$3183,MATCH(SMALL($V$4:$V$3183,3049),$V$4:$V$3183,0)),"")</f>
        <v/>
      </c>
      <c r="B3052">
        <f>IFERROR(INDEX($O$4:$O$3183,MATCH(SMALL($V$4:$V$3183,3049),$V$4:$V$3183,0)),"")</f>
        <v/>
      </c>
      <c r="C3052">
        <f>IFERROR(INDEX($P$4:$P$3183,MATCH(SMALL($V$4:$V$3183,3049),$V$4:$V$3183,0)),"")</f>
        <v/>
      </c>
      <c r="D3052" s="29">
        <f>IFERROR(INDEX($Q$4:$Q$3183,MATCH(SMALL($V$4:$V$3183,3049),$V$4:$V$3183,0)),"")</f>
        <v/>
      </c>
      <c r="E3052" s="29">
        <f>IFERROR(INDEX($R$4:$R$3183,MATCH(SMALL($V$4:$V$3183,3049),$V$4:$V$3183,0)),"")</f>
        <v/>
      </c>
      <c r="F3052">
        <f>IFERROR(INDEX($S$4:$S$3183,MATCH(SMALL($V$4:$V$3183,3049),$V$4:$V$3183,0)),"")</f>
        <v/>
      </c>
      <c r="I3052" s="29">
        <f>IF($B3052="","",IFERROR(INDEX($U$4:$U$3183,MATCH(SMALL($V$4:$V$3183,3049),$V$4:$V$3183,0)),""))</f>
        <v/>
      </c>
      <c r="J3052">
        <f>IF($B3052="","",IF($D3052&gt;$F$2,"À venir",IF($E3052&lt;$D$2,"Passé","Dans la période")))</f>
        <v/>
      </c>
      <c r="K3052">
        <f>IF(OR($B3052="",NOT(ISNUMBER($D3052))),"",IF(AND($E3052&lt;$D$2,$G3052&lt;&gt;"X",$F3052&lt;&gt;"Réalisé",$F3052&lt;&gt;"Clôturé"),"RETARD",""))</f>
        <v/>
      </c>
      <c r="L3052">
        <f>IF(OR($B3052="",NOT(ISNUMBER($D3052))),"",IF(AND($D3052&gt;=$D$2,$D3052&lt;=$H$2,$G3052&lt;&gt;"X",$F3052&lt;&gt;"Réalisé",$F3052&lt;&gt;"Clôturé"),"≤ 7 j",""))</f>
        <v/>
      </c>
      <c r="M3052" s="29">
        <f>IF($B3052="","",IFERROR(INDEX($T$4:$T$3183,MATCH(SMALL($V$4:$V$3183,3049),$V$4:$V$3183,0)),""))</f>
        <v/>
      </c>
      <c r="O3052">
        <f>IF(INDEX(Suivi!$B:$B,3110)="","",INDEX(Suivi!$B:$B,3110))</f>
        <v/>
      </c>
      <c r="P3052">
        <f>IF($O3052="","",IF(INDEX(Suivi!$D:$D,3110)="",INDEX(Suivi!$C:$C,3110),INDEX(Suivi!$D:$D,3110)))</f>
        <v/>
      </c>
      <c r="Q3052">
        <f>IF($O3052="","",INDEX(Suivi!$E:$E,3110))</f>
        <v/>
      </c>
      <c r="R3052">
        <f>IF($O3052="","",INDEX(Suivi!$F:$F,3110))</f>
        <v/>
      </c>
      <c r="S3052">
        <f>IF($O3052="","",INDEX(Suivi!$G:$G,3110))</f>
        <v/>
      </c>
      <c r="T3052">
        <f>IF($O3052="","",IF(INDEX(Dossiers!$F$4:$F$63,58)="","",INDEX(Dossiers!$F$4:$F$63,58)))</f>
        <v/>
      </c>
      <c r="U3052">
        <f>IF($O3052="","",IF(INDEX(Dossiers!$G$4:$G$63,58)="","",INDEX(Dossiers!$G$4:$G$63,58)))</f>
        <v/>
      </c>
      <c r="V3052">
        <f>IF(OR($O3052="",NOT(ISNUMBER($Q3052))),"",$Q3052*1000000+3052)</f>
        <v/>
      </c>
      <c r="W3052" s="29">
        <f>IF($B3052="","",IFERROR(INDEX($U$4:$U$3183,MATCH(SMALL($V$4:$V$3183,3049),$V$4:$V$3183,0)),""))</f>
        <v/>
      </c>
    </row>
    <row r="3053">
      <c r="A3053">
        <f>IFERROR(INDEX($N$4:$N$3183,MATCH(SMALL($V$4:$V$3183,3050),$V$4:$V$3183,0)),"")</f>
        <v/>
      </c>
      <c r="B3053">
        <f>IFERROR(INDEX($O$4:$O$3183,MATCH(SMALL($V$4:$V$3183,3050),$V$4:$V$3183,0)),"")</f>
        <v/>
      </c>
      <c r="C3053">
        <f>IFERROR(INDEX($P$4:$P$3183,MATCH(SMALL($V$4:$V$3183,3050),$V$4:$V$3183,0)),"")</f>
        <v/>
      </c>
      <c r="D3053" s="29">
        <f>IFERROR(INDEX($Q$4:$Q$3183,MATCH(SMALL($V$4:$V$3183,3050),$V$4:$V$3183,0)),"")</f>
        <v/>
      </c>
      <c r="E3053" s="29">
        <f>IFERROR(INDEX($R$4:$R$3183,MATCH(SMALL($V$4:$V$3183,3050),$V$4:$V$3183,0)),"")</f>
        <v/>
      </c>
      <c r="F3053">
        <f>IFERROR(INDEX($S$4:$S$3183,MATCH(SMALL($V$4:$V$3183,3050),$V$4:$V$3183,0)),"")</f>
        <v/>
      </c>
      <c r="I3053" s="29">
        <f>IF($B3053="","",IFERROR(INDEX($U$4:$U$3183,MATCH(SMALL($V$4:$V$3183,3050),$V$4:$V$3183,0)),""))</f>
        <v/>
      </c>
      <c r="J3053">
        <f>IF($B3053="","",IF($D3053&gt;$F$2,"À venir",IF($E3053&lt;$D$2,"Passé","Dans la période")))</f>
        <v/>
      </c>
      <c r="K3053">
        <f>IF(OR($B3053="",NOT(ISNUMBER($D3053))),"",IF(AND($E3053&lt;$D$2,$G3053&lt;&gt;"X",$F3053&lt;&gt;"Réalisé",$F3053&lt;&gt;"Clôturé"),"RETARD",""))</f>
        <v/>
      </c>
      <c r="L3053">
        <f>IF(OR($B3053="",NOT(ISNUMBER($D3053))),"",IF(AND($D3053&gt;=$D$2,$D3053&lt;=$H$2,$G3053&lt;&gt;"X",$F3053&lt;&gt;"Réalisé",$F3053&lt;&gt;"Clôturé"),"≤ 7 j",""))</f>
        <v/>
      </c>
      <c r="M3053" s="29">
        <f>IF($B3053="","",IFERROR(INDEX($T$4:$T$3183,MATCH(SMALL($V$4:$V$3183,3050),$V$4:$V$3183,0)),""))</f>
        <v/>
      </c>
      <c r="O3053">
        <f>IF(INDEX(Suivi!$B:$B,3111)="","",INDEX(Suivi!$B:$B,3111))</f>
        <v/>
      </c>
      <c r="P3053">
        <f>IF($O3053="","",IF(INDEX(Suivi!$D:$D,3111)="",INDEX(Suivi!$C:$C,3111),INDEX(Suivi!$D:$D,3111)))</f>
        <v/>
      </c>
      <c r="Q3053">
        <f>IF($O3053="","",INDEX(Suivi!$E:$E,3111))</f>
        <v/>
      </c>
      <c r="R3053">
        <f>IF($O3053="","",INDEX(Suivi!$F:$F,3111))</f>
        <v/>
      </c>
      <c r="S3053">
        <f>IF($O3053="","",INDEX(Suivi!$G:$G,3111))</f>
        <v/>
      </c>
      <c r="T3053">
        <f>IF($O3053="","",IF(INDEX(Dossiers!$F$4:$F$63,58)="","",INDEX(Dossiers!$F$4:$F$63,58)))</f>
        <v/>
      </c>
      <c r="U3053">
        <f>IF($O3053="","",IF(INDEX(Dossiers!$G$4:$G$63,58)="","",INDEX(Dossiers!$G$4:$G$63,58)))</f>
        <v/>
      </c>
      <c r="V3053">
        <f>IF(OR($O3053="",NOT(ISNUMBER($Q3053))),"",$Q3053*1000000+3053)</f>
        <v/>
      </c>
      <c r="W3053" s="29">
        <f>IF($B3053="","",IFERROR(INDEX($U$4:$U$3183,MATCH(SMALL($V$4:$V$3183,3050),$V$4:$V$3183,0)),""))</f>
        <v/>
      </c>
    </row>
    <row r="3054">
      <c r="A3054">
        <f>IFERROR(INDEX($N$4:$N$3183,MATCH(SMALL($V$4:$V$3183,3051),$V$4:$V$3183,0)),"")</f>
        <v/>
      </c>
      <c r="B3054">
        <f>IFERROR(INDEX($O$4:$O$3183,MATCH(SMALL($V$4:$V$3183,3051),$V$4:$V$3183,0)),"")</f>
        <v/>
      </c>
      <c r="C3054">
        <f>IFERROR(INDEX($P$4:$P$3183,MATCH(SMALL($V$4:$V$3183,3051),$V$4:$V$3183,0)),"")</f>
        <v/>
      </c>
      <c r="D3054" s="29">
        <f>IFERROR(INDEX($Q$4:$Q$3183,MATCH(SMALL($V$4:$V$3183,3051),$V$4:$V$3183,0)),"")</f>
        <v/>
      </c>
      <c r="E3054" s="29">
        <f>IFERROR(INDEX($R$4:$R$3183,MATCH(SMALL($V$4:$V$3183,3051),$V$4:$V$3183,0)),"")</f>
        <v/>
      </c>
      <c r="F3054">
        <f>IFERROR(INDEX($S$4:$S$3183,MATCH(SMALL($V$4:$V$3183,3051),$V$4:$V$3183,0)),"")</f>
        <v/>
      </c>
      <c r="I3054" s="29">
        <f>IF($B3054="","",IFERROR(INDEX($U$4:$U$3183,MATCH(SMALL($V$4:$V$3183,3051),$V$4:$V$3183,0)),""))</f>
        <v/>
      </c>
      <c r="J3054">
        <f>IF($B3054="","",IF($D3054&gt;$F$2,"À venir",IF($E3054&lt;$D$2,"Passé","Dans la période")))</f>
        <v/>
      </c>
      <c r="K3054">
        <f>IF(OR($B3054="",NOT(ISNUMBER($D3054))),"",IF(AND($E3054&lt;$D$2,$G3054&lt;&gt;"X",$F3054&lt;&gt;"Réalisé",$F3054&lt;&gt;"Clôturé"),"RETARD",""))</f>
        <v/>
      </c>
      <c r="L3054">
        <f>IF(OR($B3054="",NOT(ISNUMBER($D3054))),"",IF(AND($D3054&gt;=$D$2,$D3054&lt;=$H$2,$G3054&lt;&gt;"X",$F3054&lt;&gt;"Réalisé",$F3054&lt;&gt;"Clôturé"),"≤ 7 j",""))</f>
        <v/>
      </c>
      <c r="M3054" s="29">
        <f>IF($B3054="","",IFERROR(INDEX($T$4:$T$3183,MATCH(SMALL($V$4:$V$3183,3051),$V$4:$V$3183,0)),""))</f>
        <v/>
      </c>
      <c r="O3054">
        <f>IF(INDEX(Suivi!$B:$B,3112)="","",INDEX(Suivi!$B:$B,3112))</f>
        <v/>
      </c>
      <c r="P3054">
        <f>IF($O3054="","",IF(INDEX(Suivi!$D:$D,3112)="",INDEX(Suivi!$C:$C,3112),INDEX(Suivi!$D:$D,3112)))</f>
        <v/>
      </c>
      <c r="Q3054">
        <f>IF($O3054="","",INDEX(Suivi!$E:$E,3112))</f>
        <v/>
      </c>
      <c r="R3054">
        <f>IF($O3054="","",INDEX(Suivi!$F:$F,3112))</f>
        <v/>
      </c>
      <c r="S3054">
        <f>IF($O3054="","",INDEX(Suivi!$G:$G,3112))</f>
        <v/>
      </c>
      <c r="T3054">
        <f>IF($O3054="","",IF(INDEX(Dossiers!$F$4:$F$63,58)="","",INDEX(Dossiers!$F$4:$F$63,58)))</f>
        <v/>
      </c>
      <c r="U3054">
        <f>IF($O3054="","",IF(INDEX(Dossiers!$G$4:$G$63,58)="","",INDEX(Dossiers!$G$4:$G$63,58)))</f>
        <v/>
      </c>
      <c r="V3054">
        <f>IF(OR($O3054="",NOT(ISNUMBER($Q3054))),"",$Q3054*1000000+3054)</f>
        <v/>
      </c>
      <c r="W3054" s="29">
        <f>IF($B3054="","",IFERROR(INDEX($U$4:$U$3183,MATCH(SMALL($V$4:$V$3183,3051),$V$4:$V$3183,0)),""))</f>
        <v/>
      </c>
    </row>
    <row r="3055">
      <c r="A3055">
        <f>IFERROR(INDEX($N$4:$N$3183,MATCH(SMALL($V$4:$V$3183,3052),$V$4:$V$3183,0)),"")</f>
        <v/>
      </c>
      <c r="B3055">
        <f>IFERROR(INDEX($O$4:$O$3183,MATCH(SMALL($V$4:$V$3183,3052),$V$4:$V$3183,0)),"")</f>
        <v/>
      </c>
      <c r="C3055">
        <f>IFERROR(INDEX($P$4:$P$3183,MATCH(SMALL($V$4:$V$3183,3052),$V$4:$V$3183,0)),"")</f>
        <v/>
      </c>
      <c r="D3055" s="29">
        <f>IFERROR(INDEX($Q$4:$Q$3183,MATCH(SMALL($V$4:$V$3183,3052),$V$4:$V$3183,0)),"")</f>
        <v/>
      </c>
      <c r="E3055" s="29">
        <f>IFERROR(INDEX($R$4:$R$3183,MATCH(SMALL($V$4:$V$3183,3052),$V$4:$V$3183,0)),"")</f>
        <v/>
      </c>
      <c r="F3055">
        <f>IFERROR(INDEX($S$4:$S$3183,MATCH(SMALL($V$4:$V$3183,3052),$V$4:$V$3183,0)),"")</f>
        <v/>
      </c>
      <c r="I3055" s="29">
        <f>IF($B3055="","",IFERROR(INDEX($U$4:$U$3183,MATCH(SMALL($V$4:$V$3183,3052),$V$4:$V$3183,0)),""))</f>
        <v/>
      </c>
      <c r="J3055">
        <f>IF($B3055="","",IF($D3055&gt;$F$2,"À venir",IF($E3055&lt;$D$2,"Passé","Dans la période")))</f>
        <v/>
      </c>
      <c r="K3055">
        <f>IF(OR($B3055="",NOT(ISNUMBER($D3055))),"",IF(AND($E3055&lt;$D$2,$G3055&lt;&gt;"X",$F3055&lt;&gt;"Réalisé",$F3055&lt;&gt;"Clôturé"),"RETARD",""))</f>
        <v/>
      </c>
      <c r="L3055">
        <f>IF(OR($B3055="",NOT(ISNUMBER($D3055))),"",IF(AND($D3055&gt;=$D$2,$D3055&lt;=$H$2,$G3055&lt;&gt;"X",$F3055&lt;&gt;"Réalisé",$F3055&lt;&gt;"Clôturé"),"≤ 7 j",""))</f>
        <v/>
      </c>
      <c r="M3055" s="29">
        <f>IF($B3055="","",IFERROR(INDEX($T$4:$T$3183,MATCH(SMALL($V$4:$V$3183,3052),$V$4:$V$3183,0)),""))</f>
        <v/>
      </c>
      <c r="O3055">
        <f>IF(INDEX(Suivi!$B:$B,3113)="","",INDEX(Suivi!$B:$B,3113))</f>
        <v/>
      </c>
      <c r="P3055">
        <f>IF($O3055="","",IF(INDEX(Suivi!$D:$D,3113)="",INDEX(Suivi!$C:$C,3113),INDEX(Suivi!$D:$D,3113)))</f>
        <v/>
      </c>
      <c r="Q3055">
        <f>IF($O3055="","",INDEX(Suivi!$E:$E,3113))</f>
        <v/>
      </c>
      <c r="R3055">
        <f>IF($O3055="","",INDEX(Suivi!$F:$F,3113))</f>
        <v/>
      </c>
      <c r="S3055">
        <f>IF($O3055="","",INDEX(Suivi!$G:$G,3113))</f>
        <v/>
      </c>
      <c r="T3055">
        <f>IF($O3055="","",IF(INDEX(Dossiers!$F$4:$F$63,58)="","",INDEX(Dossiers!$F$4:$F$63,58)))</f>
        <v/>
      </c>
      <c r="U3055">
        <f>IF($O3055="","",IF(INDEX(Dossiers!$G$4:$G$63,58)="","",INDEX(Dossiers!$G$4:$G$63,58)))</f>
        <v/>
      </c>
      <c r="V3055">
        <f>IF(OR($O3055="",NOT(ISNUMBER($Q3055))),"",$Q3055*1000000+3055)</f>
        <v/>
      </c>
      <c r="W3055" s="29">
        <f>IF($B3055="","",IFERROR(INDEX($U$4:$U$3183,MATCH(SMALL($V$4:$V$3183,3052),$V$4:$V$3183,0)),""))</f>
        <v/>
      </c>
    </row>
    <row r="3056">
      <c r="A3056">
        <f>IFERROR(INDEX($N$4:$N$3183,MATCH(SMALL($V$4:$V$3183,3053),$V$4:$V$3183,0)),"")</f>
        <v/>
      </c>
      <c r="B3056">
        <f>IFERROR(INDEX($O$4:$O$3183,MATCH(SMALL($V$4:$V$3183,3053),$V$4:$V$3183,0)),"")</f>
        <v/>
      </c>
      <c r="C3056">
        <f>IFERROR(INDEX($P$4:$P$3183,MATCH(SMALL($V$4:$V$3183,3053),$V$4:$V$3183,0)),"")</f>
        <v/>
      </c>
      <c r="D3056" s="29">
        <f>IFERROR(INDEX($Q$4:$Q$3183,MATCH(SMALL($V$4:$V$3183,3053),$V$4:$V$3183,0)),"")</f>
        <v/>
      </c>
      <c r="E3056" s="29">
        <f>IFERROR(INDEX($R$4:$R$3183,MATCH(SMALL($V$4:$V$3183,3053),$V$4:$V$3183,0)),"")</f>
        <v/>
      </c>
      <c r="F3056">
        <f>IFERROR(INDEX($S$4:$S$3183,MATCH(SMALL($V$4:$V$3183,3053),$V$4:$V$3183,0)),"")</f>
        <v/>
      </c>
      <c r="I3056" s="29">
        <f>IF($B3056="","",IFERROR(INDEX($U$4:$U$3183,MATCH(SMALL($V$4:$V$3183,3053),$V$4:$V$3183,0)),""))</f>
        <v/>
      </c>
      <c r="J3056">
        <f>IF($B3056="","",IF($D3056&gt;$F$2,"À venir",IF($E3056&lt;$D$2,"Passé","Dans la période")))</f>
        <v/>
      </c>
      <c r="K3056">
        <f>IF(OR($B3056="",NOT(ISNUMBER($D3056))),"",IF(AND($E3056&lt;$D$2,$G3056&lt;&gt;"X",$F3056&lt;&gt;"Réalisé",$F3056&lt;&gt;"Clôturé"),"RETARD",""))</f>
        <v/>
      </c>
      <c r="L3056">
        <f>IF(OR($B3056="",NOT(ISNUMBER($D3056))),"",IF(AND($D3056&gt;=$D$2,$D3056&lt;=$H$2,$G3056&lt;&gt;"X",$F3056&lt;&gt;"Réalisé",$F3056&lt;&gt;"Clôturé"),"≤ 7 j",""))</f>
        <v/>
      </c>
      <c r="M3056" s="29">
        <f>IF($B3056="","",IFERROR(INDEX($T$4:$T$3183,MATCH(SMALL($V$4:$V$3183,3053),$V$4:$V$3183,0)),""))</f>
        <v/>
      </c>
      <c r="O3056">
        <f>IF(INDEX(Suivi!$B:$B,3114)="","",INDEX(Suivi!$B:$B,3114))</f>
        <v/>
      </c>
      <c r="P3056">
        <f>IF($O3056="","",IF(INDEX(Suivi!$D:$D,3114)="",INDEX(Suivi!$C:$C,3114),INDEX(Suivi!$D:$D,3114)))</f>
        <v/>
      </c>
      <c r="Q3056">
        <f>IF($O3056="","",INDEX(Suivi!$E:$E,3114))</f>
        <v/>
      </c>
      <c r="R3056">
        <f>IF($O3056="","",INDEX(Suivi!$F:$F,3114))</f>
        <v/>
      </c>
      <c r="S3056">
        <f>IF($O3056="","",INDEX(Suivi!$G:$G,3114))</f>
        <v/>
      </c>
      <c r="T3056">
        <f>IF($O3056="","",IF(INDEX(Dossiers!$F$4:$F$63,58)="","",INDEX(Dossiers!$F$4:$F$63,58)))</f>
        <v/>
      </c>
      <c r="U3056">
        <f>IF($O3056="","",IF(INDEX(Dossiers!$G$4:$G$63,58)="","",INDEX(Dossiers!$G$4:$G$63,58)))</f>
        <v/>
      </c>
      <c r="V3056">
        <f>IF(OR($O3056="",NOT(ISNUMBER($Q3056))),"",$Q3056*1000000+3056)</f>
        <v/>
      </c>
      <c r="W3056" s="29">
        <f>IF($B3056="","",IFERROR(INDEX($U$4:$U$3183,MATCH(SMALL($V$4:$V$3183,3053),$V$4:$V$3183,0)),""))</f>
        <v/>
      </c>
    </row>
    <row r="3057">
      <c r="A3057">
        <f>IFERROR(INDEX($N$4:$N$3183,MATCH(SMALL($V$4:$V$3183,3054),$V$4:$V$3183,0)),"")</f>
        <v/>
      </c>
      <c r="B3057">
        <f>IFERROR(INDEX($O$4:$O$3183,MATCH(SMALL($V$4:$V$3183,3054),$V$4:$V$3183,0)),"")</f>
        <v/>
      </c>
      <c r="C3057">
        <f>IFERROR(INDEX($P$4:$P$3183,MATCH(SMALL($V$4:$V$3183,3054),$V$4:$V$3183,0)),"")</f>
        <v/>
      </c>
      <c r="D3057" s="29">
        <f>IFERROR(INDEX($Q$4:$Q$3183,MATCH(SMALL($V$4:$V$3183,3054),$V$4:$V$3183,0)),"")</f>
        <v/>
      </c>
      <c r="E3057" s="29">
        <f>IFERROR(INDEX($R$4:$R$3183,MATCH(SMALL($V$4:$V$3183,3054),$V$4:$V$3183,0)),"")</f>
        <v/>
      </c>
      <c r="F3057">
        <f>IFERROR(INDEX($S$4:$S$3183,MATCH(SMALL($V$4:$V$3183,3054),$V$4:$V$3183,0)),"")</f>
        <v/>
      </c>
      <c r="I3057" s="29">
        <f>IF($B3057="","",IFERROR(INDEX($U$4:$U$3183,MATCH(SMALL($V$4:$V$3183,3054),$V$4:$V$3183,0)),""))</f>
        <v/>
      </c>
      <c r="J3057">
        <f>IF($B3057="","",IF($D3057&gt;$F$2,"À venir",IF($E3057&lt;$D$2,"Passé","Dans la période")))</f>
        <v/>
      </c>
      <c r="K3057">
        <f>IF(OR($B3057="",NOT(ISNUMBER($D3057))),"",IF(AND($E3057&lt;$D$2,$G3057&lt;&gt;"X",$F3057&lt;&gt;"Réalisé",$F3057&lt;&gt;"Clôturé"),"RETARD",""))</f>
        <v/>
      </c>
      <c r="L3057">
        <f>IF(OR($B3057="",NOT(ISNUMBER($D3057))),"",IF(AND($D3057&gt;=$D$2,$D3057&lt;=$H$2,$G3057&lt;&gt;"X",$F3057&lt;&gt;"Réalisé",$F3057&lt;&gt;"Clôturé"),"≤ 7 j",""))</f>
        <v/>
      </c>
      <c r="M3057" s="29">
        <f>IF($B3057="","",IFERROR(INDEX($T$4:$T$3183,MATCH(SMALL($V$4:$V$3183,3054),$V$4:$V$3183,0)),""))</f>
        <v/>
      </c>
      <c r="O3057">
        <f>IF(INDEX(Suivi!$B:$B,3115)="","",INDEX(Suivi!$B:$B,3115))</f>
        <v/>
      </c>
      <c r="P3057">
        <f>IF($O3057="","",IF(INDEX(Suivi!$D:$D,3115)="",INDEX(Suivi!$C:$C,3115),INDEX(Suivi!$D:$D,3115)))</f>
        <v/>
      </c>
      <c r="Q3057">
        <f>IF($O3057="","",INDEX(Suivi!$E:$E,3115))</f>
        <v/>
      </c>
      <c r="R3057">
        <f>IF($O3057="","",INDEX(Suivi!$F:$F,3115))</f>
        <v/>
      </c>
      <c r="S3057">
        <f>IF($O3057="","",INDEX(Suivi!$G:$G,3115))</f>
        <v/>
      </c>
      <c r="T3057">
        <f>IF($O3057="","",IF(INDEX(Dossiers!$F$4:$F$63,58)="","",INDEX(Dossiers!$F$4:$F$63,58)))</f>
        <v/>
      </c>
      <c r="U3057">
        <f>IF($O3057="","",IF(INDEX(Dossiers!$G$4:$G$63,58)="","",INDEX(Dossiers!$G$4:$G$63,58)))</f>
        <v/>
      </c>
      <c r="V3057">
        <f>IF(OR($O3057="",NOT(ISNUMBER($Q3057))),"",$Q3057*1000000+3057)</f>
        <v/>
      </c>
      <c r="W3057" s="29">
        <f>IF($B3057="","",IFERROR(INDEX($U$4:$U$3183,MATCH(SMALL($V$4:$V$3183,3054),$V$4:$V$3183,0)),""))</f>
        <v/>
      </c>
    </row>
    <row r="3058">
      <c r="A3058">
        <f>IFERROR(INDEX($N$4:$N$3183,MATCH(SMALL($V$4:$V$3183,3055),$V$4:$V$3183,0)),"")</f>
        <v/>
      </c>
      <c r="B3058">
        <f>IFERROR(INDEX($O$4:$O$3183,MATCH(SMALL($V$4:$V$3183,3055),$V$4:$V$3183,0)),"")</f>
        <v/>
      </c>
      <c r="C3058">
        <f>IFERROR(INDEX($P$4:$P$3183,MATCH(SMALL($V$4:$V$3183,3055),$V$4:$V$3183,0)),"")</f>
        <v/>
      </c>
      <c r="D3058" s="29">
        <f>IFERROR(INDEX($Q$4:$Q$3183,MATCH(SMALL($V$4:$V$3183,3055),$V$4:$V$3183,0)),"")</f>
        <v/>
      </c>
      <c r="E3058" s="29">
        <f>IFERROR(INDEX($R$4:$R$3183,MATCH(SMALL($V$4:$V$3183,3055),$V$4:$V$3183,0)),"")</f>
        <v/>
      </c>
      <c r="F3058">
        <f>IFERROR(INDEX($S$4:$S$3183,MATCH(SMALL($V$4:$V$3183,3055),$V$4:$V$3183,0)),"")</f>
        <v/>
      </c>
      <c r="I3058" s="29">
        <f>IF($B3058="","",IFERROR(INDEX($U$4:$U$3183,MATCH(SMALL($V$4:$V$3183,3055),$V$4:$V$3183,0)),""))</f>
        <v/>
      </c>
      <c r="J3058">
        <f>IF($B3058="","",IF($D3058&gt;$F$2,"À venir",IF($E3058&lt;$D$2,"Passé","Dans la période")))</f>
        <v/>
      </c>
      <c r="K3058">
        <f>IF(OR($B3058="",NOT(ISNUMBER($D3058))),"",IF(AND($E3058&lt;$D$2,$G3058&lt;&gt;"X",$F3058&lt;&gt;"Réalisé",$F3058&lt;&gt;"Clôturé"),"RETARD",""))</f>
        <v/>
      </c>
      <c r="L3058">
        <f>IF(OR($B3058="",NOT(ISNUMBER($D3058))),"",IF(AND($D3058&gt;=$D$2,$D3058&lt;=$H$2,$G3058&lt;&gt;"X",$F3058&lt;&gt;"Réalisé",$F3058&lt;&gt;"Clôturé"),"≤ 7 j",""))</f>
        <v/>
      </c>
      <c r="M3058" s="29">
        <f>IF($B3058="","",IFERROR(INDEX($T$4:$T$3183,MATCH(SMALL($V$4:$V$3183,3055),$V$4:$V$3183,0)),""))</f>
        <v/>
      </c>
      <c r="O3058">
        <f>IF(INDEX(Suivi!$B:$B,3116)="","",INDEX(Suivi!$B:$B,3116))</f>
        <v/>
      </c>
      <c r="P3058">
        <f>IF($O3058="","",IF(INDEX(Suivi!$D:$D,3116)="",INDEX(Suivi!$C:$C,3116),INDEX(Suivi!$D:$D,3116)))</f>
        <v/>
      </c>
      <c r="Q3058">
        <f>IF($O3058="","",INDEX(Suivi!$E:$E,3116))</f>
        <v/>
      </c>
      <c r="R3058">
        <f>IF($O3058="","",INDEX(Suivi!$F:$F,3116))</f>
        <v/>
      </c>
      <c r="S3058">
        <f>IF($O3058="","",INDEX(Suivi!$G:$G,3116))</f>
        <v/>
      </c>
      <c r="T3058">
        <f>IF($O3058="","",IF(INDEX(Dossiers!$F$4:$F$63,58)="","",INDEX(Dossiers!$F$4:$F$63,58)))</f>
        <v/>
      </c>
      <c r="U3058">
        <f>IF($O3058="","",IF(INDEX(Dossiers!$G$4:$G$63,58)="","",INDEX(Dossiers!$G$4:$G$63,58)))</f>
        <v/>
      </c>
      <c r="V3058">
        <f>IF(OR($O3058="",NOT(ISNUMBER($Q3058))),"",$Q3058*1000000+3058)</f>
        <v/>
      </c>
      <c r="W3058" s="29">
        <f>IF($B3058="","",IFERROR(INDEX($U$4:$U$3183,MATCH(SMALL($V$4:$V$3183,3055),$V$4:$V$3183,0)),""))</f>
        <v/>
      </c>
    </row>
    <row r="3059">
      <c r="A3059">
        <f>IFERROR(INDEX($N$4:$N$3183,MATCH(SMALL($V$4:$V$3183,3056),$V$4:$V$3183,0)),"")</f>
        <v/>
      </c>
      <c r="B3059">
        <f>IFERROR(INDEX($O$4:$O$3183,MATCH(SMALL($V$4:$V$3183,3056),$V$4:$V$3183,0)),"")</f>
        <v/>
      </c>
      <c r="C3059">
        <f>IFERROR(INDEX($P$4:$P$3183,MATCH(SMALL($V$4:$V$3183,3056),$V$4:$V$3183,0)),"")</f>
        <v/>
      </c>
      <c r="D3059" s="29">
        <f>IFERROR(INDEX($Q$4:$Q$3183,MATCH(SMALL($V$4:$V$3183,3056),$V$4:$V$3183,0)),"")</f>
        <v/>
      </c>
      <c r="E3059" s="29">
        <f>IFERROR(INDEX($R$4:$R$3183,MATCH(SMALL($V$4:$V$3183,3056),$V$4:$V$3183,0)),"")</f>
        <v/>
      </c>
      <c r="F3059">
        <f>IFERROR(INDEX($S$4:$S$3183,MATCH(SMALL($V$4:$V$3183,3056),$V$4:$V$3183,0)),"")</f>
        <v/>
      </c>
      <c r="I3059" s="29">
        <f>IF($B3059="","",IFERROR(INDEX($U$4:$U$3183,MATCH(SMALL($V$4:$V$3183,3056),$V$4:$V$3183,0)),""))</f>
        <v/>
      </c>
      <c r="J3059">
        <f>IF($B3059="","",IF($D3059&gt;$F$2,"À venir",IF($E3059&lt;$D$2,"Passé","Dans la période")))</f>
        <v/>
      </c>
      <c r="K3059">
        <f>IF(OR($B3059="",NOT(ISNUMBER($D3059))),"",IF(AND($E3059&lt;$D$2,$G3059&lt;&gt;"X",$F3059&lt;&gt;"Réalisé",$F3059&lt;&gt;"Clôturé"),"RETARD",""))</f>
        <v/>
      </c>
      <c r="L3059">
        <f>IF(OR($B3059="",NOT(ISNUMBER($D3059))),"",IF(AND($D3059&gt;=$D$2,$D3059&lt;=$H$2,$G3059&lt;&gt;"X",$F3059&lt;&gt;"Réalisé",$F3059&lt;&gt;"Clôturé"),"≤ 7 j",""))</f>
        <v/>
      </c>
      <c r="M3059" s="29">
        <f>IF($B3059="","",IFERROR(INDEX($T$4:$T$3183,MATCH(SMALL($V$4:$V$3183,3056),$V$4:$V$3183,0)),""))</f>
        <v/>
      </c>
      <c r="O3059">
        <f>IF(INDEX(Suivi!$B:$B,3117)="","",INDEX(Suivi!$B:$B,3117))</f>
        <v/>
      </c>
      <c r="P3059">
        <f>IF($O3059="","",IF(INDEX(Suivi!$D:$D,3117)="",INDEX(Suivi!$C:$C,3117),INDEX(Suivi!$D:$D,3117)))</f>
        <v/>
      </c>
      <c r="Q3059">
        <f>IF($O3059="","",INDEX(Suivi!$E:$E,3117))</f>
        <v/>
      </c>
      <c r="R3059">
        <f>IF($O3059="","",INDEX(Suivi!$F:$F,3117))</f>
        <v/>
      </c>
      <c r="S3059">
        <f>IF($O3059="","",INDEX(Suivi!$G:$G,3117))</f>
        <v/>
      </c>
      <c r="T3059">
        <f>IF($O3059="","",IF(INDEX(Dossiers!$F$4:$F$63,58)="","",INDEX(Dossiers!$F$4:$F$63,58)))</f>
        <v/>
      </c>
      <c r="U3059">
        <f>IF($O3059="","",IF(INDEX(Dossiers!$G$4:$G$63,58)="","",INDEX(Dossiers!$G$4:$G$63,58)))</f>
        <v/>
      </c>
      <c r="V3059">
        <f>IF(OR($O3059="",NOT(ISNUMBER($Q3059))),"",$Q3059*1000000+3059)</f>
        <v/>
      </c>
      <c r="W3059" s="29">
        <f>IF($B3059="","",IFERROR(INDEX($U$4:$U$3183,MATCH(SMALL($V$4:$V$3183,3056),$V$4:$V$3183,0)),""))</f>
        <v/>
      </c>
    </row>
    <row r="3060">
      <c r="A3060">
        <f>IFERROR(INDEX($N$4:$N$3183,MATCH(SMALL($V$4:$V$3183,3057),$V$4:$V$3183,0)),"")</f>
        <v/>
      </c>
      <c r="B3060">
        <f>IFERROR(INDEX($O$4:$O$3183,MATCH(SMALL($V$4:$V$3183,3057),$V$4:$V$3183,0)),"")</f>
        <v/>
      </c>
      <c r="C3060">
        <f>IFERROR(INDEX($P$4:$P$3183,MATCH(SMALL($V$4:$V$3183,3057),$V$4:$V$3183,0)),"")</f>
        <v/>
      </c>
      <c r="D3060" s="29">
        <f>IFERROR(INDEX($Q$4:$Q$3183,MATCH(SMALL($V$4:$V$3183,3057),$V$4:$V$3183,0)),"")</f>
        <v/>
      </c>
      <c r="E3060" s="29">
        <f>IFERROR(INDEX($R$4:$R$3183,MATCH(SMALL($V$4:$V$3183,3057),$V$4:$V$3183,0)),"")</f>
        <v/>
      </c>
      <c r="F3060">
        <f>IFERROR(INDEX($S$4:$S$3183,MATCH(SMALL($V$4:$V$3183,3057),$V$4:$V$3183,0)),"")</f>
        <v/>
      </c>
      <c r="I3060" s="29">
        <f>IF($B3060="","",IFERROR(INDEX($U$4:$U$3183,MATCH(SMALL($V$4:$V$3183,3057),$V$4:$V$3183,0)),""))</f>
        <v/>
      </c>
      <c r="J3060">
        <f>IF($B3060="","",IF($D3060&gt;$F$2,"À venir",IF($E3060&lt;$D$2,"Passé","Dans la période")))</f>
        <v/>
      </c>
      <c r="K3060">
        <f>IF(OR($B3060="",NOT(ISNUMBER($D3060))),"",IF(AND($E3060&lt;$D$2,$G3060&lt;&gt;"X",$F3060&lt;&gt;"Réalisé",$F3060&lt;&gt;"Clôturé"),"RETARD",""))</f>
        <v/>
      </c>
      <c r="L3060">
        <f>IF(OR($B3060="",NOT(ISNUMBER($D3060))),"",IF(AND($D3060&gt;=$D$2,$D3060&lt;=$H$2,$G3060&lt;&gt;"X",$F3060&lt;&gt;"Réalisé",$F3060&lt;&gt;"Clôturé"),"≤ 7 j",""))</f>
        <v/>
      </c>
      <c r="M3060" s="29">
        <f>IF($B3060="","",IFERROR(INDEX($T$4:$T$3183,MATCH(SMALL($V$4:$V$3183,3057),$V$4:$V$3183,0)),""))</f>
        <v/>
      </c>
      <c r="O3060">
        <f>IF(INDEX(Suivi!$B:$B,3118)="","",INDEX(Suivi!$B:$B,3118))</f>
        <v/>
      </c>
      <c r="P3060">
        <f>IF($O3060="","",IF(INDEX(Suivi!$D:$D,3118)="",INDEX(Suivi!$C:$C,3118),INDEX(Suivi!$D:$D,3118)))</f>
        <v/>
      </c>
      <c r="Q3060">
        <f>IF($O3060="","",INDEX(Suivi!$E:$E,3118))</f>
        <v/>
      </c>
      <c r="R3060">
        <f>IF($O3060="","",INDEX(Suivi!$F:$F,3118))</f>
        <v/>
      </c>
      <c r="S3060">
        <f>IF($O3060="","",INDEX(Suivi!$G:$G,3118))</f>
        <v/>
      </c>
      <c r="T3060">
        <f>IF($O3060="","",IF(INDEX(Dossiers!$F$4:$F$63,58)="","",INDEX(Dossiers!$F$4:$F$63,58)))</f>
        <v/>
      </c>
      <c r="U3060">
        <f>IF($O3060="","",IF(INDEX(Dossiers!$G$4:$G$63,58)="","",INDEX(Dossiers!$G$4:$G$63,58)))</f>
        <v/>
      </c>
      <c r="V3060">
        <f>IF(OR($O3060="",NOT(ISNUMBER($Q3060))),"",$Q3060*1000000+3060)</f>
        <v/>
      </c>
      <c r="W3060" s="29">
        <f>IF($B3060="","",IFERROR(INDEX($U$4:$U$3183,MATCH(SMALL($V$4:$V$3183,3057),$V$4:$V$3183,0)),""))</f>
        <v/>
      </c>
    </row>
    <row r="3061">
      <c r="A3061">
        <f>IFERROR(INDEX($N$4:$N$3183,MATCH(SMALL($V$4:$V$3183,3058),$V$4:$V$3183,0)),"")</f>
        <v/>
      </c>
      <c r="B3061">
        <f>IFERROR(INDEX($O$4:$O$3183,MATCH(SMALL($V$4:$V$3183,3058),$V$4:$V$3183,0)),"")</f>
        <v/>
      </c>
      <c r="C3061">
        <f>IFERROR(INDEX($P$4:$P$3183,MATCH(SMALL($V$4:$V$3183,3058),$V$4:$V$3183,0)),"")</f>
        <v/>
      </c>
      <c r="D3061" s="29">
        <f>IFERROR(INDEX($Q$4:$Q$3183,MATCH(SMALL($V$4:$V$3183,3058),$V$4:$V$3183,0)),"")</f>
        <v/>
      </c>
      <c r="E3061" s="29">
        <f>IFERROR(INDEX($R$4:$R$3183,MATCH(SMALL($V$4:$V$3183,3058),$V$4:$V$3183,0)),"")</f>
        <v/>
      </c>
      <c r="F3061">
        <f>IFERROR(INDEX($S$4:$S$3183,MATCH(SMALL($V$4:$V$3183,3058),$V$4:$V$3183,0)),"")</f>
        <v/>
      </c>
      <c r="I3061" s="29">
        <f>IF($B3061="","",IFERROR(INDEX($U$4:$U$3183,MATCH(SMALL($V$4:$V$3183,3058),$V$4:$V$3183,0)),""))</f>
        <v/>
      </c>
      <c r="J3061">
        <f>IF($B3061="","",IF($D3061&gt;$F$2,"À venir",IF($E3061&lt;$D$2,"Passé","Dans la période")))</f>
        <v/>
      </c>
      <c r="K3061">
        <f>IF(OR($B3061="",NOT(ISNUMBER($D3061))),"",IF(AND($E3061&lt;$D$2,$G3061&lt;&gt;"X",$F3061&lt;&gt;"Réalisé",$F3061&lt;&gt;"Clôturé"),"RETARD",""))</f>
        <v/>
      </c>
      <c r="L3061">
        <f>IF(OR($B3061="",NOT(ISNUMBER($D3061))),"",IF(AND($D3061&gt;=$D$2,$D3061&lt;=$H$2,$G3061&lt;&gt;"X",$F3061&lt;&gt;"Réalisé",$F3061&lt;&gt;"Clôturé"),"≤ 7 j",""))</f>
        <v/>
      </c>
      <c r="M3061" s="29">
        <f>IF($B3061="","",IFERROR(INDEX($T$4:$T$3183,MATCH(SMALL($V$4:$V$3183,3058),$V$4:$V$3183,0)),""))</f>
        <v/>
      </c>
      <c r="O3061">
        <f>IF(INDEX(Suivi!$B:$B,3119)="","",INDEX(Suivi!$B:$B,3119))</f>
        <v/>
      </c>
      <c r="P3061">
        <f>IF($O3061="","",IF(INDEX(Suivi!$D:$D,3119)="",INDEX(Suivi!$C:$C,3119),INDEX(Suivi!$D:$D,3119)))</f>
        <v/>
      </c>
      <c r="Q3061">
        <f>IF($O3061="","",INDEX(Suivi!$E:$E,3119))</f>
        <v/>
      </c>
      <c r="R3061">
        <f>IF($O3061="","",INDEX(Suivi!$F:$F,3119))</f>
        <v/>
      </c>
      <c r="S3061">
        <f>IF($O3061="","",INDEX(Suivi!$G:$G,3119))</f>
        <v/>
      </c>
      <c r="T3061">
        <f>IF($O3061="","",IF(INDEX(Dossiers!$F$4:$F$63,58)="","",INDEX(Dossiers!$F$4:$F$63,58)))</f>
        <v/>
      </c>
      <c r="U3061">
        <f>IF($O3061="","",IF(INDEX(Dossiers!$G$4:$G$63,58)="","",INDEX(Dossiers!$G$4:$G$63,58)))</f>
        <v/>
      </c>
      <c r="V3061">
        <f>IF(OR($O3061="",NOT(ISNUMBER($Q3061))),"",$Q3061*1000000+3061)</f>
        <v/>
      </c>
      <c r="W3061" s="29">
        <f>IF($B3061="","",IFERROR(INDEX($U$4:$U$3183,MATCH(SMALL($V$4:$V$3183,3058),$V$4:$V$3183,0)),""))</f>
        <v/>
      </c>
    </row>
    <row r="3062">
      <c r="A3062">
        <f>IFERROR(INDEX($N$4:$N$3183,MATCH(SMALL($V$4:$V$3183,3059),$V$4:$V$3183,0)),"")</f>
        <v/>
      </c>
      <c r="B3062">
        <f>IFERROR(INDEX($O$4:$O$3183,MATCH(SMALL($V$4:$V$3183,3059),$V$4:$V$3183,0)),"")</f>
        <v/>
      </c>
      <c r="C3062">
        <f>IFERROR(INDEX($P$4:$P$3183,MATCH(SMALL($V$4:$V$3183,3059),$V$4:$V$3183,0)),"")</f>
        <v/>
      </c>
      <c r="D3062" s="29">
        <f>IFERROR(INDEX($Q$4:$Q$3183,MATCH(SMALL($V$4:$V$3183,3059),$V$4:$V$3183,0)),"")</f>
        <v/>
      </c>
      <c r="E3062" s="29">
        <f>IFERROR(INDEX($R$4:$R$3183,MATCH(SMALL($V$4:$V$3183,3059),$V$4:$V$3183,0)),"")</f>
        <v/>
      </c>
      <c r="F3062">
        <f>IFERROR(INDEX($S$4:$S$3183,MATCH(SMALL($V$4:$V$3183,3059),$V$4:$V$3183,0)),"")</f>
        <v/>
      </c>
      <c r="I3062" s="29">
        <f>IF($B3062="","",IFERROR(INDEX($U$4:$U$3183,MATCH(SMALL($V$4:$V$3183,3059),$V$4:$V$3183,0)),""))</f>
        <v/>
      </c>
      <c r="J3062">
        <f>IF($B3062="","",IF($D3062&gt;$F$2,"À venir",IF($E3062&lt;$D$2,"Passé","Dans la période")))</f>
        <v/>
      </c>
      <c r="K3062">
        <f>IF(OR($B3062="",NOT(ISNUMBER($D3062))),"",IF(AND($E3062&lt;$D$2,$G3062&lt;&gt;"X",$F3062&lt;&gt;"Réalisé",$F3062&lt;&gt;"Clôturé"),"RETARD",""))</f>
        <v/>
      </c>
      <c r="L3062">
        <f>IF(OR($B3062="",NOT(ISNUMBER($D3062))),"",IF(AND($D3062&gt;=$D$2,$D3062&lt;=$H$2,$G3062&lt;&gt;"X",$F3062&lt;&gt;"Réalisé",$F3062&lt;&gt;"Clôturé"),"≤ 7 j",""))</f>
        <v/>
      </c>
      <c r="M3062" s="29">
        <f>IF($B3062="","",IFERROR(INDEX($T$4:$T$3183,MATCH(SMALL($V$4:$V$3183,3059),$V$4:$V$3183,0)),""))</f>
        <v/>
      </c>
      <c r="O3062">
        <f>IF(INDEX(Suivi!$B:$B,3120)="","",INDEX(Suivi!$B:$B,3120))</f>
        <v/>
      </c>
      <c r="P3062">
        <f>IF($O3062="","",IF(INDEX(Suivi!$D:$D,3120)="",INDEX(Suivi!$C:$C,3120),INDEX(Suivi!$D:$D,3120)))</f>
        <v/>
      </c>
      <c r="Q3062">
        <f>IF($O3062="","",INDEX(Suivi!$E:$E,3120))</f>
        <v/>
      </c>
      <c r="R3062">
        <f>IF($O3062="","",INDEX(Suivi!$F:$F,3120))</f>
        <v/>
      </c>
      <c r="S3062">
        <f>IF($O3062="","",INDEX(Suivi!$G:$G,3120))</f>
        <v/>
      </c>
      <c r="T3062">
        <f>IF($O3062="","",IF(INDEX(Dossiers!$F$4:$F$63,58)="","",INDEX(Dossiers!$F$4:$F$63,58)))</f>
        <v/>
      </c>
      <c r="U3062">
        <f>IF($O3062="","",IF(INDEX(Dossiers!$G$4:$G$63,58)="","",INDEX(Dossiers!$G$4:$G$63,58)))</f>
        <v/>
      </c>
      <c r="V3062">
        <f>IF(OR($O3062="",NOT(ISNUMBER($Q3062))),"",$Q3062*1000000+3062)</f>
        <v/>
      </c>
      <c r="W3062" s="29">
        <f>IF($B3062="","",IFERROR(INDEX($U$4:$U$3183,MATCH(SMALL($V$4:$V$3183,3059),$V$4:$V$3183,0)),""))</f>
        <v/>
      </c>
    </row>
    <row r="3063">
      <c r="A3063">
        <f>IFERROR(INDEX($N$4:$N$3183,MATCH(SMALL($V$4:$V$3183,3060),$V$4:$V$3183,0)),"")</f>
        <v/>
      </c>
      <c r="B3063">
        <f>IFERROR(INDEX($O$4:$O$3183,MATCH(SMALL($V$4:$V$3183,3060),$V$4:$V$3183,0)),"")</f>
        <v/>
      </c>
      <c r="C3063">
        <f>IFERROR(INDEX($P$4:$P$3183,MATCH(SMALL($V$4:$V$3183,3060),$V$4:$V$3183,0)),"")</f>
        <v/>
      </c>
      <c r="D3063" s="29">
        <f>IFERROR(INDEX($Q$4:$Q$3183,MATCH(SMALL($V$4:$V$3183,3060),$V$4:$V$3183,0)),"")</f>
        <v/>
      </c>
      <c r="E3063" s="29">
        <f>IFERROR(INDEX($R$4:$R$3183,MATCH(SMALL($V$4:$V$3183,3060),$V$4:$V$3183,0)),"")</f>
        <v/>
      </c>
      <c r="F3063">
        <f>IFERROR(INDEX($S$4:$S$3183,MATCH(SMALL($V$4:$V$3183,3060),$V$4:$V$3183,0)),"")</f>
        <v/>
      </c>
      <c r="I3063" s="29">
        <f>IF($B3063="","",IFERROR(INDEX($U$4:$U$3183,MATCH(SMALL($V$4:$V$3183,3060),$V$4:$V$3183,0)),""))</f>
        <v/>
      </c>
      <c r="J3063">
        <f>IF($B3063="","",IF($D3063&gt;$F$2,"À venir",IF($E3063&lt;$D$2,"Passé","Dans la période")))</f>
        <v/>
      </c>
      <c r="K3063">
        <f>IF(OR($B3063="",NOT(ISNUMBER($D3063))),"",IF(AND($E3063&lt;$D$2,$G3063&lt;&gt;"X",$F3063&lt;&gt;"Réalisé",$F3063&lt;&gt;"Clôturé"),"RETARD",""))</f>
        <v/>
      </c>
      <c r="L3063">
        <f>IF(OR($B3063="",NOT(ISNUMBER($D3063))),"",IF(AND($D3063&gt;=$D$2,$D3063&lt;=$H$2,$G3063&lt;&gt;"X",$F3063&lt;&gt;"Réalisé",$F3063&lt;&gt;"Clôturé"),"≤ 7 j",""))</f>
        <v/>
      </c>
      <c r="M3063" s="29">
        <f>IF($B3063="","",IFERROR(INDEX($T$4:$T$3183,MATCH(SMALL($V$4:$V$3183,3060),$V$4:$V$3183,0)),""))</f>
        <v/>
      </c>
      <c r="O3063">
        <f>IF(INDEX(Suivi!$B:$B,3121)="","",INDEX(Suivi!$B:$B,3121))</f>
        <v/>
      </c>
      <c r="P3063">
        <f>IF($O3063="","",IF(INDEX(Suivi!$D:$D,3121)="",INDEX(Suivi!$C:$C,3121),INDEX(Suivi!$D:$D,3121)))</f>
        <v/>
      </c>
      <c r="Q3063">
        <f>IF($O3063="","",INDEX(Suivi!$E:$E,3121))</f>
        <v/>
      </c>
      <c r="R3063">
        <f>IF($O3063="","",INDEX(Suivi!$F:$F,3121))</f>
        <v/>
      </c>
      <c r="S3063">
        <f>IF($O3063="","",INDEX(Suivi!$G:$G,3121))</f>
        <v/>
      </c>
      <c r="T3063">
        <f>IF($O3063="","",IF(INDEX(Dossiers!$F$4:$F$63,58)="","",INDEX(Dossiers!$F$4:$F$63,58)))</f>
        <v/>
      </c>
      <c r="U3063">
        <f>IF($O3063="","",IF(INDEX(Dossiers!$G$4:$G$63,58)="","",INDEX(Dossiers!$G$4:$G$63,58)))</f>
        <v/>
      </c>
      <c r="V3063">
        <f>IF(OR($O3063="",NOT(ISNUMBER($Q3063))),"",$Q3063*1000000+3063)</f>
        <v/>
      </c>
      <c r="W3063" s="29">
        <f>IF($B3063="","",IFERROR(INDEX($U$4:$U$3183,MATCH(SMALL($V$4:$V$3183,3060),$V$4:$V$3183,0)),""))</f>
        <v/>
      </c>
    </row>
    <row r="3064">
      <c r="A3064">
        <f>IFERROR(INDEX($N$4:$N$3183,MATCH(SMALL($V$4:$V$3183,3061),$V$4:$V$3183,0)),"")</f>
        <v/>
      </c>
      <c r="B3064">
        <f>IFERROR(INDEX($O$4:$O$3183,MATCH(SMALL($V$4:$V$3183,3061),$V$4:$V$3183,0)),"")</f>
        <v/>
      </c>
      <c r="C3064">
        <f>IFERROR(INDEX($P$4:$P$3183,MATCH(SMALL($V$4:$V$3183,3061),$V$4:$V$3183,0)),"")</f>
        <v/>
      </c>
      <c r="D3064" s="29">
        <f>IFERROR(INDEX($Q$4:$Q$3183,MATCH(SMALL($V$4:$V$3183,3061),$V$4:$V$3183,0)),"")</f>
        <v/>
      </c>
      <c r="E3064" s="29">
        <f>IFERROR(INDEX($R$4:$R$3183,MATCH(SMALL($V$4:$V$3183,3061),$V$4:$V$3183,0)),"")</f>
        <v/>
      </c>
      <c r="F3064">
        <f>IFERROR(INDEX($S$4:$S$3183,MATCH(SMALL($V$4:$V$3183,3061),$V$4:$V$3183,0)),"")</f>
        <v/>
      </c>
      <c r="I3064" s="29">
        <f>IF($B3064="","",IFERROR(INDEX($U$4:$U$3183,MATCH(SMALL($V$4:$V$3183,3061),$V$4:$V$3183,0)),""))</f>
        <v/>
      </c>
      <c r="J3064">
        <f>IF($B3064="","",IF($D3064&gt;$F$2,"À venir",IF($E3064&lt;$D$2,"Passé","Dans la période")))</f>
        <v/>
      </c>
      <c r="K3064">
        <f>IF(OR($B3064="",NOT(ISNUMBER($D3064))),"",IF(AND($E3064&lt;$D$2,$G3064&lt;&gt;"X",$F3064&lt;&gt;"Réalisé",$F3064&lt;&gt;"Clôturé"),"RETARD",""))</f>
        <v/>
      </c>
      <c r="L3064">
        <f>IF(OR($B3064="",NOT(ISNUMBER($D3064))),"",IF(AND($D3064&gt;=$D$2,$D3064&lt;=$H$2,$G3064&lt;&gt;"X",$F3064&lt;&gt;"Réalisé",$F3064&lt;&gt;"Clôturé"),"≤ 7 j",""))</f>
        <v/>
      </c>
      <c r="M3064" s="29">
        <f>IF($B3064="","",IFERROR(INDEX($T$4:$T$3183,MATCH(SMALL($V$4:$V$3183,3061),$V$4:$V$3183,0)),""))</f>
        <v/>
      </c>
      <c r="O3064">
        <f>IF(INDEX(Suivi!$B:$B,3122)="","",INDEX(Suivi!$B:$B,3122))</f>
        <v/>
      </c>
      <c r="P3064">
        <f>IF($O3064="","",IF(INDEX(Suivi!$D:$D,3122)="",INDEX(Suivi!$C:$C,3122),INDEX(Suivi!$D:$D,3122)))</f>
        <v/>
      </c>
      <c r="Q3064">
        <f>IF($O3064="","",INDEX(Suivi!$E:$E,3122))</f>
        <v/>
      </c>
      <c r="R3064">
        <f>IF($O3064="","",INDEX(Suivi!$F:$F,3122))</f>
        <v/>
      </c>
      <c r="S3064">
        <f>IF($O3064="","",INDEX(Suivi!$G:$G,3122))</f>
        <v/>
      </c>
      <c r="T3064">
        <f>IF($O3064="","",IF(INDEX(Dossiers!$F$4:$F$63,58)="","",INDEX(Dossiers!$F$4:$F$63,58)))</f>
        <v/>
      </c>
      <c r="U3064">
        <f>IF($O3064="","",IF(INDEX(Dossiers!$G$4:$G$63,58)="","",INDEX(Dossiers!$G$4:$G$63,58)))</f>
        <v/>
      </c>
      <c r="V3064">
        <f>IF(OR($O3064="",NOT(ISNUMBER($Q3064))),"",$Q3064*1000000+3064)</f>
        <v/>
      </c>
      <c r="W3064" s="29">
        <f>IF($B3064="","",IFERROR(INDEX($U$4:$U$3183,MATCH(SMALL($V$4:$V$3183,3061),$V$4:$V$3183,0)),""))</f>
        <v/>
      </c>
    </row>
    <row r="3065">
      <c r="A3065">
        <f>IFERROR(INDEX($N$4:$N$3183,MATCH(SMALL($V$4:$V$3183,3062),$V$4:$V$3183,0)),"")</f>
        <v/>
      </c>
      <c r="B3065">
        <f>IFERROR(INDEX($O$4:$O$3183,MATCH(SMALL($V$4:$V$3183,3062),$V$4:$V$3183,0)),"")</f>
        <v/>
      </c>
      <c r="C3065">
        <f>IFERROR(INDEX($P$4:$P$3183,MATCH(SMALL($V$4:$V$3183,3062),$V$4:$V$3183,0)),"")</f>
        <v/>
      </c>
      <c r="D3065" s="29">
        <f>IFERROR(INDEX($Q$4:$Q$3183,MATCH(SMALL($V$4:$V$3183,3062),$V$4:$V$3183,0)),"")</f>
        <v/>
      </c>
      <c r="E3065" s="29">
        <f>IFERROR(INDEX($R$4:$R$3183,MATCH(SMALL($V$4:$V$3183,3062),$V$4:$V$3183,0)),"")</f>
        <v/>
      </c>
      <c r="F3065">
        <f>IFERROR(INDEX($S$4:$S$3183,MATCH(SMALL($V$4:$V$3183,3062),$V$4:$V$3183,0)),"")</f>
        <v/>
      </c>
      <c r="I3065" s="29">
        <f>IF($B3065="","",IFERROR(INDEX($U$4:$U$3183,MATCH(SMALL($V$4:$V$3183,3062),$V$4:$V$3183,0)),""))</f>
        <v/>
      </c>
      <c r="J3065">
        <f>IF($B3065="","",IF($D3065&gt;$F$2,"À venir",IF($E3065&lt;$D$2,"Passé","Dans la période")))</f>
        <v/>
      </c>
      <c r="K3065">
        <f>IF(OR($B3065="",NOT(ISNUMBER($D3065))),"",IF(AND($E3065&lt;$D$2,$G3065&lt;&gt;"X",$F3065&lt;&gt;"Réalisé",$F3065&lt;&gt;"Clôturé"),"RETARD",""))</f>
        <v/>
      </c>
      <c r="L3065">
        <f>IF(OR($B3065="",NOT(ISNUMBER($D3065))),"",IF(AND($D3065&gt;=$D$2,$D3065&lt;=$H$2,$G3065&lt;&gt;"X",$F3065&lt;&gt;"Réalisé",$F3065&lt;&gt;"Clôturé"),"≤ 7 j",""))</f>
        <v/>
      </c>
      <c r="M3065" s="29">
        <f>IF($B3065="","",IFERROR(INDEX($T$4:$T$3183,MATCH(SMALL($V$4:$V$3183,3062),$V$4:$V$3183,0)),""))</f>
        <v/>
      </c>
      <c r="O3065">
        <f>IF(INDEX(Suivi!$B:$B,3123)="","",INDEX(Suivi!$B:$B,3123))</f>
        <v/>
      </c>
      <c r="P3065">
        <f>IF($O3065="","",IF(INDEX(Suivi!$D:$D,3123)="",INDEX(Suivi!$C:$C,3123),INDEX(Suivi!$D:$D,3123)))</f>
        <v/>
      </c>
      <c r="Q3065">
        <f>IF($O3065="","",INDEX(Suivi!$E:$E,3123))</f>
        <v/>
      </c>
      <c r="R3065">
        <f>IF($O3065="","",INDEX(Suivi!$F:$F,3123))</f>
        <v/>
      </c>
      <c r="S3065">
        <f>IF($O3065="","",INDEX(Suivi!$G:$G,3123))</f>
        <v/>
      </c>
      <c r="T3065">
        <f>IF($O3065="","",IF(INDEX(Dossiers!$F$4:$F$63,58)="","",INDEX(Dossiers!$F$4:$F$63,58)))</f>
        <v/>
      </c>
      <c r="U3065">
        <f>IF($O3065="","",IF(INDEX(Dossiers!$G$4:$G$63,58)="","",INDEX(Dossiers!$G$4:$G$63,58)))</f>
        <v/>
      </c>
      <c r="V3065">
        <f>IF(OR($O3065="",NOT(ISNUMBER($Q3065))),"",$Q3065*1000000+3065)</f>
        <v/>
      </c>
      <c r="W3065" s="29">
        <f>IF($B3065="","",IFERROR(INDEX($U$4:$U$3183,MATCH(SMALL($V$4:$V$3183,3062),$V$4:$V$3183,0)),""))</f>
        <v/>
      </c>
    </row>
    <row r="3066">
      <c r="A3066">
        <f>IFERROR(INDEX($N$4:$N$3183,MATCH(SMALL($V$4:$V$3183,3063),$V$4:$V$3183,0)),"")</f>
        <v/>
      </c>
      <c r="B3066">
        <f>IFERROR(INDEX($O$4:$O$3183,MATCH(SMALL($V$4:$V$3183,3063),$V$4:$V$3183,0)),"")</f>
        <v/>
      </c>
      <c r="C3066">
        <f>IFERROR(INDEX($P$4:$P$3183,MATCH(SMALL($V$4:$V$3183,3063),$V$4:$V$3183,0)),"")</f>
        <v/>
      </c>
      <c r="D3066" s="29">
        <f>IFERROR(INDEX($Q$4:$Q$3183,MATCH(SMALL($V$4:$V$3183,3063),$V$4:$V$3183,0)),"")</f>
        <v/>
      </c>
      <c r="E3066" s="29">
        <f>IFERROR(INDEX($R$4:$R$3183,MATCH(SMALL($V$4:$V$3183,3063),$V$4:$V$3183,0)),"")</f>
        <v/>
      </c>
      <c r="F3066">
        <f>IFERROR(INDEX($S$4:$S$3183,MATCH(SMALL($V$4:$V$3183,3063),$V$4:$V$3183,0)),"")</f>
        <v/>
      </c>
      <c r="I3066" s="29">
        <f>IF($B3066="","",IFERROR(INDEX($U$4:$U$3183,MATCH(SMALL($V$4:$V$3183,3063),$V$4:$V$3183,0)),""))</f>
        <v/>
      </c>
      <c r="J3066">
        <f>IF($B3066="","",IF($D3066&gt;$F$2,"À venir",IF($E3066&lt;$D$2,"Passé","Dans la période")))</f>
        <v/>
      </c>
      <c r="K3066">
        <f>IF(OR($B3066="",NOT(ISNUMBER($D3066))),"",IF(AND($E3066&lt;$D$2,$G3066&lt;&gt;"X",$F3066&lt;&gt;"Réalisé",$F3066&lt;&gt;"Clôturé"),"RETARD",""))</f>
        <v/>
      </c>
      <c r="L3066">
        <f>IF(OR($B3066="",NOT(ISNUMBER($D3066))),"",IF(AND($D3066&gt;=$D$2,$D3066&lt;=$H$2,$G3066&lt;&gt;"X",$F3066&lt;&gt;"Réalisé",$F3066&lt;&gt;"Clôturé"),"≤ 7 j",""))</f>
        <v/>
      </c>
      <c r="M3066" s="29">
        <f>IF($B3066="","",IFERROR(INDEX($T$4:$T$3183,MATCH(SMALL($V$4:$V$3183,3063),$V$4:$V$3183,0)),""))</f>
        <v/>
      </c>
      <c r="O3066">
        <f>IF(INDEX(Suivi!$B:$B,3124)="","",INDEX(Suivi!$B:$B,3124))</f>
        <v/>
      </c>
      <c r="P3066">
        <f>IF($O3066="","",IF(INDEX(Suivi!$D:$D,3124)="",INDEX(Suivi!$C:$C,3124),INDEX(Suivi!$D:$D,3124)))</f>
        <v/>
      </c>
      <c r="Q3066">
        <f>IF($O3066="","",INDEX(Suivi!$E:$E,3124))</f>
        <v/>
      </c>
      <c r="R3066">
        <f>IF($O3066="","",INDEX(Suivi!$F:$F,3124))</f>
        <v/>
      </c>
      <c r="S3066">
        <f>IF($O3066="","",INDEX(Suivi!$G:$G,3124))</f>
        <v/>
      </c>
      <c r="T3066">
        <f>IF($O3066="","",IF(INDEX(Dossiers!$F$4:$F$63,58)="","",INDEX(Dossiers!$F$4:$F$63,58)))</f>
        <v/>
      </c>
      <c r="U3066">
        <f>IF($O3066="","",IF(INDEX(Dossiers!$G$4:$G$63,58)="","",INDEX(Dossiers!$G$4:$G$63,58)))</f>
        <v/>
      </c>
      <c r="V3066">
        <f>IF(OR($O3066="",NOT(ISNUMBER($Q3066))),"",$Q3066*1000000+3066)</f>
        <v/>
      </c>
      <c r="W3066" s="29">
        <f>IF($B3066="","",IFERROR(INDEX($U$4:$U$3183,MATCH(SMALL($V$4:$V$3183,3063),$V$4:$V$3183,0)),""))</f>
        <v/>
      </c>
    </row>
    <row r="3067">
      <c r="A3067">
        <f>IFERROR(INDEX($N$4:$N$3183,MATCH(SMALL($V$4:$V$3183,3064),$V$4:$V$3183,0)),"")</f>
        <v/>
      </c>
      <c r="B3067">
        <f>IFERROR(INDEX($O$4:$O$3183,MATCH(SMALL($V$4:$V$3183,3064),$V$4:$V$3183,0)),"")</f>
        <v/>
      </c>
      <c r="C3067">
        <f>IFERROR(INDEX($P$4:$P$3183,MATCH(SMALL($V$4:$V$3183,3064),$V$4:$V$3183,0)),"")</f>
        <v/>
      </c>
      <c r="D3067" s="29">
        <f>IFERROR(INDEX($Q$4:$Q$3183,MATCH(SMALL($V$4:$V$3183,3064),$V$4:$V$3183,0)),"")</f>
        <v/>
      </c>
      <c r="E3067" s="29">
        <f>IFERROR(INDEX($R$4:$R$3183,MATCH(SMALL($V$4:$V$3183,3064),$V$4:$V$3183,0)),"")</f>
        <v/>
      </c>
      <c r="F3067">
        <f>IFERROR(INDEX($S$4:$S$3183,MATCH(SMALL($V$4:$V$3183,3064),$V$4:$V$3183,0)),"")</f>
        <v/>
      </c>
      <c r="I3067" s="29">
        <f>IF($B3067="","",IFERROR(INDEX($U$4:$U$3183,MATCH(SMALL($V$4:$V$3183,3064),$V$4:$V$3183,0)),""))</f>
        <v/>
      </c>
      <c r="J3067">
        <f>IF($B3067="","",IF($D3067&gt;$F$2,"À venir",IF($E3067&lt;$D$2,"Passé","Dans la période")))</f>
        <v/>
      </c>
      <c r="K3067">
        <f>IF(OR($B3067="",NOT(ISNUMBER($D3067))),"",IF(AND($E3067&lt;$D$2,$G3067&lt;&gt;"X",$F3067&lt;&gt;"Réalisé",$F3067&lt;&gt;"Clôturé"),"RETARD",""))</f>
        <v/>
      </c>
      <c r="L3067">
        <f>IF(OR($B3067="",NOT(ISNUMBER($D3067))),"",IF(AND($D3067&gt;=$D$2,$D3067&lt;=$H$2,$G3067&lt;&gt;"X",$F3067&lt;&gt;"Réalisé",$F3067&lt;&gt;"Clôturé"),"≤ 7 j",""))</f>
        <v/>
      </c>
      <c r="M3067" s="29">
        <f>IF($B3067="","",IFERROR(INDEX($T$4:$T$3183,MATCH(SMALL($V$4:$V$3183,3064),$V$4:$V$3183,0)),""))</f>
        <v/>
      </c>
      <c r="O3067">
        <f>IF(INDEX(Suivi!$B:$B,3125)="","",INDEX(Suivi!$B:$B,3125))</f>
        <v/>
      </c>
      <c r="P3067">
        <f>IF($O3067="","",IF(INDEX(Suivi!$D:$D,3125)="",INDEX(Suivi!$C:$C,3125),INDEX(Suivi!$D:$D,3125)))</f>
        <v/>
      </c>
      <c r="Q3067">
        <f>IF($O3067="","",INDEX(Suivi!$E:$E,3125))</f>
        <v/>
      </c>
      <c r="R3067">
        <f>IF($O3067="","",INDEX(Suivi!$F:$F,3125))</f>
        <v/>
      </c>
      <c r="S3067">
        <f>IF($O3067="","",INDEX(Suivi!$G:$G,3125))</f>
        <v/>
      </c>
      <c r="T3067">
        <f>IF($O3067="","",IF(INDEX(Dossiers!$F$4:$F$63,58)="","",INDEX(Dossiers!$F$4:$F$63,58)))</f>
        <v/>
      </c>
      <c r="U3067">
        <f>IF($O3067="","",IF(INDEX(Dossiers!$G$4:$G$63,58)="","",INDEX(Dossiers!$G$4:$G$63,58)))</f>
        <v/>
      </c>
      <c r="V3067">
        <f>IF(OR($O3067="",NOT(ISNUMBER($Q3067))),"",$Q3067*1000000+3067)</f>
        <v/>
      </c>
      <c r="W3067" s="29">
        <f>IF($B3067="","",IFERROR(INDEX($U$4:$U$3183,MATCH(SMALL($V$4:$V$3183,3064),$V$4:$V$3183,0)),""))</f>
        <v/>
      </c>
    </row>
    <row r="3068">
      <c r="A3068">
        <f>IFERROR(INDEX($N$4:$N$3183,MATCH(SMALL($V$4:$V$3183,3065),$V$4:$V$3183,0)),"")</f>
        <v/>
      </c>
      <c r="B3068">
        <f>IFERROR(INDEX($O$4:$O$3183,MATCH(SMALL($V$4:$V$3183,3065),$V$4:$V$3183,0)),"")</f>
        <v/>
      </c>
      <c r="C3068">
        <f>IFERROR(INDEX($P$4:$P$3183,MATCH(SMALL($V$4:$V$3183,3065),$V$4:$V$3183,0)),"")</f>
        <v/>
      </c>
      <c r="D3068" s="29">
        <f>IFERROR(INDEX($Q$4:$Q$3183,MATCH(SMALL($V$4:$V$3183,3065),$V$4:$V$3183,0)),"")</f>
        <v/>
      </c>
      <c r="E3068" s="29">
        <f>IFERROR(INDEX($R$4:$R$3183,MATCH(SMALL($V$4:$V$3183,3065),$V$4:$V$3183,0)),"")</f>
        <v/>
      </c>
      <c r="F3068">
        <f>IFERROR(INDEX($S$4:$S$3183,MATCH(SMALL($V$4:$V$3183,3065),$V$4:$V$3183,0)),"")</f>
        <v/>
      </c>
      <c r="I3068" s="29">
        <f>IF($B3068="","",IFERROR(INDEX($U$4:$U$3183,MATCH(SMALL($V$4:$V$3183,3065),$V$4:$V$3183,0)),""))</f>
        <v/>
      </c>
      <c r="J3068">
        <f>IF($B3068="","",IF($D3068&gt;$F$2,"À venir",IF($E3068&lt;$D$2,"Passé","Dans la période")))</f>
        <v/>
      </c>
      <c r="K3068">
        <f>IF(OR($B3068="",NOT(ISNUMBER($D3068))),"",IF(AND($E3068&lt;$D$2,$G3068&lt;&gt;"X",$F3068&lt;&gt;"Réalisé",$F3068&lt;&gt;"Clôturé"),"RETARD",""))</f>
        <v/>
      </c>
      <c r="L3068">
        <f>IF(OR($B3068="",NOT(ISNUMBER($D3068))),"",IF(AND($D3068&gt;=$D$2,$D3068&lt;=$H$2,$G3068&lt;&gt;"X",$F3068&lt;&gt;"Réalisé",$F3068&lt;&gt;"Clôturé"),"≤ 7 j",""))</f>
        <v/>
      </c>
      <c r="M3068" s="29">
        <f>IF($B3068="","",IFERROR(INDEX($T$4:$T$3183,MATCH(SMALL($V$4:$V$3183,3065),$V$4:$V$3183,0)),""))</f>
        <v/>
      </c>
      <c r="O3068">
        <f>IF(INDEX(Suivi!$B:$B,3126)="","",INDEX(Suivi!$B:$B,3126))</f>
        <v/>
      </c>
      <c r="P3068">
        <f>IF($O3068="","",IF(INDEX(Suivi!$D:$D,3126)="",INDEX(Suivi!$C:$C,3126),INDEX(Suivi!$D:$D,3126)))</f>
        <v/>
      </c>
      <c r="Q3068">
        <f>IF($O3068="","",INDEX(Suivi!$E:$E,3126))</f>
        <v/>
      </c>
      <c r="R3068">
        <f>IF($O3068="","",INDEX(Suivi!$F:$F,3126))</f>
        <v/>
      </c>
      <c r="S3068">
        <f>IF($O3068="","",INDEX(Suivi!$G:$G,3126))</f>
        <v/>
      </c>
      <c r="T3068">
        <f>IF($O3068="","",IF(INDEX(Dossiers!$F$4:$F$63,58)="","",INDEX(Dossiers!$F$4:$F$63,58)))</f>
        <v/>
      </c>
      <c r="U3068">
        <f>IF($O3068="","",IF(INDEX(Dossiers!$G$4:$G$63,58)="","",INDEX(Dossiers!$G$4:$G$63,58)))</f>
        <v/>
      </c>
      <c r="V3068">
        <f>IF(OR($O3068="",NOT(ISNUMBER($Q3068))),"",$Q3068*1000000+3068)</f>
        <v/>
      </c>
      <c r="W3068" s="29">
        <f>IF($B3068="","",IFERROR(INDEX($U$4:$U$3183,MATCH(SMALL($V$4:$V$3183,3065),$V$4:$V$3183,0)),""))</f>
        <v/>
      </c>
    </row>
    <row r="3069">
      <c r="A3069">
        <f>IFERROR(INDEX($N$4:$N$3183,MATCH(SMALL($V$4:$V$3183,3066),$V$4:$V$3183,0)),"")</f>
        <v/>
      </c>
      <c r="B3069">
        <f>IFERROR(INDEX($O$4:$O$3183,MATCH(SMALL($V$4:$V$3183,3066),$V$4:$V$3183,0)),"")</f>
        <v/>
      </c>
      <c r="C3069">
        <f>IFERROR(INDEX($P$4:$P$3183,MATCH(SMALL($V$4:$V$3183,3066),$V$4:$V$3183,0)),"")</f>
        <v/>
      </c>
      <c r="D3069" s="29">
        <f>IFERROR(INDEX($Q$4:$Q$3183,MATCH(SMALL($V$4:$V$3183,3066),$V$4:$V$3183,0)),"")</f>
        <v/>
      </c>
      <c r="E3069" s="29">
        <f>IFERROR(INDEX($R$4:$R$3183,MATCH(SMALL($V$4:$V$3183,3066),$V$4:$V$3183,0)),"")</f>
        <v/>
      </c>
      <c r="F3069">
        <f>IFERROR(INDEX($S$4:$S$3183,MATCH(SMALL($V$4:$V$3183,3066),$V$4:$V$3183,0)),"")</f>
        <v/>
      </c>
      <c r="I3069" s="29">
        <f>IF($B3069="","",IFERROR(INDEX($U$4:$U$3183,MATCH(SMALL($V$4:$V$3183,3066),$V$4:$V$3183,0)),""))</f>
        <v/>
      </c>
      <c r="J3069">
        <f>IF($B3069="","",IF($D3069&gt;$F$2,"À venir",IF($E3069&lt;$D$2,"Passé","Dans la période")))</f>
        <v/>
      </c>
      <c r="K3069">
        <f>IF(OR($B3069="",NOT(ISNUMBER($D3069))),"",IF(AND($E3069&lt;$D$2,$G3069&lt;&gt;"X",$F3069&lt;&gt;"Réalisé",$F3069&lt;&gt;"Clôturé"),"RETARD",""))</f>
        <v/>
      </c>
      <c r="L3069">
        <f>IF(OR($B3069="",NOT(ISNUMBER($D3069))),"",IF(AND($D3069&gt;=$D$2,$D3069&lt;=$H$2,$G3069&lt;&gt;"X",$F3069&lt;&gt;"Réalisé",$F3069&lt;&gt;"Clôturé"),"≤ 7 j",""))</f>
        <v/>
      </c>
      <c r="M3069" s="29">
        <f>IF($B3069="","",IFERROR(INDEX($T$4:$T$3183,MATCH(SMALL($V$4:$V$3183,3066),$V$4:$V$3183,0)),""))</f>
        <v/>
      </c>
      <c r="O3069">
        <f>IF(INDEX(Suivi!$B:$B,3127)="","",INDEX(Suivi!$B:$B,3127))</f>
        <v/>
      </c>
      <c r="P3069">
        <f>IF($O3069="","",IF(INDEX(Suivi!$D:$D,3127)="",INDEX(Suivi!$C:$C,3127),INDEX(Suivi!$D:$D,3127)))</f>
        <v/>
      </c>
      <c r="Q3069">
        <f>IF($O3069="","",INDEX(Suivi!$E:$E,3127))</f>
        <v/>
      </c>
      <c r="R3069">
        <f>IF($O3069="","",INDEX(Suivi!$F:$F,3127))</f>
        <v/>
      </c>
      <c r="S3069">
        <f>IF($O3069="","",INDEX(Suivi!$G:$G,3127))</f>
        <v/>
      </c>
      <c r="T3069">
        <f>IF($O3069="","",IF(INDEX(Dossiers!$F$4:$F$63,58)="","",INDEX(Dossiers!$F$4:$F$63,58)))</f>
        <v/>
      </c>
      <c r="U3069">
        <f>IF($O3069="","",IF(INDEX(Dossiers!$G$4:$G$63,58)="","",INDEX(Dossiers!$G$4:$G$63,58)))</f>
        <v/>
      </c>
      <c r="V3069">
        <f>IF(OR($O3069="",NOT(ISNUMBER($Q3069))),"",$Q3069*1000000+3069)</f>
        <v/>
      </c>
      <c r="W3069" s="29">
        <f>IF($B3069="","",IFERROR(INDEX($U$4:$U$3183,MATCH(SMALL($V$4:$V$3183,3066),$V$4:$V$3183,0)),""))</f>
        <v/>
      </c>
    </row>
    <row r="3070">
      <c r="A3070">
        <f>IFERROR(INDEX($N$4:$N$3183,MATCH(SMALL($V$4:$V$3183,3067),$V$4:$V$3183,0)),"")</f>
        <v/>
      </c>
      <c r="B3070">
        <f>IFERROR(INDEX($O$4:$O$3183,MATCH(SMALL($V$4:$V$3183,3067),$V$4:$V$3183,0)),"")</f>
        <v/>
      </c>
      <c r="C3070">
        <f>IFERROR(INDEX($P$4:$P$3183,MATCH(SMALL($V$4:$V$3183,3067),$V$4:$V$3183,0)),"")</f>
        <v/>
      </c>
      <c r="D3070" s="29">
        <f>IFERROR(INDEX($Q$4:$Q$3183,MATCH(SMALL($V$4:$V$3183,3067),$V$4:$V$3183,0)),"")</f>
        <v/>
      </c>
      <c r="E3070" s="29">
        <f>IFERROR(INDEX($R$4:$R$3183,MATCH(SMALL($V$4:$V$3183,3067),$V$4:$V$3183,0)),"")</f>
        <v/>
      </c>
      <c r="F3070">
        <f>IFERROR(INDEX($S$4:$S$3183,MATCH(SMALL($V$4:$V$3183,3067),$V$4:$V$3183,0)),"")</f>
        <v/>
      </c>
      <c r="I3070" s="29">
        <f>IF($B3070="","",IFERROR(INDEX($U$4:$U$3183,MATCH(SMALL($V$4:$V$3183,3067),$V$4:$V$3183,0)),""))</f>
        <v/>
      </c>
      <c r="J3070">
        <f>IF($B3070="","",IF($D3070&gt;$F$2,"À venir",IF($E3070&lt;$D$2,"Passé","Dans la période")))</f>
        <v/>
      </c>
      <c r="K3070">
        <f>IF(OR($B3070="",NOT(ISNUMBER($D3070))),"",IF(AND($E3070&lt;$D$2,$G3070&lt;&gt;"X",$F3070&lt;&gt;"Réalisé",$F3070&lt;&gt;"Clôturé"),"RETARD",""))</f>
        <v/>
      </c>
      <c r="L3070">
        <f>IF(OR($B3070="",NOT(ISNUMBER($D3070))),"",IF(AND($D3070&gt;=$D$2,$D3070&lt;=$H$2,$G3070&lt;&gt;"X",$F3070&lt;&gt;"Réalisé",$F3070&lt;&gt;"Clôturé"),"≤ 7 j",""))</f>
        <v/>
      </c>
      <c r="M3070" s="29">
        <f>IF($B3070="","",IFERROR(INDEX($T$4:$T$3183,MATCH(SMALL($V$4:$V$3183,3067),$V$4:$V$3183,0)),""))</f>
        <v/>
      </c>
      <c r="O3070">
        <f>IF(INDEX(Suivi!$B:$B,3128)="","",INDEX(Suivi!$B:$B,3128))</f>
        <v/>
      </c>
      <c r="P3070">
        <f>IF($O3070="","",IF(INDEX(Suivi!$D:$D,3128)="",INDEX(Suivi!$C:$C,3128),INDEX(Suivi!$D:$D,3128)))</f>
        <v/>
      </c>
      <c r="Q3070">
        <f>IF($O3070="","",INDEX(Suivi!$E:$E,3128))</f>
        <v/>
      </c>
      <c r="R3070">
        <f>IF($O3070="","",INDEX(Suivi!$F:$F,3128))</f>
        <v/>
      </c>
      <c r="S3070">
        <f>IF($O3070="","",INDEX(Suivi!$G:$G,3128))</f>
        <v/>
      </c>
      <c r="T3070">
        <f>IF($O3070="","",IF(INDEX(Dossiers!$F$4:$F$63,58)="","",INDEX(Dossiers!$F$4:$F$63,58)))</f>
        <v/>
      </c>
      <c r="U3070">
        <f>IF($O3070="","",IF(INDEX(Dossiers!$G$4:$G$63,58)="","",INDEX(Dossiers!$G$4:$G$63,58)))</f>
        <v/>
      </c>
      <c r="V3070">
        <f>IF(OR($O3070="",NOT(ISNUMBER($Q3070))),"",$Q3070*1000000+3070)</f>
        <v/>
      </c>
      <c r="W3070" s="29">
        <f>IF($B3070="","",IFERROR(INDEX($U$4:$U$3183,MATCH(SMALL($V$4:$V$3183,3067),$V$4:$V$3183,0)),""))</f>
        <v/>
      </c>
    </row>
    <row r="3071">
      <c r="A3071">
        <f>IFERROR(INDEX($N$4:$N$3183,MATCH(SMALL($V$4:$V$3183,3068),$V$4:$V$3183,0)),"")</f>
        <v/>
      </c>
      <c r="B3071">
        <f>IFERROR(INDEX($O$4:$O$3183,MATCH(SMALL($V$4:$V$3183,3068),$V$4:$V$3183,0)),"")</f>
        <v/>
      </c>
      <c r="C3071">
        <f>IFERROR(INDEX($P$4:$P$3183,MATCH(SMALL($V$4:$V$3183,3068),$V$4:$V$3183,0)),"")</f>
        <v/>
      </c>
      <c r="D3071" s="29">
        <f>IFERROR(INDEX($Q$4:$Q$3183,MATCH(SMALL($V$4:$V$3183,3068),$V$4:$V$3183,0)),"")</f>
        <v/>
      </c>
      <c r="E3071" s="29">
        <f>IFERROR(INDEX($R$4:$R$3183,MATCH(SMALL($V$4:$V$3183,3068),$V$4:$V$3183,0)),"")</f>
        <v/>
      </c>
      <c r="F3071">
        <f>IFERROR(INDEX($S$4:$S$3183,MATCH(SMALL($V$4:$V$3183,3068),$V$4:$V$3183,0)),"")</f>
        <v/>
      </c>
      <c r="I3071" s="29">
        <f>IF($B3071="","",IFERROR(INDEX($U$4:$U$3183,MATCH(SMALL($V$4:$V$3183,3068),$V$4:$V$3183,0)),""))</f>
        <v/>
      </c>
      <c r="J3071">
        <f>IF($B3071="","",IF($D3071&gt;$F$2,"À venir",IF($E3071&lt;$D$2,"Passé","Dans la période")))</f>
        <v/>
      </c>
      <c r="K3071">
        <f>IF(OR($B3071="",NOT(ISNUMBER($D3071))),"",IF(AND($E3071&lt;$D$2,$G3071&lt;&gt;"X",$F3071&lt;&gt;"Réalisé",$F3071&lt;&gt;"Clôturé"),"RETARD",""))</f>
        <v/>
      </c>
      <c r="L3071">
        <f>IF(OR($B3071="",NOT(ISNUMBER($D3071))),"",IF(AND($D3071&gt;=$D$2,$D3071&lt;=$H$2,$G3071&lt;&gt;"X",$F3071&lt;&gt;"Réalisé",$F3071&lt;&gt;"Clôturé"),"≤ 7 j",""))</f>
        <v/>
      </c>
      <c r="M3071" s="29">
        <f>IF($B3071="","",IFERROR(INDEX($T$4:$T$3183,MATCH(SMALL($V$4:$V$3183,3068),$V$4:$V$3183,0)),""))</f>
        <v/>
      </c>
      <c r="O3071">
        <f>IF(INDEX(Suivi!$B:$B,3129)="","",INDEX(Suivi!$B:$B,3129))</f>
        <v/>
      </c>
      <c r="P3071">
        <f>IF($O3071="","",IF(INDEX(Suivi!$D:$D,3129)="",INDEX(Suivi!$C:$C,3129),INDEX(Suivi!$D:$D,3129)))</f>
        <v/>
      </c>
      <c r="Q3071">
        <f>IF($O3071="","",INDEX(Suivi!$E:$E,3129))</f>
        <v/>
      </c>
      <c r="R3071">
        <f>IF($O3071="","",INDEX(Suivi!$F:$F,3129))</f>
        <v/>
      </c>
      <c r="S3071">
        <f>IF($O3071="","",INDEX(Suivi!$G:$G,3129))</f>
        <v/>
      </c>
      <c r="T3071">
        <f>IF($O3071="","",IF(INDEX(Dossiers!$F$4:$F$63,58)="","",INDEX(Dossiers!$F$4:$F$63,58)))</f>
        <v/>
      </c>
      <c r="U3071">
        <f>IF($O3071="","",IF(INDEX(Dossiers!$G$4:$G$63,58)="","",INDEX(Dossiers!$G$4:$G$63,58)))</f>
        <v/>
      </c>
      <c r="V3071">
        <f>IF(OR($O3071="",NOT(ISNUMBER($Q3071))),"",$Q3071*1000000+3071)</f>
        <v/>
      </c>
      <c r="W3071" s="29">
        <f>IF($B3071="","",IFERROR(INDEX($U$4:$U$3183,MATCH(SMALL($V$4:$V$3183,3068),$V$4:$V$3183,0)),""))</f>
        <v/>
      </c>
    </row>
    <row r="3072">
      <c r="A3072">
        <f>IFERROR(INDEX($N$4:$N$3183,MATCH(SMALL($V$4:$V$3183,3069),$V$4:$V$3183,0)),"")</f>
        <v/>
      </c>
      <c r="B3072">
        <f>IFERROR(INDEX($O$4:$O$3183,MATCH(SMALL($V$4:$V$3183,3069),$V$4:$V$3183,0)),"")</f>
        <v/>
      </c>
      <c r="C3072">
        <f>IFERROR(INDEX($P$4:$P$3183,MATCH(SMALL($V$4:$V$3183,3069),$V$4:$V$3183,0)),"")</f>
        <v/>
      </c>
      <c r="D3072" s="29">
        <f>IFERROR(INDEX($Q$4:$Q$3183,MATCH(SMALL($V$4:$V$3183,3069),$V$4:$V$3183,0)),"")</f>
        <v/>
      </c>
      <c r="E3072" s="29">
        <f>IFERROR(INDEX($R$4:$R$3183,MATCH(SMALL($V$4:$V$3183,3069),$V$4:$V$3183,0)),"")</f>
        <v/>
      </c>
      <c r="F3072">
        <f>IFERROR(INDEX($S$4:$S$3183,MATCH(SMALL($V$4:$V$3183,3069),$V$4:$V$3183,0)),"")</f>
        <v/>
      </c>
      <c r="I3072" s="29">
        <f>IF($B3072="","",IFERROR(INDEX($U$4:$U$3183,MATCH(SMALL($V$4:$V$3183,3069),$V$4:$V$3183,0)),""))</f>
        <v/>
      </c>
      <c r="J3072">
        <f>IF($B3072="","",IF($D3072&gt;$F$2,"À venir",IF($E3072&lt;$D$2,"Passé","Dans la période")))</f>
        <v/>
      </c>
      <c r="K3072">
        <f>IF(OR($B3072="",NOT(ISNUMBER($D3072))),"",IF(AND($E3072&lt;$D$2,$G3072&lt;&gt;"X",$F3072&lt;&gt;"Réalisé",$F3072&lt;&gt;"Clôturé"),"RETARD",""))</f>
        <v/>
      </c>
      <c r="L3072">
        <f>IF(OR($B3072="",NOT(ISNUMBER($D3072))),"",IF(AND($D3072&gt;=$D$2,$D3072&lt;=$H$2,$G3072&lt;&gt;"X",$F3072&lt;&gt;"Réalisé",$F3072&lt;&gt;"Clôturé"),"≤ 7 j",""))</f>
        <v/>
      </c>
      <c r="M3072" s="29">
        <f>IF($B3072="","",IFERROR(INDEX($T$4:$T$3183,MATCH(SMALL($V$4:$V$3183,3069),$V$4:$V$3183,0)),""))</f>
        <v/>
      </c>
      <c r="O3072">
        <f>IF(INDEX(Suivi!$B:$B,3130)="","",INDEX(Suivi!$B:$B,3130))</f>
        <v/>
      </c>
      <c r="P3072">
        <f>IF($O3072="","",IF(INDEX(Suivi!$D:$D,3130)="",INDEX(Suivi!$C:$C,3130),INDEX(Suivi!$D:$D,3130)))</f>
        <v/>
      </c>
      <c r="Q3072">
        <f>IF($O3072="","",INDEX(Suivi!$E:$E,3130))</f>
        <v/>
      </c>
      <c r="R3072">
        <f>IF($O3072="","",INDEX(Suivi!$F:$F,3130))</f>
        <v/>
      </c>
      <c r="S3072">
        <f>IF($O3072="","",INDEX(Suivi!$G:$G,3130))</f>
        <v/>
      </c>
      <c r="T3072">
        <f>IF($O3072="","",IF(INDEX(Dossiers!$F$4:$F$63,58)="","",INDEX(Dossiers!$F$4:$F$63,58)))</f>
        <v/>
      </c>
      <c r="U3072">
        <f>IF($O3072="","",IF(INDEX(Dossiers!$G$4:$G$63,58)="","",INDEX(Dossiers!$G$4:$G$63,58)))</f>
        <v/>
      </c>
      <c r="V3072">
        <f>IF(OR($O3072="",NOT(ISNUMBER($Q3072))),"",$Q3072*1000000+3072)</f>
        <v/>
      </c>
      <c r="W3072" s="29">
        <f>IF($B3072="","",IFERROR(INDEX($U$4:$U$3183,MATCH(SMALL($V$4:$V$3183,3069),$V$4:$V$3183,0)),""))</f>
        <v/>
      </c>
    </row>
    <row r="3073">
      <c r="A3073">
        <f>IFERROR(INDEX($N$4:$N$3183,MATCH(SMALL($V$4:$V$3183,3070),$V$4:$V$3183,0)),"")</f>
        <v/>
      </c>
      <c r="B3073">
        <f>IFERROR(INDEX($O$4:$O$3183,MATCH(SMALL($V$4:$V$3183,3070),$V$4:$V$3183,0)),"")</f>
        <v/>
      </c>
      <c r="C3073">
        <f>IFERROR(INDEX($P$4:$P$3183,MATCH(SMALL($V$4:$V$3183,3070),$V$4:$V$3183,0)),"")</f>
        <v/>
      </c>
      <c r="D3073" s="29">
        <f>IFERROR(INDEX($Q$4:$Q$3183,MATCH(SMALL($V$4:$V$3183,3070),$V$4:$V$3183,0)),"")</f>
        <v/>
      </c>
      <c r="E3073" s="29">
        <f>IFERROR(INDEX($R$4:$R$3183,MATCH(SMALL($V$4:$V$3183,3070),$V$4:$V$3183,0)),"")</f>
        <v/>
      </c>
      <c r="F3073">
        <f>IFERROR(INDEX($S$4:$S$3183,MATCH(SMALL($V$4:$V$3183,3070),$V$4:$V$3183,0)),"")</f>
        <v/>
      </c>
      <c r="I3073" s="29">
        <f>IF($B3073="","",IFERROR(INDEX($U$4:$U$3183,MATCH(SMALL($V$4:$V$3183,3070),$V$4:$V$3183,0)),""))</f>
        <v/>
      </c>
      <c r="J3073">
        <f>IF($B3073="","",IF($D3073&gt;$F$2,"À venir",IF($E3073&lt;$D$2,"Passé","Dans la période")))</f>
        <v/>
      </c>
      <c r="K3073">
        <f>IF(OR($B3073="",NOT(ISNUMBER($D3073))),"",IF(AND($E3073&lt;$D$2,$G3073&lt;&gt;"X",$F3073&lt;&gt;"Réalisé",$F3073&lt;&gt;"Clôturé"),"RETARD",""))</f>
        <v/>
      </c>
      <c r="L3073">
        <f>IF(OR($B3073="",NOT(ISNUMBER($D3073))),"",IF(AND($D3073&gt;=$D$2,$D3073&lt;=$H$2,$G3073&lt;&gt;"X",$F3073&lt;&gt;"Réalisé",$F3073&lt;&gt;"Clôturé"),"≤ 7 j",""))</f>
        <v/>
      </c>
      <c r="M3073" s="29">
        <f>IF($B3073="","",IFERROR(INDEX($T$4:$T$3183,MATCH(SMALL($V$4:$V$3183,3070),$V$4:$V$3183,0)),""))</f>
        <v/>
      </c>
      <c r="O3073">
        <f>IF(INDEX(Suivi!$B:$B,3131)="","",INDEX(Suivi!$B:$B,3131))</f>
        <v/>
      </c>
      <c r="P3073">
        <f>IF($O3073="","",IF(INDEX(Suivi!$D:$D,3131)="",INDEX(Suivi!$C:$C,3131),INDEX(Suivi!$D:$D,3131)))</f>
        <v/>
      </c>
      <c r="Q3073">
        <f>IF($O3073="","",INDEX(Suivi!$E:$E,3131))</f>
        <v/>
      </c>
      <c r="R3073">
        <f>IF($O3073="","",INDEX(Suivi!$F:$F,3131))</f>
        <v/>
      </c>
      <c r="S3073">
        <f>IF($O3073="","",INDEX(Suivi!$G:$G,3131))</f>
        <v/>
      </c>
      <c r="T3073">
        <f>IF($O3073="","",IF(INDEX(Dossiers!$F$4:$F$63,58)="","",INDEX(Dossiers!$F$4:$F$63,58)))</f>
        <v/>
      </c>
      <c r="U3073">
        <f>IF($O3073="","",IF(INDEX(Dossiers!$G$4:$G$63,58)="","",INDEX(Dossiers!$G$4:$G$63,58)))</f>
        <v/>
      </c>
      <c r="V3073">
        <f>IF(OR($O3073="",NOT(ISNUMBER($Q3073))),"",$Q3073*1000000+3073)</f>
        <v/>
      </c>
      <c r="W3073" s="29">
        <f>IF($B3073="","",IFERROR(INDEX($U$4:$U$3183,MATCH(SMALL($V$4:$V$3183,3070),$V$4:$V$3183,0)),""))</f>
        <v/>
      </c>
    </row>
    <row r="3074">
      <c r="A3074">
        <f>IFERROR(INDEX($N$4:$N$3183,MATCH(SMALL($V$4:$V$3183,3071),$V$4:$V$3183,0)),"")</f>
        <v/>
      </c>
      <c r="B3074">
        <f>IFERROR(INDEX($O$4:$O$3183,MATCH(SMALL($V$4:$V$3183,3071),$V$4:$V$3183,0)),"")</f>
        <v/>
      </c>
      <c r="C3074">
        <f>IFERROR(INDEX($P$4:$P$3183,MATCH(SMALL($V$4:$V$3183,3071),$V$4:$V$3183,0)),"")</f>
        <v/>
      </c>
      <c r="D3074" s="29">
        <f>IFERROR(INDEX($Q$4:$Q$3183,MATCH(SMALL($V$4:$V$3183,3071),$V$4:$V$3183,0)),"")</f>
        <v/>
      </c>
      <c r="E3074" s="29">
        <f>IFERROR(INDEX($R$4:$R$3183,MATCH(SMALL($V$4:$V$3183,3071),$V$4:$V$3183,0)),"")</f>
        <v/>
      </c>
      <c r="F3074">
        <f>IFERROR(INDEX($S$4:$S$3183,MATCH(SMALL($V$4:$V$3183,3071),$V$4:$V$3183,0)),"")</f>
        <v/>
      </c>
      <c r="I3074" s="29">
        <f>IF($B3074="","",IFERROR(INDEX($U$4:$U$3183,MATCH(SMALL($V$4:$V$3183,3071),$V$4:$V$3183,0)),""))</f>
        <v/>
      </c>
      <c r="J3074">
        <f>IF($B3074="","",IF($D3074&gt;$F$2,"À venir",IF($E3074&lt;$D$2,"Passé","Dans la période")))</f>
        <v/>
      </c>
      <c r="K3074">
        <f>IF(OR($B3074="",NOT(ISNUMBER($D3074))),"",IF(AND($E3074&lt;$D$2,$G3074&lt;&gt;"X",$F3074&lt;&gt;"Réalisé",$F3074&lt;&gt;"Clôturé"),"RETARD",""))</f>
        <v/>
      </c>
      <c r="L3074">
        <f>IF(OR($B3074="",NOT(ISNUMBER($D3074))),"",IF(AND($D3074&gt;=$D$2,$D3074&lt;=$H$2,$G3074&lt;&gt;"X",$F3074&lt;&gt;"Réalisé",$F3074&lt;&gt;"Clôturé"),"≤ 7 j",""))</f>
        <v/>
      </c>
      <c r="M3074" s="29">
        <f>IF($B3074="","",IFERROR(INDEX($T$4:$T$3183,MATCH(SMALL($V$4:$V$3183,3071),$V$4:$V$3183,0)),""))</f>
        <v/>
      </c>
      <c r="O3074">
        <f>IF(INDEX(Suivi!$B:$B,3132)="","",INDEX(Suivi!$B:$B,3132))</f>
        <v/>
      </c>
      <c r="P3074">
        <f>IF($O3074="","",IF(INDEX(Suivi!$D:$D,3132)="",INDEX(Suivi!$C:$C,3132),INDEX(Suivi!$D:$D,3132)))</f>
        <v/>
      </c>
      <c r="Q3074">
        <f>IF($O3074="","",INDEX(Suivi!$E:$E,3132))</f>
        <v/>
      </c>
      <c r="R3074">
        <f>IF($O3074="","",INDEX(Suivi!$F:$F,3132))</f>
        <v/>
      </c>
      <c r="S3074">
        <f>IF($O3074="","",INDEX(Suivi!$G:$G,3132))</f>
        <v/>
      </c>
      <c r="T3074">
        <f>IF($O3074="","",IF(INDEX(Dossiers!$F$4:$F$63,58)="","",INDEX(Dossiers!$F$4:$F$63,58)))</f>
        <v/>
      </c>
      <c r="U3074">
        <f>IF($O3074="","",IF(INDEX(Dossiers!$G$4:$G$63,58)="","",INDEX(Dossiers!$G$4:$G$63,58)))</f>
        <v/>
      </c>
      <c r="V3074">
        <f>IF(OR($O3074="",NOT(ISNUMBER($Q3074))),"",$Q3074*1000000+3074)</f>
        <v/>
      </c>
      <c r="W3074" s="29">
        <f>IF($B3074="","",IFERROR(INDEX($U$4:$U$3183,MATCH(SMALL($V$4:$V$3183,3071),$V$4:$V$3183,0)),""))</f>
        <v/>
      </c>
    </row>
    <row r="3075">
      <c r="A3075">
        <f>IFERROR(INDEX($N$4:$N$3183,MATCH(SMALL($V$4:$V$3183,3072),$V$4:$V$3183,0)),"")</f>
        <v/>
      </c>
      <c r="B3075">
        <f>IFERROR(INDEX($O$4:$O$3183,MATCH(SMALL($V$4:$V$3183,3072),$V$4:$V$3183,0)),"")</f>
        <v/>
      </c>
      <c r="C3075">
        <f>IFERROR(INDEX($P$4:$P$3183,MATCH(SMALL($V$4:$V$3183,3072),$V$4:$V$3183,0)),"")</f>
        <v/>
      </c>
      <c r="D3075" s="29">
        <f>IFERROR(INDEX($Q$4:$Q$3183,MATCH(SMALL($V$4:$V$3183,3072),$V$4:$V$3183,0)),"")</f>
        <v/>
      </c>
      <c r="E3075" s="29">
        <f>IFERROR(INDEX($R$4:$R$3183,MATCH(SMALL($V$4:$V$3183,3072),$V$4:$V$3183,0)),"")</f>
        <v/>
      </c>
      <c r="F3075">
        <f>IFERROR(INDEX($S$4:$S$3183,MATCH(SMALL($V$4:$V$3183,3072),$V$4:$V$3183,0)),"")</f>
        <v/>
      </c>
      <c r="I3075" s="29">
        <f>IF($B3075="","",IFERROR(INDEX($U$4:$U$3183,MATCH(SMALL($V$4:$V$3183,3072),$V$4:$V$3183,0)),""))</f>
        <v/>
      </c>
      <c r="J3075">
        <f>IF($B3075="","",IF($D3075&gt;$F$2,"À venir",IF($E3075&lt;$D$2,"Passé","Dans la période")))</f>
        <v/>
      </c>
      <c r="K3075">
        <f>IF(OR($B3075="",NOT(ISNUMBER($D3075))),"",IF(AND($E3075&lt;$D$2,$G3075&lt;&gt;"X",$F3075&lt;&gt;"Réalisé",$F3075&lt;&gt;"Clôturé"),"RETARD",""))</f>
        <v/>
      </c>
      <c r="L3075">
        <f>IF(OR($B3075="",NOT(ISNUMBER($D3075))),"",IF(AND($D3075&gt;=$D$2,$D3075&lt;=$H$2,$G3075&lt;&gt;"X",$F3075&lt;&gt;"Réalisé",$F3075&lt;&gt;"Clôturé"),"≤ 7 j",""))</f>
        <v/>
      </c>
      <c r="M3075" s="29">
        <f>IF($B3075="","",IFERROR(INDEX($T$4:$T$3183,MATCH(SMALL($V$4:$V$3183,3072),$V$4:$V$3183,0)),""))</f>
        <v/>
      </c>
      <c r="O3075">
        <f>IF(INDEX(Suivi!$B:$B,3133)="","",INDEX(Suivi!$B:$B,3133))</f>
        <v/>
      </c>
      <c r="P3075">
        <f>IF($O3075="","",IF(INDEX(Suivi!$D:$D,3133)="",INDEX(Suivi!$C:$C,3133),INDEX(Suivi!$D:$D,3133)))</f>
        <v/>
      </c>
      <c r="Q3075">
        <f>IF($O3075="","",INDEX(Suivi!$E:$E,3133))</f>
        <v/>
      </c>
      <c r="R3075">
        <f>IF($O3075="","",INDEX(Suivi!$F:$F,3133))</f>
        <v/>
      </c>
      <c r="S3075">
        <f>IF($O3075="","",INDEX(Suivi!$G:$G,3133))</f>
        <v/>
      </c>
      <c r="T3075">
        <f>IF($O3075="","",IF(INDEX(Dossiers!$F$4:$F$63,58)="","",INDEX(Dossiers!$F$4:$F$63,58)))</f>
        <v/>
      </c>
      <c r="U3075">
        <f>IF($O3075="","",IF(INDEX(Dossiers!$G$4:$G$63,58)="","",INDEX(Dossiers!$G$4:$G$63,58)))</f>
        <v/>
      </c>
      <c r="V3075">
        <f>IF(OR($O3075="",NOT(ISNUMBER($Q3075))),"",$Q3075*1000000+3075)</f>
        <v/>
      </c>
      <c r="W3075" s="29">
        <f>IF($B3075="","",IFERROR(INDEX($U$4:$U$3183,MATCH(SMALL($V$4:$V$3183,3072),$V$4:$V$3183,0)),""))</f>
        <v/>
      </c>
    </row>
    <row r="3076">
      <c r="A3076">
        <f>IFERROR(INDEX($N$4:$N$3183,MATCH(SMALL($V$4:$V$3183,3073),$V$4:$V$3183,0)),"")</f>
        <v/>
      </c>
      <c r="B3076">
        <f>IFERROR(INDEX($O$4:$O$3183,MATCH(SMALL($V$4:$V$3183,3073),$V$4:$V$3183,0)),"")</f>
        <v/>
      </c>
      <c r="C3076">
        <f>IFERROR(INDEX($P$4:$P$3183,MATCH(SMALL($V$4:$V$3183,3073),$V$4:$V$3183,0)),"")</f>
        <v/>
      </c>
      <c r="D3076" s="29">
        <f>IFERROR(INDEX($Q$4:$Q$3183,MATCH(SMALL($V$4:$V$3183,3073),$V$4:$V$3183,0)),"")</f>
        <v/>
      </c>
      <c r="E3076" s="29">
        <f>IFERROR(INDEX($R$4:$R$3183,MATCH(SMALL($V$4:$V$3183,3073),$V$4:$V$3183,0)),"")</f>
        <v/>
      </c>
      <c r="F3076">
        <f>IFERROR(INDEX($S$4:$S$3183,MATCH(SMALL($V$4:$V$3183,3073),$V$4:$V$3183,0)),"")</f>
        <v/>
      </c>
      <c r="I3076" s="29">
        <f>IF($B3076="","",IFERROR(INDEX($U$4:$U$3183,MATCH(SMALL($V$4:$V$3183,3073),$V$4:$V$3183,0)),""))</f>
        <v/>
      </c>
      <c r="J3076">
        <f>IF($B3076="","",IF($D3076&gt;$F$2,"À venir",IF($E3076&lt;$D$2,"Passé","Dans la période")))</f>
        <v/>
      </c>
      <c r="K3076">
        <f>IF(OR($B3076="",NOT(ISNUMBER($D3076))),"",IF(AND($E3076&lt;$D$2,$G3076&lt;&gt;"X",$F3076&lt;&gt;"Réalisé",$F3076&lt;&gt;"Clôturé"),"RETARD",""))</f>
        <v/>
      </c>
      <c r="L3076">
        <f>IF(OR($B3076="",NOT(ISNUMBER($D3076))),"",IF(AND($D3076&gt;=$D$2,$D3076&lt;=$H$2,$G3076&lt;&gt;"X",$F3076&lt;&gt;"Réalisé",$F3076&lt;&gt;"Clôturé"),"≤ 7 j",""))</f>
        <v/>
      </c>
      <c r="M3076" s="29">
        <f>IF($B3076="","",IFERROR(INDEX($T$4:$T$3183,MATCH(SMALL($V$4:$V$3183,3073),$V$4:$V$3183,0)),""))</f>
        <v/>
      </c>
      <c r="O3076">
        <f>IF(INDEX(Suivi!$B:$B,3134)="","",INDEX(Suivi!$B:$B,3134))</f>
        <v/>
      </c>
      <c r="P3076">
        <f>IF($O3076="","",IF(INDEX(Suivi!$D:$D,3134)="",INDEX(Suivi!$C:$C,3134),INDEX(Suivi!$D:$D,3134)))</f>
        <v/>
      </c>
      <c r="Q3076">
        <f>IF($O3076="","",INDEX(Suivi!$E:$E,3134))</f>
        <v/>
      </c>
      <c r="R3076">
        <f>IF($O3076="","",INDEX(Suivi!$F:$F,3134))</f>
        <v/>
      </c>
      <c r="S3076">
        <f>IF($O3076="","",INDEX(Suivi!$G:$G,3134))</f>
        <v/>
      </c>
      <c r="T3076">
        <f>IF($O3076="","",IF(INDEX(Dossiers!$F$4:$F$63,58)="","",INDEX(Dossiers!$F$4:$F$63,58)))</f>
        <v/>
      </c>
      <c r="U3076">
        <f>IF($O3076="","",IF(INDEX(Dossiers!$G$4:$G$63,58)="","",INDEX(Dossiers!$G$4:$G$63,58)))</f>
        <v/>
      </c>
      <c r="V3076">
        <f>IF(OR($O3076="",NOT(ISNUMBER($Q3076))),"",$Q3076*1000000+3076)</f>
        <v/>
      </c>
      <c r="W3076" s="29">
        <f>IF($B3076="","",IFERROR(INDEX($U$4:$U$3183,MATCH(SMALL($V$4:$V$3183,3073),$V$4:$V$3183,0)),""))</f>
        <v/>
      </c>
    </row>
    <row r="3077">
      <c r="A3077">
        <f>IFERROR(INDEX($N$4:$N$3183,MATCH(SMALL($V$4:$V$3183,3074),$V$4:$V$3183,0)),"")</f>
        <v/>
      </c>
      <c r="B3077">
        <f>IFERROR(INDEX($O$4:$O$3183,MATCH(SMALL($V$4:$V$3183,3074),$V$4:$V$3183,0)),"")</f>
        <v/>
      </c>
      <c r="C3077">
        <f>IFERROR(INDEX($P$4:$P$3183,MATCH(SMALL($V$4:$V$3183,3074),$V$4:$V$3183,0)),"")</f>
        <v/>
      </c>
      <c r="D3077" s="29">
        <f>IFERROR(INDEX($Q$4:$Q$3183,MATCH(SMALL($V$4:$V$3183,3074),$V$4:$V$3183,0)),"")</f>
        <v/>
      </c>
      <c r="E3077" s="29">
        <f>IFERROR(INDEX($R$4:$R$3183,MATCH(SMALL($V$4:$V$3183,3074),$V$4:$V$3183,0)),"")</f>
        <v/>
      </c>
      <c r="F3077">
        <f>IFERROR(INDEX($S$4:$S$3183,MATCH(SMALL($V$4:$V$3183,3074),$V$4:$V$3183,0)),"")</f>
        <v/>
      </c>
      <c r="I3077" s="29">
        <f>IF($B3077="","",IFERROR(INDEX($U$4:$U$3183,MATCH(SMALL($V$4:$V$3183,3074),$V$4:$V$3183,0)),""))</f>
        <v/>
      </c>
      <c r="J3077">
        <f>IF($B3077="","",IF($D3077&gt;$F$2,"À venir",IF($E3077&lt;$D$2,"Passé","Dans la période")))</f>
        <v/>
      </c>
      <c r="K3077">
        <f>IF(OR($B3077="",NOT(ISNUMBER($D3077))),"",IF(AND($E3077&lt;$D$2,$G3077&lt;&gt;"X",$F3077&lt;&gt;"Réalisé",$F3077&lt;&gt;"Clôturé"),"RETARD",""))</f>
        <v/>
      </c>
      <c r="L3077">
        <f>IF(OR($B3077="",NOT(ISNUMBER($D3077))),"",IF(AND($D3077&gt;=$D$2,$D3077&lt;=$H$2,$G3077&lt;&gt;"X",$F3077&lt;&gt;"Réalisé",$F3077&lt;&gt;"Clôturé"),"≤ 7 j",""))</f>
        <v/>
      </c>
      <c r="M3077" s="29">
        <f>IF($B3077="","",IFERROR(INDEX($T$4:$T$3183,MATCH(SMALL($V$4:$V$3183,3074),$V$4:$V$3183,0)),""))</f>
        <v/>
      </c>
      <c r="O3077">
        <f>IF(INDEX(Suivi!$B:$B,3135)="","",INDEX(Suivi!$B:$B,3135))</f>
        <v/>
      </c>
      <c r="P3077">
        <f>IF($O3077="","",IF(INDEX(Suivi!$D:$D,3135)="",INDEX(Suivi!$C:$C,3135),INDEX(Suivi!$D:$D,3135)))</f>
        <v/>
      </c>
      <c r="Q3077">
        <f>IF($O3077="","",INDEX(Suivi!$E:$E,3135))</f>
        <v/>
      </c>
      <c r="R3077">
        <f>IF($O3077="","",INDEX(Suivi!$F:$F,3135))</f>
        <v/>
      </c>
      <c r="S3077">
        <f>IF($O3077="","",INDEX(Suivi!$G:$G,3135))</f>
        <v/>
      </c>
      <c r="T3077">
        <f>IF($O3077="","",IF(INDEX(Dossiers!$F$4:$F$63,58)="","",INDEX(Dossiers!$F$4:$F$63,58)))</f>
        <v/>
      </c>
      <c r="U3077">
        <f>IF($O3077="","",IF(INDEX(Dossiers!$G$4:$G$63,58)="","",INDEX(Dossiers!$G$4:$G$63,58)))</f>
        <v/>
      </c>
      <c r="V3077">
        <f>IF(OR($O3077="",NOT(ISNUMBER($Q3077))),"",$Q3077*1000000+3077)</f>
        <v/>
      </c>
      <c r="W3077" s="29">
        <f>IF($B3077="","",IFERROR(INDEX($U$4:$U$3183,MATCH(SMALL($V$4:$V$3183,3074),$V$4:$V$3183,0)),""))</f>
        <v/>
      </c>
    </row>
    <row r="3078">
      <c r="A3078">
        <f>IFERROR(INDEX($N$4:$N$3183,MATCH(SMALL($V$4:$V$3183,3075),$V$4:$V$3183,0)),"")</f>
        <v/>
      </c>
      <c r="B3078">
        <f>IFERROR(INDEX($O$4:$O$3183,MATCH(SMALL($V$4:$V$3183,3075),$V$4:$V$3183,0)),"")</f>
        <v/>
      </c>
      <c r="C3078">
        <f>IFERROR(INDEX($P$4:$P$3183,MATCH(SMALL($V$4:$V$3183,3075),$V$4:$V$3183,0)),"")</f>
        <v/>
      </c>
      <c r="D3078" s="29">
        <f>IFERROR(INDEX($Q$4:$Q$3183,MATCH(SMALL($V$4:$V$3183,3075),$V$4:$V$3183,0)),"")</f>
        <v/>
      </c>
      <c r="E3078" s="29">
        <f>IFERROR(INDEX($R$4:$R$3183,MATCH(SMALL($V$4:$V$3183,3075),$V$4:$V$3183,0)),"")</f>
        <v/>
      </c>
      <c r="F3078">
        <f>IFERROR(INDEX($S$4:$S$3183,MATCH(SMALL($V$4:$V$3183,3075),$V$4:$V$3183,0)),"")</f>
        <v/>
      </c>
      <c r="I3078" s="29">
        <f>IF($B3078="","",IFERROR(INDEX($U$4:$U$3183,MATCH(SMALL($V$4:$V$3183,3075),$V$4:$V$3183,0)),""))</f>
        <v/>
      </c>
      <c r="J3078">
        <f>IF($B3078="","",IF($D3078&gt;$F$2,"À venir",IF($E3078&lt;$D$2,"Passé","Dans la période")))</f>
        <v/>
      </c>
      <c r="K3078">
        <f>IF(OR($B3078="",NOT(ISNUMBER($D3078))),"",IF(AND($E3078&lt;$D$2,$G3078&lt;&gt;"X",$F3078&lt;&gt;"Réalisé",$F3078&lt;&gt;"Clôturé"),"RETARD",""))</f>
        <v/>
      </c>
      <c r="L3078">
        <f>IF(OR($B3078="",NOT(ISNUMBER($D3078))),"",IF(AND($D3078&gt;=$D$2,$D3078&lt;=$H$2,$G3078&lt;&gt;"X",$F3078&lt;&gt;"Réalisé",$F3078&lt;&gt;"Clôturé"),"≤ 7 j",""))</f>
        <v/>
      </c>
      <c r="M3078" s="29">
        <f>IF($B3078="","",IFERROR(INDEX($T$4:$T$3183,MATCH(SMALL($V$4:$V$3183,3075),$V$4:$V$3183,0)),""))</f>
        <v/>
      </c>
      <c r="O3078">
        <f>IF(INDEX(Suivi!$B:$B,3137)="","",INDEX(Suivi!$B:$B,3137))</f>
        <v/>
      </c>
      <c r="P3078">
        <f>IF($O3078="","",IF(INDEX(Suivi!$D:$D,3137)="",INDEX(Suivi!$C:$C,3137),INDEX(Suivi!$D:$D,3137)))</f>
        <v/>
      </c>
      <c r="Q3078">
        <f>IF($O3078="","",INDEX(Suivi!$E:$E,3137))</f>
        <v/>
      </c>
      <c r="R3078">
        <f>IF($O3078="","",INDEX(Suivi!$F:$F,3137))</f>
        <v/>
      </c>
      <c r="S3078">
        <f>IF($O3078="","",INDEX(Suivi!$G:$G,3137))</f>
        <v/>
      </c>
      <c r="T3078">
        <f>IF($O3078="","",IF(INDEX(Dossiers!$F$4:$F$63,59)="","",INDEX(Dossiers!$F$4:$F$63,59)))</f>
        <v/>
      </c>
      <c r="U3078">
        <f>IF($O3078="","",IF(INDEX(Dossiers!$G$4:$G$63,59)="","",INDEX(Dossiers!$G$4:$G$63,59)))</f>
        <v/>
      </c>
      <c r="V3078">
        <f>IF(OR($O3078="",NOT(ISNUMBER($Q3078))),"",$Q3078*1000000+3078)</f>
        <v/>
      </c>
      <c r="W3078" s="29">
        <f>IF($B3078="","",IFERROR(INDEX($U$4:$U$3183,MATCH(SMALL($V$4:$V$3183,3075),$V$4:$V$3183,0)),""))</f>
        <v/>
      </c>
    </row>
    <row r="3079">
      <c r="A3079">
        <f>IFERROR(INDEX($N$4:$N$3183,MATCH(SMALL($V$4:$V$3183,3076),$V$4:$V$3183,0)),"")</f>
        <v/>
      </c>
      <c r="B3079">
        <f>IFERROR(INDEX($O$4:$O$3183,MATCH(SMALL($V$4:$V$3183,3076),$V$4:$V$3183,0)),"")</f>
        <v/>
      </c>
      <c r="C3079">
        <f>IFERROR(INDEX($P$4:$P$3183,MATCH(SMALL($V$4:$V$3183,3076),$V$4:$V$3183,0)),"")</f>
        <v/>
      </c>
      <c r="D3079" s="29">
        <f>IFERROR(INDEX($Q$4:$Q$3183,MATCH(SMALL($V$4:$V$3183,3076),$V$4:$V$3183,0)),"")</f>
        <v/>
      </c>
      <c r="E3079" s="29">
        <f>IFERROR(INDEX($R$4:$R$3183,MATCH(SMALL($V$4:$V$3183,3076),$V$4:$V$3183,0)),"")</f>
        <v/>
      </c>
      <c r="F3079">
        <f>IFERROR(INDEX($S$4:$S$3183,MATCH(SMALL($V$4:$V$3183,3076),$V$4:$V$3183,0)),"")</f>
        <v/>
      </c>
      <c r="I3079" s="29">
        <f>IF($B3079="","",IFERROR(INDEX($U$4:$U$3183,MATCH(SMALL($V$4:$V$3183,3076),$V$4:$V$3183,0)),""))</f>
        <v/>
      </c>
      <c r="J3079">
        <f>IF($B3079="","",IF($D3079&gt;$F$2,"À venir",IF($E3079&lt;$D$2,"Passé","Dans la période")))</f>
        <v/>
      </c>
      <c r="K3079">
        <f>IF(OR($B3079="",NOT(ISNUMBER($D3079))),"",IF(AND($E3079&lt;$D$2,$G3079&lt;&gt;"X",$F3079&lt;&gt;"Réalisé",$F3079&lt;&gt;"Clôturé"),"RETARD",""))</f>
        <v/>
      </c>
      <c r="L3079">
        <f>IF(OR($B3079="",NOT(ISNUMBER($D3079))),"",IF(AND($D3079&gt;=$D$2,$D3079&lt;=$H$2,$G3079&lt;&gt;"X",$F3079&lt;&gt;"Réalisé",$F3079&lt;&gt;"Clôturé"),"≤ 7 j",""))</f>
        <v/>
      </c>
      <c r="M3079" s="29">
        <f>IF($B3079="","",IFERROR(INDEX($T$4:$T$3183,MATCH(SMALL($V$4:$V$3183,3076),$V$4:$V$3183,0)),""))</f>
        <v/>
      </c>
      <c r="O3079">
        <f>IF(INDEX(Suivi!$B:$B,3138)="","",INDEX(Suivi!$B:$B,3138))</f>
        <v/>
      </c>
      <c r="P3079">
        <f>IF($O3079="","",IF(INDEX(Suivi!$D:$D,3138)="",INDEX(Suivi!$C:$C,3138),INDEX(Suivi!$D:$D,3138)))</f>
        <v/>
      </c>
      <c r="Q3079">
        <f>IF($O3079="","",INDEX(Suivi!$E:$E,3138))</f>
        <v/>
      </c>
      <c r="R3079">
        <f>IF($O3079="","",INDEX(Suivi!$F:$F,3138))</f>
        <v/>
      </c>
      <c r="S3079">
        <f>IF($O3079="","",INDEX(Suivi!$G:$G,3138))</f>
        <v/>
      </c>
      <c r="T3079">
        <f>IF($O3079="","",IF(INDEX(Dossiers!$F$4:$F$63,59)="","",INDEX(Dossiers!$F$4:$F$63,59)))</f>
        <v/>
      </c>
      <c r="U3079">
        <f>IF($O3079="","",IF(INDEX(Dossiers!$G$4:$G$63,59)="","",INDEX(Dossiers!$G$4:$G$63,59)))</f>
        <v/>
      </c>
      <c r="V3079">
        <f>IF(OR($O3079="",NOT(ISNUMBER($Q3079))),"",$Q3079*1000000+3079)</f>
        <v/>
      </c>
      <c r="W3079" s="29">
        <f>IF($B3079="","",IFERROR(INDEX($U$4:$U$3183,MATCH(SMALL($V$4:$V$3183,3076),$V$4:$V$3183,0)),""))</f>
        <v/>
      </c>
    </row>
    <row r="3080">
      <c r="A3080">
        <f>IFERROR(INDEX($N$4:$N$3183,MATCH(SMALL($V$4:$V$3183,3077),$V$4:$V$3183,0)),"")</f>
        <v/>
      </c>
      <c r="B3080">
        <f>IFERROR(INDEX($O$4:$O$3183,MATCH(SMALL($V$4:$V$3183,3077),$V$4:$V$3183,0)),"")</f>
        <v/>
      </c>
      <c r="C3080">
        <f>IFERROR(INDEX($P$4:$P$3183,MATCH(SMALL($V$4:$V$3183,3077),$V$4:$V$3183,0)),"")</f>
        <v/>
      </c>
      <c r="D3080" s="29">
        <f>IFERROR(INDEX($Q$4:$Q$3183,MATCH(SMALL($V$4:$V$3183,3077),$V$4:$V$3183,0)),"")</f>
        <v/>
      </c>
      <c r="E3080" s="29">
        <f>IFERROR(INDEX($R$4:$R$3183,MATCH(SMALL($V$4:$V$3183,3077),$V$4:$V$3183,0)),"")</f>
        <v/>
      </c>
      <c r="F3080">
        <f>IFERROR(INDEX($S$4:$S$3183,MATCH(SMALL($V$4:$V$3183,3077),$V$4:$V$3183,0)),"")</f>
        <v/>
      </c>
      <c r="I3080" s="29">
        <f>IF($B3080="","",IFERROR(INDEX($U$4:$U$3183,MATCH(SMALL($V$4:$V$3183,3077),$V$4:$V$3183,0)),""))</f>
        <v/>
      </c>
      <c r="J3080">
        <f>IF($B3080="","",IF($D3080&gt;$F$2,"À venir",IF($E3080&lt;$D$2,"Passé","Dans la période")))</f>
        <v/>
      </c>
      <c r="K3080">
        <f>IF(OR($B3080="",NOT(ISNUMBER($D3080))),"",IF(AND($E3080&lt;$D$2,$G3080&lt;&gt;"X",$F3080&lt;&gt;"Réalisé",$F3080&lt;&gt;"Clôturé"),"RETARD",""))</f>
        <v/>
      </c>
      <c r="L3080">
        <f>IF(OR($B3080="",NOT(ISNUMBER($D3080))),"",IF(AND($D3080&gt;=$D$2,$D3080&lt;=$H$2,$G3080&lt;&gt;"X",$F3080&lt;&gt;"Réalisé",$F3080&lt;&gt;"Clôturé"),"≤ 7 j",""))</f>
        <v/>
      </c>
      <c r="M3080" s="29">
        <f>IF($B3080="","",IFERROR(INDEX($T$4:$T$3183,MATCH(SMALL($V$4:$V$3183,3077),$V$4:$V$3183,0)),""))</f>
        <v/>
      </c>
      <c r="O3080">
        <f>IF(INDEX(Suivi!$B:$B,3139)="","",INDEX(Suivi!$B:$B,3139))</f>
        <v/>
      </c>
      <c r="P3080">
        <f>IF($O3080="","",IF(INDEX(Suivi!$D:$D,3139)="",INDEX(Suivi!$C:$C,3139),INDEX(Suivi!$D:$D,3139)))</f>
        <v/>
      </c>
      <c r="Q3080">
        <f>IF($O3080="","",INDEX(Suivi!$E:$E,3139))</f>
        <v/>
      </c>
      <c r="R3080">
        <f>IF($O3080="","",INDEX(Suivi!$F:$F,3139))</f>
        <v/>
      </c>
      <c r="S3080">
        <f>IF($O3080="","",INDEX(Suivi!$G:$G,3139))</f>
        <v/>
      </c>
      <c r="T3080">
        <f>IF($O3080="","",IF(INDEX(Dossiers!$F$4:$F$63,59)="","",INDEX(Dossiers!$F$4:$F$63,59)))</f>
        <v/>
      </c>
      <c r="U3080">
        <f>IF($O3080="","",IF(INDEX(Dossiers!$G$4:$G$63,59)="","",INDEX(Dossiers!$G$4:$G$63,59)))</f>
        <v/>
      </c>
      <c r="V3080">
        <f>IF(OR($O3080="",NOT(ISNUMBER($Q3080))),"",$Q3080*1000000+3080)</f>
        <v/>
      </c>
      <c r="W3080" s="29">
        <f>IF($B3080="","",IFERROR(INDEX($U$4:$U$3183,MATCH(SMALL($V$4:$V$3183,3077),$V$4:$V$3183,0)),""))</f>
        <v/>
      </c>
    </row>
    <row r="3081">
      <c r="A3081">
        <f>IFERROR(INDEX($N$4:$N$3183,MATCH(SMALL($V$4:$V$3183,3078),$V$4:$V$3183,0)),"")</f>
        <v/>
      </c>
      <c r="B3081">
        <f>IFERROR(INDEX($O$4:$O$3183,MATCH(SMALL($V$4:$V$3183,3078),$V$4:$V$3183,0)),"")</f>
        <v/>
      </c>
      <c r="C3081">
        <f>IFERROR(INDEX($P$4:$P$3183,MATCH(SMALL($V$4:$V$3183,3078),$V$4:$V$3183,0)),"")</f>
        <v/>
      </c>
      <c r="D3081" s="29">
        <f>IFERROR(INDEX($Q$4:$Q$3183,MATCH(SMALL($V$4:$V$3183,3078),$V$4:$V$3183,0)),"")</f>
        <v/>
      </c>
      <c r="E3081" s="29">
        <f>IFERROR(INDEX($R$4:$R$3183,MATCH(SMALL($V$4:$V$3183,3078),$V$4:$V$3183,0)),"")</f>
        <v/>
      </c>
      <c r="F3081">
        <f>IFERROR(INDEX($S$4:$S$3183,MATCH(SMALL($V$4:$V$3183,3078),$V$4:$V$3183,0)),"")</f>
        <v/>
      </c>
      <c r="I3081" s="29">
        <f>IF($B3081="","",IFERROR(INDEX($U$4:$U$3183,MATCH(SMALL($V$4:$V$3183,3078),$V$4:$V$3183,0)),""))</f>
        <v/>
      </c>
      <c r="J3081">
        <f>IF($B3081="","",IF($D3081&gt;$F$2,"À venir",IF($E3081&lt;$D$2,"Passé","Dans la période")))</f>
        <v/>
      </c>
      <c r="K3081">
        <f>IF(OR($B3081="",NOT(ISNUMBER($D3081))),"",IF(AND($E3081&lt;$D$2,$G3081&lt;&gt;"X",$F3081&lt;&gt;"Réalisé",$F3081&lt;&gt;"Clôturé"),"RETARD",""))</f>
        <v/>
      </c>
      <c r="L3081">
        <f>IF(OR($B3081="",NOT(ISNUMBER($D3081))),"",IF(AND($D3081&gt;=$D$2,$D3081&lt;=$H$2,$G3081&lt;&gt;"X",$F3081&lt;&gt;"Réalisé",$F3081&lt;&gt;"Clôturé"),"≤ 7 j",""))</f>
        <v/>
      </c>
      <c r="M3081" s="29">
        <f>IF($B3081="","",IFERROR(INDEX($T$4:$T$3183,MATCH(SMALL($V$4:$V$3183,3078),$V$4:$V$3183,0)),""))</f>
        <v/>
      </c>
      <c r="O3081">
        <f>IF(INDEX(Suivi!$B:$B,3140)="","",INDEX(Suivi!$B:$B,3140))</f>
        <v/>
      </c>
      <c r="P3081">
        <f>IF($O3081="","",IF(INDEX(Suivi!$D:$D,3140)="",INDEX(Suivi!$C:$C,3140),INDEX(Suivi!$D:$D,3140)))</f>
        <v/>
      </c>
      <c r="Q3081">
        <f>IF($O3081="","",INDEX(Suivi!$E:$E,3140))</f>
        <v/>
      </c>
      <c r="R3081">
        <f>IF($O3081="","",INDEX(Suivi!$F:$F,3140))</f>
        <v/>
      </c>
      <c r="S3081">
        <f>IF($O3081="","",INDEX(Suivi!$G:$G,3140))</f>
        <v/>
      </c>
      <c r="T3081">
        <f>IF($O3081="","",IF(INDEX(Dossiers!$F$4:$F$63,59)="","",INDEX(Dossiers!$F$4:$F$63,59)))</f>
        <v/>
      </c>
      <c r="U3081">
        <f>IF($O3081="","",IF(INDEX(Dossiers!$G$4:$G$63,59)="","",INDEX(Dossiers!$G$4:$G$63,59)))</f>
        <v/>
      </c>
      <c r="V3081">
        <f>IF(OR($O3081="",NOT(ISNUMBER($Q3081))),"",$Q3081*1000000+3081)</f>
        <v/>
      </c>
      <c r="W3081" s="29">
        <f>IF($B3081="","",IFERROR(INDEX($U$4:$U$3183,MATCH(SMALL($V$4:$V$3183,3078),$V$4:$V$3183,0)),""))</f>
        <v/>
      </c>
    </row>
    <row r="3082">
      <c r="A3082">
        <f>IFERROR(INDEX($N$4:$N$3183,MATCH(SMALL($V$4:$V$3183,3079),$V$4:$V$3183,0)),"")</f>
        <v/>
      </c>
      <c r="B3082">
        <f>IFERROR(INDEX($O$4:$O$3183,MATCH(SMALL($V$4:$V$3183,3079),$V$4:$V$3183,0)),"")</f>
        <v/>
      </c>
      <c r="C3082">
        <f>IFERROR(INDEX($P$4:$P$3183,MATCH(SMALL($V$4:$V$3183,3079),$V$4:$V$3183,0)),"")</f>
        <v/>
      </c>
      <c r="D3082" s="29">
        <f>IFERROR(INDEX($Q$4:$Q$3183,MATCH(SMALL($V$4:$V$3183,3079),$V$4:$V$3183,0)),"")</f>
        <v/>
      </c>
      <c r="E3082" s="29">
        <f>IFERROR(INDEX($R$4:$R$3183,MATCH(SMALL($V$4:$V$3183,3079),$V$4:$V$3183,0)),"")</f>
        <v/>
      </c>
      <c r="F3082">
        <f>IFERROR(INDEX($S$4:$S$3183,MATCH(SMALL($V$4:$V$3183,3079),$V$4:$V$3183,0)),"")</f>
        <v/>
      </c>
      <c r="I3082" s="29">
        <f>IF($B3082="","",IFERROR(INDEX($U$4:$U$3183,MATCH(SMALL($V$4:$V$3183,3079),$V$4:$V$3183,0)),""))</f>
        <v/>
      </c>
      <c r="J3082">
        <f>IF($B3082="","",IF($D3082&gt;$F$2,"À venir",IF($E3082&lt;$D$2,"Passé","Dans la période")))</f>
        <v/>
      </c>
      <c r="K3082">
        <f>IF(OR($B3082="",NOT(ISNUMBER($D3082))),"",IF(AND($E3082&lt;$D$2,$G3082&lt;&gt;"X",$F3082&lt;&gt;"Réalisé",$F3082&lt;&gt;"Clôturé"),"RETARD",""))</f>
        <v/>
      </c>
      <c r="L3082">
        <f>IF(OR($B3082="",NOT(ISNUMBER($D3082))),"",IF(AND($D3082&gt;=$D$2,$D3082&lt;=$H$2,$G3082&lt;&gt;"X",$F3082&lt;&gt;"Réalisé",$F3082&lt;&gt;"Clôturé"),"≤ 7 j",""))</f>
        <v/>
      </c>
      <c r="M3082" s="29">
        <f>IF($B3082="","",IFERROR(INDEX($T$4:$T$3183,MATCH(SMALL($V$4:$V$3183,3079),$V$4:$V$3183,0)),""))</f>
        <v/>
      </c>
      <c r="O3082">
        <f>IF(INDEX(Suivi!$B:$B,3141)="","",INDEX(Suivi!$B:$B,3141))</f>
        <v/>
      </c>
      <c r="P3082">
        <f>IF($O3082="","",IF(INDEX(Suivi!$D:$D,3141)="",INDEX(Suivi!$C:$C,3141),INDEX(Suivi!$D:$D,3141)))</f>
        <v/>
      </c>
      <c r="Q3082">
        <f>IF($O3082="","",INDEX(Suivi!$E:$E,3141))</f>
        <v/>
      </c>
      <c r="R3082">
        <f>IF($O3082="","",INDEX(Suivi!$F:$F,3141))</f>
        <v/>
      </c>
      <c r="S3082">
        <f>IF($O3082="","",INDEX(Suivi!$G:$G,3141))</f>
        <v/>
      </c>
      <c r="T3082">
        <f>IF($O3082="","",IF(INDEX(Dossiers!$F$4:$F$63,59)="","",INDEX(Dossiers!$F$4:$F$63,59)))</f>
        <v/>
      </c>
      <c r="U3082">
        <f>IF($O3082="","",IF(INDEX(Dossiers!$G$4:$G$63,59)="","",INDEX(Dossiers!$G$4:$G$63,59)))</f>
        <v/>
      </c>
      <c r="V3082">
        <f>IF(OR($O3082="",NOT(ISNUMBER($Q3082))),"",$Q3082*1000000+3082)</f>
        <v/>
      </c>
      <c r="W3082" s="29">
        <f>IF($B3082="","",IFERROR(INDEX($U$4:$U$3183,MATCH(SMALL($V$4:$V$3183,3079),$V$4:$V$3183,0)),""))</f>
        <v/>
      </c>
    </row>
    <row r="3083">
      <c r="A3083">
        <f>IFERROR(INDEX($N$4:$N$3183,MATCH(SMALL($V$4:$V$3183,3080),$V$4:$V$3183,0)),"")</f>
        <v/>
      </c>
      <c r="B3083">
        <f>IFERROR(INDEX($O$4:$O$3183,MATCH(SMALL($V$4:$V$3183,3080),$V$4:$V$3183,0)),"")</f>
        <v/>
      </c>
      <c r="C3083">
        <f>IFERROR(INDEX($P$4:$P$3183,MATCH(SMALL($V$4:$V$3183,3080),$V$4:$V$3183,0)),"")</f>
        <v/>
      </c>
      <c r="D3083" s="29">
        <f>IFERROR(INDEX($Q$4:$Q$3183,MATCH(SMALL($V$4:$V$3183,3080),$V$4:$V$3183,0)),"")</f>
        <v/>
      </c>
      <c r="E3083" s="29">
        <f>IFERROR(INDEX($R$4:$R$3183,MATCH(SMALL($V$4:$V$3183,3080),$V$4:$V$3183,0)),"")</f>
        <v/>
      </c>
      <c r="F3083">
        <f>IFERROR(INDEX($S$4:$S$3183,MATCH(SMALL($V$4:$V$3183,3080),$V$4:$V$3183,0)),"")</f>
        <v/>
      </c>
      <c r="I3083" s="29">
        <f>IF($B3083="","",IFERROR(INDEX($U$4:$U$3183,MATCH(SMALL($V$4:$V$3183,3080),$V$4:$V$3183,0)),""))</f>
        <v/>
      </c>
      <c r="J3083">
        <f>IF($B3083="","",IF($D3083&gt;$F$2,"À venir",IF($E3083&lt;$D$2,"Passé","Dans la période")))</f>
        <v/>
      </c>
      <c r="K3083">
        <f>IF(OR($B3083="",NOT(ISNUMBER($D3083))),"",IF(AND($E3083&lt;$D$2,$G3083&lt;&gt;"X",$F3083&lt;&gt;"Réalisé",$F3083&lt;&gt;"Clôturé"),"RETARD",""))</f>
        <v/>
      </c>
      <c r="L3083">
        <f>IF(OR($B3083="",NOT(ISNUMBER($D3083))),"",IF(AND($D3083&gt;=$D$2,$D3083&lt;=$H$2,$G3083&lt;&gt;"X",$F3083&lt;&gt;"Réalisé",$F3083&lt;&gt;"Clôturé"),"≤ 7 j",""))</f>
        <v/>
      </c>
      <c r="M3083" s="29">
        <f>IF($B3083="","",IFERROR(INDEX($T$4:$T$3183,MATCH(SMALL($V$4:$V$3183,3080),$V$4:$V$3183,0)),""))</f>
        <v/>
      </c>
      <c r="O3083">
        <f>IF(INDEX(Suivi!$B:$B,3142)="","",INDEX(Suivi!$B:$B,3142))</f>
        <v/>
      </c>
      <c r="P3083">
        <f>IF($O3083="","",IF(INDEX(Suivi!$D:$D,3142)="",INDEX(Suivi!$C:$C,3142),INDEX(Suivi!$D:$D,3142)))</f>
        <v/>
      </c>
      <c r="Q3083">
        <f>IF($O3083="","",INDEX(Suivi!$E:$E,3142))</f>
        <v/>
      </c>
      <c r="R3083">
        <f>IF($O3083="","",INDEX(Suivi!$F:$F,3142))</f>
        <v/>
      </c>
      <c r="S3083">
        <f>IF($O3083="","",INDEX(Suivi!$G:$G,3142))</f>
        <v/>
      </c>
      <c r="T3083">
        <f>IF($O3083="","",IF(INDEX(Dossiers!$F$4:$F$63,59)="","",INDEX(Dossiers!$F$4:$F$63,59)))</f>
        <v/>
      </c>
      <c r="U3083">
        <f>IF($O3083="","",IF(INDEX(Dossiers!$G$4:$G$63,59)="","",INDEX(Dossiers!$G$4:$G$63,59)))</f>
        <v/>
      </c>
      <c r="V3083">
        <f>IF(OR($O3083="",NOT(ISNUMBER($Q3083))),"",$Q3083*1000000+3083)</f>
        <v/>
      </c>
      <c r="W3083" s="29">
        <f>IF($B3083="","",IFERROR(INDEX($U$4:$U$3183,MATCH(SMALL($V$4:$V$3183,3080),$V$4:$V$3183,0)),""))</f>
        <v/>
      </c>
    </row>
    <row r="3084">
      <c r="A3084">
        <f>IFERROR(INDEX($N$4:$N$3183,MATCH(SMALL($V$4:$V$3183,3081),$V$4:$V$3183,0)),"")</f>
        <v/>
      </c>
      <c r="B3084">
        <f>IFERROR(INDEX($O$4:$O$3183,MATCH(SMALL($V$4:$V$3183,3081),$V$4:$V$3183,0)),"")</f>
        <v/>
      </c>
      <c r="C3084">
        <f>IFERROR(INDEX($P$4:$P$3183,MATCH(SMALL($V$4:$V$3183,3081),$V$4:$V$3183,0)),"")</f>
        <v/>
      </c>
      <c r="D3084" s="29">
        <f>IFERROR(INDEX($Q$4:$Q$3183,MATCH(SMALL($V$4:$V$3183,3081),$V$4:$V$3183,0)),"")</f>
        <v/>
      </c>
      <c r="E3084" s="29">
        <f>IFERROR(INDEX($R$4:$R$3183,MATCH(SMALL($V$4:$V$3183,3081),$V$4:$V$3183,0)),"")</f>
        <v/>
      </c>
      <c r="F3084">
        <f>IFERROR(INDEX($S$4:$S$3183,MATCH(SMALL($V$4:$V$3183,3081),$V$4:$V$3183,0)),"")</f>
        <v/>
      </c>
      <c r="I3084" s="29">
        <f>IF($B3084="","",IFERROR(INDEX($U$4:$U$3183,MATCH(SMALL($V$4:$V$3183,3081),$V$4:$V$3183,0)),""))</f>
        <v/>
      </c>
      <c r="J3084">
        <f>IF($B3084="","",IF($D3084&gt;$F$2,"À venir",IF($E3084&lt;$D$2,"Passé","Dans la période")))</f>
        <v/>
      </c>
      <c r="K3084">
        <f>IF(OR($B3084="",NOT(ISNUMBER($D3084))),"",IF(AND($E3084&lt;$D$2,$G3084&lt;&gt;"X",$F3084&lt;&gt;"Réalisé",$F3084&lt;&gt;"Clôturé"),"RETARD",""))</f>
        <v/>
      </c>
      <c r="L3084">
        <f>IF(OR($B3084="",NOT(ISNUMBER($D3084))),"",IF(AND($D3084&gt;=$D$2,$D3084&lt;=$H$2,$G3084&lt;&gt;"X",$F3084&lt;&gt;"Réalisé",$F3084&lt;&gt;"Clôturé"),"≤ 7 j",""))</f>
        <v/>
      </c>
      <c r="M3084" s="29">
        <f>IF($B3084="","",IFERROR(INDEX($T$4:$T$3183,MATCH(SMALL($V$4:$V$3183,3081),$V$4:$V$3183,0)),""))</f>
        <v/>
      </c>
      <c r="O3084">
        <f>IF(INDEX(Suivi!$B:$B,3143)="","",INDEX(Suivi!$B:$B,3143))</f>
        <v/>
      </c>
      <c r="P3084">
        <f>IF($O3084="","",IF(INDEX(Suivi!$D:$D,3143)="",INDEX(Suivi!$C:$C,3143),INDEX(Suivi!$D:$D,3143)))</f>
        <v/>
      </c>
      <c r="Q3084">
        <f>IF($O3084="","",INDEX(Suivi!$E:$E,3143))</f>
        <v/>
      </c>
      <c r="R3084">
        <f>IF($O3084="","",INDEX(Suivi!$F:$F,3143))</f>
        <v/>
      </c>
      <c r="S3084">
        <f>IF($O3084="","",INDEX(Suivi!$G:$G,3143))</f>
        <v/>
      </c>
      <c r="T3084">
        <f>IF($O3084="","",IF(INDEX(Dossiers!$F$4:$F$63,59)="","",INDEX(Dossiers!$F$4:$F$63,59)))</f>
        <v/>
      </c>
      <c r="U3084">
        <f>IF($O3084="","",IF(INDEX(Dossiers!$G$4:$G$63,59)="","",INDEX(Dossiers!$G$4:$G$63,59)))</f>
        <v/>
      </c>
      <c r="V3084">
        <f>IF(OR($O3084="",NOT(ISNUMBER($Q3084))),"",$Q3084*1000000+3084)</f>
        <v/>
      </c>
      <c r="W3084" s="29">
        <f>IF($B3084="","",IFERROR(INDEX($U$4:$U$3183,MATCH(SMALL($V$4:$V$3183,3081),$V$4:$V$3183,0)),""))</f>
        <v/>
      </c>
    </row>
    <row r="3085">
      <c r="A3085">
        <f>IFERROR(INDEX($N$4:$N$3183,MATCH(SMALL($V$4:$V$3183,3082),$V$4:$V$3183,0)),"")</f>
        <v/>
      </c>
      <c r="B3085">
        <f>IFERROR(INDEX($O$4:$O$3183,MATCH(SMALL($V$4:$V$3183,3082),$V$4:$V$3183,0)),"")</f>
        <v/>
      </c>
      <c r="C3085">
        <f>IFERROR(INDEX($P$4:$P$3183,MATCH(SMALL($V$4:$V$3183,3082),$V$4:$V$3183,0)),"")</f>
        <v/>
      </c>
      <c r="D3085" s="29">
        <f>IFERROR(INDEX($Q$4:$Q$3183,MATCH(SMALL($V$4:$V$3183,3082),$V$4:$V$3183,0)),"")</f>
        <v/>
      </c>
      <c r="E3085" s="29">
        <f>IFERROR(INDEX($R$4:$R$3183,MATCH(SMALL($V$4:$V$3183,3082),$V$4:$V$3183,0)),"")</f>
        <v/>
      </c>
      <c r="F3085">
        <f>IFERROR(INDEX($S$4:$S$3183,MATCH(SMALL($V$4:$V$3183,3082),$V$4:$V$3183,0)),"")</f>
        <v/>
      </c>
      <c r="I3085" s="29">
        <f>IF($B3085="","",IFERROR(INDEX($U$4:$U$3183,MATCH(SMALL($V$4:$V$3183,3082),$V$4:$V$3183,0)),""))</f>
        <v/>
      </c>
      <c r="J3085">
        <f>IF($B3085="","",IF($D3085&gt;$F$2,"À venir",IF($E3085&lt;$D$2,"Passé","Dans la période")))</f>
        <v/>
      </c>
      <c r="K3085">
        <f>IF(OR($B3085="",NOT(ISNUMBER($D3085))),"",IF(AND($E3085&lt;$D$2,$G3085&lt;&gt;"X",$F3085&lt;&gt;"Réalisé",$F3085&lt;&gt;"Clôturé"),"RETARD",""))</f>
        <v/>
      </c>
      <c r="L3085">
        <f>IF(OR($B3085="",NOT(ISNUMBER($D3085))),"",IF(AND($D3085&gt;=$D$2,$D3085&lt;=$H$2,$G3085&lt;&gt;"X",$F3085&lt;&gt;"Réalisé",$F3085&lt;&gt;"Clôturé"),"≤ 7 j",""))</f>
        <v/>
      </c>
      <c r="M3085" s="29">
        <f>IF($B3085="","",IFERROR(INDEX($T$4:$T$3183,MATCH(SMALL($V$4:$V$3183,3082),$V$4:$V$3183,0)),""))</f>
        <v/>
      </c>
      <c r="O3085">
        <f>IF(INDEX(Suivi!$B:$B,3144)="","",INDEX(Suivi!$B:$B,3144))</f>
        <v/>
      </c>
      <c r="P3085">
        <f>IF($O3085="","",IF(INDEX(Suivi!$D:$D,3144)="",INDEX(Suivi!$C:$C,3144),INDEX(Suivi!$D:$D,3144)))</f>
        <v/>
      </c>
      <c r="Q3085">
        <f>IF($O3085="","",INDEX(Suivi!$E:$E,3144))</f>
        <v/>
      </c>
      <c r="R3085">
        <f>IF($O3085="","",INDEX(Suivi!$F:$F,3144))</f>
        <v/>
      </c>
      <c r="S3085">
        <f>IF($O3085="","",INDEX(Suivi!$G:$G,3144))</f>
        <v/>
      </c>
      <c r="T3085">
        <f>IF($O3085="","",IF(INDEX(Dossiers!$F$4:$F$63,59)="","",INDEX(Dossiers!$F$4:$F$63,59)))</f>
        <v/>
      </c>
      <c r="U3085">
        <f>IF($O3085="","",IF(INDEX(Dossiers!$G$4:$G$63,59)="","",INDEX(Dossiers!$G$4:$G$63,59)))</f>
        <v/>
      </c>
      <c r="V3085">
        <f>IF(OR($O3085="",NOT(ISNUMBER($Q3085))),"",$Q3085*1000000+3085)</f>
        <v/>
      </c>
      <c r="W3085" s="29">
        <f>IF($B3085="","",IFERROR(INDEX($U$4:$U$3183,MATCH(SMALL($V$4:$V$3183,3082),$V$4:$V$3183,0)),""))</f>
        <v/>
      </c>
    </row>
    <row r="3086">
      <c r="A3086">
        <f>IFERROR(INDEX($N$4:$N$3183,MATCH(SMALL($V$4:$V$3183,3083),$V$4:$V$3183,0)),"")</f>
        <v/>
      </c>
      <c r="B3086">
        <f>IFERROR(INDEX($O$4:$O$3183,MATCH(SMALL($V$4:$V$3183,3083),$V$4:$V$3183,0)),"")</f>
        <v/>
      </c>
      <c r="C3086">
        <f>IFERROR(INDEX($P$4:$P$3183,MATCH(SMALL($V$4:$V$3183,3083),$V$4:$V$3183,0)),"")</f>
        <v/>
      </c>
      <c r="D3086" s="29">
        <f>IFERROR(INDEX($Q$4:$Q$3183,MATCH(SMALL($V$4:$V$3183,3083),$V$4:$V$3183,0)),"")</f>
        <v/>
      </c>
      <c r="E3086" s="29">
        <f>IFERROR(INDEX($R$4:$R$3183,MATCH(SMALL($V$4:$V$3183,3083),$V$4:$V$3183,0)),"")</f>
        <v/>
      </c>
      <c r="F3086">
        <f>IFERROR(INDEX($S$4:$S$3183,MATCH(SMALL($V$4:$V$3183,3083),$V$4:$V$3183,0)),"")</f>
        <v/>
      </c>
      <c r="I3086" s="29">
        <f>IF($B3086="","",IFERROR(INDEX($U$4:$U$3183,MATCH(SMALL($V$4:$V$3183,3083),$V$4:$V$3183,0)),""))</f>
        <v/>
      </c>
      <c r="J3086">
        <f>IF($B3086="","",IF($D3086&gt;$F$2,"À venir",IF($E3086&lt;$D$2,"Passé","Dans la période")))</f>
        <v/>
      </c>
      <c r="K3086">
        <f>IF(OR($B3086="",NOT(ISNUMBER($D3086))),"",IF(AND($E3086&lt;$D$2,$G3086&lt;&gt;"X",$F3086&lt;&gt;"Réalisé",$F3086&lt;&gt;"Clôturé"),"RETARD",""))</f>
        <v/>
      </c>
      <c r="L3086">
        <f>IF(OR($B3086="",NOT(ISNUMBER($D3086))),"",IF(AND($D3086&gt;=$D$2,$D3086&lt;=$H$2,$G3086&lt;&gt;"X",$F3086&lt;&gt;"Réalisé",$F3086&lt;&gt;"Clôturé"),"≤ 7 j",""))</f>
        <v/>
      </c>
      <c r="M3086" s="29">
        <f>IF($B3086="","",IFERROR(INDEX($T$4:$T$3183,MATCH(SMALL($V$4:$V$3183,3083),$V$4:$V$3183,0)),""))</f>
        <v/>
      </c>
      <c r="O3086">
        <f>IF(INDEX(Suivi!$B:$B,3145)="","",INDEX(Suivi!$B:$B,3145))</f>
        <v/>
      </c>
      <c r="P3086">
        <f>IF($O3086="","",IF(INDEX(Suivi!$D:$D,3145)="",INDEX(Suivi!$C:$C,3145),INDEX(Suivi!$D:$D,3145)))</f>
        <v/>
      </c>
      <c r="Q3086">
        <f>IF($O3086="","",INDEX(Suivi!$E:$E,3145))</f>
        <v/>
      </c>
      <c r="R3086">
        <f>IF($O3086="","",INDEX(Suivi!$F:$F,3145))</f>
        <v/>
      </c>
      <c r="S3086">
        <f>IF($O3086="","",INDEX(Suivi!$G:$G,3145))</f>
        <v/>
      </c>
      <c r="T3086">
        <f>IF($O3086="","",IF(INDEX(Dossiers!$F$4:$F$63,59)="","",INDEX(Dossiers!$F$4:$F$63,59)))</f>
        <v/>
      </c>
      <c r="U3086">
        <f>IF($O3086="","",IF(INDEX(Dossiers!$G$4:$G$63,59)="","",INDEX(Dossiers!$G$4:$G$63,59)))</f>
        <v/>
      </c>
      <c r="V3086">
        <f>IF(OR($O3086="",NOT(ISNUMBER($Q3086))),"",$Q3086*1000000+3086)</f>
        <v/>
      </c>
      <c r="W3086" s="29">
        <f>IF($B3086="","",IFERROR(INDEX($U$4:$U$3183,MATCH(SMALL($V$4:$V$3183,3083),$V$4:$V$3183,0)),""))</f>
        <v/>
      </c>
    </row>
    <row r="3087">
      <c r="A3087">
        <f>IFERROR(INDEX($N$4:$N$3183,MATCH(SMALL($V$4:$V$3183,3084),$V$4:$V$3183,0)),"")</f>
        <v/>
      </c>
      <c r="B3087">
        <f>IFERROR(INDEX($O$4:$O$3183,MATCH(SMALL($V$4:$V$3183,3084),$V$4:$V$3183,0)),"")</f>
        <v/>
      </c>
      <c r="C3087">
        <f>IFERROR(INDEX($P$4:$P$3183,MATCH(SMALL($V$4:$V$3183,3084),$V$4:$V$3183,0)),"")</f>
        <v/>
      </c>
      <c r="D3087" s="29">
        <f>IFERROR(INDEX($Q$4:$Q$3183,MATCH(SMALL($V$4:$V$3183,3084),$V$4:$V$3183,0)),"")</f>
        <v/>
      </c>
      <c r="E3087" s="29">
        <f>IFERROR(INDEX($R$4:$R$3183,MATCH(SMALL($V$4:$V$3183,3084),$V$4:$V$3183,0)),"")</f>
        <v/>
      </c>
      <c r="F3087">
        <f>IFERROR(INDEX($S$4:$S$3183,MATCH(SMALL($V$4:$V$3183,3084),$V$4:$V$3183,0)),"")</f>
        <v/>
      </c>
      <c r="I3087" s="29">
        <f>IF($B3087="","",IFERROR(INDEX($U$4:$U$3183,MATCH(SMALL($V$4:$V$3183,3084),$V$4:$V$3183,0)),""))</f>
        <v/>
      </c>
      <c r="J3087">
        <f>IF($B3087="","",IF($D3087&gt;$F$2,"À venir",IF($E3087&lt;$D$2,"Passé","Dans la période")))</f>
        <v/>
      </c>
      <c r="K3087">
        <f>IF(OR($B3087="",NOT(ISNUMBER($D3087))),"",IF(AND($E3087&lt;$D$2,$G3087&lt;&gt;"X",$F3087&lt;&gt;"Réalisé",$F3087&lt;&gt;"Clôturé"),"RETARD",""))</f>
        <v/>
      </c>
      <c r="L3087">
        <f>IF(OR($B3087="",NOT(ISNUMBER($D3087))),"",IF(AND($D3087&gt;=$D$2,$D3087&lt;=$H$2,$G3087&lt;&gt;"X",$F3087&lt;&gt;"Réalisé",$F3087&lt;&gt;"Clôturé"),"≤ 7 j",""))</f>
        <v/>
      </c>
      <c r="M3087" s="29">
        <f>IF($B3087="","",IFERROR(INDEX($T$4:$T$3183,MATCH(SMALL($V$4:$V$3183,3084),$V$4:$V$3183,0)),""))</f>
        <v/>
      </c>
      <c r="O3087">
        <f>IF(INDEX(Suivi!$B:$B,3146)="","",INDEX(Suivi!$B:$B,3146))</f>
        <v/>
      </c>
      <c r="P3087">
        <f>IF($O3087="","",IF(INDEX(Suivi!$D:$D,3146)="",INDEX(Suivi!$C:$C,3146),INDEX(Suivi!$D:$D,3146)))</f>
        <v/>
      </c>
      <c r="Q3087">
        <f>IF($O3087="","",INDEX(Suivi!$E:$E,3146))</f>
        <v/>
      </c>
      <c r="R3087">
        <f>IF($O3087="","",INDEX(Suivi!$F:$F,3146))</f>
        <v/>
      </c>
      <c r="S3087">
        <f>IF($O3087="","",INDEX(Suivi!$G:$G,3146))</f>
        <v/>
      </c>
      <c r="T3087">
        <f>IF($O3087="","",IF(INDEX(Dossiers!$F$4:$F$63,59)="","",INDEX(Dossiers!$F$4:$F$63,59)))</f>
        <v/>
      </c>
      <c r="U3087">
        <f>IF($O3087="","",IF(INDEX(Dossiers!$G$4:$G$63,59)="","",INDEX(Dossiers!$G$4:$G$63,59)))</f>
        <v/>
      </c>
      <c r="V3087">
        <f>IF(OR($O3087="",NOT(ISNUMBER($Q3087))),"",$Q3087*1000000+3087)</f>
        <v/>
      </c>
      <c r="W3087" s="29">
        <f>IF($B3087="","",IFERROR(INDEX($U$4:$U$3183,MATCH(SMALL($V$4:$V$3183,3084),$V$4:$V$3183,0)),""))</f>
        <v/>
      </c>
    </row>
    <row r="3088">
      <c r="A3088">
        <f>IFERROR(INDEX($N$4:$N$3183,MATCH(SMALL($V$4:$V$3183,3085),$V$4:$V$3183,0)),"")</f>
        <v/>
      </c>
      <c r="B3088">
        <f>IFERROR(INDEX($O$4:$O$3183,MATCH(SMALL($V$4:$V$3183,3085),$V$4:$V$3183,0)),"")</f>
        <v/>
      </c>
      <c r="C3088">
        <f>IFERROR(INDEX($P$4:$P$3183,MATCH(SMALL($V$4:$V$3183,3085),$V$4:$V$3183,0)),"")</f>
        <v/>
      </c>
      <c r="D3088" s="29">
        <f>IFERROR(INDEX($Q$4:$Q$3183,MATCH(SMALL($V$4:$V$3183,3085),$V$4:$V$3183,0)),"")</f>
        <v/>
      </c>
      <c r="E3088" s="29">
        <f>IFERROR(INDEX($R$4:$R$3183,MATCH(SMALL($V$4:$V$3183,3085),$V$4:$V$3183,0)),"")</f>
        <v/>
      </c>
      <c r="F3088">
        <f>IFERROR(INDEX($S$4:$S$3183,MATCH(SMALL($V$4:$V$3183,3085),$V$4:$V$3183,0)),"")</f>
        <v/>
      </c>
      <c r="I3088" s="29">
        <f>IF($B3088="","",IFERROR(INDEX($U$4:$U$3183,MATCH(SMALL($V$4:$V$3183,3085),$V$4:$V$3183,0)),""))</f>
        <v/>
      </c>
      <c r="J3088">
        <f>IF($B3088="","",IF($D3088&gt;$F$2,"À venir",IF($E3088&lt;$D$2,"Passé","Dans la période")))</f>
        <v/>
      </c>
      <c r="K3088">
        <f>IF(OR($B3088="",NOT(ISNUMBER($D3088))),"",IF(AND($E3088&lt;$D$2,$G3088&lt;&gt;"X",$F3088&lt;&gt;"Réalisé",$F3088&lt;&gt;"Clôturé"),"RETARD",""))</f>
        <v/>
      </c>
      <c r="L3088">
        <f>IF(OR($B3088="",NOT(ISNUMBER($D3088))),"",IF(AND($D3088&gt;=$D$2,$D3088&lt;=$H$2,$G3088&lt;&gt;"X",$F3088&lt;&gt;"Réalisé",$F3088&lt;&gt;"Clôturé"),"≤ 7 j",""))</f>
        <v/>
      </c>
      <c r="M3088" s="29">
        <f>IF($B3088="","",IFERROR(INDEX($T$4:$T$3183,MATCH(SMALL($V$4:$V$3183,3085),$V$4:$V$3183,0)),""))</f>
        <v/>
      </c>
      <c r="O3088">
        <f>IF(INDEX(Suivi!$B:$B,3147)="","",INDEX(Suivi!$B:$B,3147))</f>
        <v/>
      </c>
      <c r="P3088">
        <f>IF($O3088="","",IF(INDEX(Suivi!$D:$D,3147)="",INDEX(Suivi!$C:$C,3147),INDEX(Suivi!$D:$D,3147)))</f>
        <v/>
      </c>
      <c r="Q3088">
        <f>IF($O3088="","",INDEX(Suivi!$E:$E,3147))</f>
        <v/>
      </c>
      <c r="R3088">
        <f>IF($O3088="","",INDEX(Suivi!$F:$F,3147))</f>
        <v/>
      </c>
      <c r="S3088">
        <f>IF($O3088="","",INDEX(Suivi!$G:$G,3147))</f>
        <v/>
      </c>
      <c r="T3088">
        <f>IF($O3088="","",IF(INDEX(Dossiers!$F$4:$F$63,59)="","",INDEX(Dossiers!$F$4:$F$63,59)))</f>
        <v/>
      </c>
      <c r="U3088">
        <f>IF($O3088="","",IF(INDEX(Dossiers!$G$4:$G$63,59)="","",INDEX(Dossiers!$G$4:$G$63,59)))</f>
        <v/>
      </c>
      <c r="V3088">
        <f>IF(OR($O3088="",NOT(ISNUMBER($Q3088))),"",$Q3088*1000000+3088)</f>
        <v/>
      </c>
      <c r="W3088" s="29">
        <f>IF($B3088="","",IFERROR(INDEX($U$4:$U$3183,MATCH(SMALL($V$4:$V$3183,3085),$V$4:$V$3183,0)),""))</f>
        <v/>
      </c>
    </row>
    <row r="3089">
      <c r="A3089">
        <f>IFERROR(INDEX($N$4:$N$3183,MATCH(SMALL($V$4:$V$3183,3086),$V$4:$V$3183,0)),"")</f>
        <v/>
      </c>
      <c r="B3089">
        <f>IFERROR(INDEX($O$4:$O$3183,MATCH(SMALL($V$4:$V$3183,3086),$V$4:$V$3183,0)),"")</f>
        <v/>
      </c>
      <c r="C3089">
        <f>IFERROR(INDEX($P$4:$P$3183,MATCH(SMALL($V$4:$V$3183,3086),$V$4:$V$3183,0)),"")</f>
        <v/>
      </c>
      <c r="D3089" s="29">
        <f>IFERROR(INDEX($Q$4:$Q$3183,MATCH(SMALL($V$4:$V$3183,3086),$V$4:$V$3183,0)),"")</f>
        <v/>
      </c>
      <c r="E3089" s="29">
        <f>IFERROR(INDEX($R$4:$R$3183,MATCH(SMALL($V$4:$V$3183,3086),$V$4:$V$3183,0)),"")</f>
        <v/>
      </c>
      <c r="F3089">
        <f>IFERROR(INDEX($S$4:$S$3183,MATCH(SMALL($V$4:$V$3183,3086),$V$4:$V$3183,0)),"")</f>
        <v/>
      </c>
      <c r="I3089" s="29">
        <f>IF($B3089="","",IFERROR(INDEX($U$4:$U$3183,MATCH(SMALL($V$4:$V$3183,3086),$V$4:$V$3183,0)),""))</f>
        <v/>
      </c>
      <c r="J3089">
        <f>IF($B3089="","",IF($D3089&gt;$F$2,"À venir",IF($E3089&lt;$D$2,"Passé","Dans la période")))</f>
        <v/>
      </c>
      <c r="K3089">
        <f>IF(OR($B3089="",NOT(ISNUMBER($D3089))),"",IF(AND($E3089&lt;$D$2,$G3089&lt;&gt;"X",$F3089&lt;&gt;"Réalisé",$F3089&lt;&gt;"Clôturé"),"RETARD",""))</f>
        <v/>
      </c>
      <c r="L3089">
        <f>IF(OR($B3089="",NOT(ISNUMBER($D3089))),"",IF(AND($D3089&gt;=$D$2,$D3089&lt;=$H$2,$G3089&lt;&gt;"X",$F3089&lt;&gt;"Réalisé",$F3089&lt;&gt;"Clôturé"),"≤ 7 j",""))</f>
        <v/>
      </c>
      <c r="M3089" s="29">
        <f>IF($B3089="","",IFERROR(INDEX($T$4:$T$3183,MATCH(SMALL($V$4:$V$3183,3086),$V$4:$V$3183,0)),""))</f>
        <v/>
      </c>
      <c r="O3089">
        <f>IF(INDEX(Suivi!$B:$B,3148)="","",INDEX(Suivi!$B:$B,3148))</f>
        <v/>
      </c>
      <c r="P3089">
        <f>IF($O3089="","",IF(INDEX(Suivi!$D:$D,3148)="",INDEX(Suivi!$C:$C,3148),INDEX(Suivi!$D:$D,3148)))</f>
        <v/>
      </c>
      <c r="Q3089">
        <f>IF($O3089="","",INDEX(Suivi!$E:$E,3148))</f>
        <v/>
      </c>
      <c r="R3089">
        <f>IF($O3089="","",INDEX(Suivi!$F:$F,3148))</f>
        <v/>
      </c>
      <c r="S3089">
        <f>IF($O3089="","",INDEX(Suivi!$G:$G,3148))</f>
        <v/>
      </c>
      <c r="T3089">
        <f>IF($O3089="","",IF(INDEX(Dossiers!$F$4:$F$63,59)="","",INDEX(Dossiers!$F$4:$F$63,59)))</f>
        <v/>
      </c>
      <c r="U3089">
        <f>IF($O3089="","",IF(INDEX(Dossiers!$G$4:$G$63,59)="","",INDEX(Dossiers!$G$4:$G$63,59)))</f>
        <v/>
      </c>
      <c r="V3089">
        <f>IF(OR($O3089="",NOT(ISNUMBER($Q3089))),"",$Q3089*1000000+3089)</f>
        <v/>
      </c>
      <c r="W3089" s="29">
        <f>IF($B3089="","",IFERROR(INDEX($U$4:$U$3183,MATCH(SMALL($V$4:$V$3183,3086),$V$4:$V$3183,0)),""))</f>
        <v/>
      </c>
    </row>
    <row r="3090">
      <c r="A3090">
        <f>IFERROR(INDEX($N$4:$N$3183,MATCH(SMALL($V$4:$V$3183,3087),$V$4:$V$3183,0)),"")</f>
        <v/>
      </c>
      <c r="B3090">
        <f>IFERROR(INDEX($O$4:$O$3183,MATCH(SMALL($V$4:$V$3183,3087),$V$4:$V$3183,0)),"")</f>
        <v/>
      </c>
      <c r="C3090">
        <f>IFERROR(INDEX($P$4:$P$3183,MATCH(SMALL($V$4:$V$3183,3087),$V$4:$V$3183,0)),"")</f>
        <v/>
      </c>
      <c r="D3090" s="29">
        <f>IFERROR(INDEX($Q$4:$Q$3183,MATCH(SMALL($V$4:$V$3183,3087),$V$4:$V$3183,0)),"")</f>
        <v/>
      </c>
      <c r="E3090" s="29">
        <f>IFERROR(INDEX($R$4:$R$3183,MATCH(SMALL($V$4:$V$3183,3087),$V$4:$V$3183,0)),"")</f>
        <v/>
      </c>
      <c r="F3090">
        <f>IFERROR(INDEX($S$4:$S$3183,MATCH(SMALL($V$4:$V$3183,3087),$V$4:$V$3183,0)),"")</f>
        <v/>
      </c>
      <c r="I3090" s="29">
        <f>IF($B3090="","",IFERROR(INDEX($U$4:$U$3183,MATCH(SMALL($V$4:$V$3183,3087),$V$4:$V$3183,0)),""))</f>
        <v/>
      </c>
      <c r="J3090">
        <f>IF($B3090="","",IF($D3090&gt;$F$2,"À venir",IF($E3090&lt;$D$2,"Passé","Dans la période")))</f>
        <v/>
      </c>
      <c r="K3090">
        <f>IF(OR($B3090="",NOT(ISNUMBER($D3090))),"",IF(AND($E3090&lt;$D$2,$G3090&lt;&gt;"X",$F3090&lt;&gt;"Réalisé",$F3090&lt;&gt;"Clôturé"),"RETARD",""))</f>
        <v/>
      </c>
      <c r="L3090">
        <f>IF(OR($B3090="",NOT(ISNUMBER($D3090))),"",IF(AND($D3090&gt;=$D$2,$D3090&lt;=$H$2,$G3090&lt;&gt;"X",$F3090&lt;&gt;"Réalisé",$F3090&lt;&gt;"Clôturé"),"≤ 7 j",""))</f>
        <v/>
      </c>
      <c r="M3090" s="29">
        <f>IF($B3090="","",IFERROR(INDEX($T$4:$T$3183,MATCH(SMALL($V$4:$V$3183,3087),$V$4:$V$3183,0)),""))</f>
        <v/>
      </c>
      <c r="O3090">
        <f>IF(INDEX(Suivi!$B:$B,3149)="","",INDEX(Suivi!$B:$B,3149))</f>
        <v/>
      </c>
      <c r="P3090">
        <f>IF($O3090="","",IF(INDEX(Suivi!$D:$D,3149)="",INDEX(Suivi!$C:$C,3149),INDEX(Suivi!$D:$D,3149)))</f>
        <v/>
      </c>
      <c r="Q3090">
        <f>IF($O3090="","",INDEX(Suivi!$E:$E,3149))</f>
        <v/>
      </c>
      <c r="R3090">
        <f>IF($O3090="","",INDEX(Suivi!$F:$F,3149))</f>
        <v/>
      </c>
      <c r="S3090">
        <f>IF($O3090="","",INDEX(Suivi!$G:$G,3149))</f>
        <v/>
      </c>
      <c r="T3090">
        <f>IF($O3090="","",IF(INDEX(Dossiers!$F$4:$F$63,59)="","",INDEX(Dossiers!$F$4:$F$63,59)))</f>
        <v/>
      </c>
      <c r="U3090">
        <f>IF($O3090="","",IF(INDEX(Dossiers!$G$4:$G$63,59)="","",INDEX(Dossiers!$G$4:$G$63,59)))</f>
        <v/>
      </c>
      <c r="V3090">
        <f>IF(OR($O3090="",NOT(ISNUMBER($Q3090))),"",$Q3090*1000000+3090)</f>
        <v/>
      </c>
      <c r="W3090" s="29">
        <f>IF($B3090="","",IFERROR(INDEX($U$4:$U$3183,MATCH(SMALL($V$4:$V$3183,3087),$V$4:$V$3183,0)),""))</f>
        <v/>
      </c>
    </row>
    <row r="3091">
      <c r="A3091">
        <f>IFERROR(INDEX($N$4:$N$3183,MATCH(SMALL($V$4:$V$3183,3088),$V$4:$V$3183,0)),"")</f>
        <v/>
      </c>
      <c r="B3091">
        <f>IFERROR(INDEX($O$4:$O$3183,MATCH(SMALL($V$4:$V$3183,3088),$V$4:$V$3183,0)),"")</f>
        <v/>
      </c>
      <c r="C3091">
        <f>IFERROR(INDEX($P$4:$P$3183,MATCH(SMALL($V$4:$V$3183,3088),$V$4:$V$3183,0)),"")</f>
        <v/>
      </c>
      <c r="D3091" s="29">
        <f>IFERROR(INDEX($Q$4:$Q$3183,MATCH(SMALL($V$4:$V$3183,3088),$V$4:$V$3183,0)),"")</f>
        <v/>
      </c>
      <c r="E3091" s="29">
        <f>IFERROR(INDEX($R$4:$R$3183,MATCH(SMALL($V$4:$V$3183,3088),$V$4:$V$3183,0)),"")</f>
        <v/>
      </c>
      <c r="F3091">
        <f>IFERROR(INDEX($S$4:$S$3183,MATCH(SMALL($V$4:$V$3183,3088),$V$4:$V$3183,0)),"")</f>
        <v/>
      </c>
      <c r="I3091" s="29">
        <f>IF($B3091="","",IFERROR(INDEX($U$4:$U$3183,MATCH(SMALL($V$4:$V$3183,3088),$V$4:$V$3183,0)),""))</f>
        <v/>
      </c>
      <c r="J3091">
        <f>IF($B3091="","",IF($D3091&gt;$F$2,"À venir",IF($E3091&lt;$D$2,"Passé","Dans la période")))</f>
        <v/>
      </c>
      <c r="K3091">
        <f>IF(OR($B3091="",NOT(ISNUMBER($D3091))),"",IF(AND($E3091&lt;$D$2,$G3091&lt;&gt;"X",$F3091&lt;&gt;"Réalisé",$F3091&lt;&gt;"Clôturé"),"RETARD",""))</f>
        <v/>
      </c>
      <c r="L3091">
        <f>IF(OR($B3091="",NOT(ISNUMBER($D3091))),"",IF(AND($D3091&gt;=$D$2,$D3091&lt;=$H$2,$G3091&lt;&gt;"X",$F3091&lt;&gt;"Réalisé",$F3091&lt;&gt;"Clôturé"),"≤ 7 j",""))</f>
        <v/>
      </c>
      <c r="M3091" s="29">
        <f>IF($B3091="","",IFERROR(INDEX($T$4:$T$3183,MATCH(SMALL($V$4:$V$3183,3088),$V$4:$V$3183,0)),""))</f>
        <v/>
      </c>
      <c r="O3091">
        <f>IF(INDEX(Suivi!$B:$B,3150)="","",INDEX(Suivi!$B:$B,3150))</f>
        <v/>
      </c>
      <c r="P3091">
        <f>IF($O3091="","",IF(INDEX(Suivi!$D:$D,3150)="",INDEX(Suivi!$C:$C,3150),INDEX(Suivi!$D:$D,3150)))</f>
        <v/>
      </c>
      <c r="Q3091">
        <f>IF($O3091="","",INDEX(Suivi!$E:$E,3150))</f>
        <v/>
      </c>
      <c r="R3091">
        <f>IF($O3091="","",INDEX(Suivi!$F:$F,3150))</f>
        <v/>
      </c>
      <c r="S3091">
        <f>IF($O3091="","",INDEX(Suivi!$G:$G,3150))</f>
        <v/>
      </c>
      <c r="T3091">
        <f>IF($O3091="","",IF(INDEX(Dossiers!$F$4:$F$63,59)="","",INDEX(Dossiers!$F$4:$F$63,59)))</f>
        <v/>
      </c>
      <c r="U3091">
        <f>IF($O3091="","",IF(INDEX(Dossiers!$G$4:$G$63,59)="","",INDEX(Dossiers!$G$4:$G$63,59)))</f>
        <v/>
      </c>
      <c r="V3091">
        <f>IF(OR($O3091="",NOT(ISNUMBER($Q3091))),"",$Q3091*1000000+3091)</f>
        <v/>
      </c>
      <c r="W3091" s="29">
        <f>IF($B3091="","",IFERROR(INDEX($U$4:$U$3183,MATCH(SMALL($V$4:$V$3183,3088),$V$4:$V$3183,0)),""))</f>
        <v/>
      </c>
    </row>
    <row r="3092">
      <c r="A3092">
        <f>IFERROR(INDEX($N$4:$N$3183,MATCH(SMALL($V$4:$V$3183,3089),$V$4:$V$3183,0)),"")</f>
        <v/>
      </c>
      <c r="B3092">
        <f>IFERROR(INDEX($O$4:$O$3183,MATCH(SMALL($V$4:$V$3183,3089),$V$4:$V$3183,0)),"")</f>
        <v/>
      </c>
      <c r="C3092">
        <f>IFERROR(INDEX($P$4:$P$3183,MATCH(SMALL($V$4:$V$3183,3089),$V$4:$V$3183,0)),"")</f>
        <v/>
      </c>
      <c r="D3092" s="29">
        <f>IFERROR(INDEX($Q$4:$Q$3183,MATCH(SMALL($V$4:$V$3183,3089),$V$4:$V$3183,0)),"")</f>
        <v/>
      </c>
      <c r="E3092" s="29">
        <f>IFERROR(INDEX($R$4:$R$3183,MATCH(SMALL($V$4:$V$3183,3089),$V$4:$V$3183,0)),"")</f>
        <v/>
      </c>
      <c r="F3092">
        <f>IFERROR(INDEX($S$4:$S$3183,MATCH(SMALL($V$4:$V$3183,3089),$V$4:$V$3183,0)),"")</f>
        <v/>
      </c>
      <c r="I3092" s="29">
        <f>IF($B3092="","",IFERROR(INDEX($U$4:$U$3183,MATCH(SMALL($V$4:$V$3183,3089),$V$4:$V$3183,0)),""))</f>
        <v/>
      </c>
      <c r="J3092">
        <f>IF($B3092="","",IF($D3092&gt;$F$2,"À venir",IF($E3092&lt;$D$2,"Passé","Dans la période")))</f>
        <v/>
      </c>
      <c r="K3092">
        <f>IF(OR($B3092="",NOT(ISNUMBER($D3092))),"",IF(AND($E3092&lt;$D$2,$G3092&lt;&gt;"X",$F3092&lt;&gt;"Réalisé",$F3092&lt;&gt;"Clôturé"),"RETARD",""))</f>
        <v/>
      </c>
      <c r="L3092">
        <f>IF(OR($B3092="",NOT(ISNUMBER($D3092))),"",IF(AND($D3092&gt;=$D$2,$D3092&lt;=$H$2,$G3092&lt;&gt;"X",$F3092&lt;&gt;"Réalisé",$F3092&lt;&gt;"Clôturé"),"≤ 7 j",""))</f>
        <v/>
      </c>
      <c r="M3092" s="29">
        <f>IF($B3092="","",IFERROR(INDEX($T$4:$T$3183,MATCH(SMALL($V$4:$V$3183,3089),$V$4:$V$3183,0)),""))</f>
        <v/>
      </c>
      <c r="O3092">
        <f>IF(INDEX(Suivi!$B:$B,3151)="","",INDEX(Suivi!$B:$B,3151))</f>
        <v/>
      </c>
      <c r="P3092">
        <f>IF($O3092="","",IF(INDEX(Suivi!$D:$D,3151)="",INDEX(Suivi!$C:$C,3151),INDEX(Suivi!$D:$D,3151)))</f>
        <v/>
      </c>
      <c r="Q3092">
        <f>IF($O3092="","",INDEX(Suivi!$E:$E,3151))</f>
        <v/>
      </c>
      <c r="R3092">
        <f>IF($O3092="","",INDEX(Suivi!$F:$F,3151))</f>
        <v/>
      </c>
      <c r="S3092">
        <f>IF($O3092="","",INDEX(Suivi!$G:$G,3151))</f>
        <v/>
      </c>
      <c r="T3092">
        <f>IF($O3092="","",IF(INDEX(Dossiers!$F$4:$F$63,59)="","",INDEX(Dossiers!$F$4:$F$63,59)))</f>
        <v/>
      </c>
      <c r="U3092">
        <f>IF($O3092="","",IF(INDEX(Dossiers!$G$4:$G$63,59)="","",INDEX(Dossiers!$G$4:$G$63,59)))</f>
        <v/>
      </c>
      <c r="V3092">
        <f>IF(OR($O3092="",NOT(ISNUMBER($Q3092))),"",$Q3092*1000000+3092)</f>
        <v/>
      </c>
      <c r="W3092" s="29">
        <f>IF($B3092="","",IFERROR(INDEX($U$4:$U$3183,MATCH(SMALL($V$4:$V$3183,3089),$V$4:$V$3183,0)),""))</f>
        <v/>
      </c>
    </row>
    <row r="3093">
      <c r="A3093">
        <f>IFERROR(INDEX($N$4:$N$3183,MATCH(SMALL($V$4:$V$3183,3090),$V$4:$V$3183,0)),"")</f>
        <v/>
      </c>
      <c r="B3093">
        <f>IFERROR(INDEX($O$4:$O$3183,MATCH(SMALL($V$4:$V$3183,3090),$V$4:$V$3183,0)),"")</f>
        <v/>
      </c>
      <c r="C3093">
        <f>IFERROR(INDEX($P$4:$P$3183,MATCH(SMALL($V$4:$V$3183,3090),$V$4:$V$3183,0)),"")</f>
        <v/>
      </c>
      <c r="D3093" s="29">
        <f>IFERROR(INDEX($Q$4:$Q$3183,MATCH(SMALL($V$4:$V$3183,3090),$V$4:$V$3183,0)),"")</f>
        <v/>
      </c>
      <c r="E3093" s="29">
        <f>IFERROR(INDEX($R$4:$R$3183,MATCH(SMALL($V$4:$V$3183,3090),$V$4:$V$3183,0)),"")</f>
        <v/>
      </c>
      <c r="F3093">
        <f>IFERROR(INDEX($S$4:$S$3183,MATCH(SMALL($V$4:$V$3183,3090),$V$4:$V$3183,0)),"")</f>
        <v/>
      </c>
      <c r="I3093" s="29">
        <f>IF($B3093="","",IFERROR(INDEX($U$4:$U$3183,MATCH(SMALL($V$4:$V$3183,3090),$V$4:$V$3183,0)),""))</f>
        <v/>
      </c>
      <c r="J3093">
        <f>IF($B3093="","",IF($D3093&gt;$F$2,"À venir",IF($E3093&lt;$D$2,"Passé","Dans la période")))</f>
        <v/>
      </c>
      <c r="K3093">
        <f>IF(OR($B3093="",NOT(ISNUMBER($D3093))),"",IF(AND($E3093&lt;$D$2,$G3093&lt;&gt;"X",$F3093&lt;&gt;"Réalisé",$F3093&lt;&gt;"Clôturé"),"RETARD",""))</f>
        <v/>
      </c>
      <c r="L3093">
        <f>IF(OR($B3093="",NOT(ISNUMBER($D3093))),"",IF(AND($D3093&gt;=$D$2,$D3093&lt;=$H$2,$G3093&lt;&gt;"X",$F3093&lt;&gt;"Réalisé",$F3093&lt;&gt;"Clôturé"),"≤ 7 j",""))</f>
        <v/>
      </c>
      <c r="M3093" s="29">
        <f>IF($B3093="","",IFERROR(INDEX($T$4:$T$3183,MATCH(SMALL($V$4:$V$3183,3090),$V$4:$V$3183,0)),""))</f>
        <v/>
      </c>
      <c r="O3093">
        <f>IF(INDEX(Suivi!$B:$B,3152)="","",INDEX(Suivi!$B:$B,3152))</f>
        <v/>
      </c>
      <c r="P3093">
        <f>IF($O3093="","",IF(INDEX(Suivi!$D:$D,3152)="",INDEX(Suivi!$C:$C,3152),INDEX(Suivi!$D:$D,3152)))</f>
        <v/>
      </c>
      <c r="Q3093">
        <f>IF($O3093="","",INDEX(Suivi!$E:$E,3152))</f>
        <v/>
      </c>
      <c r="R3093">
        <f>IF($O3093="","",INDEX(Suivi!$F:$F,3152))</f>
        <v/>
      </c>
      <c r="S3093">
        <f>IF($O3093="","",INDEX(Suivi!$G:$G,3152))</f>
        <v/>
      </c>
      <c r="T3093">
        <f>IF($O3093="","",IF(INDEX(Dossiers!$F$4:$F$63,59)="","",INDEX(Dossiers!$F$4:$F$63,59)))</f>
        <v/>
      </c>
      <c r="U3093">
        <f>IF($O3093="","",IF(INDEX(Dossiers!$G$4:$G$63,59)="","",INDEX(Dossiers!$G$4:$G$63,59)))</f>
        <v/>
      </c>
      <c r="V3093">
        <f>IF(OR($O3093="",NOT(ISNUMBER($Q3093))),"",$Q3093*1000000+3093)</f>
        <v/>
      </c>
      <c r="W3093" s="29">
        <f>IF($B3093="","",IFERROR(INDEX($U$4:$U$3183,MATCH(SMALL($V$4:$V$3183,3090),$V$4:$V$3183,0)),""))</f>
        <v/>
      </c>
    </row>
    <row r="3094">
      <c r="A3094">
        <f>IFERROR(INDEX($N$4:$N$3183,MATCH(SMALL($V$4:$V$3183,3091),$V$4:$V$3183,0)),"")</f>
        <v/>
      </c>
      <c r="B3094">
        <f>IFERROR(INDEX($O$4:$O$3183,MATCH(SMALL($V$4:$V$3183,3091),$V$4:$V$3183,0)),"")</f>
        <v/>
      </c>
      <c r="C3094">
        <f>IFERROR(INDEX($P$4:$P$3183,MATCH(SMALL($V$4:$V$3183,3091),$V$4:$V$3183,0)),"")</f>
        <v/>
      </c>
      <c r="D3094" s="29">
        <f>IFERROR(INDEX($Q$4:$Q$3183,MATCH(SMALL($V$4:$V$3183,3091),$V$4:$V$3183,0)),"")</f>
        <v/>
      </c>
      <c r="E3094" s="29">
        <f>IFERROR(INDEX($R$4:$R$3183,MATCH(SMALL($V$4:$V$3183,3091),$V$4:$V$3183,0)),"")</f>
        <v/>
      </c>
      <c r="F3094">
        <f>IFERROR(INDEX($S$4:$S$3183,MATCH(SMALL($V$4:$V$3183,3091),$V$4:$V$3183,0)),"")</f>
        <v/>
      </c>
      <c r="I3094" s="29">
        <f>IF($B3094="","",IFERROR(INDEX($U$4:$U$3183,MATCH(SMALL($V$4:$V$3183,3091),$V$4:$V$3183,0)),""))</f>
        <v/>
      </c>
      <c r="J3094">
        <f>IF($B3094="","",IF($D3094&gt;$F$2,"À venir",IF($E3094&lt;$D$2,"Passé","Dans la période")))</f>
        <v/>
      </c>
      <c r="K3094">
        <f>IF(OR($B3094="",NOT(ISNUMBER($D3094))),"",IF(AND($E3094&lt;$D$2,$G3094&lt;&gt;"X",$F3094&lt;&gt;"Réalisé",$F3094&lt;&gt;"Clôturé"),"RETARD",""))</f>
        <v/>
      </c>
      <c r="L3094">
        <f>IF(OR($B3094="",NOT(ISNUMBER($D3094))),"",IF(AND($D3094&gt;=$D$2,$D3094&lt;=$H$2,$G3094&lt;&gt;"X",$F3094&lt;&gt;"Réalisé",$F3094&lt;&gt;"Clôturé"),"≤ 7 j",""))</f>
        <v/>
      </c>
      <c r="M3094" s="29">
        <f>IF($B3094="","",IFERROR(INDEX($T$4:$T$3183,MATCH(SMALL($V$4:$V$3183,3091),$V$4:$V$3183,0)),""))</f>
        <v/>
      </c>
      <c r="O3094">
        <f>IF(INDEX(Suivi!$B:$B,3153)="","",INDEX(Suivi!$B:$B,3153))</f>
        <v/>
      </c>
      <c r="P3094">
        <f>IF($O3094="","",IF(INDEX(Suivi!$D:$D,3153)="",INDEX(Suivi!$C:$C,3153),INDEX(Suivi!$D:$D,3153)))</f>
        <v/>
      </c>
      <c r="Q3094">
        <f>IF($O3094="","",INDEX(Suivi!$E:$E,3153))</f>
        <v/>
      </c>
      <c r="R3094">
        <f>IF($O3094="","",INDEX(Suivi!$F:$F,3153))</f>
        <v/>
      </c>
      <c r="S3094">
        <f>IF($O3094="","",INDEX(Suivi!$G:$G,3153))</f>
        <v/>
      </c>
      <c r="T3094">
        <f>IF($O3094="","",IF(INDEX(Dossiers!$F$4:$F$63,59)="","",INDEX(Dossiers!$F$4:$F$63,59)))</f>
        <v/>
      </c>
      <c r="U3094">
        <f>IF($O3094="","",IF(INDEX(Dossiers!$G$4:$G$63,59)="","",INDEX(Dossiers!$G$4:$G$63,59)))</f>
        <v/>
      </c>
      <c r="V3094">
        <f>IF(OR($O3094="",NOT(ISNUMBER($Q3094))),"",$Q3094*1000000+3094)</f>
        <v/>
      </c>
      <c r="W3094" s="29">
        <f>IF($B3094="","",IFERROR(INDEX($U$4:$U$3183,MATCH(SMALL($V$4:$V$3183,3091),$V$4:$V$3183,0)),""))</f>
        <v/>
      </c>
    </row>
    <row r="3095">
      <c r="A3095">
        <f>IFERROR(INDEX($N$4:$N$3183,MATCH(SMALL($V$4:$V$3183,3092),$V$4:$V$3183,0)),"")</f>
        <v/>
      </c>
      <c r="B3095">
        <f>IFERROR(INDEX($O$4:$O$3183,MATCH(SMALL($V$4:$V$3183,3092),$V$4:$V$3183,0)),"")</f>
        <v/>
      </c>
      <c r="C3095">
        <f>IFERROR(INDEX($P$4:$P$3183,MATCH(SMALL($V$4:$V$3183,3092),$V$4:$V$3183,0)),"")</f>
        <v/>
      </c>
      <c r="D3095" s="29">
        <f>IFERROR(INDEX($Q$4:$Q$3183,MATCH(SMALL($V$4:$V$3183,3092),$V$4:$V$3183,0)),"")</f>
        <v/>
      </c>
      <c r="E3095" s="29">
        <f>IFERROR(INDEX($R$4:$R$3183,MATCH(SMALL($V$4:$V$3183,3092),$V$4:$V$3183,0)),"")</f>
        <v/>
      </c>
      <c r="F3095">
        <f>IFERROR(INDEX($S$4:$S$3183,MATCH(SMALL($V$4:$V$3183,3092),$V$4:$V$3183,0)),"")</f>
        <v/>
      </c>
      <c r="I3095" s="29">
        <f>IF($B3095="","",IFERROR(INDEX($U$4:$U$3183,MATCH(SMALL($V$4:$V$3183,3092),$V$4:$V$3183,0)),""))</f>
        <v/>
      </c>
      <c r="J3095">
        <f>IF($B3095="","",IF($D3095&gt;$F$2,"À venir",IF($E3095&lt;$D$2,"Passé","Dans la période")))</f>
        <v/>
      </c>
      <c r="K3095">
        <f>IF(OR($B3095="",NOT(ISNUMBER($D3095))),"",IF(AND($E3095&lt;$D$2,$G3095&lt;&gt;"X",$F3095&lt;&gt;"Réalisé",$F3095&lt;&gt;"Clôturé"),"RETARD",""))</f>
        <v/>
      </c>
      <c r="L3095">
        <f>IF(OR($B3095="",NOT(ISNUMBER($D3095))),"",IF(AND($D3095&gt;=$D$2,$D3095&lt;=$H$2,$G3095&lt;&gt;"X",$F3095&lt;&gt;"Réalisé",$F3095&lt;&gt;"Clôturé"),"≤ 7 j",""))</f>
        <v/>
      </c>
      <c r="M3095" s="29">
        <f>IF($B3095="","",IFERROR(INDEX($T$4:$T$3183,MATCH(SMALL($V$4:$V$3183,3092),$V$4:$V$3183,0)),""))</f>
        <v/>
      </c>
      <c r="O3095">
        <f>IF(INDEX(Suivi!$B:$B,3154)="","",INDEX(Suivi!$B:$B,3154))</f>
        <v/>
      </c>
      <c r="P3095">
        <f>IF($O3095="","",IF(INDEX(Suivi!$D:$D,3154)="",INDEX(Suivi!$C:$C,3154),INDEX(Suivi!$D:$D,3154)))</f>
        <v/>
      </c>
      <c r="Q3095">
        <f>IF($O3095="","",INDEX(Suivi!$E:$E,3154))</f>
        <v/>
      </c>
      <c r="R3095">
        <f>IF($O3095="","",INDEX(Suivi!$F:$F,3154))</f>
        <v/>
      </c>
      <c r="S3095">
        <f>IF($O3095="","",INDEX(Suivi!$G:$G,3154))</f>
        <v/>
      </c>
      <c r="T3095">
        <f>IF($O3095="","",IF(INDEX(Dossiers!$F$4:$F$63,59)="","",INDEX(Dossiers!$F$4:$F$63,59)))</f>
        <v/>
      </c>
      <c r="U3095">
        <f>IF($O3095="","",IF(INDEX(Dossiers!$G$4:$G$63,59)="","",INDEX(Dossiers!$G$4:$G$63,59)))</f>
        <v/>
      </c>
      <c r="V3095">
        <f>IF(OR($O3095="",NOT(ISNUMBER($Q3095))),"",$Q3095*1000000+3095)</f>
        <v/>
      </c>
      <c r="W3095" s="29">
        <f>IF($B3095="","",IFERROR(INDEX($U$4:$U$3183,MATCH(SMALL($V$4:$V$3183,3092),$V$4:$V$3183,0)),""))</f>
        <v/>
      </c>
    </row>
    <row r="3096">
      <c r="A3096">
        <f>IFERROR(INDEX($N$4:$N$3183,MATCH(SMALL($V$4:$V$3183,3093),$V$4:$V$3183,0)),"")</f>
        <v/>
      </c>
      <c r="B3096">
        <f>IFERROR(INDEX($O$4:$O$3183,MATCH(SMALL($V$4:$V$3183,3093),$V$4:$V$3183,0)),"")</f>
        <v/>
      </c>
      <c r="C3096">
        <f>IFERROR(INDEX($P$4:$P$3183,MATCH(SMALL($V$4:$V$3183,3093),$V$4:$V$3183,0)),"")</f>
        <v/>
      </c>
      <c r="D3096" s="29">
        <f>IFERROR(INDEX($Q$4:$Q$3183,MATCH(SMALL($V$4:$V$3183,3093),$V$4:$V$3183,0)),"")</f>
        <v/>
      </c>
      <c r="E3096" s="29">
        <f>IFERROR(INDEX($R$4:$R$3183,MATCH(SMALL($V$4:$V$3183,3093),$V$4:$V$3183,0)),"")</f>
        <v/>
      </c>
      <c r="F3096">
        <f>IFERROR(INDEX($S$4:$S$3183,MATCH(SMALL($V$4:$V$3183,3093),$V$4:$V$3183,0)),"")</f>
        <v/>
      </c>
      <c r="I3096" s="29">
        <f>IF($B3096="","",IFERROR(INDEX($U$4:$U$3183,MATCH(SMALL($V$4:$V$3183,3093),$V$4:$V$3183,0)),""))</f>
        <v/>
      </c>
      <c r="J3096">
        <f>IF($B3096="","",IF($D3096&gt;$F$2,"À venir",IF($E3096&lt;$D$2,"Passé","Dans la période")))</f>
        <v/>
      </c>
      <c r="K3096">
        <f>IF(OR($B3096="",NOT(ISNUMBER($D3096))),"",IF(AND($E3096&lt;$D$2,$G3096&lt;&gt;"X",$F3096&lt;&gt;"Réalisé",$F3096&lt;&gt;"Clôturé"),"RETARD",""))</f>
        <v/>
      </c>
      <c r="L3096">
        <f>IF(OR($B3096="",NOT(ISNUMBER($D3096))),"",IF(AND($D3096&gt;=$D$2,$D3096&lt;=$H$2,$G3096&lt;&gt;"X",$F3096&lt;&gt;"Réalisé",$F3096&lt;&gt;"Clôturé"),"≤ 7 j",""))</f>
        <v/>
      </c>
      <c r="M3096" s="29">
        <f>IF($B3096="","",IFERROR(INDEX($T$4:$T$3183,MATCH(SMALL($V$4:$V$3183,3093),$V$4:$V$3183,0)),""))</f>
        <v/>
      </c>
      <c r="O3096">
        <f>IF(INDEX(Suivi!$B:$B,3155)="","",INDEX(Suivi!$B:$B,3155))</f>
        <v/>
      </c>
      <c r="P3096">
        <f>IF($O3096="","",IF(INDEX(Suivi!$D:$D,3155)="",INDEX(Suivi!$C:$C,3155),INDEX(Suivi!$D:$D,3155)))</f>
        <v/>
      </c>
      <c r="Q3096">
        <f>IF($O3096="","",INDEX(Suivi!$E:$E,3155))</f>
        <v/>
      </c>
      <c r="R3096">
        <f>IF($O3096="","",INDEX(Suivi!$F:$F,3155))</f>
        <v/>
      </c>
      <c r="S3096">
        <f>IF($O3096="","",INDEX(Suivi!$G:$G,3155))</f>
        <v/>
      </c>
      <c r="T3096">
        <f>IF($O3096="","",IF(INDEX(Dossiers!$F$4:$F$63,59)="","",INDEX(Dossiers!$F$4:$F$63,59)))</f>
        <v/>
      </c>
      <c r="U3096">
        <f>IF($O3096="","",IF(INDEX(Dossiers!$G$4:$G$63,59)="","",INDEX(Dossiers!$G$4:$G$63,59)))</f>
        <v/>
      </c>
      <c r="V3096">
        <f>IF(OR($O3096="",NOT(ISNUMBER($Q3096))),"",$Q3096*1000000+3096)</f>
        <v/>
      </c>
      <c r="W3096" s="29">
        <f>IF($B3096="","",IFERROR(INDEX($U$4:$U$3183,MATCH(SMALL($V$4:$V$3183,3093),$V$4:$V$3183,0)),""))</f>
        <v/>
      </c>
    </row>
    <row r="3097">
      <c r="A3097">
        <f>IFERROR(INDEX($N$4:$N$3183,MATCH(SMALL($V$4:$V$3183,3094),$V$4:$V$3183,0)),"")</f>
        <v/>
      </c>
      <c r="B3097">
        <f>IFERROR(INDEX($O$4:$O$3183,MATCH(SMALL($V$4:$V$3183,3094),$V$4:$V$3183,0)),"")</f>
        <v/>
      </c>
      <c r="C3097">
        <f>IFERROR(INDEX($P$4:$P$3183,MATCH(SMALL($V$4:$V$3183,3094),$V$4:$V$3183,0)),"")</f>
        <v/>
      </c>
      <c r="D3097" s="29">
        <f>IFERROR(INDEX($Q$4:$Q$3183,MATCH(SMALL($V$4:$V$3183,3094),$V$4:$V$3183,0)),"")</f>
        <v/>
      </c>
      <c r="E3097" s="29">
        <f>IFERROR(INDEX($R$4:$R$3183,MATCH(SMALL($V$4:$V$3183,3094),$V$4:$V$3183,0)),"")</f>
        <v/>
      </c>
      <c r="F3097">
        <f>IFERROR(INDEX($S$4:$S$3183,MATCH(SMALL($V$4:$V$3183,3094),$V$4:$V$3183,0)),"")</f>
        <v/>
      </c>
      <c r="I3097" s="29">
        <f>IF($B3097="","",IFERROR(INDEX($U$4:$U$3183,MATCH(SMALL($V$4:$V$3183,3094),$V$4:$V$3183,0)),""))</f>
        <v/>
      </c>
      <c r="J3097">
        <f>IF($B3097="","",IF($D3097&gt;$F$2,"À venir",IF($E3097&lt;$D$2,"Passé","Dans la période")))</f>
        <v/>
      </c>
      <c r="K3097">
        <f>IF(OR($B3097="",NOT(ISNUMBER($D3097))),"",IF(AND($E3097&lt;$D$2,$G3097&lt;&gt;"X",$F3097&lt;&gt;"Réalisé",$F3097&lt;&gt;"Clôturé"),"RETARD",""))</f>
        <v/>
      </c>
      <c r="L3097">
        <f>IF(OR($B3097="",NOT(ISNUMBER($D3097))),"",IF(AND($D3097&gt;=$D$2,$D3097&lt;=$H$2,$G3097&lt;&gt;"X",$F3097&lt;&gt;"Réalisé",$F3097&lt;&gt;"Clôturé"),"≤ 7 j",""))</f>
        <v/>
      </c>
      <c r="M3097" s="29">
        <f>IF($B3097="","",IFERROR(INDEX($T$4:$T$3183,MATCH(SMALL($V$4:$V$3183,3094),$V$4:$V$3183,0)),""))</f>
        <v/>
      </c>
      <c r="O3097">
        <f>IF(INDEX(Suivi!$B:$B,3156)="","",INDEX(Suivi!$B:$B,3156))</f>
        <v/>
      </c>
      <c r="P3097">
        <f>IF($O3097="","",IF(INDEX(Suivi!$D:$D,3156)="",INDEX(Suivi!$C:$C,3156),INDEX(Suivi!$D:$D,3156)))</f>
        <v/>
      </c>
      <c r="Q3097">
        <f>IF($O3097="","",INDEX(Suivi!$E:$E,3156))</f>
        <v/>
      </c>
      <c r="R3097">
        <f>IF($O3097="","",INDEX(Suivi!$F:$F,3156))</f>
        <v/>
      </c>
      <c r="S3097">
        <f>IF($O3097="","",INDEX(Suivi!$G:$G,3156))</f>
        <v/>
      </c>
      <c r="T3097">
        <f>IF($O3097="","",IF(INDEX(Dossiers!$F$4:$F$63,59)="","",INDEX(Dossiers!$F$4:$F$63,59)))</f>
        <v/>
      </c>
      <c r="U3097">
        <f>IF($O3097="","",IF(INDEX(Dossiers!$G$4:$G$63,59)="","",INDEX(Dossiers!$G$4:$G$63,59)))</f>
        <v/>
      </c>
      <c r="V3097">
        <f>IF(OR($O3097="",NOT(ISNUMBER($Q3097))),"",$Q3097*1000000+3097)</f>
        <v/>
      </c>
      <c r="W3097" s="29">
        <f>IF($B3097="","",IFERROR(INDEX($U$4:$U$3183,MATCH(SMALL($V$4:$V$3183,3094),$V$4:$V$3183,0)),""))</f>
        <v/>
      </c>
    </row>
    <row r="3098">
      <c r="A3098">
        <f>IFERROR(INDEX($N$4:$N$3183,MATCH(SMALL($V$4:$V$3183,3095),$V$4:$V$3183,0)),"")</f>
        <v/>
      </c>
      <c r="B3098">
        <f>IFERROR(INDEX($O$4:$O$3183,MATCH(SMALL($V$4:$V$3183,3095),$V$4:$V$3183,0)),"")</f>
        <v/>
      </c>
      <c r="C3098">
        <f>IFERROR(INDEX($P$4:$P$3183,MATCH(SMALL($V$4:$V$3183,3095),$V$4:$V$3183,0)),"")</f>
        <v/>
      </c>
      <c r="D3098" s="29">
        <f>IFERROR(INDEX($Q$4:$Q$3183,MATCH(SMALL($V$4:$V$3183,3095),$V$4:$V$3183,0)),"")</f>
        <v/>
      </c>
      <c r="E3098" s="29">
        <f>IFERROR(INDEX($R$4:$R$3183,MATCH(SMALL($V$4:$V$3183,3095),$V$4:$V$3183,0)),"")</f>
        <v/>
      </c>
      <c r="F3098">
        <f>IFERROR(INDEX($S$4:$S$3183,MATCH(SMALL($V$4:$V$3183,3095),$V$4:$V$3183,0)),"")</f>
        <v/>
      </c>
      <c r="I3098" s="29">
        <f>IF($B3098="","",IFERROR(INDEX($U$4:$U$3183,MATCH(SMALL($V$4:$V$3183,3095),$V$4:$V$3183,0)),""))</f>
        <v/>
      </c>
      <c r="J3098">
        <f>IF($B3098="","",IF($D3098&gt;$F$2,"À venir",IF($E3098&lt;$D$2,"Passé","Dans la période")))</f>
        <v/>
      </c>
      <c r="K3098">
        <f>IF(OR($B3098="",NOT(ISNUMBER($D3098))),"",IF(AND($E3098&lt;$D$2,$G3098&lt;&gt;"X",$F3098&lt;&gt;"Réalisé",$F3098&lt;&gt;"Clôturé"),"RETARD",""))</f>
        <v/>
      </c>
      <c r="L3098">
        <f>IF(OR($B3098="",NOT(ISNUMBER($D3098))),"",IF(AND($D3098&gt;=$D$2,$D3098&lt;=$H$2,$G3098&lt;&gt;"X",$F3098&lt;&gt;"Réalisé",$F3098&lt;&gt;"Clôturé"),"≤ 7 j",""))</f>
        <v/>
      </c>
      <c r="M3098" s="29">
        <f>IF($B3098="","",IFERROR(INDEX($T$4:$T$3183,MATCH(SMALL($V$4:$V$3183,3095),$V$4:$V$3183,0)),""))</f>
        <v/>
      </c>
      <c r="O3098">
        <f>IF(INDEX(Suivi!$B:$B,3157)="","",INDEX(Suivi!$B:$B,3157))</f>
        <v/>
      </c>
      <c r="P3098">
        <f>IF($O3098="","",IF(INDEX(Suivi!$D:$D,3157)="",INDEX(Suivi!$C:$C,3157),INDEX(Suivi!$D:$D,3157)))</f>
        <v/>
      </c>
      <c r="Q3098">
        <f>IF($O3098="","",INDEX(Suivi!$E:$E,3157))</f>
        <v/>
      </c>
      <c r="R3098">
        <f>IF($O3098="","",INDEX(Suivi!$F:$F,3157))</f>
        <v/>
      </c>
      <c r="S3098">
        <f>IF($O3098="","",INDEX(Suivi!$G:$G,3157))</f>
        <v/>
      </c>
      <c r="T3098">
        <f>IF($O3098="","",IF(INDEX(Dossiers!$F$4:$F$63,59)="","",INDEX(Dossiers!$F$4:$F$63,59)))</f>
        <v/>
      </c>
      <c r="U3098">
        <f>IF($O3098="","",IF(INDEX(Dossiers!$G$4:$G$63,59)="","",INDEX(Dossiers!$G$4:$G$63,59)))</f>
        <v/>
      </c>
      <c r="V3098">
        <f>IF(OR($O3098="",NOT(ISNUMBER($Q3098))),"",$Q3098*1000000+3098)</f>
        <v/>
      </c>
      <c r="W3098" s="29">
        <f>IF($B3098="","",IFERROR(INDEX($U$4:$U$3183,MATCH(SMALL($V$4:$V$3183,3095),$V$4:$V$3183,0)),""))</f>
        <v/>
      </c>
    </row>
    <row r="3099">
      <c r="A3099">
        <f>IFERROR(INDEX($N$4:$N$3183,MATCH(SMALL($V$4:$V$3183,3096),$V$4:$V$3183,0)),"")</f>
        <v/>
      </c>
      <c r="B3099">
        <f>IFERROR(INDEX($O$4:$O$3183,MATCH(SMALL($V$4:$V$3183,3096),$V$4:$V$3183,0)),"")</f>
        <v/>
      </c>
      <c r="C3099">
        <f>IFERROR(INDEX($P$4:$P$3183,MATCH(SMALL($V$4:$V$3183,3096),$V$4:$V$3183,0)),"")</f>
        <v/>
      </c>
      <c r="D3099" s="29">
        <f>IFERROR(INDEX($Q$4:$Q$3183,MATCH(SMALL($V$4:$V$3183,3096),$V$4:$V$3183,0)),"")</f>
        <v/>
      </c>
      <c r="E3099" s="29">
        <f>IFERROR(INDEX($R$4:$R$3183,MATCH(SMALL($V$4:$V$3183,3096),$V$4:$V$3183,0)),"")</f>
        <v/>
      </c>
      <c r="F3099">
        <f>IFERROR(INDEX($S$4:$S$3183,MATCH(SMALL($V$4:$V$3183,3096),$V$4:$V$3183,0)),"")</f>
        <v/>
      </c>
      <c r="I3099" s="29">
        <f>IF($B3099="","",IFERROR(INDEX($U$4:$U$3183,MATCH(SMALL($V$4:$V$3183,3096),$V$4:$V$3183,0)),""))</f>
        <v/>
      </c>
      <c r="J3099">
        <f>IF($B3099="","",IF($D3099&gt;$F$2,"À venir",IF($E3099&lt;$D$2,"Passé","Dans la période")))</f>
        <v/>
      </c>
      <c r="K3099">
        <f>IF(OR($B3099="",NOT(ISNUMBER($D3099))),"",IF(AND($E3099&lt;$D$2,$G3099&lt;&gt;"X",$F3099&lt;&gt;"Réalisé",$F3099&lt;&gt;"Clôturé"),"RETARD",""))</f>
        <v/>
      </c>
      <c r="L3099">
        <f>IF(OR($B3099="",NOT(ISNUMBER($D3099))),"",IF(AND($D3099&gt;=$D$2,$D3099&lt;=$H$2,$G3099&lt;&gt;"X",$F3099&lt;&gt;"Réalisé",$F3099&lt;&gt;"Clôturé"),"≤ 7 j",""))</f>
        <v/>
      </c>
      <c r="M3099" s="29">
        <f>IF($B3099="","",IFERROR(INDEX($T$4:$T$3183,MATCH(SMALL($V$4:$V$3183,3096),$V$4:$V$3183,0)),""))</f>
        <v/>
      </c>
      <c r="O3099">
        <f>IF(INDEX(Suivi!$B:$B,3158)="","",INDEX(Suivi!$B:$B,3158))</f>
        <v/>
      </c>
      <c r="P3099">
        <f>IF($O3099="","",IF(INDEX(Suivi!$D:$D,3158)="",INDEX(Suivi!$C:$C,3158),INDEX(Suivi!$D:$D,3158)))</f>
        <v/>
      </c>
      <c r="Q3099">
        <f>IF($O3099="","",INDEX(Suivi!$E:$E,3158))</f>
        <v/>
      </c>
      <c r="R3099">
        <f>IF($O3099="","",INDEX(Suivi!$F:$F,3158))</f>
        <v/>
      </c>
      <c r="S3099">
        <f>IF($O3099="","",INDEX(Suivi!$G:$G,3158))</f>
        <v/>
      </c>
      <c r="T3099">
        <f>IF($O3099="","",IF(INDEX(Dossiers!$F$4:$F$63,59)="","",INDEX(Dossiers!$F$4:$F$63,59)))</f>
        <v/>
      </c>
      <c r="U3099">
        <f>IF($O3099="","",IF(INDEX(Dossiers!$G$4:$G$63,59)="","",INDEX(Dossiers!$G$4:$G$63,59)))</f>
        <v/>
      </c>
      <c r="V3099">
        <f>IF(OR($O3099="",NOT(ISNUMBER($Q3099))),"",$Q3099*1000000+3099)</f>
        <v/>
      </c>
      <c r="W3099" s="29">
        <f>IF($B3099="","",IFERROR(INDEX($U$4:$U$3183,MATCH(SMALL($V$4:$V$3183,3096),$V$4:$V$3183,0)),""))</f>
        <v/>
      </c>
    </row>
    <row r="3100">
      <c r="A3100">
        <f>IFERROR(INDEX($N$4:$N$3183,MATCH(SMALL($V$4:$V$3183,3097),$V$4:$V$3183,0)),"")</f>
        <v/>
      </c>
      <c r="B3100">
        <f>IFERROR(INDEX($O$4:$O$3183,MATCH(SMALL($V$4:$V$3183,3097),$V$4:$V$3183,0)),"")</f>
        <v/>
      </c>
      <c r="C3100">
        <f>IFERROR(INDEX($P$4:$P$3183,MATCH(SMALL($V$4:$V$3183,3097),$V$4:$V$3183,0)),"")</f>
        <v/>
      </c>
      <c r="D3100" s="29">
        <f>IFERROR(INDEX($Q$4:$Q$3183,MATCH(SMALL($V$4:$V$3183,3097),$V$4:$V$3183,0)),"")</f>
        <v/>
      </c>
      <c r="E3100" s="29">
        <f>IFERROR(INDEX($R$4:$R$3183,MATCH(SMALL($V$4:$V$3183,3097),$V$4:$V$3183,0)),"")</f>
        <v/>
      </c>
      <c r="F3100">
        <f>IFERROR(INDEX($S$4:$S$3183,MATCH(SMALL($V$4:$V$3183,3097),$V$4:$V$3183,0)),"")</f>
        <v/>
      </c>
      <c r="I3100" s="29">
        <f>IF($B3100="","",IFERROR(INDEX($U$4:$U$3183,MATCH(SMALL($V$4:$V$3183,3097),$V$4:$V$3183,0)),""))</f>
        <v/>
      </c>
      <c r="J3100">
        <f>IF($B3100="","",IF($D3100&gt;$F$2,"À venir",IF($E3100&lt;$D$2,"Passé","Dans la période")))</f>
        <v/>
      </c>
      <c r="K3100">
        <f>IF(OR($B3100="",NOT(ISNUMBER($D3100))),"",IF(AND($E3100&lt;$D$2,$G3100&lt;&gt;"X",$F3100&lt;&gt;"Réalisé",$F3100&lt;&gt;"Clôturé"),"RETARD",""))</f>
        <v/>
      </c>
      <c r="L3100">
        <f>IF(OR($B3100="",NOT(ISNUMBER($D3100))),"",IF(AND($D3100&gt;=$D$2,$D3100&lt;=$H$2,$G3100&lt;&gt;"X",$F3100&lt;&gt;"Réalisé",$F3100&lt;&gt;"Clôturé"),"≤ 7 j",""))</f>
        <v/>
      </c>
      <c r="M3100" s="29">
        <f>IF($B3100="","",IFERROR(INDEX($T$4:$T$3183,MATCH(SMALL($V$4:$V$3183,3097),$V$4:$V$3183,0)),""))</f>
        <v/>
      </c>
      <c r="O3100">
        <f>IF(INDEX(Suivi!$B:$B,3159)="","",INDEX(Suivi!$B:$B,3159))</f>
        <v/>
      </c>
      <c r="P3100">
        <f>IF($O3100="","",IF(INDEX(Suivi!$D:$D,3159)="",INDEX(Suivi!$C:$C,3159),INDEX(Suivi!$D:$D,3159)))</f>
        <v/>
      </c>
      <c r="Q3100">
        <f>IF($O3100="","",INDEX(Suivi!$E:$E,3159))</f>
        <v/>
      </c>
      <c r="R3100">
        <f>IF($O3100="","",INDEX(Suivi!$F:$F,3159))</f>
        <v/>
      </c>
      <c r="S3100">
        <f>IF($O3100="","",INDEX(Suivi!$G:$G,3159))</f>
        <v/>
      </c>
      <c r="T3100">
        <f>IF($O3100="","",IF(INDEX(Dossiers!$F$4:$F$63,59)="","",INDEX(Dossiers!$F$4:$F$63,59)))</f>
        <v/>
      </c>
      <c r="U3100">
        <f>IF($O3100="","",IF(INDEX(Dossiers!$G$4:$G$63,59)="","",INDEX(Dossiers!$G$4:$G$63,59)))</f>
        <v/>
      </c>
      <c r="V3100">
        <f>IF(OR($O3100="",NOT(ISNUMBER($Q3100))),"",$Q3100*1000000+3100)</f>
        <v/>
      </c>
      <c r="W3100" s="29">
        <f>IF($B3100="","",IFERROR(INDEX($U$4:$U$3183,MATCH(SMALL($V$4:$V$3183,3097),$V$4:$V$3183,0)),""))</f>
        <v/>
      </c>
    </row>
    <row r="3101">
      <c r="A3101">
        <f>IFERROR(INDEX($N$4:$N$3183,MATCH(SMALL($V$4:$V$3183,3098),$V$4:$V$3183,0)),"")</f>
        <v/>
      </c>
      <c r="B3101">
        <f>IFERROR(INDEX($O$4:$O$3183,MATCH(SMALL($V$4:$V$3183,3098),$V$4:$V$3183,0)),"")</f>
        <v/>
      </c>
      <c r="C3101">
        <f>IFERROR(INDEX($P$4:$P$3183,MATCH(SMALL($V$4:$V$3183,3098),$V$4:$V$3183,0)),"")</f>
        <v/>
      </c>
      <c r="D3101" s="29">
        <f>IFERROR(INDEX($Q$4:$Q$3183,MATCH(SMALL($V$4:$V$3183,3098),$V$4:$V$3183,0)),"")</f>
        <v/>
      </c>
      <c r="E3101" s="29">
        <f>IFERROR(INDEX($R$4:$R$3183,MATCH(SMALL($V$4:$V$3183,3098),$V$4:$V$3183,0)),"")</f>
        <v/>
      </c>
      <c r="F3101">
        <f>IFERROR(INDEX($S$4:$S$3183,MATCH(SMALL($V$4:$V$3183,3098),$V$4:$V$3183,0)),"")</f>
        <v/>
      </c>
      <c r="I3101" s="29">
        <f>IF($B3101="","",IFERROR(INDEX($U$4:$U$3183,MATCH(SMALL($V$4:$V$3183,3098),$V$4:$V$3183,0)),""))</f>
        <v/>
      </c>
      <c r="J3101">
        <f>IF($B3101="","",IF($D3101&gt;$F$2,"À venir",IF($E3101&lt;$D$2,"Passé","Dans la période")))</f>
        <v/>
      </c>
      <c r="K3101">
        <f>IF(OR($B3101="",NOT(ISNUMBER($D3101))),"",IF(AND($E3101&lt;$D$2,$G3101&lt;&gt;"X",$F3101&lt;&gt;"Réalisé",$F3101&lt;&gt;"Clôturé"),"RETARD",""))</f>
        <v/>
      </c>
      <c r="L3101">
        <f>IF(OR($B3101="",NOT(ISNUMBER($D3101))),"",IF(AND($D3101&gt;=$D$2,$D3101&lt;=$H$2,$G3101&lt;&gt;"X",$F3101&lt;&gt;"Réalisé",$F3101&lt;&gt;"Clôturé"),"≤ 7 j",""))</f>
        <v/>
      </c>
      <c r="M3101" s="29">
        <f>IF($B3101="","",IFERROR(INDEX($T$4:$T$3183,MATCH(SMALL($V$4:$V$3183,3098),$V$4:$V$3183,0)),""))</f>
        <v/>
      </c>
      <c r="O3101">
        <f>IF(INDEX(Suivi!$B:$B,3160)="","",INDEX(Suivi!$B:$B,3160))</f>
        <v/>
      </c>
      <c r="P3101">
        <f>IF($O3101="","",IF(INDEX(Suivi!$D:$D,3160)="",INDEX(Suivi!$C:$C,3160),INDEX(Suivi!$D:$D,3160)))</f>
        <v/>
      </c>
      <c r="Q3101">
        <f>IF($O3101="","",INDEX(Suivi!$E:$E,3160))</f>
        <v/>
      </c>
      <c r="R3101">
        <f>IF($O3101="","",INDEX(Suivi!$F:$F,3160))</f>
        <v/>
      </c>
      <c r="S3101">
        <f>IF($O3101="","",INDEX(Suivi!$G:$G,3160))</f>
        <v/>
      </c>
      <c r="T3101">
        <f>IF($O3101="","",IF(INDEX(Dossiers!$F$4:$F$63,59)="","",INDEX(Dossiers!$F$4:$F$63,59)))</f>
        <v/>
      </c>
      <c r="U3101">
        <f>IF($O3101="","",IF(INDEX(Dossiers!$G$4:$G$63,59)="","",INDEX(Dossiers!$G$4:$G$63,59)))</f>
        <v/>
      </c>
      <c r="V3101">
        <f>IF(OR($O3101="",NOT(ISNUMBER($Q3101))),"",$Q3101*1000000+3101)</f>
        <v/>
      </c>
      <c r="W3101" s="29">
        <f>IF($B3101="","",IFERROR(INDEX($U$4:$U$3183,MATCH(SMALL($V$4:$V$3183,3098),$V$4:$V$3183,0)),""))</f>
        <v/>
      </c>
    </row>
    <row r="3102">
      <c r="A3102">
        <f>IFERROR(INDEX($N$4:$N$3183,MATCH(SMALL($V$4:$V$3183,3099),$V$4:$V$3183,0)),"")</f>
        <v/>
      </c>
      <c r="B3102">
        <f>IFERROR(INDEX($O$4:$O$3183,MATCH(SMALL($V$4:$V$3183,3099),$V$4:$V$3183,0)),"")</f>
        <v/>
      </c>
      <c r="C3102">
        <f>IFERROR(INDEX($P$4:$P$3183,MATCH(SMALL($V$4:$V$3183,3099),$V$4:$V$3183,0)),"")</f>
        <v/>
      </c>
      <c r="D3102" s="29">
        <f>IFERROR(INDEX($Q$4:$Q$3183,MATCH(SMALL($V$4:$V$3183,3099),$V$4:$V$3183,0)),"")</f>
        <v/>
      </c>
      <c r="E3102" s="29">
        <f>IFERROR(INDEX($R$4:$R$3183,MATCH(SMALL($V$4:$V$3183,3099),$V$4:$V$3183,0)),"")</f>
        <v/>
      </c>
      <c r="F3102">
        <f>IFERROR(INDEX($S$4:$S$3183,MATCH(SMALL($V$4:$V$3183,3099),$V$4:$V$3183,0)),"")</f>
        <v/>
      </c>
      <c r="I3102" s="29">
        <f>IF($B3102="","",IFERROR(INDEX($U$4:$U$3183,MATCH(SMALL($V$4:$V$3183,3099),$V$4:$V$3183,0)),""))</f>
        <v/>
      </c>
      <c r="J3102">
        <f>IF($B3102="","",IF($D3102&gt;$F$2,"À venir",IF($E3102&lt;$D$2,"Passé","Dans la période")))</f>
        <v/>
      </c>
      <c r="K3102">
        <f>IF(OR($B3102="",NOT(ISNUMBER($D3102))),"",IF(AND($E3102&lt;$D$2,$G3102&lt;&gt;"X",$F3102&lt;&gt;"Réalisé",$F3102&lt;&gt;"Clôturé"),"RETARD",""))</f>
        <v/>
      </c>
      <c r="L3102">
        <f>IF(OR($B3102="",NOT(ISNUMBER($D3102))),"",IF(AND($D3102&gt;=$D$2,$D3102&lt;=$H$2,$G3102&lt;&gt;"X",$F3102&lt;&gt;"Réalisé",$F3102&lt;&gt;"Clôturé"),"≤ 7 j",""))</f>
        <v/>
      </c>
      <c r="M3102" s="29">
        <f>IF($B3102="","",IFERROR(INDEX($T$4:$T$3183,MATCH(SMALL($V$4:$V$3183,3099),$V$4:$V$3183,0)),""))</f>
        <v/>
      </c>
      <c r="O3102">
        <f>IF(INDEX(Suivi!$B:$B,3161)="","",INDEX(Suivi!$B:$B,3161))</f>
        <v/>
      </c>
      <c r="P3102">
        <f>IF($O3102="","",IF(INDEX(Suivi!$D:$D,3161)="",INDEX(Suivi!$C:$C,3161),INDEX(Suivi!$D:$D,3161)))</f>
        <v/>
      </c>
      <c r="Q3102">
        <f>IF($O3102="","",INDEX(Suivi!$E:$E,3161))</f>
        <v/>
      </c>
      <c r="R3102">
        <f>IF($O3102="","",INDEX(Suivi!$F:$F,3161))</f>
        <v/>
      </c>
      <c r="S3102">
        <f>IF($O3102="","",INDEX(Suivi!$G:$G,3161))</f>
        <v/>
      </c>
      <c r="T3102">
        <f>IF($O3102="","",IF(INDEX(Dossiers!$F$4:$F$63,59)="","",INDEX(Dossiers!$F$4:$F$63,59)))</f>
        <v/>
      </c>
      <c r="U3102">
        <f>IF($O3102="","",IF(INDEX(Dossiers!$G$4:$G$63,59)="","",INDEX(Dossiers!$G$4:$G$63,59)))</f>
        <v/>
      </c>
      <c r="V3102">
        <f>IF(OR($O3102="",NOT(ISNUMBER($Q3102))),"",$Q3102*1000000+3102)</f>
        <v/>
      </c>
      <c r="W3102" s="29">
        <f>IF($B3102="","",IFERROR(INDEX($U$4:$U$3183,MATCH(SMALL($V$4:$V$3183,3099),$V$4:$V$3183,0)),""))</f>
        <v/>
      </c>
    </row>
    <row r="3103">
      <c r="A3103">
        <f>IFERROR(INDEX($N$4:$N$3183,MATCH(SMALL($V$4:$V$3183,3100),$V$4:$V$3183,0)),"")</f>
        <v/>
      </c>
      <c r="B3103">
        <f>IFERROR(INDEX($O$4:$O$3183,MATCH(SMALL($V$4:$V$3183,3100),$V$4:$V$3183,0)),"")</f>
        <v/>
      </c>
      <c r="C3103">
        <f>IFERROR(INDEX($P$4:$P$3183,MATCH(SMALL($V$4:$V$3183,3100),$V$4:$V$3183,0)),"")</f>
        <v/>
      </c>
      <c r="D3103" s="29">
        <f>IFERROR(INDEX($Q$4:$Q$3183,MATCH(SMALL($V$4:$V$3183,3100),$V$4:$V$3183,0)),"")</f>
        <v/>
      </c>
      <c r="E3103" s="29">
        <f>IFERROR(INDEX($R$4:$R$3183,MATCH(SMALL($V$4:$V$3183,3100),$V$4:$V$3183,0)),"")</f>
        <v/>
      </c>
      <c r="F3103">
        <f>IFERROR(INDEX($S$4:$S$3183,MATCH(SMALL($V$4:$V$3183,3100),$V$4:$V$3183,0)),"")</f>
        <v/>
      </c>
      <c r="I3103" s="29">
        <f>IF($B3103="","",IFERROR(INDEX($U$4:$U$3183,MATCH(SMALL($V$4:$V$3183,3100),$V$4:$V$3183,0)),""))</f>
        <v/>
      </c>
      <c r="J3103">
        <f>IF($B3103="","",IF($D3103&gt;$F$2,"À venir",IF($E3103&lt;$D$2,"Passé","Dans la période")))</f>
        <v/>
      </c>
      <c r="K3103">
        <f>IF(OR($B3103="",NOT(ISNUMBER($D3103))),"",IF(AND($E3103&lt;$D$2,$G3103&lt;&gt;"X",$F3103&lt;&gt;"Réalisé",$F3103&lt;&gt;"Clôturé"),"RETARD",""))</f>
        <v/>
      </c>
      <c r="L3103">
        <f>IF(OR($B3103="",NOT(ISNUMBER($D3103))),"",IF(AND($D3103&gt;=$D$2,$D3103&lt;=$H$2,$G3103&lt;&gt;"X",$F3103&lt;&gt;"Réalisé",$F3103&lt;&gt;"Clôturé"),"≤ 7 j",""))</f>
        <v/>
      </c>
      <c r="M3103" s="29">
        <f>IF($B3103="","",IFERROR(INDEX($T$4:$T$3183,MATCH(SMALL($V$4:$V$3183,3100),$V$4:$V$3183,0)),""))</f>
        <v/>
      </c>
      <c r="O3103">
        <f>IF(INDEX(Suivi!$B:$B,3162)="","",INDEX(Suivi!$B:$B,3162))</f>
        <v/>
      </c>
      <c r="P3103">
        <f>IF($O3103="","",IF(INDEX(Suivi!$D:$D,3162)="",INDEX(Suivi!$C:$C,3162),INDEX(Suivi!$D:$D,3162)))</f>
        <v/>
      </c>
      <c r="Q3103">
        <f>IF($O3103="","",INDEX(Suivi!$E:$E,3162))</f>
        <v/>
      </c>
      <c r="R3103">
        <f>IF($O3103="","",INDEX(Suivi!$F:$F,3162))</f>
        <v/>
      </c>
      <c r="S3103">
        <f>IF($O3103="","",INDEX(Suivi!$G:$G,3162))</f>
        <v/>
      </c>
      <c r="T3103">
        <f>IF($O3103="","",IF(INDEX(Dossiers!$F$4:$F$63,59)="","",INDEX(Dossiers!$F$4:$F$63,59)))</f>
        <v/>
      </c>
      <c r="U3103">
        <f>IF($O3103="","",IF(INDEX(Dossiers!$G$4:$G$63,59)="","",INDEX(Dossiers!$G$4:$G$63,59)))</f>
        <v/>
      </c>
      <c r="V3103">
        <f>IF(OR($O3103="",NOT(ISNUMBER($Q3103))),"",$Q3103*1000000+3103)</f>
        <v/>
      </c>
      <c r="W3103" s="29">
        <f>IF($B3103="","",IFERROR(INDEX($U$4:$U$3183,MATCH(SMALL($V$4:$V$3183,3100),$V$4:$V$3183,0)),""))</f>
        <v/>
      </c>
    </row>
    <row r="3104">
      <c r="A3104">
        <f>IFERROR(INDEX($N$4:$N$3183,MATCH(SMALL($V$4:$V$3183,3101),$V$4:$V$3183,0)),"")</f>
        <v/>
      </c>
      <c r="B3104">
        <f>IFERROR(INDEX($O$4:$O$3183,MATCH(SMALL($V$4:$V$3183,3101),$V$4:$V$3183,0)),"")</f>
        <v/>
      </c>
      <c r="C3104">
        <f>IFERROR(INDEX($P$4:$P$3183,MATCH(SMALL($V$4:$V$3183,3101),$V$4:$V$3183,0)),"")</f>
        <v/>
      </c>
      <c r="D3104" s="29">
        <f>IFERROR(INDEX($Q$4:$Q$3183,MATCH(SMALL($V$4:$V$3183,3101),$V$4:$V$3183,0)),"")</f>
        <v/>
      </c>
      <c r="E3104" s="29">
        <f>IFERROR(INDEX($R$4:$R$3183,MATCH(SMALL($V$4:$V$3183,3101),$V$4:$V$3183,0)),"")</f>
        <v/>
      </c>
      <c r="F3104">
        <f>IFERROR(INDEX($S$4:$S$3183,MATCH(SMALL($V$4:$V$3183,3101),$V$4:$V$3183,0)),"")</f>
        <v/>
      </c>
      <c r="I3104" s="29">
        <f>IF($B3104="","",IFERROR(INDEX($U$4:$U$3183,MATCH(SMALL($V$4:$V$3183,3101),$V$4:$V$3183,0)),""))</f>
        <v/>
      </c>
      <c r="J3104">
        <f>IF($B3104="","",IF($D3104&gt;$F$2,"À venir",IF($E3104&lt;$D$2,"Passé","Dans la période")))</f>
        <v/>
      </c>
      <c r="K3104">
        <f>IF(OR($B3104="",NOT(ISNUMBER($D3104))),"",IF(AND($E3104&lt;$D$2,$G3104&lt;&gt;"X",$F3104&lt;&gt;"Réalisé",$F3104&lt;&gt;"Clôturé"),"RETARD",""))</f>
        <v/>
      </c>
      <c r="L3104">
        <f>IF(OR($B3104="",NOT(ISNUMBER($D3104))),"",IF(AND($D3104&gt;=$D$2,$D3104&lt;=$H$2,$G3104&lt;&gt;"X",$F3104&lt;&gt;"Réalisé",$F3104&lt;&gt;"Clôturé"),"≤ 7 j",""))</f>
        <v/>
      </c>
      <c r="M3104" s="29">
        <f>IF($B3104="","",IFERROR(INDEX($T$4:$T$3183,MATCH(SMALL($V$4:$V$3183,3101),$V$4:$V$3183,0)),""))</f>
        <v/>
      </c>
      <c r="O3104">
        <f>IF(INDEX(Suivi!$B:$B,3163)="","",INDEX(Suivi!$B:$B,3163))</f>
        <v/>
      </c>
      <c r="P3104">
        <f>IF($O3104="","",IF(INDEX(Suivi!$D:$D,3163)="",INDEX(Suivi!$C:$C,3163),INDEX(Suivi!$D:$D,3163)))</f>
        <v/>
      </c>
      <c r="Q3104">
        <f>IF($O3104="","",INDEX(Suivi!$E:$E,3163))</f>
        <v/>
      </c>
      <c r="R3104">
        <f>IF($O3104="","",INDEX(Suivi!$F:$F,3163))</f>
        <v/>
      </c>
      <c r="S3104">
        <f>IF($O3104="","",INDEX(Suivi!$G:$G,3163))</f>
        <v/>
      </c>
      <c r="T3104">
        <f>IF($O3104="","",IF(INDEX(Dossiers!$F$4:$F$63,59)="","",INDEX(Dossiers!$F$4:$F$63,59)))</f>
        <v/>
      </c>
      <c r="U3104">
        <f>IF($O3104="","",IF(INDEX(Dossiers!$G$4:$G$63,59)="","",INDEX(Dossiers!$G$4:$G$63,59)))</f>
        <v/>
      </c>
      <c r="V3104">
        <f>IF(OR($O3104="",NOT(ISNUMBER($Q3104))),"",$Q3104*1000000+3104)</f>
        <v/>
      </c>
      <c r="W3104" s="29">
        <f>IF($B3104="","",IFERROR(INDEX($U$4:$U$3183,MATCH(SMALL($V$4:$V$3183,3101),$V$4:$V$3183,0)),""))</f>
        <v/>
      </c>
    </row>
    <row r="3105">
      <c r="A3105">
        <f>IFERROR(INDEX($N$4:$N$3183,MATCH(SMALL($V$4:$V$3183,3102),$V$4:$V$3183,0)),"")</f>
        <v/>
      </c>
      <c r="B3105">
        <f>IFERROR(INDEX($O$4:$O$3183,MATCH(SMALL($V$4:$V$3183,3102),$V$4:$V$3183,0)),"")</f>
        <v/>
      </c>
      <c r="C3105">
        <f>IFERROR(INDEX($P$4:$P$3183,MATCH(SMALL($V$4:$V$3183,3102),$V$4:$V$3183,0)),"")</f>
        <v/>
      </c>
      <c r="D3105" s="29">
        <f>IFERROR(INDEX($Q$4:$Q$3183,MATCH(SMALL($V$4:$V$3183,3102),$V$4:$V$3183,0)),"")</f>
        <v/>
      </c>
      <c r="E3105" s="29">
        <f>IFERROR(INDEX($R$4:$R$3183,MATCH(SMALL($V$4:$V$3183,3102),$V$4:$V$3183,0)),"")</f>
        <v/>
      </c>
      <c r="F3105">
        <f>IFERROR(INDEX($S$4:$S$3183,MATCH(SMALL($V$4:$V$3183,3102),$V$4:$V$3183,0)),"")</f>
        <v/>
      </c>
      <c r="I3105" s="29">
        <f>IF($B3105="","",IFERROR(INDEX($U$4:$U$3183,MATCH(SMALL($V$4:$V$3183,3102),$V$4:$V$3183,0)),""))</f>
        <v/>
      </c>
      <c r="J3105">
        <f>IF($B3105="","",IF($D3105&gt;$F$2,"À venir",IF($E3105&lt;$D$2,"Passé","Dans la période")))</f>
        <v/>
      </c>
      <c r="K3105">
        <f>IF(OR($B3105="",NOT(ISNUMBER($D3105))),"",IF(AND($E3105&lt;$D$2,$G3105&lt;&gt;"X",$F3105&lt;&gt;"Réalisé",$F3105&lt;&gt;"Clôturé"),"RETARD",""))</f>
        <v/>
      </c>
      <c r="L3105">
        <f>IF(OR($B3105="",NOT(ISNUMBER($D3105))),"",IF(AND($D3105&gt;=$D$2,$D3105&lt;=$H$2,$G3105&lt;&gt;"X",$F3105&lt;&gt;"Réalisé",$F3105&lt;&gt;"Clôturé"),"≤ 7 j",""))</f>
        <v/>
      </c>
      <c r="M3105" s="29">
        <f>IF($B3105="","",IFERROR(INDEX($T$4:$T$3183,MATCH(SMALL($V$4:$V$3183,3102),$V$4:$V$3183,0)),""))</f>
        <v/>
      </c>
      <c r="O3105">
        <f>IF(INDEX(Suivi!$B:$B,3164)="","",INDEX(Suivi!$B:$B,3164))</f>
        <v/>
      </c>
      <c r="P3105">
        <f>IF($O3105="","",IF(INDEX(Suivi!$D:$D,3164)="",INDEX(Suivi!$C:$C,3164),INDEX(Suivi!$D:$D,3164)))</f>
        <v/>
      </c>
      <c r="Q3105">
        <f>IF($O3105="","",INDEX(Suivi!$E:$E,3164))</f>
        <v/>
      </c>
      <c r="R3105">
        <f>IF($O3105="","",INDEX(Suivi!$F:$F,3164))</f>
        <v/>
      </c>
      <c r="S3105">
        <f>IF($O3105="","",INDEX(Suivi!$G:$G,3164))</f>
        <v/>
      </c>
      <c r="T3105">
        <f>IF($O3105="","",IF(INDEX(Dossiers!$F$4:$F$63,59)="","",INDEX(Dossiers!$F$4:$F$63,59)))</f>
        <v/>
      </c>
      <c r="U3105">
        <f>IF($O3105="","",IF(INDEX(Dossiers!$G$4:$G$63,59)="","",INDEX(Dossiers!$G$4:$G$63,59)))</f>
        <v/>
      </c>
      <c r="V3105">
        <f>IF(OR($O3105="",NOT(ISNUMBER($Q3105))),"",$Q3105*1000000+3105)</f>
        <v/>
      </c>
      <c r="W3105" s="29">
        <f>IF($B3105="","",IFERROR(INDEX($U$4:$U$3183,MATCH(SMALL($V$4:$V$3183,3102),$V$4:$V$3183,0)),""))</f>
        <v/>
      </c>
    </row>
    <row r="3106">
      <c r="A3106">
        <f>IFERROR(INDEX($N$4:$N$3183,MATCH(SMALL($V$4:$V$3183,3103),$V$4:$V$3183,0)),"")</f>
        <v/>
      </c>
      <c r="B3106">
        <f>IFERROR(INDEX($O$4:$O$3183,MATCH(SMALL($V$4:$V$3183,3103),$V$4:$V$3183,0)),"")</f>
        <v/>
      </c>
      <c r="C3106">
        <f>IFERROR(INDEX($P$4:$P$3183,MATCH(SMALL($V$4:$V$3183,3103),$V$4:$V$3183,0)),"")</f>
        <v/>
      </c>
      <c r="D3106" s="29">
        <f>IFERROR(INDEX($Q$4:$Q$3183,MATCH(SMALL($V$4:$V$3183,3103),$V$4:$V$3183,0)),"")</f>
        <v/>
      </c>
      <c r="E3106" s="29">
        <f>IFERROR(INDEX($R$4:$R$3183,MATCH(SMALL($V$4:$V$3183,3103),$V$4:$V$3183,0)),"")</f>
        <v/>
      </c>
      <c r="F3106">
        <f>IFERROR(INDEX($S$4:$S$3183,MATCH(SMALL($V$4:$V$3183,3103),$V$4:$V$3183,0)),"")</f>
        <v/>
      </c>
      <c r="I3106" s="29">
        <f>IF($B3106="","",IFERROR(INDEX($U$4:$U$3183,MATCH(SMALL($V$4:$V$3183,3103),$V$4:$V$3183,0)),""))</f>
        <v/>
      </c>
      <c r="J3106">
        <f>IF($B3106="","",IF($D3106&gt;$F$2,"À venir",IF($E3106&lt;$D$2,"Passé","Dans la période")))</f>
        <v/>
      </c>
      <c r="K3106">
        <f>IF(OR($B3106="",NOT(ISNUMBER($D3106))),"",IF(AND($E3106&lt;$D$2,$G3106&lt;&gt;"X",$F3106&lt;&gt;"Réalisé",$F3106&lt;&gt;"Clôturé"),"RETARD",""))</f>
        <v/>
      </c>
      <c r="L3106">
        <f>IF(OR($B3106="",NOT(ISNUMBER($D3106))),"",IF(AND($D3106&gt;=$D$2,$D3106&lt;=$H$2,$G3106&lt;&gt;"X",$F3106&lt;&gt;"Réalisé",$F3106&lt;&gt;"Clôturé"),"≤ 7 j",""))</f>
        <v/>
      </c>
      <c r="M3106" s="29">
        <f>IF($B3106="","",IFERROR(INDEX($T$4:$T$3183,MATCH(SMALL($V$4:$V$3183,3103),$V$4:$V$3183,0)),""))</f>
        <v/>
      </c>
      <c r="O3106">
        <f>IF(INDEX(Suivi!$B:$B,3165)="","",INDEX(Suivi!$B:$B,3165))</f>
        <v/>
      </c>
      <c r="P3106">
        <f>IF($O3106="","",IF(INDEX(Suivi!$D:$D,3165)="",INDEX(Suivi!$C:$C,3165),INDEX(Suivi!$D:$D,3165)))</f>
        <v/>
      </c>
      <c r="Q3106">
        <f>IF($O3106="","",INDEX(Suivi!$E:$E,3165))</f>
        <v/>
      </c>
      <c r="R3106">
        <f>IF($O3106="","",INDEX(Suivi!$F:$F,3165))</f>
        <v/>
      </c>
      <c r="S3106">
        <f>IF($O3106="","",INDEX(Suivi!$G:$G,3165))</f>
        <v/>
      </c>
      <c r="T3106">
        <f>IF($O3106="","",IF(INDEX(Dossiers!$F$4:$F$63,59)="","",INDEX(Dossiers!$F$4:$F$63,59)))</f>
        <v/>
      </c>
      <c r="U3106">
        <f>IF($O3106="","",IF(INDEX(Dossiers!$G$4:$G$63,59)="","",INDEX(Dossiers!$G$4:$G$63,59)))</f>
        <v/>
      </c>
      <c r="V3106">
        <f>IF(OR($O3106="",NOT(ISNUMBER($Q3106))),"",$Q3106*1000000+3106)</f>
        <v/>
      </c>
      <c r="W3106" s="29">
        <f>IF($B3106="","",IFERROR(INDEX($U$4:$U$3183,MATCH(SMALL($V$4:$V$3183,3103),$V$4:$V$3183,0)),""))</f>
        <v/>
      </c>
    </row>
    <row r="3107">
      <c r="A3107">
        <f>IFERROR(INDEX($N$4:$N$3183,MATCH(SMALL($V$4:$V$3183,3104),$V$4:$V$3183,0)),"")</f>
        <v/>
      </c>
      <c r="B3107">
        <f>IFERROR(INDEX($O$4:$O$3183,MATCH(SMALL($V$4:$V$3183,3104),$V$4:$V$3183,0)),"")</f>
        <v/>
      </c>
      <c r="C3107">
        <f>IFERROR(INDEX($P$4:$P$3183,MATCH(SMALL($V$4:$V$3183,3104),$V$4:$V$3183,0)),"")</f>
        <v/>
      </c>
      <c r="D3107" s="29">
        <f>IFERROR(INDEX($Q$4:$Q$3183,MATCH(SMALL($V$4:$V$3183,3104),$V$4:$V$3183,0)),"")</f>
        <v/>
      </c>
      <c r="E3107" s="29">
        <f>IFERROR(INDEX($R$4:$R$3183,MATCH(SMALL($V$4:$V$3183,3104),$V$4:$V$3183,0)),"")</f>
        <v/>
      </c>
      <c r="F3107">
        <f>IFERROR(INDEX($S$4:$S$3183,MATCH(SMALL($V$4:$V$3183,3104),$V$4:$V$3183,0)),"")</f>
        <v/>
      </c>
      <c r="I3107" s="29">
        <f>IF($B3107="","",IFERROR(INDEX($U$4:$U$3183,MATCH(SMALL($V$4:$V$3183,3104),$V$4:$V$3183,0)),""))</f>
        <v/>
      </c>
      <c r="J3107">
        <f>IF($B3107="","",IF($D3107&gt;$F$2,"À venir",IF($E3107&lt;$D$2,"Passé","Dans la période")))</f>
        <v/>
      </c>
      <c r="K3107">
        <f>IF(OR($B3107="",NOT(ISNUMBER($D3107))),"",IF(AND($E3107&lt;$D$2,$G3107&lt;&gt;"X",$F3107&lt;&gt;"Réalisé",$F3107&lt;&gt;"Clôturé"),"RETARD",""))</f>
        <v/>
      </c>
      <c r="L3107">
        <f>IF(OR($B3107="",NOT(ISNUMBER($D3107))),"",IF(AND($D3107&gt;=$D$2,$D3107&lt;=$H$2,$G3107&lt;&gt;"X",$F3107&lt;&gt;"Réalisé",$F3107&lt;&gt;"Clôturé"),"≤ 7 j",""))</f>
        <v/>
      </c>
      <c r="M3107" s="29">
        <f>IF($B3107="","",IFERROR(INDEX($T$4:$T$3183,MATCH(SMALL($V$4:$V$3183,3104),$V$4:$V$3183,0)),""))</f>
        <v/>
      </c>
      <c r="O3107">
        <f>IF(INDEX(Suivi!$B:$B,3166)="","",INDEX(Suivi!$B:$B,3166))</f>
        <v/>
      </c>
      <c r="P3107">
        <f>IF($O3107="","",IF(INDEX(Suivi!$D:$D,3166)="",INDEX(Suivi!$C:$C,3166),INDEX(Suivi!$D:$D,3166)))</f>
        <v/>
      </c>
      <c r="Q3107">
        <f>IF($O3107="","",INDEX(Suivi!$E:$E,3166))</f>
        <v/>
      </c>
      <c r="R3107">
        <f>IF($O3107="","",INDEX(Suivi!$F:$F,3166))</f>
        <v/>
      </c>
      <c r="S3107">
        <f>IF($O3107="","",INDEX(Suivi!$G:$G,3166))</f>
        <v/>
      </c>
      <c r="T3107">
        <f>IF($O3107="","",IF(INDEX(Dossiers!$F$4:$F$63,59)="","",INDEX(Dossiers!$F$4:$F$63,59)))</f>
        <v/>
      </c>
      <c r="U3107">
        <f>IF($O3107="","",IF(INDEX(Dossiers!$G$4:$G$63,59)="","",INDEX(Dossiers!$G$4:$G$63,59)))</f>
        <v/>
      </c>
      <c r="V3107">
        <f>IF(OR($O3107="",NOT(ISNUMBER($Q3107))),"",$Q3107*1000000+3107)</f>
        <v/>
      </c>
      <c r="W3107" s="29">
        <f>IF($B3107="","",IFERROR(INDEX($U$4:$U$3183,MATCH(SMALL($V$4:$V$3183,3104),$V$4:$V$3183,0)),""))</f>
        <v/>
      </c>
    </row>
    <row r="3108">
      <c r="A3108">
        <f>IFERROR(INDEX($N$4:$N$3183,MATCH(SMALL($V$4:$V$3183,3105),$V$4:$V$3183,0)),"")</f>
        <v/>
      </c>
      <c r="B3108">
        <f>IFERROR(INDEX($O$4:$O$3183,MATCH(SMALL($V$4:$V$3183,3105),$V$4:$V$3183,0)),"")</f>
        <v/>
      </c>
      <c r="C3108">
        <f>IFERROR(INDEX($P$4:$P$3183,MATCH(SMALL($V$4:$V$3183,3105),$V$4:$V$3183,0)),"")</f>
        <v/>
      </c>
      <c r="D3108" s="29">
        <f>IFERROR(INDEX($Q$4:$Q$3183,MATCH(SMALL($V$4:$V$3183,3105),$V$4:$V$3183,0)),"")</f>
        <v/>
      </c>
      <c r="E3108" s="29">
        <f>IFERROR(INDEX($R$4:$R$3183,MATCH(SMALL($V$4:$V$3183,3105),$V$4:$V$3183,0)),"")</f>
        <v/>
      </c>
      <c r="F3108">
        <f>IFERROR(INDEX($S$4:$S$3183,MATCH(SMALL($V$4:$V$3183,3105),$V$4:$V$3183,0)),"")</f>
        <v/>
      </c>
      <c r="I3108" s="29">
        <f>IF($B3108="","",IFERROR(INDEX($U$4:$U$3183,MATCH(SMALL($V$4:$V$3183,3105),$V$4:$V$3183,0)),""))</f>
        <v/>
      </c>
      <c r="J3108">
        <f>IF($B3108="","",IF($D3108&gt;$F$2,"À venir",IF($E3108&lt;$D$2,"Passé","Dans la période")))</f>
        <v/>
      </c>
      <c r="K3108">
        <f>IF(OR($B3108="",NOT(ISNUMBER($D3108))),"",IF(AND($E3108&lt;$D$2,$G3108&lt;&gt;"X",$F3108&lt;&gt;"Réalisé",$F3108&lt;&gt;"Clôturé"),"RETARD",""))</f>
        <v/>
      </c>
      <c r="L3108">
        <f>IF(OR($B3108="",NOT(ISNUMBER($D3108))),"",IF(AND($D3108&gt;=$D$2,$D3108&lt;=$H$2,$G3108&lt;&gt;"X",$F3108&lt;&gt;"Réalisé",$F3108&lt;&gt;"Clôturé"),"≤ 7 j",""))</f>
        <v/>
      </c>
      <c r="M3108" s="29">
        <f>IF($B3108="","",IFERROR(INDEX($T$4:$T$3183,MATCH(SMALL($V$4:$V$3183,3105),$V$4:$V$3183,0)),""))</f>
        <v/>
      </c>
      <c r="O3108">
        <f>IF(INDEX(Suivi!$B:$B,3167)="","",INDEX(Suivi!$B:$B,3167))</f>
        <v/>
      </c>
      <c r="P3108">
        <f>IF($O3108="","",IF(INDEX(Suivi!$D:$D,3167)="",INDEX(Suivi!$C:$C,3167),INDEX(Suivi!$D:$D,3167)))</f>
        <v/>
      </c>
      <c r="Q3108">
        <f>IF($O3108="","",INDEX(Suivi!$E:$E,3167))</f>
        <v/>
      </c>
      <c r="R3108">
        <f>IF($O3108="","",INDEX(Suivi!$F:$F,3167))</f>
        <v/>
      </c>
      <c r="S3108">
        <f>IF($O3108="","",INDEX(Suivi!$G:$G,3167))</f>
        <v/>
      </c>
      <c r="T3108">
        <f>IF($O3108="","",IF(INDEX(Dossiers!$F$4:$F$63,59)="","",INDEX(Dossiers!$F$4:$F$63,59)))</f>
        <v/>
      </c>
      <c r="U3108">
        <f>IF($O3108="","",IF(INDEX(Dossiers!$G$4:$G$63,59)="","",INDEX(Dossiers!$G$4:$G$63,59)))</f>
        <v/>
      </c>
      <c r="V3108">
        <f>IF(OR($O3108="",NOT(ISNUMBER($Q3108))),"",$Q3108*1000000+3108)</f>
        <v/>
      </c>
      <c r="W3108" s="29">
        <f>IF($B3108="","",IFERROR(INDEX($U$4:$U$3183,MATCH(SMALL($V$4:$V$3183,3105),$V$4:$V$3183,0)),""))</f>
        <v/>
      </c>
    </row>
    <row r="3109">
      <c r="A3109">
        <f>IFERROR(INDEX($N$4:$N$3183,MATCH(SMALL($V$4:$V$3183,3106),$V$4:$V$3183,0)),"")</f>
        <v/>
      </c>
      <c r="B3109">
        <f>IFERROR(INDEX($O$4:$O$3183,MATCH(SMALL($V$4:$V$3183,3106),$V$4:$V$3183,0)),"")</f>
        <v/>
      </c>
      <c r="C3109">
        <f>IFERROR(INDEX($P$4:$P$3183,MATCH(SMALL($V$4:$V$3183,3106),$V$4:$V$3183,0)),"")</f>
        <v/>
      </c>
      <c r="D3109" s="29">
        <f>IFERROR(INDEX($Q$4:$Q$3183,MATCH(SMALL($V$4:$V$3183,3106),$V$4:$V$3183,0)),"")</f>
        <v/>
      </c>
      <c r="E3109" s="29">
        <f>IFERROR(INDEX($R$4:$R$3183,MATCH(SMALL($V$4:$V$3183,3106),$V$4:$V$3183,0)),"")</f>
        <v/>
      </c>
      <c r="F3109">
        <f>IFERROR(INDEX($S$4:$S$3183,MATCH(SMALL($V$4:$V$3183,3106),$V$4:$V$3183,0)),"")</f>
        <v/>
      </c>
      <c r="I3109" s="29">
        <f>IF($B3109="","",IFERROR(INDEX($U$4:$U$3183,MATCH(SMALL($V$4:$V$3183,3106),$V$4:$V$3183,0)),""))</f>
        <v/>
      </c>
      <c r="J3109">
        <f>IF($B3109="","",IF($D3109&gt;$F$2,"À venir",IF($E3109&lt;$D$2,"Passé","Dans la période")))</f>
        <v/>
      </c>
      <c r="K3109">
        <f>IF(OR($B3109="",NOT(ISNUMBER($D3109))),"",IF(AND($E3109&lt;$D$2,$G3109&lt;&gt;"X",$F3109&lt;&gt;"Réalisé",$F3109&lt;&gt;"Clôturé"),"RETARD",""))</f>
        <v/>
      </c>
      <c r="L3109">
        <f>IF(OR($B3109="",NOT(ISNUMBER($D3109))),"",IF(AND($D3109&gt;=$D$2,$D3109&lt;=$H$2,$G3109&lt;&gt;"X",$F3109&lt;&gt;"Réalisé",$F3109&lt;&gt;"Clôturé"),"≤ 7 j",""))</f>
        <v/>
      </c>
      <c r="M3109" s="29">
        <f>IF($B3109="","",IFERROR(INDEX($T$4:$T$3183,MATCH(SMALL($V$4:$V$3183,3106),$V$4:$V$3183,0)),""))</f>
        <v/>
      </c>
      <c r="O3109">
        <f>IF(INDEX(Suivi!$B:$B,3168)="","",INDEX(Suivi!$B:$B,3168))</f>
        <v/>
      </c>
      <c r="P3109">
        <f>IF($O3109="","",IF(INDEX(Suivi!$D:$D,3168)="",INDEX(Suivi!$C:$C,3168),INDEX(Suivi!$D:$D,3168)))</f>
        <v/>
      </c>
      <c r="Q3109">
        <f>IF($O3109="","",INDEX(Suivi!$E:$E,3168))</f>
        <v/>
      </c>
      <c r="R3109">
        <f>IF($O3109="","",INDEX(Suivi!$F:$F,3168))</f>
        <v/>
      </c>
      <c r="S3109">
        <f>IF($O3109="","",INDEX(Suivi!$G:$G,3168))</f>
        <v/>
      </c>
      <c r="T3109">
        <f>IF($O3109="","",IF(INDEX(Dossiers!$F$4:$F$63,59)="","",INDEX(Dossiers!$F$4:$F$63,59)))</f>
        <v/>
      </c>
      <c r="U3109">
        <f>IF($O3109="","",IF(INDEX(Dossiers!$G$4:$G$63,59)="","",INDEX(Dossiers!$G$4:$G$63,59)))</f>
        <v/>
      </c>
      <c r="V3109">
        <f>IF(OR($O3109="",NOT(ISNUMBER($Q3109))),"",$Q3109*1000000+3109)</f>
        <v/>
      </c>
      <c r="W3109" s="29">
        <f>IF($B3109="","",IFERROR(INDEX($U$4:$U$3183,MATCH(SMALL($V$4:$V$3183,3106),$V$4:$V$3183,0)),""))</f>
        <v/>
      </c>
    </row>
    <row r="3110">
      <c r="A3110">
        <f>IFERROR(INDEX($N$4:$N$3183,MATCH(SMALL($V$4:$V$3183,3107),$V$4:$V$3183,0)),"")</f>
        <v/>
      </c>
      <c r="B3110">
        <f>IFERROR(INDEX($O$4:$O$3183,MATCH(SMALL($V$4:$V$3183,3107),$V$4:$V$3183,0)),"")</f>
        <v/>
      </c>
      <c r="C3110">
        <f>IFERROR(INDEX($P$4:$P$3183,MATCH(SMALL($V$4:$V$3183,3107),$V$4:$V$3183,0)),"")</f>
        <v/>
      </c>
      <c r="D3110" s="29">
        <f>IFERROR(INDEX($Q$4:$Q$3183,MATCH(SMALL($V$4:$V$3183,3107),$V$4:$V$3183,0)),"")</f>
        <v/>
      </c>
      <c r="E3110" s="29">
        <f>IFERROR(INDEX($R$4:$R$3183,MATCH(SMALL($V$4:$V$3183,3107),$V$4:$V$3183,0)),"")</f>
        <v/>
      </c>
      <c r="F3110">
        <f>IFERROR(INDEX($S$4:$S$3183,MATCH(SMALL($V$4:$V$3183,3107),$V$4:$V$3183,0)),"")</f>
        <v/>
      </c>
      <c r="I3110" s="29">
        <f>IF($B3110="","",IFERROR(INDEX($U$4:$U$3183,MATCH(SMALL($V$4:$V$3183,3107),$V$4:$V$3183,0)),""))</f>
        <v/>
      </c>
      <c r="J3110">
        <f>IF($B3110="","",IF($D3110&gt;$F$2,"À venir",IF($E3110&lt;$D$2,"Passé","Dans la période")))</f>
        <v/>
      </c>
      <c r="K3110">
        <f>IF(OR($B3110="",NOT(ISNUMBER($D3110))),"",IF(AND($E3110&lt;$D$2,$G3110&lt;&gt;"X",$F3110&lt;&gt;"Réalisé",$F3110&lt;&gt;"Clôturé"),"RETARD",""))</f>
        <v/>
      </c>
      <c r="L3110">
        <f>IF(OR($B3110="",NOT(ISNUMBER($D3110))),"",IF(AND($D3110&gt;=$D$2,$D3110&lt;=$H$2,$G3110&lt;&gt;"X",$F3110&lt;&gt;"Réalisé",$F3110&lt;&gt;"Clôturé"),"≤ 7 j",""))</f>
        <v/>
      </c>
      <c r="M3110" s="29">
        <f>IF($B3110="","",IFERROR(INDEX($T$4:$T$3183,MATCH(SMALL($V$4:$V$3183,3107),$V$4:$V$3183,0)),""))</f>
        <v/>
      </c>
      <c r="O3110">
        <f>IF(INDEX(Suivi!$B:$B,3169)="","",INDEX(Suivi!$B:$B,3169))</f>
        <v/>
      </c>
      <c r="P3110">
        <f>IF($O3110="","",IF(INDEX(Suivi!$D:$D,3169)="",INDEX(Suivi!$C:$C,3169),INDEX(Suivi!$D:$D,3169)))</f>
        <v/>
      </c>
      <c r="Q3110">
        <f>IF($O3110="","",INDEX(Suivi!$E:$E,3169))</f>
        <v/>
      </c>
      <c r="R3110">
        <f>IF($O3110="","",INDEX(Suivi!$F:$F,3169))</f>
        <v/>
      </c>
      <c r="S3110">
        <f>IF($O3110="","",INDEX(Suivi!$G:$G,3169))</f>
        <v/>
      </c>
      <c r="T3110">
        <f>IF($O3110="","",IF(INDEX(Dossiers!$F$4:$F$63,59)="","",INDEX(Dossiers!$F$4:$F$63,59)))</f>
        <v/>
      </c>
      <c r="U3110">
        <f>IF($O3110="","",IF(INDEX(Dossiers!$G$4:$G$63,59)="","",INDEX(Dossiers!$G$4:$G$63,59)))</f>
        <v/>
      </c>
      <c r="V3110">
        <f>IF(OR($O3110="",NOT(ISNUMBER($Q3110))),"",$Q3110*1000000+3110)</f>
        <v/>
      </c>
      <c r="W3110" s="29">
        <f>IF($B3110="","",IFERROR(INDEX($U$4:$U$3183,MATCH(SMALL($V$4:$V$3183,3107),$V$4:$V$3183,0)),""))</f>
        <v/>
      </c>
    </row>
    <row r="3111">
      <c r="A3111">
        <f>IFERROR(INDEX($N$4:$N$3183,MATCH(SMALL($V$4:$V$3183,3108),$V$4:$V$3183,0)),"")</f>
        <v/>
      </c>
      <c r="B3111">
        <f>IFERROR(INDEX($O$4:$O$3183,MATCH(SMALL($V$4:$V$3183,3108),$V$4:$V$3183,0)),"")</f>
        <v/>
      </c>
      <c r="C3111">
        <f>IFERROR(INDEX($P$4:$P$3183,MATCH(SMALL($V$4:$V$3183,3108),$V$4:$V$3183,0)),"")</f>
        <v/>
      </c>
      <c r="D3111" s="29">
        <f>IFERROR(INDEX($Q$4:$Q$3183,MATCH(SMALL($V$4:$V$3183,3108),$V$4:$V$3183,0)),"")</f>
        <v/>
      </c>
      <c r="E3111" s="29">
        <f>IFERROR(INDEX($R$4:$R$3183,MATCH(SMALL($V$4:$V$3183,3108),$V$4:$V$3183,0)),"")</f>
        <v/>
      </c>
      <c r="F3111">
        <f>IFERROR(INDEX($S$4:$S$3183,MATCH(SMALL($V$4:$V$3183,3108),$V$4:$V$3183,0)),"")</f>
        <v/>
      </c>
      <c r="I3111" s="29">
        <f>IF($B3111="","",IFERROR(INDEX($U$4:$U$3183,MATCH(SMALL($V$4:$V$3183,3108),$V$4:$V$3183,0)),""))</f>
        <v/>
      </c>
      <c r="J3111">
        <f>IF($B3111="","",IF($D3111&gt;$F$2,"À venir",IF($E3111&lt;$D$2,"Passé","Dans la période")))</f>
        <v/>
      </c>
      <c r="K3111">
        <f>IF(OR($B3111="",NOT(ISNUMBER($D3111))),"",IF(AND($E3111&lt;$D$2,$G3111&lt;&gt;"X",$F3111&lt;&gt;"Réalisé",$F3111&lt;&gt;"Clôturé"),"RETARD",""))</f>
        <v/>
      </c>
      <c r="L3111">
        <f>IF(OR($B3111="",NOT(ISNUMBER($D3111))),"",IF(AND($D3111&gt;=$D$2,$D3111&lt;=$H$2,$G3111&lt;&gt;"X",$F3111&lt;&gt;"Réalisé",$F3111&lt;&gt;"Clôturé"),"≤ 7 j",""))</f>
        <v/>
      </c>
      <c r="M3111" s="29">
        <f>IF($B3111="","",IFERROR(INDEX($T$4:$T$3183,MATCH(SMALL($V$4:$V$3183,3108),$V$4:$V$3183,0)),""))</f>
        <v/>
      </c>
      <c r="O3111">
        <f>IF(INDEX(Suivi!$B:$B,3170)="","",INDEX(Suivi!$B:$B,3170))</f>
        <v/>
      </c>
      <c r="P3111">
        <f>IF($O3111="","",IF(INDEX(Suivi!$D:$D,3170)="",INDEX(Suivi!$C:$C,3170),INDEX(Suivi!$D:$D,3170)))</f>
        <v/>
      </c>
      <c r="Q3111">
        <f>IF($O3111="","",INDEX(Suivi!$E:$E,3170))</f>
        <v/>
      </c>
      <c r="R3111">
        <f>IF($O3111="","",INDEX(Suivi!$F:$F,3170))</f>
        <v/>
      </c>
      <c r="S3111">
        <f>IF($O3111="","",INDEX(Suivi!$G:$G,3170))</f>
        <v/>
      </c>
      <c r="T3111">
        <f>IF($O3111="","",IF(INDEX(Dossiers!$F$4:$F$63,59)="","",INDEX(Dossiers!$F$4:$F$63,59)))</f>
        <v/>
      </c>
      <c r="U3111">
        <f>IF($O3111="","",IF(INDEX(Dossiers!$G$4:$G$63,59)="","",INDEX(Dossiers!$G$4:$G$63,59)))</f>
        <v/>
      </c>
      <c r="V3111">
        <f>IF(OR($O3111="",NOT(ISNUMBER($Q3111))),"",$Q3111*1000000+3111)</f>
        <v/>
      </c>
      <c r="W3111" s="29">
        <f>IF($B3111="","",IFERROR(INDEX($U$4:$U$3183,MATCH(SMALL($V$4:$V$3183,3108),$V$4:$V$3183,0)),""))</f>
        <v/>
      </c>
    </row>
    <row r="3112">
      <c r="A3112">
        <f>IFERROR(INDEX($N$4:$N$3183,MATCH(SMALL($V$4:$V$3183,3109),$V$4:$V$3183,0)),"")</f>
        <v/>
      </c>
      <c r="B3112">
        <f>IFERROR(INDEX($O$4:$O$3183,MATCH(SMALL($V$4:$V$3183,3109),$V$4:$V$3183,0)),"")</f>
        <v/>
      </c>
      <c r="C3112">
        <f>IFERROR(INDEX($P$4:$P$3183,MATCH(SMALL($V$4:$V$3183,3109),$V$4:$V$3183,0)),"")</f>
        <v/>
      </c>
      <c r="D3112" s="29">
        <f>IFERROR(INDEX($Q$4:$Q$3183,MATCH(SMALL($V$4:$V$3183,3109),$V$4:$V$3183,0)),"")</f>
        <v/>
      </c>
      <c r="E3112" s="29">
        <f>IFERROR(INDEX($R$4:$R$3183,MATCH(SMALL($V$4:$V$3183,3109),$V$4:$V$3183,0)),"")</f>
        <v/>
      </c>
      <c r="F3112">
        <f>IFERROR(INDEX($S$4:$S$3183,MATCH(SMALL($V$4:$V$3183,3109),$V$4:$V$3183,0)),"")</f>
        <v/>
      </c>
      <c r="I3112" s="29">
        <f>IF($B3112="","",IFERROR(INDEX($U$4:$U$3183,MATCH(SMALL($V$4:$V$3183,3109),$V$4:$V$3183,0)),""))</f>
        <v/>
      </c>
      <c r="J3112">
        <f>IF($B3112="","",IF($D3112&gt;$F$2,"À venir",IF($E3112&lt;$D$2,"Passé","Dans la période")))</f>
        <v/>
      </c>
      <c r="K3112">
        <f>IF(OR($B3112="",NOT(ISNUMBER($D3112))),"",IF(AND($E3112&lt;$D$2,$G3112&lt;&gt;"X",$F3112&lt;&gt;"Réalisé",$F3112&lt;&gt;"Clôturé"),"RETARD",""))</f>
        <v/>
      </c>
      <c r="L3112">
        <f>IF(OR($B3112="",NOT(ISNUMBER($D3112))),"",IF(AND($D3112&gt;=$D$2,$D3112&lt;=$H$2,$G3112&lt;&gt;"X",$F3112&lt;&gt;"Réalisé",$F3112&lt;&gt;"Clôturé"),"≤ 7 j",""))</f>
        <v/>
      </c>
      <c r="M3112" s="29">
        <f>IF($B3112="","",IFERROR(INDEX($T$4:$T$3183,MATCH(SMALL($V$4:$V$3183,3109),$V$4:$V$3183,0)),""))</f>
        <v/>
      </c>
      <c r="O3112">
        <f>IF(INDEX(Suivi!$B:$B,3171)="","",INDEX(Suivi!$B:$B,3171))</f>
        <v/>
      </c>
      <c r="P3112">
        <f>IF($O3112="","",IF(INDEX(Suivi!$D:$D,3171)="",INDEX(Suivi!$C:$C,3171),INDEX(Suivi!$D:$D,3171)))</f>
        <v/>
      </c>
      <c r="Q3112">
        <f>IF($O3112="","",INDEX(Suivi!$E:$E,3171))</f>
        <v/>
      </c>
      <c r="R3112">
        <f>IF($O3112="","",INDEX(Suivi!$F:$F,3171))</f>
        <v/>
      </c>
      <c r="S3112">
        <f>IF($O3112="","",INDEX(Suivi!$G:$G,3171))</f>
        <v/>
      </c>
      <c r="T3112">
        <f>IF($O3112="","",IF(INDEX(Dossiers!$F$4:$F$63,59)="","",INDEX(Dossiers!$F$4:$F$63,59)))</f>
        <v/>
      </c>
      <c r="U3112">
        <f>IF($O3112="","",IF(INDEX(Dossiers!$G$4:$G$63,59)="","",INDEX(Dossiers!$G$4:$G$63,59)))</f>
        <v/>
      </c>
      <c r="V3112">
        <f>IF(OR($O3112="",NOT(ISNUMBER($Q3112))),"",$Q3112*1000000+3112)</f>
        <v/>
      </c>
      <c r="W3112" s="29">
        <f>IF($B3112="","",IFERROR(INDEX($U$4:$U$3183,MATCH(SMALL($V$4:$V$3183,3109),$V$4:$V$3183,0)),""))</f>
        <v/>
      </c>
    </row>
    <row r="3113">
      <c r="A3113">
        <f>IFERROR(INDEX($N$4:$N$3183,MATCH(SMALL($V$4:$V$3183,3110),$V$4:$V$3183,0)),"")</f>
        <v/>
      </c>
      <c r="B3113">
        <f>IFERROR(INDEX($O$4:$O$3183,MATCH(SMALL($V$4:$V$3183,3110),$V$4:$V$3183,0)),"")</f>
        <v/>
      </c>
      <c r="C3113">
        <f>IFERROR(INDEX($P$4:$P$3183,MATCH(SMALL($V$4:$V$3183,3110),$V$4:$V$3183,0)),"")</f>
        <v/>
      </c>
      <c r="D3113" s="29">
        <f>IFERROR(INDEX($Q$4:$Q$3183,MATCH(SMALL($V$4:$V$3183,3110),$V$4:$V$3183,0)),"")</f>
        <v/>
      </c>
      <c r="E3113" s="29">
        <f>IFERROR(INDEX($R$4:$R$3183,MATCH(SMALL($V$4:$V$3183,3110),$V$4:$V$3183,0)),"")</f>
        <v/>
      </c>
      <c r="F3113">
        <f>IFERROR(INDEX($S$4:$S$3183,MATCH(SMALL($V$4:$V$3183,3110),$V$4:$V$3183,0)),"")</f>
        <v/>
      </c>
      <c r="I3113" s="29">
        <f>IF($B3113="","",IFERROR(INDEX($U$4:$U$3183,MATCH(SMALL($V$4:$V$3183,3110),$V$4:$V$3183,0)),""))</f>
        <v/>
      </c>
      <c r="J3113">
        <f>IF($B3113="","",IF($D3113&gt;$F$2,"À venir",IF($E3113&lt;$D$2,"Passé","Dans la période")))</f>
        <v/>
      </c>
      <c r="K3113">
        <f>IF(OR($B3113="",NOT(ISNUMBER($D3113))),"",IF(AND($E3113&lt;$D$2,$G3113&lt;&gt;"X",$F3113&lt;&gt;"Réalisé",$F3113&lt;&gt;"Clôturé"),"RETARD",""))</f>
        <v/>
      </c>
      <c r="L3113">
        <f>IF(OR($B3113="",NOT(ISNUMBER($D3113))),"",IF(AND($D3113&gt;=$D$2,$D3113&lt;=$H$2,$G3113&lt;&gt;"X",$F3113&lt;&gt;"Réalisé",$F3113&lt;&gt;"Clôturé"),"≤ 7 j",""))</f>
        <v/>
      </c>
      <c r="M3113" s="29">
        <f>IF($B3113="","",IFERROR(INDEX($T$4:$T$3183,MATCH(SMALL($V$4:$V$3183,3110),$V$4:$V$3183,0)),""))</f>
        <v/>
      </c>
      <c r="O3113">
        <f>IF(INDEX(Suivi!$B:$B,3172)="","",INDEX(Suivi!$B:$B,3172))</f>
        <v/>
      </c>
      <c r="P3113">
        <f>IF($O3113="","",IF(INDEX(Suivi!$D:$D,3172)="",INDEX(Suivi!$C:$C,3172),INDEX(Suivi!$D:$D,3172)))</f>
        <v/>
      </c>
      <c r="Q3113">
        <f>IF($O3113="","",INDEX(Suivi!$E:$E,3172))</f>
        <v/>
      </c>
      <c r="R3113">
        <f>IF($O3113="","",INDEX(Suivi!$F:$F,3172))</f>
        <v/>
      </c>
      <c r="S3113">
        <f>IF($O3113="","",INDEX(Suivi!$G:$G,3172))</f>
        <v/>
      </c>
      <c r="T3113">
        <f>IF($O3113="","",IF(INDEX(Dossiers!$F$4:$F$63,59)="","",INDEX(Dossiers!$F$4:$F$63,59)))</f>
        <v/>
      </c>
      <c r="U3113">
        <f>IF($O3113="","",IF(INDEX(Dossiers!$G$4:$G$63,59)="","",INDEX(Dossiers!$G$4:$G$63,59)))</f>
        <v/>
      </c>
      <c r="V3113">
        <f>IF(OR($O3113="",NOT(ISNUMBER($Q3113))),"",$Q3113*1000000+3113)</f>
        <v/>
      </c>
      <c r="W3113" s="29">
        <f>IF($B3113="","",IFERROR(INDEX($U$4:$U$3183,MATCH(SMALL($V$4:$V$3183,3110),$V$4:$V$3183,0)),""))</f>
        <v/>
      </c>
    </row>
    <row r="3114">
      <c r="A3114">
        <f>IFERROR(INDEX($N$4:$N$3183,MATCH(SMALL($V$4:$V$3183,3111),$V$4:$V$3183,0)),"")</f>
        <v/>
      </c>
      <c r="B3114">
        <f>IFERROR(INDEX($O$4:$O$3183,MATCH(SMALL($V$4:$V$3183,3111),$V$4:$V$3183,0)),"")</f>
        <v/>
      </c>
      <c r="C3114">
        <f>IFERROR(INDEX($P$4:$P$3183,MATCH(SMALL($V$4:$V$3183,3111),$V$4:$V$3183,0)),"")</f>
        <v/>
      </c>
      <c r="D3114" s="29">
        <f>IFERROR(INDEX($Q$4:$Q$3183,MATCH(SMALL($V$4:$V$3183,3111),$V$4:$V$3183,0)),"")</f>
        <v/>
      </c>
      <c r="E3114" s="29">
        <f>IFERROR(INDEX($R$4:$R$3183,MATCH(SMALL($V$4:$V$3183,3111),$V$4:$V$3183,0)),"")</f>
        <v/>
      </c>
      <c r="F3114">
        <f>IFERROR(INDEX($S$4:$S$3183,MATCH(SMALL($V$4:$V$3183,3111),$V$4:$V$3183,0)),"")</f>
        <v/>
      </c>
      <c r="I3114" s="29">
        <f>IF($B3114="","",IFERROR(INDEX($U$4:$U$3183,MATCH(SMALL($V$4:$V$3183,3111),$V$4:$V$3183,0)),""))</f>
        <v/>
      </c>
      <c r="J3114">
        <f>IF($B3114="","",IF($D3114&gt;$F$2,"À venir",IF($E3114&lt;$D$2,"Passé","Dans la période")))</f>
        <v/>
      </c>
      <c r="K3114">
        <f>IF(OR($B3114="",NOT(ISNUMBER($D3114))),"",IF(AND($E3114&lt;$D$2,$G3114&lt;&gt;"X",$F3114&lt;&gt;"Réalisé",$F3114&lt;&gt;"Clôturé"),"RETARD",""))</f>
        <v/>
      </c>
      <c r="L3114">
        <f>IF(OR($B3114="",NOT(ISNUMBER($D3114))),"",IF(AND($D3114&gt;=$D$2,$D3114&lt;=$H$2,$G3114&lt;&gt;"X",$F3114&lt;&gt;"Réalisé",$F3114&lt;&gt;"Clôturé"),"≤ 7 j",""))</f>
        <v/>
      </c>
      <c r="M3114" s="29">
        <f>IF($B3114="","",IFERROR(INDEX($T$4:$T$3183,MATCH(SMALL($V$4:$V$3183,3111),$V$4:$V$3183,0)),""))</f>
        <v/>
      </c>
      <c r="O3114">
        <f>IF(INDEX(Suivi!$B:$B,3173)="","",INDEX(Suivi!$B:$B,3173))</f>
        <v/>
      </c>
      <c r="P3114">
        <f>IF($O3114="","",IF(INDEX(Suivi!$D:$D,3173)="",INDEX(Suivi!$C:$C,3173),INDEX(Suivi!$D:$D,3173)))</f>
        <v/>
      </c>
      <c r="Q3114">
        <f>IF($O3114="","",INDEX(Suivi!$E:$E,3173))</f>
        <v/>
      </c>
      <c r="R3114">
        <f>IF($O3114="","",INDEX(Suivi!$F:$F,3173))</f>
        <v/>
      </c>
      <c r="S3114">
        <f>IF($O3114="","",INDEX(Suivi!$G:$G,3173))</f>
        <v/>
      </c>
      <c r="T3114">
        <f>IF($O3114="","",IF(INDEX(Dossiers!$F$4:$F$63,59)="","",INDEX(Dossiers!$F$4:$F$63,59)))</f>
        <v/>
      </c>
      <c r="U3114">
        <f>IF($O3114="","",IF(INDEX(Dossiers!$G$4:$G$63,59)="","",INDEX(Dossiers!$G$4:$G$63,59)))</f>
        <v/>
      </c>
      <c r="V3114">
        <f>IF(OR($O3114="",NOT(ISNUMBER($Q3114))),"",$Q3114*1000000+3114)</f>
        <v/>
      </c>
      <c r="W3114" s="29">
        <f>IF($B3114="","",IFERROR(INDEX($U$4:$U$3183,MATCH(SMALL($V$4:$V$3183,3111),$V$4:$V$3183,0)),""))</f>
        <v/>
      </c>
    </row>
    <row r="3115">
      <c r="A3115">
        <f>IFERROR(INDEX($N$4:$N$3183,MATCH(SMALL($V$4:$V$3183,3112),$V$4:$V$3183,0)),"")</f>
        <v/>
      </c>
      <c r="B3115">
        <f>IFERROR(INDEX($O$4:$O$3183,MATCH(SMALL($V$4:$V$3183,3112),$V$4:$V$3183,0)),"")</f>
        <v/>
      </c>
      <c r="C3115">
        <f>IFERROR(INDEX($P$4:$P$3183,MATCH(SMALL($V$4:$V$3183,3112),$V$4:$V$3183,0)),"")</f>
        <v/>
      </c>
      <c r="D3115" s="29">
        <f>IFERROR(INDEX($Q$4:$Q$3183,MATCH(SMALL($V$4:$V$3183,3112),$V$4:$V$3183,0)),"")</f>
        <v/>
      </c>
      <c r="E3115" s="29">
        <f>IFERROR(INDEX($R$4:$R$3183,MATCH(SMALL($V$4:$V$3183,3112),$V$4:$V$3183,0)),"")</f>
        <v/>
      </c>
      <c r="F3115">
        <f>IFERROR(INDEX($S$4:$S$3183,MATCH(SMALL($V$4:$V$3183,3112),$V$4:$V$3183,0)),"")</f>
        <v/>
      </c>
      <c r="I3115" s="29">
        <f>IF($B3115="","",IFERROR(INDEX($U$4:$U$3183,MATCH(SMALL($V$4:$V$3183,3112),$V$4:$V$3183,0)),""))</f>
        <v/>
      </c>
      <c r="J3115">
        <f>IF($B3115="","",IF($D3115&gt;$F$2,"À venir",IF($E3115&lt;$D$2,"Passé","Dans la période")))</f>
        <v/>
      </c>
      <c r="K3115">
        <f>IF(OR($B3115="",NOT(ISNUMBER($D3115))),"",IF(AND($E3115&lt;$D$2,$G3115&lt;&gt;"X",$F3115&lt;&gt;"Réalisé",$F3115&lt;&gt;"Clôturé"),"RETARD",""))</f>
        <v/>
      </c>
      <c r="L3115">
        <f>IF(OR($B3115="",NOT(ISNUMBER($D3115))),"",IF(AND($D3115&gt;=$D$2,$D3115&lt;=$H$2,$G3115&lt;&gt;"X",$F3115&lt;&gt;"Réalisé",$F3115&lt;&gt;"Clôturé"),"≤ 7 j",""))</f>
        <v/>
      </c>
      <c r="M3115" s="29">
        <f>IF($B3115="","",IFERROR(INDEX($T$4:$T$3183,MATCH(SMALL($V$4:$V$3183,3112),$V$4:$V$3183,0)),""))</f>
        <v/>
      </c>
      <c r="O3115">
        <f>IF(INDEX(Suivi!$B:$B,3174)="","",INDEX(Suivi!$B:$B,3174))</f>
        <v/>
      </c>
      <c r="P3115">
        <f>IF($O3115="","",IF(INDEX(Suivi!$D:$D,3174)="",INDEX(Suivi!$C:$C,3174),INDEX(Suivi!$D:$D,3174)))</f>
        <v/>
      </c>
      <c r="Q3115">
        <f>IF($O3115="","",INDEX(Suivi!$E:$E,3174))</f>
        <v/>
      </c>
      <c r="R3115">
        <f>IF($O3115="","",INDEX(Suivi!$F:$F,3174))</f>
        <v/>
      </c>
      <c r="S3115">
        <f>IF($O3115="","",INDEX(Suivi!$G:$G,3174))</f>
        <v/>
      </c>
      <c r="T3115">
        <f>IF($O3115="","",IF(INDEX(Dossiers!$F$4:$F$63,59)="","",INDEX(Dossiers!$F$4:$F$63,59)))</f>
        <v/>
      </c>
      <c r="U3115">
        <f>IF($O3115="","",IF(INDEX(Dossiers!$G$4:$G$63,59)="","",INDEX(Dossiers!$G$4:$G$63,59)))</f>
        <v/>
      </c>
      <c r="V3115">
        <f>IF(OR($O3115="",NOT(ISNUMBER($Q3115))),"",$Q3115*1000000+3115)</f>
        <v/>
      </c>
      <c r="W3115" s="29">
        <f>IF($B3115="","",IFERROR(INDEX($U$4:$U$3183,MATCH(SMALL($V$4:$V$3183,3112),$V$4:$V$3183,0)),""))</f>
        <v/>
      </c>
    </row>
    <row r="3116">
      <c r="A3116">
        <f>IFERROR(INDEX($N$4:$N$3183,MATCH(SMALL($V$4:$V$3183,3113),$V$4:$V$3183,0)),"")</f>
        <v/>
      </c>
      <c r="B3116">
        <f>IFERROR(INDEX($O$4:$O$3183,MATCH(SMALL($V$4:$V$3183,3113),$V$4:$V$3183,0)),"")</f>
        <v/>
      </c>
      <c r="C3116">
        <f>IFERROR(INDEX($P$4:$P$3183,MATCH(SMALL($V$4:$V$3183,3113),$V$4:$V$3183,0)),"")</f>
        <v/>
      </c>
      <c r="D3116" s="29">
        <f>IFERROR(INDEX($Q$4:$Q$3183,MATCH(SMALL($V$4:$V$3183,3113),$V$4:$V$3183,0)),"")</f>
        <v/>
      </c>
      <c r="E3116" s="29">
        <f>IFERROR(INDEX($R$4:$R$3183,MATCH(SMALL($V$4:$V$3183,3113),$V$4:$V$3183,0)),"")</f>
        <v/>
      </c>
      <c r="F3116">
        <f>IFERROR(INDEX($S$4:$S$3183,MATCH(SMALL($V$4:$V$3183,3113),$V$4:$V$3183,0)),"")</f>
        <v/>
      </c>
      <c r="I3116" s="29">
        <f>IF($B3116="","",IFERROR(INDEX($U$4:$U$3183,MATCH(SMALL($V$4:$V$3183,3113),$V$4:$V$3183,0)),""))</f>
        <v/>
      </c>
      <c r="J3116">
        <f>IF($B3116="","",IF($D3116&gt;$F$2,"À venir",IF($E3116&lt;$D$2,"Passé","Dans la période")))</f>
        <v/>
      </c>
      <c r="K3116">
        <f>IF(OR($B3116="",NOT(ISNUMBER($D3116))),"",IF(AND($E3116&lt;$D$2,$G3116&lt;&gt;"X",$F3116&lt;&gt;"Réalisé",$F3116&lt;&gt;"Clôturé"),"RETARD",""))</f>
        <v/>
      </c>
      <c r="L3116">
        <f>IF(OR($B3116="",NOT(ISNUMBER($D3116))),"",IF(AND($D3116&gt;=$D$2,$D3116&lt;=$H$2,$G3116&lt;&gt;"X",$F3116&lt;&gt;"Réalisé",$F3116&lt;&gt;"Clôturé"),"≤ 7 j",""))</f>
        <v/>
      </c>
      <c r="M3116" s="29">
        <f>IF($B3116="","",IFERROR(INDEX($T$4:$T$3183,MATCH(SMALL($V$4:$V$3183,3113),$V$4:$V$3183,0)),""))</f>
        <v/>
      </c>
      <c r="O3116">
        <f>IF(INDEX(Suivi!$B:$B,3175)="","",INDEX(Suivi!$B:$B,3175))</f>
        <v/>
      </c>
      <c r="P3116">
        <f>IF($O3116="","",IF(INDEX(Suivi!$D:$D,3175)="",INDEX(Suivi!$C:$C,3175),INDEX(Suivi!$D:$D,3175)))</f>
        <v/>
      </c>
      <c r="Q3116">
        <f>IF($O3116="","",INDEX(Suivi!$E:$E,3175))</f>
        <v/>
      </c>
      <c r="R3116">
        <f>IF($O3116="","",INDEX(Suivi!$F:$F,3175))</f>
        <v/>
      </c>
      <c r="S3116">
        <f>IF($O3116="","",INDEX(Suivi!$G:$G,3175))</f>
        <v/>
      </c>
      <c r="T3116">
        <f>IF($O3116="","",IF(INDEX(Dossiers!$F$4:$F$63,59)="","",INDEX(Dossiers!$F$4:$F$63,59)))</f>
        <v/>
      </c>
      <c r="U3116">
        <f>IF($O3116="","",IF(INDEX(Dossiers!$G$4:$G$63,59)="","",INDEX(Dossiers!$G$4:$G$63,59)))</f>
        <v/>
      </c>
      <c r="V3116">
        <f>IF(OR($O3116="",NOT(ISNUMBER($Q3116))),"",$Q3116*1000000+3116)</f>
        <v/>
      </c>
      <c r="W3116" s="29">
        <f>IF($B3116="","",IFERROR(INDEX($U$4:$U$3183,MATCH(SMALL($V$4:$V$3183,3113),$V$4:$V$3183,0)),""))</f>
        <v/>
      </c>
    </row>
    <row r="3117">
      <c r="A3117">
        <f>IFERROR(INDEX($N$4:$N$3183,MATCH(SMALL($V$4:$V$3183,3114),$V$4:$V$3183,0)),"")</f>
        <v/>
      </c>
      <c r="B3117">
        <f>IFERROR(INDEX($O$4:$O$3183,MATCH(SMALL($V$4:$V$3183,3114),$V$4:$V$3183,0)),"")</f>
        <v/>
      </c>
      <c r="C3117">
        <f>IFERROR(INDEX($P$4:$P$3183,MATCH(SMALL($V$4:$V$3183,3114),$V$4:$V$3183,0)),"")</f>
        <v/>
      </c>
      <c r="D3117" s="29">
        <f>IFERROR(INDEX($Q$4:$Q$3183,MATCH(SMALL($V$4:$V$3183,3114),$V$4:$V$3183,0)),"")</f>
        <v/>
      </c>
      <c r="E3117" s="29">
        <f>IFERROR(INDEX($R$4:$R$3183,MATCH(SMALL($V$4:$V$3183,3114),$V$4:$V$3183,0)),"")</f>
        <v/>
      </c>
      <c r="F3117">
        <f>IFERROR(INDEX($S$4:$S$3183,MATCH(SMALL($V$4:$V$3183,3114),$V$4:$V$3183,0)),"")</f>
        <v/>
      </c>
      <c r="I3117" s="29">
        <f>IF($B3117="","",IFERROR(INDEX($U$4:$U$3183,MATCH(SMALL($V$4:$V$3183,3114),$V$4:$V$3183,0)),""))</f>
        <v/>
      </c>
      <c r="J3117">
        <f>IF($B3117="","",IF($D3117&gt;$F$2,"À venir",IF($E3117&lt;$D$2,"Passé","Dans la période")))</f>
        <v/>
      </c>
      <c r="K3117">
        <f>IF(OR($B3117="",NOT(ISNUMBER($D3117))),"",IF(AND($E3117&lt;$D$2,$G3117&lt;&gt;"X",$F3117&lt;&gt;"Réalisé",$F3117&lt;&gt;"Clôturé"),"RETARD",""))</f>
        <v/>
      </c>
      <c r="L3117">
        <f>IF(OR($B3117="",NOT(ISNUMBER($D3117))),"",IF(AND($D3117&gt;=$D$2,$D3117&lt;=$H$2,$G3117&lt;&gt;"X",$F3117&lt;&gt;"Réalisé",$F3117&lt;&gt;"Clôturé"),"≤ 7 j",""))</f>
        <v/>
      </c>
      <c r="M3117" s="29">
        <f>IF($B3117="","",IFERROR(INDEX($T$4:$T$3183,MATCH(SMALL($V$4:$V$3183,3114),$V$4:$V$3183,0)),""))</f>
        <v/>
      </c>
      <c r="O3117">
        <f>IF(INDEX(Suivi!$B:$B,3176)="","",INDEX(Suivi!$B:$B,3176))</f>
        <v/>
      </c>
      <c r="P3117">
        <f>IF($O3117="","",IF(INDEX(Suivi!$D:$D,3176)="",INDEX(Suivi!$C:$C,3176),INDEX(Suivi!$D:$D,3176)))</f>
        <v/>
      </c>
      <c r="Q3117">
        <f>IF($O3117="","",INDEX(Suivi!$E:$E,3176))</f>
        <v/>
      </c>
      <c r="R3117">
        <f>IF($O3117="","",INDEX(Suivi!$F:$F,3176))</f>
        <v/>
      </c>
      <c r="S3117">
        <f>IF($O3117="","",INDEX(Suivi!$G:$G,3176))</f>
        <v/>
      </c>
      <c r="T3117">
        <f>IF($O3117="","",IF(INDEX(Dossiers!$F$4:$F$63,59)="","",INDEX(Dossiers!$F$4:$F$63,59)))</f>
        <v/>
      </c>
      <c r="U3117">
        <f>IF($O3117="","",IF(INDEX(Dossiers!$G$4:$G$63,59)="","",INDEX(Dossiers!$G$4:$G$63,59)))</f>
        <v/>
      </c>
      <c r="V3117">
        <f>IF(OR($O3117="",NOT(ISNUMBER($Q3117))),"",$Q3117*1000000+3117)</f>
        <v/>
      </c>
      <c r="W3117" s="29">
        <f>IF($B3117="","",IFERROR(INDEX($U$4:$U$3183,MATCH(SMALL($V$4:$V$3183,3114),$V$4:$V$3183,0)),""))</f>
        <v/>
      </c>
    </row>
    <row r="3118">
      <c r="A3118">
        <f>IFERROR(INDEX($N$4:$N$3183,MATCH(SMALL($V$4:$V$3183,3115),$V$4:$V$3183,0)),"")</f>
        <v/>
      </c>
      <c r="B3118">
        <f>IFERROR(INDEX($O$4:$O$3183,MATCH(SMALL($V$4:$V$3183,3115),$V$4:$V$3183,0)),"")</f>
        <v/>
      </c>
      <c r="C3118">
        <f>IFERROR(INDEX($P$4:$P$3183,MATCH(SMALL($V$4:$V$3183,3115),$V$4:$V$3183,0)),"")</f>
        <v/>
      </c>
      <c r="D3118" s="29">
        <f>IFERROR(INDEX($Q$4:$Q$3183,MATCH(SMALL($V$4:$V$3183,3115),$V$4:$V$3183,0)),"")</f>
        <v/>
      </c>
      <c r="E3118" s="29">
        <f>IFERROR(INDEX($R$4:$R$3183,MATCH(SMALL($V$4:$V$3183,3115),$V$4:$V$3183,0)),"")</f>
        <v/>
      </c>
      <c r="F3118">
        <f>IFERROR(INDEX($S$4:$S$3183,MATCH(SMALL($V$4:$V$3183,3115),$V$4:$V$3183,0)),"")</f>
        <v/>
      </c>
      <c r="I3118" s="29">
        <f>IF($B3118="","",IFERROR(INDEX($U$4:$U$3183,MATCH(SMALL($V$4:$V$3183,3115),$V$4:$V$3183,0)),""))</f>
        <v/>
      </c>
      <c r="J3118">
        <f>IF($B3118="","",IF($D3118&gt;$F$2,"À venir",IF($E3118&lt;$D$2,"Passé","Dans la période")))</f>
        <v/>
      </c>
      <c r="K3118">
        <f>IF(OR($B3118="",NOT(ISNUMBER($D3118))),"",IF(AND($E3118&lt;$D$2,$G3118&lt;&gt;"X",$F3118&lt;&gt;"Réalisé",$F3118&lt;&gt;"Clôturé"),"RETARD",""))</f>
        <v/>
      </c>
      <c r="L3118">
        <f>IF(OR($B3118="",NOT(ISNUMBER($D3118))),"",IF(AND($D3118&gt;=$D$2,$D3118&lt;=$H$2,$G3118&lt;&gt;"X",$F3118&lt;&gt;"Réalisé",$F3118&lt;&gt;"Clôturé"),"≤ 7 j",""))</f>
        <v/>
      </c>
      <c r="M3118" s="29">
        <f>IF($B3118="","",IFERROR(INDEX($T$4:$T$3183,MATCH(SMALL($V$4:$V$3183,3115),$V$4:$V$3183,0)),""))</f>
        <v/>
      </c>
      <c r="O3118">
        <f>IF(INDEX(Suivi!$B:$B,3177)="","",INDEX(Suivi!$B:$B,3177))</f>
        <v/>
      </c>
      <c r="P3118">
        <f>IF($O3118="","",IF(INDEX(Suivi!$D:$D,3177)="",INDEX(Suivi!$C:$C,3177),INDEX(Suivi!$D:$D,3177)))</f>
        <v/>
      </c>
      <c r="Q3118">
        <f>IF($O3118="","",INDEX(Suivi!$E:$E,3177))</f>
        <v/>
      </c>
      <c r="R3118">
        <f>IF($O3118="","",INDEX(Suivi!$F:$F,3177))</f>
        <v/>
      </c>
      <c r="S3118">
        <f>IF($O3118="","",INDEX(Suivi!$G:$G,3177))</f>
        <v/>
      </c>
      <c r="T3118">
        <f>IF($O3118="","",IF(INDEX(Dossiers!$F$4:$F$63,59)="","",INDEX(Dossiers!$F$4:$F$63,59)))</f>
        <v/>
      </c>
      <c r="U3118">
        <f>IF($O3118="","",IF(INDEX(Dossiers!$G$4:$G$63,59)="","",INDEX(Dossiers!$G$4:$G$63,59)))</f>
        <v/>
      </c>
      <c r="V3118">
        <f>IF(OR($O3118="",NOT(ISNUMBER($Q3118))),"",$Q3118*1000000+3118)</f>
        <v/>
      </c>
      <c r="W3118" s="29">
        <f>IF($B3118="","",IFERROR(INDEX($U$4:$U$3183,MATCH(SMALL($V$4:$V$3183,3115),$V$4:$V$3183,0)),""))</f>
        <v/>
      </c>
    </row>
    <row r="3119">
      <c r="A3119">
        <f>IFERROR(INDEX($N$4:$N$3183,MATCH(SMALL($V$4:$V$3183,3116),$V$4:$V$3183,0)),"")</f>
        <v/>
      </c>
      <c r="B3119">
        <f>IFERROR(INDEX($O$4:$O$3183,MATCH(SMALL($V$4:$V$3183,3116),$V$4:$V$3183,0)),"")</f>
        <v/>
      </c>
      <c r="C3119">
        <f>IFERROR(INDEX($P$4:$P$3183,MATCH(SMALL($V$4:$V$3183,3116),$V$4:$V$3183,0)),"")</f>
        <v/>
      </c>
      <c r="D3119" s="29">
        <f>IFERROR(INDEX($Q$4:$Q$3183,MATCH(SMALL($V$4:$V$3183,3116),$V$4:$V$3183,0)),"")</f>
        <v/>
      </c>
      <c r="E3119" s="29">
        <f>IFERROR(INDEX($R$4:$R$3183,MATCH(SMALL($V$4:$V$3183,3116),$V$4:$V$3183,0)),"")</f>
        <v/>
      </c>
      <c r="F3119">
        <f>IFERROR(INDEX($S$4:$S$3183,MATCH(SMALL($V$4:$V$3183,3116),$V$4:$V$3183,0)),"")</f>
        <v/>
      </c>
      <c r="I3119" s="29">
        <f>IF($B3119="","",IFERROR(INDEX($U$4:$U$3183,MATCH(SMALL($V$4:$V$3183,3116),$V$4:$V$3183,0)),""))</f>
        <v/>
      </c>
      <c r="J3119">
        <f>IF($B3119="","",IF($D3119&gt;$F$2,"À venir",IF($E3119&lt;$D$2,"Passé","Dans la période")))</f>
        <v/>
      </c>
      <c r="K3119">
        <f>IF(OR($B3119="",NOT(ISNUMBER($D3119))),"",IF(AND($E3119&lt;$D$2,$G3119&lt;&gt;"X",$F3119&lt;&gt;"Réalisé",$F3119&lt;&gt;"Clôturé"),"RETARD",""))</f>
        <v/>
      </c>
      <c r="L3119">
        <f>IF(OR($B3119="",NOT(ISNUMBER($D3119))),"",IF(AND($D3119&gt;=$D$2,$D3119&lt;=$H$2,$G3119&lt;&gt;"X",$F3119&lt;&gt;"Réalisé",$F3119&lt;&gt;"Clôturé"),"≤ 7 j",""))</f>
        <v/>
      </c>
      <c r="M3119" s="29">
        <f>IF($B3119="","",IFERROR(INDEX($T$4:$T$3183,MATCH(SMALL($V$4:$V$3183,3116),$V$4:$V$3183,0)),""))</f>
        <v/>
      </c>
      <c r="O3119">
        <f>IF(INDEX(Suivi!$B:$B,3178)="","",INDEX(Suivi!$B:$B,3178))</f>
        <v/>
      </c>
      <c r="P3119">
        <f>IF($O3119="","",IF(INDEX(Suivi!$D:$D,3178)="",INDEX(Suivi!$C:$C,3178),INDEX(Suivi!$D:$D,3178)))</f>
        <v/>
      </c>
      <c r="Q3119">
        <f>IF($O3119="","",INDEX(Suivi!$E:$E,3178))</f>
        <v/>
      </c>
      <c r="R3119">
        <f>IF($O3119="","",INDEX(Suivi!$F:$F,3178))</f>
        <v/>
      </c>
      <c r="S3119">
        <f>IF($O3119="","",INDEX(Suivi!$G:$G,3178))</f>
        <v/>
      </c>
      <c r="T3119">
        <f>IF($O3119="","",IF(INDEX(Dossiers!$F$4:$F$63,59)="","",INDEX(Dossiers!$F$4:$F$63,59)))</f>
        <v/>
      </c>
      <c r="U3119">
        <f>IF($O3119="","",IF(INDEX(Dossiers!$G$4:$G$63,59)="","",INDEX(Dossiers!$G$4:$G$63,59)))</f>
        <v/>
      </c>
      <c r="V3119">
        <f>IF(OR($O3119="",NOT(ISNUMBER($Q3119))),"",$Q3119*1000000+3119)</f>
        <v/>
      </c>
      <c r="W3119" s="29">
        <f>IF($B3119="","",IFERROR(INDEX($U$4:$U$3183,MATCH(SMALL($V$4:$V$3183,3116),$V$4:$V$3183,0)),""))</f>
        <v/>
      </c>
    </row>
    <row r="3120">
      <c r="A3120">
        <f>IFERROR(INDEX($N$4:$N$3183,MATCH(SMALL($V$4:$V$3183,3117),$V$4:$V$3183,0)),"")</f>
        <v/>
      </c>
      <c r="B3120">
        <f>IFERROR(INDEX($O$4:$O$3183,MATCH(SMALL($V$4:$V$3183,3117),$V$4:$V$3183,0)),"")</f>
        <v/>
      </c>
      <c r="C3120">
        <f>IFERROR(INDEX($P$4:$P$3183,MATCH(SMALL($V$4:$V$3183,3117),$V$4:$V$3183,0)),"")</f>
        <v/>
      </c>
      <c r="D3120" s="29">
        <f>IFERROR(INDEX($Q$4:$Q$3183,MATCH(SMALL($V$4:$V$3183,3117),$V$4:$V$3183,0)),"")</f>
        <v/>
      </c>
      <c r="E3120" s="29">
        <f>IFERROR(INDEX($R$4:$R$3183,MATCH(SMALL($V$4:$V$3183,3117),$V$4:$V$3183,0)),"")</f>
        <v/>
      </c>
      <c r="F3120">
        <f>IFERROR(INDEX($S$4:$S$3183,MATCH(SMALL($V$4:$V$3183,3117),$V$4:$V$3183,0)),"")</f>
        <v/>
      </c>
      <c r="I3120" s="29">
        <f>IF($B3120="","",IFERROR(INDEX($U$4:$U$3183,MATCH(SMALL($V$4:$V$3183,3117),$V$4:$V$3183,0)),""))</f>
        <v/>
      </c>
      <c r="J3120">
        <f>IF($B3120="","",IF($D3120&gt;$F$2,"À venir",IF($E3120&lt;$D$2,"Passé","Dans la période")))</f>
        <v/>
      </c>
      <c r="K3120">
        <f>IF(OR($B3120="",NOT(ISNUMBER($D3120))),"",IF(AND($E3120&lt;$D$2,$G3120&lt;&gt;"X",$F3120&lt;&gt;"Réalisé",$F3120&lt;&gt;"Clôturé"),"RETARD",""))</f>
        <v/>
      </c>
      <c r="L3120">
        <f>IF(OR($B3120="",NOT(ISNUMBER($D3120))),"",IF(AND($D3120&gt;=$D$2,$D3120&lt;=$H$2,$G3120&lt;&gt;"X",$F3120&lt;&gt;"Réalisé",$F3120&lt;&gt;"Clôturé"),"≤ 7 j",""))</f>
        <v/>
      </c>
      <c r="M3120" s="29">
        <f>IF($B3120="","",IFERROR(INDEX($T$4:$T$3183,MATCH(SMALL($V$4:$V$3183,3117),$V$4:$V$3183,0)),""))</f>
        <v/>
      </c>
      <c r="O3120">
        <f>IF(INDEX(Suivi!$B:$B,3179)="","",INDEX(Suivi!$B:$B,3179))</f>
        <v/>
      </c>
      <c r="P3120">
        <f>IF($O3120="","",IF(INDEX(Suivi!$D:$D,3179)="",INDEX(Suivi!$C:$C,3179),INDEX(Suivi!$D:$D,3179)))</f>
        <v/>
      </c>
      <c r="Q3120">
        <f>IF($O3120="","",INDEX(Suivi!$E:$E,3179))</f>
        <v/>
      </c>
      <c r="R3120">
        <f>IF($O3120="","",INDEX(Suivi!$F:$F,3179))</f>
        <v/>
      </c>
      <c r="S3120">
        <f>IF($O3120="","",INDEX(Suivi!$G:$G,3179))</f>
        <v/>
      </c>
      <c r="T3120">
        <f>IF($O3120="","",IF(INDEX(Dossiers!$F$4:$F$63,59)="","",INDEX(Dossiers!$F$4:$F$63,59)))</f>
        <v/>
      </c>
      <c r="U3120">
        <f>IF($O3120="","",IF(INDEX(Dossiers!$G$4:$G$63,59)="","",INDEX(Dossiers!$G$4:$G$63,59)))</f>
        <v/>
      </c>
      <c r="V3120">
        <f>IF(OR($O3120="",NOT(ISNUMBER($Q3120))),"",$Q3120*1000000+3120)</f>
        <v/>
      </c>
      <c r="W3120" s="29">
        <f>IF($B3120="","",IFERROR(INDEX($U$4:$U$3183,MATCH(SMALL($V$4:$V$3183,3117),$V$4:$V$3183,0)),""))</f>
        <v/>
      </c>
    </row>
    <row r="3121">
      <c r="A3121">
        <f>IFERROR(INDEX($N$4:$N$3183,MATCH(SMALL($V$4:$V$3183,3118),$V$4:$V$3183,0)),"")</f>
        <v/>
      </c>
      <c r="B3121">
        <f>IFERROR(INDEX($O$4:$O$3183,MATCH(SMALL($V$4:$V$3183,3118),$V$4:$V$3183,0)),"")</f>
        <v/>
      </c>
      <c r="C3121">
        <f>IFERROR(INDEX($P$4:$P$3183,MATCH(SMALL($V$4:$V$3183,3118),$V$4:$V$3183,0)),"")</f>
        <v/>
      </c>
      <c r="D3121" s="29">
        <f>IFERROR(INDEX($Q$4:$Q$3183,MATCH(SMALL($V$4:$V$3183,3118),$V$4:$V$3183,0)),"")</f>
        <v/>
      </c>
      <c r="E3121" s="29">
        <f>IFERROR(INDEX($R$4:$R$3183,MATCH(SMALL($V$4:$V$3183,3118),$V$4:$V$3183,0)),"")</f>
        <v/>
      </c>
      <c r="F3121">
        <f>IFERROR(INDEX($S$4:$S$3183,MATCH(SMALL($V$4:$V$3183,3118),$V$4:$V$3183,0)),"")</f>
        <v/>
      </c>
      <c r="I3121" s="29">
        <f>IF($B3121="","",IFERROR(INDEX($U$4:$U$3183,MATCH(SMALL($V$4:$V$3183,3118),$V$4:$V$3183,0)),""))</f>
        <v/>
      </c>
      <c r="J3121">
        <f>IF($B3121="","",IF($D3121&gt;$F$2,"À venir",IF($E3121&lt;$D$2,"Passé","Dans la période")))</f>
        <v/>
      </c>
      <c r="K3121">
        <f>IF(OR($B3121="",NOT(ISNUMBER($D3121))),"",IF(AND($E3121&lt;$D$2,$G3121&lt;&gt;"X",$F3121&lt;&gt;"Réalisé",$F3121&lt;&gt;"Clôturé"),"RETARD",""))</f>
        <v/>
      </c>
      <c r="L3121">
        <f>IF(OR($B3121="",NOT(ISNUMBER($D3121))),"",IF(AND($D3121&gt;=$D$2,$D3121&lt;=$H$2,$G3121&lt;&gt;"X",$F3121&lt;&gt;"Réalisé",$F3121&lt;&gt;"Clôturé"),"≤ 7 j",""))</f>
        <v/>
      </c>
      <c r="M3121" s="29">
        <f>IF($B3121="","",IFERROR(INDEX($T$4:$T$3183,MATCH(SMALL($V$4:$V$3183,3118),$V$4:$V$3183,0)),""))</f>
        <v/>
      </c>
      <c r="O3121">
        <f>IF(INDEX(Suivi!$B:$B,3180)="","",INDEX(Suivi!$B:$B,3180))</f>
        <v/>
      </c>
      <c r="P3121">
        <f>IF($O3121="","",IF(INDEX(Suivi!$D:$D,3180)="",INDEX(Suivi!$C:$C,3180),INDEX(Suivi!$D:$D,3180)))</f>
        <v/>
      </c>
      <c r="Q3121">
        <f>IF($O3121="","",INDEX(Suivi!$E:$E,3180))</f>
        <v/>
      </c>
      <c r="R3121">
        <f>IF($O3121="","",INDEX(Suivi!$F:$F,3180))</f>
        <v/>
      </c>
      <c r="S3121">
        <f>IF($O3121="","",INDEX(Suivi!$G:$G,3180))</f>
        <v/>
      </c>
      <c r="T3121">
        <f>IF($O3121="","",IF(INDEX(Dossiers!$F$4:$F$63,59)="","",INDEX(Dossiers!$F$4:$F$63,59)))</f>
        <v/>
      </c>
      <c r="U3121">
        <f>IF($O3121="","",IF(INDEX(Dossiers!$G$4:$G$63,59)="","",INDEX(Dossiers!$G$4:$G$63,59)))</f>
        <v/>
      </c>
      <c r="V3121">
        <f>IF(OR($O3121="",NOT(ISNUMBER($Q3121))),"",$Q3121*1000000+3121)</f>
        <v/>
      </c>
      <c r="W3121" s="29">
        <f>IF($B3121="","",IFERROR(INDEX($U$4:$U$3183,MATCH(SMALL($V$4:$V$3183,3118),$V$4:$V$3183,0)),""))</f>
        <v/>
      </c>
    </row>
    <row r="3122">
      <c r="A3122">
        <f>IFERROR(INDEX($N$4:$N$3183,MATCH(SMALL($V$4:$V$3183,3119),$V$4:$V$3183,0)),"")</f>
        <v/>
      </c>
      <c r="B3122">
        <f>IFERROR(INDEX($O$4:$O$3183,MATCH(SMALL($V$4:$V$3183,3119),$V$4:$V$3183,0)),"")</f>
        <v/>
      </c>
      <c r="C3122">
        <f>IFERROR(INDEX($P$4:$P$3183,MATCH(SMALL($V$4:$V$3183,3119),$V$4:$V$3183,0)),"")</f>
        <v/>
      </c>
      <c r="D3122" s="29">
        <f>IFERROR(INDEX($Q$4:$Q$3183,MATCH(SMALL($V$4:$V$3183,3119),$V$4:$V$3183,0)),"")</f>
        <v/>
      </c>
      <c r="E3122" s="29">
        <f>IFERROR(INDEX($R$4:$R$3183,MATCH(SMALL($V$4:$V$3183,3119),$V$4:$V$3183,0)),"")</f>
        <v/>
      </c>
      <c r="F3122">
        <f>IFERROR(INDEX($S$4:$S$3183,MATCH(SMALL($V$4:$V$3183,3119),$V$4:$V$3183,0)),"")</f>
        <v/>
      </c>
      <c r="I3122" s="29">
        <f>IF($B3122="","",IFERROR(INDEX($U$4:$U$3183,MATCH(SMALL($V$4:$V$3183,3119),$V$4:$V$3183,0)),""))</f>
        <v/>
      </c>
      <c r="J3122">
        <f>IF($B3122="","",IF($D3122&gt;$F$2,"À venir",IF($E3122&lt;$D$2,"Passé","Dans la période")))</f>
        <v/>
      </c>
      <c r="K3122">
        <f>IF(OR($B3122="",NOT(ISNUMBER($D3122))),"",IF(AND($E3122&lt;$D$2,$G3122&lt;&gt;"X",$F3122&lt;&gt;"Réalisé",$F3122&lt;&gt;"Clôturé"),"RETARD",""))</f>
        <v/>
      </c>
      <c r="L3122">
        <f>IF(OR($B3122="",NOT(ISNUMBER($D3122))),"",IF(AND($D3122&gt;=$D$2,$D3122&lt;=$H$2,$G3122&lt;&gt;"X",$F3122&lt;&gt;"Réalisé",$F3122&lt;&gt;"Clôturé"),"≤ 7 j",""))</f>
        <v/>
      </c>
      <c r="M3122" s="29">
        <f>IF($B3122="","",IFERROR(INDEX($T$4:$T$3183,MATCH(SMALL($V$4:$V$3183,3119),$V$4:$V$3183,0)),""))</f>
        <v/>
      </c>
      <c r="O3122">
        <f>IF(INDEX(Suivi!$B:$B,3181)="","",INDEX(Suivi!$B:$B,3181))</f>
        <v/>
      </c>
      <c r="P3122">
        <f>IF($O3122="","",IF(INDEX(Suivi!$D:$D,3181)="",INDEX(Suivi!$C:$C,3181),INDEX(Suivi!$D:$D,3181)))</f>
        <v/>
      </c>
      <c r="Q3122">
        <f>IF($O3122="","",INDEX(Suivi!$E:$E,3181))</f>
        <v/>
      </c>
      <c r="R3122">
        <f>IF($O3122="","",INDEX(Suivi!$F:$F,3181))</f>
        <v/>
      </c>
      <c r="S3122">
        <f>IF($O3122="","",INDEX(Suivi!$G:$G,3181))</f>
        <v/>
      </c>
      <c r="T3122">
        <f>IF($O3122="","",IF(INDEX(Dossiers!$F$4:$F$63,59)="","",INDEX(Dossiers!$F$4:$F$63,59)))</f>
        <v/>
      </c>
      <c r="U3122">
        <f>IF($O3122="","",IF(INDEX(Dossiers!$G$4:$G$63,59)="","",INDEX(Dossiers!$G$4:$G$63,59)))</f>
        <v/>
      </c>
      <c r="V3122">
        <f>IF(OR($O3122="",NOT(ISNUMBER($Q3122))),"",$Q3122*1000000+3122)</f>
        <v/>
      </c>
      <c r="W3122" s="29">
        <f>IF($B3122="","",IFERROR(INDEX($U$4:$U$3183,MATCH(SMALL($V$4:$V$3183,3119),$V$4:$V$3183,0)),""))</f>
        <v/>
      </c>
    </row>
    <row r="3123">
      <c r="A3123">
        <f>IFERROR(INDEX($N$4:$N$3183,MATCH(SMALL($V$4:$V$3183,3120),$V$4:$V$3183,0)),"")</f>
        <v/>
      </c>
      <c r="B3123">
        <f>IFERROR(INDEX($O$4:$O$3183,MATCH(SMALL($V$4:$V$3183,3120),$V$4:$V$3183,0)),"")</f>
        <v/>
      </c>
      <c r="C3123">
        <f>IFERROR(INDEX($P$4:$P$3183,MATCH(SMALL($V$4:$V$3183,3120),$V$4:$V$3183,0)),"")</f>
        <v/>
      </c>
      <c r="D3123" s="29">
        <f>IFERROR(INDEX($Q$4:$Q$3183,MATCH(SMALL($V$4:$V$3183,3120),$V$4:$V$3183,0)),"")</f>
        <v/>
      </c>
      <c r="E3123" s="29">
        <f>IFERROR(INDEX($R$4:$R$3183,MATCH(SMALL($V$4:$V$3183,3120),$V$4:$V$3183,0)),"")</f>
        <v/>
      </c>
      <c r="F3123">
        <f>IFERROR(INDEX($S$4:$S$3183,MATCH(SMALL($V$4:$V$3183,3120),$V$4:$V$3183,0)),"")</f>
        <v/>
      </c>
      <c r="I3123" s="29">
        <f>IF($B3123="","",IFERROR(INDEX($U$4:$U$3183,MATCH(SMALL($V$4:$V$3183,3120),$V$4:$V$3183,0)),""))</f>
        <v/>
      </c>
      <c r="J3123">
        <f>IF($B3123="","",IF($D3123&gt;$F$2,"À venir",IF($E3123&lt;$D$2,"Passé","Dans la période")))</f>
        <v/>
      </c>
      <c r="K3123">
        <f>IF(OR($B3123="",NOT(ISNUMBER($D3123))),"",IF(AND($E3123&lt;$D$2,$G3123&lt;&gt;"X",$F3123&lt;&gt;"Réalisé",$F3123&lt;&gt;"Clôturé"),"RETARD",""))</f>
        <v/>
      </c>
      <c r="L3123">
        <f>IF(OR($B3123="",NOT(ISNUMBER($D3123))),"",IF(AND($D3123&gt;=$D$2,$D3123&lt;=$H$2,$G3123&lt;&gt;"X",$F3123&lt;&gt;"Réalisé",$F3123&lt;&gt;"Clôturé"),"≤ 7 j",""))</f>
        <v/>
      </c>
      <c r="M3123" s="29">
        <f>IF($B3123="","",IFERROR(INDEX($T$4:$T$3183,MATCH(SMALL($V$4:$V$3183,3120),$V$4:$V$3183,0)),""))</f>
        <v/>
      </c>
      <c r="O3123">
        <f>IF(INDEX(Suivi!$B:$B,3182)="","",INDEX(Suivi!$B:$B,3182))</f>
        <v/>
      </c>
      <c r="P3123">
        <f>IF($O3123="","",IF(INDEX(Suivi!$D:$D,3182)="",INDEX(Suivi!$C:$C,3182),INDEX(Suivi!$D:$D,3182)))</f>
        <v/>
      </c>
      <c r="Q3123">
        <f>IF($O3123="","",INDEX(Suivi!$E:$E,3182))</f>
        <v/>
      </c>
      <c r="R3123">
        <f>IF($O3123="","",INDEX(Suivi!$F:$F,3182))</f>
        <v/>
      </c>
      <c r="S3123">
        <f>IF($O3123="","",INDEX(Suivi!$G:$G,3182))</f>
        <v/>
      </c>
      <c r="T3123">
        <f>IF($O3123="","",IF(INDEX(Dossiers!$F$4:$F$63,59)="","",INDEX(Dossiers!$F$4:$F$63,59)))</f>
        <v/>
      </c>
      <c r="U3123">
        <f>IF($O3123="","",IF(INDEX(Dossiers!$G$4:$G$63,59)="","",INDEX(Dossiers!$G$4:$G$63,59)))</f>
        <v/>
      </c>
      <c r="V3123">
        <f>IF(OR($O3123="",NOT(ISNUMBER($Q3123))),"",$Q3123*1000000+3123)</f>
        <v/>
      </c>
      <c r="W3123" s="29">
        <f>IF($B3123="","",IFERROR(INDEX($U$4:$U$3183,MATCH(SMALL($V$4:$V$3183,3120),$V$4:$V$3183,0)),""))</f>
        <v/>
      </c>
    </row>
    <row r="3124">
      <c r="A3124">
        <f>IFERROR(INDEX($N$4:$N$3183,MATCH(SMALL($V$4:$V$3183,3121),$V$4:$V$3183,0)),"")</f>
        <v/>
      </c>
      <c r="B3124">
        <f>IFERROR(INDEX($O$4:$O$3183,MATCH(SMALL($V$4:$V$3183,3121),$V$4:$V$3183,0)),"")</f>
        <v/>
      </c>
      <c r="C3124">
        <f>IFERROR(INDEX($P$4:$P$3183,MATCH(SMALL($V$4:$V$3183,3121),$V$4:$V$3183,0)),"")</f>
        <v/>
      </c>
      <c r="D3124" s="29">
        <f>IFERROR(INDEX($Q$4:$Q$3183,MATCH(SMALL($V$4:$V$3183,3121),$V$4:$V$3183,0)),"")</f>
        <v/>
      </c>
      <c r="E3124" s="29">
        <f>IFERROR(INDEX($R$4:$R$3183,MATCH(SMALL($V$4:$V$3183,3121),$V$4:$V$3183,0)),"")</f>
        <v/>
      </c>
      <c r="F3124">
        <f>IFERROR(INDEX($S$4:$S$3183,MATCH(SMALL($V$4:$V$3183,3121),$V$4:$V$3183,0)),"")</f>
        <v/>
      </c>
      <c r="I3124" s="29">
        <f>IF($B3124="","",IFERROR(INDEX($U$4:$U$3183,MATCH(SMALL($V$4:$V$3183,3121),$V$4:$V$3183,0)),""))</f>
        <v/>
      </c>
      <c r="J3124">
        <f>IF($B3124="","",IF($D3124&gt;$F$2,"À venir",IF($E3124&lt;$D$2,"Passé","Dans la période")))</f>
        <v/>
      </c>
      <c r="K3124">
        <f>IF(OR($B3124="",NOT(ISNUMBER($D3124))),"",IF(AND($E3124&lt;$D$2,$G3124&lt;&gt;"X",$F3124&lt;&gt;"Réalisé",$F3124&lt;&gt;"Clôturé"),"RETARD",""))</f>
        <v/>
      </c>
      <c r="L3124">
        <f>IF(OR($B3124="",NOT(ISNUMBER($D3124))),"",IF(AND($D3124&gt;=$D$2,$D3124&lt;=$H$2,$G3124&lt;&gt;"X",$F3124&lt;&gt;"Réalisé",$F3124&lt;&gt;"Clôturé"),"≤ 7 j",""))</f>
        <v/>
      </c>
      <c r="M3124" s="29">
        <f>IF($B3124="","",IFERROR(INDEX($T$4:$T$3183,MATCH(SMALL($V$4:$V$3183,3121),$V$4:$V$3183,0)),""))</f>
        <v/>
      </c>
      <c r="O3124">
        <f>IF(INDEX(Suivi!$B:$B,3183)="","",INDEX(Suivi!$B:$B,3183))</f>
        <v/>
      </c>
      <c r="P3124">
        <f>IF($O3124="","",IF(INDEX(Suivi!$D:$D,3183)="",INDEX(Suivi!$C:$C,3183),INDEX(Suivi!$D:$D,3183)))</f>
        <v/>
      </c>
      <c r="Q3124">
        <f>IF($O3124="","",INDEX(Suivi!$E:$E,3183))</f>
        <v/>
      </c>
      <c r="R3124">
        <f>IF($O3124="","",INDEX(Suivi!$F:$F,3183))</f>
        <v/>
      </c>
      <c r="S3124">
        <f>IF($O3124="","",INDEX(Suivi!$G:$G,3183))</f>
        <v/>
      </c>
      <c r="T3124">
        <f>IF($O3124="","",IF(INDEX(Dossiers!$F$4:$F$63,59)="","",INDEX(Dossiers!$F$4:$F$63,59)))</f>
        <v/>
      </c>
      <c r="U3124">
        <f>IF($O3124="","",IF(INDEX(Dossiers!$G$4:$G$63,59)="","",INDEX(Dossiers!$G$4:$G$63,59)))</f>
        <v/>
      </c>
      <c r="V3124">
        <f>IF(OR($O3124="",NOT(ISNUMBER($Q3124))),"",$Q3124*1000000+3124)</f>
        <v/>
      </c>
      <c r="W3124" s="29">
        <f>IF($B3124="","",IFERROR(INDEX($U$4:$U$3183,MATCH(SMALL($V$4:$V$3183,3121),$V$4:$V$3183,0)),""))</f>
        <v/>
      </c>
    </row>
    <row r="3125">
      <c r="A3125">
        <f>IFERROR(INDEX($N$4:$N$3183,MATCH(SMALL($V$4:$V$3183,3122),$V$4:$V$3183,0)),"")</f>
        <v/>
      </c>
      <c r="B3125">
        <f>IFERROR(INDEX($O$4:$O$3183,MATCH(SMALL($V$4:$V$3183,3122),$V$4:$V$3183,0)),"")</f>
        <v/>
      </c>
      <c r="C3125">
        <f>IFERROR(INDEX($P$4:$P$3183,MATCH(SMALL($V$4:$V$3183,3122),$V$4:$V$3183,0)),"")</f>
        <v/>
      </c>
      <c r="D3125" s="29">
        <f>IFERROR(INDEX($Q$4:$Q$3183,MATCH(SMALL($V$4:$V$3183,3122),$V$4:$V$3183,0)),"")</f>
        <v/>
      </c>
      <c r="E3125" s="29">
        <f>IFERROR(INDEX($R$4:$R$3183,MATCH(SMALL($V$4:$V$3183,3122),$V$4:$V$3183,0)),"")</f>
        <v/>
      </c>
      <c r="F3125">
        <f>IFERROR(INDEX($S$4:$S$3183,MATCH(SMALL($V$4:$V$3183,3122),$V$4:$V$3183,0)),"")</f>
        <v/>
      </c>
      <c r="I3125" s="29">
        <f>IF($B3125="","",IFERROR(INDEX($U$4:$U$3183,MATCH(SMALL($V$4:$V$3183,3122),$V$4:$V$3183,0)),""))</f>
        <v/>
      </c>
      <c r="J3125">
        <f>IF($B3125="","",IF($D3125&gt;$F$2,"À venir",IF($E3125&lt;$D$2,"Passé","Dans la période")))</f>
        <v/>
      </c>
      <c r="K3125">
        <f>IF(OR($B3125="",NOT(ISNUMBER($D3125))),"",IF(AND($E3125&lt;$D$2,$G3125&lt;&gt;"X",$F3125&lt;&gt;"Réalisé",$F3125&lt;&gt;"Clôturé"),"RETARD",""))</f>
        <v/>
      </c>
      <c r="L3125">
        <f>IF(OR($B3125="",NOT(ISNUMBER($D3125))),"",IF(AND($D3125&gt;=$D$2,$D3125&lt;=$H$2,$G3125&lt;&gt;"X",$F3125&lt;&gt;"Réalisé",$F3125&lt;&gt;"Clôturé"),"≤ 7 j",""))</f>
        <v/>
      </c>
      <c r="M3125" s="29">
        <f>IF($B3125="","",IFERROR(INDEX($T$4:$T$3183,MATCH(SMALL($V$4:$V$3183,3122),$V$4:$V$3183,0)),""))</f>
        <v/>
      </c>
      <c r="O3125">
        <f>IF(INDEX(Suivi!$B:$B,3184)="","",INDEX(Suivi!$B:$B,3184))</f>
        <v/>
      </c>
      <c r="P3125">
        <f>IF($O3125="","",IF(INDEX(Suivi!$D:$D,3184)="",INDEX(Suivi!$C:$C,3184),INDEX(Suivi!$D:$D,3184)))</f>
        <v/>
      </c>
      <c r="Q3125">
        <f>IF($O3125="","",INDEX(Suivi!$E:$E,3184))</f>
        <v/>
      </c>
      <c r="R3125">
        <f>IF($O3125="","",INDEX(Suivi!$F:$F,3184))</f>
        <v/>
      </c>
      <c r="S3125">
        <f>IF($O3125="","",INDEX(Suivi!$G:$G,3184))</f>
        <v/>
      </c>
      <c r="T3125">
        <f>IF($O3125="","",IF(INDEX(Dossiers!$F$4:$F$63,59)="","",INDEX(Dossiers!$F$4:$F$63,59)))</f>
        <v/>
      </c>
      <c r="U3125">
        <f>IF($O3125="","",IF(INDEX(Dossiers!$G$4:$G$63,59)="","",INDEX(Dossiers!$G$4:$G$63,59)))</f>
        <v/>
      </c>
      <c r="V3125">
        <f>IF(OR($O3125="",NOT(ISNUMBER($Q3125))),"",$Q3125*1000000+3125)</f>
        <v/>
      </c>
      <c r="W3125" s="29">
        <f>IF($B3125="","",IFERROR(INDEX($U$4:$U$3183,MATCH(SMALL($V$4:$V$3183,3122),$V$4:$V$3183,0)),""))</f>
        <v/>
      </c>
    </row>
    <row r="3126">
      <c r="A3126">
        <f>IFERROR(INDEX($N$4:$N$3183,MATCH(SMALL($V$4:$V$3183,3123),$V$4:$V$3183,0)),"")</f>
        <v/>
      </c>
      <c r="B3126">
        <f>IFERROR(INDEX($O$4:$O$3183,MATCH(SMALL($V$4:$V$3183,3123),$V$4:$V$3183,0)),"")</f>
        <v/>
      </c>
      <c r="C3126">
        <f>IFERROR(INDEX($P$4:$P$3183,MATCH(SMALL($V$4:$V$3183,3123),$V$4:$V$3183,0)),"")</f>
        <v/>
      </c>
      <c r="D3126" s="29">
        <f>IFERROR(INDEX($Q$4:$Q$3183,MATCH(SMALL($V$4:$V$3183,3123),$V$4:$V$3183,0)),"")</f>
        <v/>
      </c>
      <c r="E3126" s="29">
        <f>IFERROR(INDEX($R$4:$R$3183,MATCH(SMALL($V$4:$V$3183,3123),$V$4:$V$3183,0)),"")</f>
        <v/>
      </c>
      <c r="F3126">
        <f>IFERROR(INDEX($S$4:$S$3183,MATCH(SMALL($V$4:$V$3183,3123),$V$4:$V$3183,0)),"")</f>
        <v/>
      </c>
      <c r="I3126" s="29">
        <f>IF($B3126="","",IFERROR(INDEX($U$4:$U$3183,MATCH(SMALL($V$4:$V$3183,3123),$V$4:$V$3183,0)),""))</f>
        <v/>
      </c>
      <c r="J3126">
        <f>IF($B3126="","",IF($D3126&gt;$F$2,"À venir",IF($E3126&lt;$D$2,"Passé","Dans la période")))</f>
        <v/>
      </c>
      <c r="K3126">
        <f>IF(OR($B3126="",NOT(ISNUMBER($D3126))),"",IF(AND($E3126&lt;$D$2,$G3126&lt;&gt;"X",$F3126&lt;&gt;"Réalisé",$F3126&lt;&gt;"Clôturé"),"RETARD",""))</f>
        <v/>
      </c>
      <c r="L3126">
        <f>IF(OR($B3126="",NOT(ISNUMBER($D3126))),"",IF(AND($D3126&gt;=$D$2,$D3126&lt;=$H$2,$G3126&lt;&gt;"X",$F3126&lt;&gt;"Réalisé",$F3126&lt;&gt;"Clôturé"),"≤ 7 j",""))</f>
        <v/>
      </c>
      <c r="M3126" s="29">
        <f>IF($B3126="","",IFERROR(INDEX($T$4:$T$3183,MATCH(SMALL($V$4:$V$3183,3123),$V$4:$V$3183,0)),""))</f>
        <v/>
      </c>
      <c r="O3126">
        <f>IF(INDEX(Suivi!$B:$B,3185)="","",INDEX(Suivi!$B:$B,3185))</f>
        <v/>
      </c>
      <c r="P3126">
        <f>IF($O3126="","",IF(INDEX(Suivi!$D:$D,3185)="",INDEX(Suivi!$C:$C,3185),INDEX(Suivi!$D:$D,3185)))</f>
        <v/>
      </c>
      <c r="Q3126">
        <f>IF($O3126="","",INDEX(Suivi!$E:$E,3185))</f>
        <v/>
      </c>
      <c r="R3126">
        <f>IF($O3126="","",INDEX(Suivi!$F:$F,3185))</f>
        <v/>
      </c>
      <c r="S3126">
        <f>IF($O3126="","",INDEX(Suivi!$G:$G,3185))</f>
        <v/>
      </c>
      <c r="T3126">
        <f>IF($O3126="","",IF(INDEX(Dossiers!$F$4:$F$63,59)="","",INDEX(Dossiers!$F$4:$F$63,59)))</f>
        <v/>
      </c>
      <c r="U3126">
        <f>IF($O3126="","",IF(INDEX(Dossiers!$G$4:$G$63,59)="","",INDEX(Dossiers!$G$4:$G$63,59)))</f>
        <v/>
      </c>
      <c r="V3126">
        <f>IF(OR($O3126="",NOT(ISNUMBER($Q3126))),"",$Q3126*1000000+3126)</f>
        <v/>
      </c>
      <c r="W3126" s="29">
        <f>IF($B3126="","",IFERROR(INDEX($U$4:$U$3183,MATCH(SMALL($V$4:$V$3183,3123),$V$4:$V$3183,0)),""))</f>
        <v/>
      </c>
    </row>
    <row r="3127">
      <c r="A3127">
        <f>IFERROR(INDEX($N$4:$N$3183,MATCH(SMALL($V$4:$V$3183,3124),$V$4:$V$3183,0)),"")</f>
        <v/>
      </c>
      <c r="B3127">
        <f>IFERROR(INDEX($O$4:$O$3183,MATCH(SMALL($V$4:$V$3183,3124),$V$4:$V$3183,0)),"")</f>
        <v/>
      </c>
      <c r="C3127">
        <f>IFERROR(INDEX($P$4:$P$3183,MATCH(SMALL($V$4:$V$3183,3124),$V$4:$V$3183,0)),"")</f>
        <v/>
      </c>
      <c r="D3127" s="29">
        <f>IFERROR(INDEX($Q$4:$Q$3183,MATCH(SMALL($V$4:$V$3183,3124),$V$4:$V$3183,0)),"")</f>
        <v/>
      </c>
      <c r="E3127" s="29">
        <f>IFERROR(INDEX($R$4:$R$3183,MATCH(SMALL($V$4:$V$3183,3124),$V$4:$V$3183,0)),"")</f>
        <v/>
      </c>
      <c r="F3127">
        <f>IFERROR(INDEX($S$4:$S$3183,MATCH(SMALL($V$4:$V$3183,3124),$V$4:$V$3183,0)),"")</f>
        <v/>
      </c>
      <c r="I3127" s="29">
        <f>IF($B3127="","",IFERROR(INDEX($U$4:$U$3183,MATCH(SMALL($V$4:$V$3183,3124),$V$4:$V$3183,0)),""))</f>
        <v/>
      </c>
      <c r="J3127">
        <f>IF($B3127="","",IF($D3127&gt;$F$2,"À venir",IF($E3127&lt;$D$2,"Passé","Dans la période")))</f>
        <v/>
      </c>
      <c r="K3127">
        <f>IF(OR($B3127="",NOT(ISNUMBER($D3127))),"",IF(AND($E3127&lt;$D$2,$G3127&lt;&gt;"X",$F3127&lt;&gt;"Réalisé",$F3127&lt;&gt;"Clôturé"),"RETARD",""))</f>
        <v/>
      </c>
      <c r="L3127">
        <f>IF(OR($B3127="",NOT(ISNUMBER($D3127))),"",IF(AND($D3127&gt;=$D$2,$D3127&lt;=$H$2,$G3127&lt;&gt;"X",$F3127&lt;&gt;"Réalisé",$F3127&lt;&gt;"Clôturé"),"≤ 7 j",""))</f>
        <v/>
      </c>
      <c r="M3127" s="29">
        <f>IF($B3127="","",IFERROR(INDEX($T$4:$T$3183,MATCH(SMALL($V$4:$V$3183,3124),$V$4:$V$3183,0)),""))</f>
        <v/>
      </c>
      <c r="O3127">
        <f>IF(INDEX(Suivi!$B:$B,3186)="","",INDEX(Suivi!$B:$B,3186))</f>
        <v/>
      </c>
      <c r="P3127">
        <f>IF($O3127="","",IF(INDEX(Suivi!$D:$D,3186)="",INDEX(Suivi!$C:$C,3186),INDEX(Suivi!$D:$D,3186)))</f>
        <v/>
      </c>
      <c r="Q3127">
        <f>IF($O3127="","",INDEX(Suivi!$E:$E,3186))</f>
        <v/>
      </c>
      <c r="R3127">
        <f>IF($O3127="","",INDEX(Suivi!$F:$F,3186))</f>
        <v/>
      </c>
      <c r="S3127">
        <f>IF($O3127="","",INDEX(Suivi!$G:$G,3186))</f>
        <v/>
      </c>
      <c r="T3127">
        <f>IF($O3127="","",IF(INDEX(Dossiers!$F$4:$F$63,59)="","",INDEX(Dossiers!$F$4:$F$63,59)))</f>
        <v/>
      </c>
      <c r="U3127">
        <f>IF($O3127="","",IF(INDEX(Dossiers!$G$4:$G$63,59)="","",INDEX(Dossiers!$G$4:$G$63,59)))</f>
        <v/>
      </c>
      <c r="V3127">
        <f>IF(OR($O3127="",NOT(ISNUMBER($Q3127))),"",$Q3127*1000000+3127)</f>
        <v/>
      </c>
      <c r="W3127" s="29">
        <f>IF($B3127="","",IFERROR(INDEX($U$4:$U$3183,MATCH(SMALL($V$4:$V$3183,3124),$V$4:$V$3183,0)),""))</f>
        <v/>
      </c>
    </row>
    <row r="3128">
      <c r="A3128">
        <f>IFERROR(INDEX($N$4:$N$3183,MATCH(SMALL($V$4:$V$3183,3125),$V$4:$V$3183,0)),"")</f>
        <v/>
      </c>
      <c r="B3128">
        <f>IFERROR(INDEX($O$4:$O$3183,MATCH(SMALL($V$4:$V$3183,3125),$V$4:$V$3183,0)),"")</f>
        <v/>
      </c>
      <c r="C3128">
        <f>IFERROR(INDEX($P$4:$P$3183,MATCH(SMALL($V$4:$V$3183,3125),$V$4:$V$3183,0)),"")</f>
        <v/>
      </c>
      <c r="D3128" s="29">
        <f>IFERROR(INDEX($Q$4:$Q$3183,MATCH(SMALL($V$4:$V$3183,3125),$V$4:$V$3183,0)),"")</f>
        <v/>
      </c>
      <c r="E3128" s="29">
        <f>IFERROR(INDEX($R$4:$R$3183,MATCH(SMALL($V$4:$V$3183,3125),$V$4:$V$3183,0)),"")</f>
        <v/>
      </c>
      <c r="F3128">
        <f>IFERROR(INDEX($S$4:$S$3183,MATCH(SMALL($V$4:$V$3183,3125),$V$4:$V$3183,0)),"")</f>
        <v/>
      </c>
      <c r="I3128" s="29">
        <f>IF($B3128="","",IFERROR(INDEX($U$4:$U$3183,MATCH(SMALL($V$4:$V$3183,3125),$V$4:$V$3183,0)),""))</f>
        <v/>
      </c>
      <c r="J3128">
        <f>IF($B3128="","",IF($D3128&gt;$F$2,"À venir",IF($E3128&lt;$D$2,"Passé","Dans la période")))</f>
        <v/>
      </c>
      <c r="K3128">
        <f>IF(OR($B3128="",NOT(ISNUMBER($D3128))),"",IF(AND($E3128&lt;$D$2,$G3128&lt;&gt;"X",$F3128&lt;&gt;"Réalisé",$F3128&lt;&gt;"Clôturé"),"RETARD",""))</f>
        <v/>
      </c>
      <c r="L3128">
        <f>IF(OR($B3128="",NOT(ISNUMBER($D3128))),"",IF(AND($D3128&gt;=$D$2,$D3128&lt;=$H$2,$G3128&lt;&gt;"X",$F3128&lt;&gt;"Réalisé",$F3128&lt;&gt;"Clôturé"),"≤ 7 j",""))</f>
        <v/>
      </c>
      <c r="M3128" s="29">
        <f>IF($B3128="","",IFERROR(INDEX($T$4:$T$3183,MATCH(SMALL($V$4:$V$3183,3125),$V$4:$V$3183,0)),""))</f>
        <v/>
      </c>
      <c r="O3128">
        <f>IF(INDEX(Suivi!$B:$B,3187)="","",INDEX(Suivi!$B:$B,3187))</f>
        <v/>
      </c>
      <c r="P3128">
        <f>IF($O3128="","",IF(INDEX(Suivi!$D:$D,3187)="",INDEX(Suivi!$C:$C,3187),INDEX(Suivi!$D:$D,3187)))</f>
        <v/>
      </c>
      <c r="Q3128">
        <f>IF($O3128="","",INDEX(Suivi!$E:$E,3187))</f>
        <v/>
      </c>
      <c r="R3128">
        <f>IF($O3128="","",INDEX(Suivi!$F:$F,3187))</f>
        <v/>
      </c>
      <c r="S3128">
        <f>IF($O3128="","",INDEX(Suivi!$G:$G,3187))</f>
        <v/>
      </c>
      <c r="T3128">
        <f>IF($O3128="","",IF(INDEX(Dossiers!$F$4:$F$63,59)="","",INDEX(Dossiers!$F$4:$F$63,59)))</f>
        <v/>
      </c>
      <c r="U3128">
        <f>IF($O3128="","",IF(INDEX(Dossiers!$G$4:$G$63,59)="","",INDEX(Dossiers!$G$4:$G$63,59)))</f>
        <v/>
      </c>
      <c r="V3128">
        <f>IF(OR($O3128="",NOT(ISNUMBER($Q3128))),"",$Q3128*1000000+3128)</f>
        <v/>
      </c>
      <c r="W3128" s="29">
        <f>IF($B3128="","",IFERROR(INDEX($U$4:$U$3183,MATCH(SMALL($V$4:$V$3183,3125),$V$4:$V$3183,0)),""))</f>
        <v/>
      </c>
    </row>
    <row r="3129">
      <c r="A3129">
        <f>IFERROR(INDEX($N$4:$N$3183,MATCH(SMALL($V$4:$V$3183,3126),$V$4:$V$3183,0)),"")</f>
        <v/>
      </c>
      <c r="B3129">
        <f>IFERROR(INDEX($O$4:$O$3183,MATCH(SMALL($V$4:$V$3183,3126),$V$4:$V$3183,0)),"")</f>
        <v/>
      </c>
      <c r="C3129">
        <f>IFERROR(INDEX($P$4:$P$3183,MATCH(SMALL($V$4:$V$3183,3126),$V$4:$V$3183,0)),"")</f>
        <v/>
      </c>
      <c r="D3129" s="29">
        <f>IFERROR(INDEX($Q$4:$Q$3183,MATCH(SMALL($V$4:$V$3183,3126),$V$4:$V$3183,0)),"")</f>
        <v/>
      </c>
      <c r="E3129" s="29">
        <f>IFERROR(INDEX($R$4:$R$3183,MATCH(SMALL($V$4:$V$3183,3126),$V$4:$V$3183,0)),"")</f>
        <v/>
      </c>
      <c r="F3129">
        <f>IFERROR(INDEX($S$4:$S$3183,MATCH(SMALL($V$4:$V$3183,3126),$V$4:$V$3183,0)),"")</f>
        <v/>
      </c>
      <c r="I3129" s="29">
        <f>IF($B3129="","",IFERROR(INDEX($U$4:$U$3183,MATCH(SMALL($V$4:$V$3183,3126),$V$4:$V$3183,0)),""))</f>
        <v/>
      </c>
      <c r="J3129">
        <f>IF($B3129="","",IF($D3129&gt;$F$2,"À venir",IF($E3129&lt;$D$2,"Passé","Dans la période")))</f>
        <v/>
      </c>
      <c r="K3129">
        <f>IF(OR($B3129="",NOT(ISNUMBER($D3129))),"",IF(AND($E3129&lt;$D$2,$G3129&lt;&gt;"X",$F3129&lt;&gt;"Réalisé",$F3129&lt;&gt;"Clôturé"),"RETARD",""))</f>
        <v/>
      </c>
      <c r="L3129">
        <f>IF(OR($B3129="",NOT(ISNUMBER($D3129))),"",IF(AND($D3129&gt;=$D$2,$D3129&lt;=$H$2,$G3129&lt;&gt;"X",$F3129&lt;&gt;"Réalisé",$F3129&lt;&gt;"Clôturé"),"≤ 7 j",""))</f>
        <v/>
      </c>
      <c r="M3129" s="29">
        <f>IF($B3129="","",IFERROR(INDEX($T$4:$T$3183,MATCH(SMALL($V$4:$V$3183,3126),$V$4:$V$3183,0)),""))</f>
        <v/>
      </c>
      <c r="O3129">
        <f>IF(INDEX(Suivi!$B:$B,3188)="","",INDEX(Suivi!$B:$B,3188))</f>
        <v/>
      </c>
      <c r="P3129">
        <f>IF($O3129="","",IF(INDEX(Suivi!$D:$D,3188)="",INDEX(Suivi!$C:$C,3188),INDEX(Suivi!$D:$D,3188)))</f>
        <v/>
      </c>
      <c r="Q3129">
        <f>IF($O3129="","",INDEX(Suivi!$E:$E,3188))</f>
        <v/>
      </c>
      <c r="R3129">
        <f>IF($O3129="","",INDEX(Suivi!$F:$F,3188))</f>
        <v/>
      </c>
      <c r="S3129">
        <f>IF($O3129="","",INDEX(Suivi!$G:$G,3188))</f>
        <v/>
      </c>
      <c r="T3129">
        <f>IF($O3129="","",IF(INDEX(Dossiers!$F$4:$F$63,59)="","",INDEX(Dossiers!$F$4:$F$63,59)))</f>
        <v/>
      </c>
      <c r="U3129">
        <f>IF($O3129="","",IF(INDEX(Dossiers!$G$4:$G$63,59)="","",INDEX(Dossiers!$G$4:$G$63,59)))</f>
        <v/>
      </c>
      <c r="V3129">
        <f>IF(OR($O3129="",NOT(ISNUMBER($Q3129))),"",$Q3129*1000000+3129)</f>
        <v/>
      </c>
      <c r="W3129" s="29">
        <f>IF($B3129="","",IFERROR(INDEX($U$4:$U$3183,MATCH(SMALL($V$4:$V$3183,3126),$V$4:$V$3183,0)),""))</f>
        <v/>
      </c>
    </row>
    <row r="3130">
      <c r="A3130">
        <f>IFERROR(INDEX($N$4:$N$3183,MATCH(SMALL($V$4:$V$3183,3127),$V$4:$V$3183,0)),"")</f>
        <v/>
      </c>
      <c r="B3130">
        <f>IFERROR(INDEX($O$4:$O$3183,MATCH(SMALL($V$4:$V$3183,3127),$V$4:$V$3183,0)),"")</f>
        <v/>
      </c>
      <c r="C3130">
        <f>IFERROR(INDEX($P$4:$P$3183,MATCH(SMALL($V$4:$V$3183,3127),$V$4:$V$3183,0)),"")</f>
        <v/>
      </c>
      <c r="D3130" s="29">
        <f>IFERROR(INDEX($Q$4:$Q$3183,MATCH(SMALL($V$4:$V$3183,3127),$V$4:$V$3183,0)),"")</f>
        <v/>
      </c>
      <c r="E3130" s="29">
        <f>IFERROR(INDEX($R$4:$R$3183,MATCH(SMALL($V$4:$V$3183,3127),$V$4:$V$3183,0)),"")</f>
        <v/>
      </c>
      <c r="F3130">
        <f>IFERROR(INDEX($S$4:$S$3183,MATCH(SMALL($V$4:$V$3183,3127),$V$4:$V$3183,0)),"")</f>
        <v/>
      </c>
      <c r="I3130" s="29">
        <f>IF($B3130="","",IFERROR(INDEX($U$4:$U$3183,MATCH(SMALL($V$4:$V$3183,3127),$V$4:$V$3183,0)),""))</f>
        <v/>
      </c>
      <c r="J3130">
        <f>IF($B3130="","",IF($D3130&gt;$F$2,"À venir",IF($E3130&lt;$D$2,"Passé","Dans la période")))</f>
        <v/>
      </c>
      <c r="K3130">
        <f>IF(OR($B3130="",NOT(ISNUMBER($D3130))),"",IF(AND($E3130&lt;$D$2,$G3130&lt;&gt;"X",$F3130&lt;&gt;"Réalisé",$F3130&lt;&gt;"Clôturé"),"RETARD",""))</f>
        <v/>
      </c>
      <c r="L3130">
        <f>IF(OR($B3130="",NOT(ISNUMBER($D3130))),"",IF(AND($D3130&gt;=$D$2,$D3130&lt;=$H$2,$G3130&lt;&gt;"X",$F3130&lt;&gt;"Réalisé",$F3130&lt;&gt;"Clôturé"),"≤ 7 j",""))</f>
        <v/>
      </c>
      <c r="M3130" s="29">
        <f>IF($B3130="","",IFERROR(INDEX($T$4:$T$3183,MATCH(SMALL($V$4:$V$3183,3127),$V$4:$V$3183,0)),""))</f>
        <v/>
      </c>
      <c r="O3130">
        <f>IF(INDEX(Suivi!$B:$B,3189)="","",INDEX(Suivi!$B:$B,3189))</f>
        <v/>
      </c>
      <c r="P3130">
        <f>IF($O3130="","",IF(INDEX(Suivi!$D:$D,3189)="",INDEX(Suivi!$C:$C,3189),INDEX(Suivi!$D:$D,3189)))</f>
        <v/>
      </c>
      <c r="Q3130">
        <f>IF($O3130="","",INDEX(Suivi!$E:$E,3189))</f>
        <v/>
      </c>
      <c r="R3130">
        <f>IF($O3130="","",INDEX(Suivi!$F:$F,3189))</f>
        <v/>
      </c>
      <c r="S3130">
        <f>IF($O3130="","",INDEX(Suivi!$G:$G,3189))</f>
        <v/>
      </c>
      <c r="T3130">
        <f>IF($O3130="","",IF(INDEX(Dossiers!$F$4:$F$63,59)="","",INDEX(Dossiers!$F$4:$F$63,59)))</f>
        <v/>
      </c>
      <c r="U3130">
        <f>IF($O3130="","",IF(INDEX(Dossiers!$G$4:$G$63,59)="","",INDEX(Dossiers!$G$4:$G$63,59)))</f>
        <v/>
      </c>
      <c r="V3130">
        <f>IF(OR($O3130="",NOT(ISNUMBER($Q3130))),"",$Q3130*1000000+3130)</f>
        <v/>
      </c>
      <c r="W3130" s="29">
        <f>IF($B3130="","",IFERROR(INDEX($U$4:$U$3183,MATCH(SMALL($V$4:$V$3183,3127),$V$4:$V$3183,0)),""))</f>
        <v/>
      </c>
    </row>
    <row r="3131">
      <c r="A3131">
        <f>IFERROR(INDEX($N$4:$N$3183,MATCH(SMALL($V$4:$V$3183,3128),$V$4:$V$3183,0)),"")</f>
        <v/>
      </c>
      <c r="B3131">
        <f>IFERROR(INDEX($O$4:$O$3183,MATCH(SMALL($V$4:$V$3183,3128),$V$4:$V$3183,0)),"")</f>
        <v/>
      </c>
      <c r="C3131">
        <f>IFERROR(INDEX($P$4:$P$3183,MATCH(SMALL($V$4:$V$3183,3128),$V$4:$V$3183,0)),"")</f>
        <v/>
      </c>
      <c r="D3131" s="29">
        <f>IFERROR(INDEX($Q$4:$Q$3183,MATCH(SMALL($V$4:$V$3183,3128),$V$4:$V$3183,0)),"")</f>
        <v/>
      </c>
      <c r="E3131" s="29">
        <f>IFERROR(INDEX($R$4:$R$3183,MATCH(SMALL($V$4:$V$3183,3128),$V$4:$V$3183,0)),"")</f>
        <v/>
      </c>
      <c r="F3131">
        <f>IFERROR(INDEX($S$4:$S$3183,MATCH(SMALL($V$4:$V$3183,3128),$V$4:$V$3183,0)),"")</f>
        <v/>
      </c>
      <c r="I3131" s="29">
        <f>IF($B3131="","",IFERROR(INDEX($U$4:$U$3183,MATCH(SMALL($V$4:$V$3183,3128),$V$4:$V$3183,0)),""))</f>
        <v/>
      </c>
      <c r="J3131">
        <f>IF($B3131="","",IF($D3131&gt;$F$2,"À venir",IF($E3131&lt;$D$2,"Passé","Dans la période")))</f>
        <v/>
      </c>
      <c r="K3131">
        <f>IF(OR($B3131="",NOT(ISNUMBER($D3131))),"",IF(AND($E3131&lt;$D$2,$G3131&lt;&gt;"X",$F3131&lt;&gt;"Réalisé",$F3131&lt;&gt;"Clôturé"),"RETARD",""))</f>
        <v/>
      </c>
      <c r="L3131">
        <f>IF(OR($B3131="",NOT(ISNUMBER($D3131))),"",IF(AND($D3131&gt;=$D$2,$D3131&lt;=$H$2,$G3131&lt;&gt;"X",$F3131&lt;&gt;"Réalisé",$F3131&lt;&gt;"Clôturé"),"≤ 7 j",""))</f>
        <v/>
      </c>
      <c r="M3131" s="29">
        <f>IF($B3131="","",IFERROR(INDEX($T$4:$T$3183,MATCH(SMALL($V$4:$V$3183,3128),$V$4:$V$3183,0)),""))</f>
        <v/>
      </c>
      <c r="O3131">
        <f>IF(INDEX(Suivi!$B:$B,3191)="","",INDEX(Suivi!$B:$B,3191))</f>
        <v/>
      </c>
      <c r="P3131">
        <f>IF($O3131="","",IF(INDEX(Suivi!$D:$D,3191)="",INDEX(Suivi!$C:$C,3191),INDEX(Suivi!$D:$D,3191)))</f>
        <v/>
      </c>
      <c r="Q3131">
        <f>IF($O3131="","",INDEX(Suivi!$E:$E,3191))</f>
        <v/>
      </c>
      <c r="R3131">
        <f>IF($O3131="","",INDEX(Suivi!$F:$F,3191))</f>
        <v/>
      </c>
      <c r="S3131">
        <f>IF($O3131="","",INDEX(Suivi!$G:$G,3191))</f>
        <v/>
      </c>
      <c r="T3131">
        <f>IF($O3131="","",IF(INDEX(Dossiers!$F$4:$F$63,60)="","",INDEX(Dossiers!$F$4:$F$63,60)))</f>
        <v/>
      </c>
      <c r="U3131">
        <f>IF($O3131="","",IF(INDEX(Dossiers!$G$4:$G$63,60)="","",INDEX(Dossiers!$G$4:$G$63,60)))</f>
        <v/>
      </c>
      <c r="V3131">
        <f>IF(OR($O3131="",NOT(ISNUMBER($Q3131))),"",$Q3131*1000000+3131)</f>
        <v/>
      </c>
      <c r="W3131" s="29">
        <f>IF($B3131="","",IFERROR(INDEX($U$4:$U$3183,MATCH(SMALL($V$4:$V$3183,3128),$V$4:$V$3183,0)),""))</f>
        <v/>
      </c>
    </row>
    <row r="3132">
      <c r="A3132">
        <f>IFERROR(INDEX($N$4:$N$3183,MATCH(SMALL($V$4:$V$3183,3129),$V$4:$V$3183,0)),"")</f>
        <v/>
      </c>
      <c r="B3132">
        <f>IFERROR(INDEX($O$4:$O$3183,MATCH(SMALL($V$4:$V$3183,3129),$V$4:$V$3183,0)),"")</f>
        <v/>
      </c>
      <c r="C3132">
        <f>IFERROR(INDEX($P$4:$P$3183,MATCH(SMALL($V$4:$V$3183,3129),$V$4:$V$3183,0)),"")</f>
        <v/>
      </c>
      <c r="D3132" s="29">
        <f>IFERROR(INDEX($Q$4:$Q$3183,MATCH(SMALL($V$4:$V$3183,3129),$V$4:$V$3183,0)),"")</f>
        <v/>
      </c>
      <c r="E3132" s="29">
        <f>IFERROR(INDEX($R$4:$R$3183,MATCH(SMALL($V$4:$V$3183,3129),$V$4:$V$3183,0)),"")</f>
        <v/>
      </c>
      <c r="F3132">
        <f>IFERROR(INDEX($S$4:$S$3183,MATCH(SMALL($V$4:$V$3183,3129),$V$4:$V$3183,0)),"")</f>
        <v/>
      </c>
      <c r="I3132" s="29">
        <f>IF($B3132="","",IFERROR(INDEX($U$4:$U$3183,MATCH(SMALL($V$4:$V$3183,3129),$V$4:$V$3183,0)),""))</f>
        <v/>
      </c>
      <c r="J3132">
        <f>IF($B3132="","",IF($D3132&gt;$F$2,"À venir",IF($E3132&lt;$D$2,"Passé","Dans la période")))</f>
        <v/>
      </c>
      <c r="K3132">
        <f>IF(OR($B3132="",NOT(ISNUMBER($D3132))),"",IF(AND($E3132&lt;$D$2,$G3132&lt;&gt;"X",$F3132&lt;&gt;"Réalisé",$F3132&lt;&gt;"Clôturé"),"RETARD",""))</f>
        <v/>
      </c>
      <c r="L3132">
        <f>IF(OR($B3132="",NOT(ISNUMBER($D3132))),"",IF(AND($D3132&gt;=$D$2,$D3132&lt;=$H$2,$G3132&lt;&gt;"X",$F3132&lt;&gt;"Réalisé",$F3132&lt;&gt;"Clôturé"),"≤ 7 j",""))</f>
        <v/>
      </c>
      <c r="M3132" s="29">
        <f>IF($B3132="","",IFERROR(INDEX($T$4:$T$3183,MATCH(SMALL($V$4:$V$3183,3129),$V$4:$V$3183,0)),""))</f>
        <v/>
      </c>
      <c r="O3132">
        <f>IF(INDEX(Suivi!$B:$B,3192)="","",INDEX(Suivi!$B:$B,3192))</f>
        <v/>
      </c>
      <c r="P3132">
        <f>IF($O3132="","",IF(INDEX(Suivi!$D:$D,3192)="",INDEX(Suivi!$C:$C,3192),INDEX(Suivi!$D:$D,3192)))</f>
        <v/>
      </c>
      <c r="Q3132">
        <f>IF($O3132="","",INDEX(Suivi!$E:$E,3192))</f>
        <v/>
      </c>
      <c r="R3132">
        <f>IF($O3132="","",INDEX(Suivi!$F:$F,3192))</f>
        <v/>
      </c>
      <c r="S3132">
        <f>IF($O3132="","",INDEX(Suivi!$G:$G,3192))</f>
        <v/>
      </c>
      <c r="T3132">
        <f>IF($O3132="","",IF(INDEX(Dossiers!$F$4:$F$63,60)="","",INDEX(Dossiers!$F$4:$F$63,60)))</f>
        <v/>
      </c>
      <c r="U3132">
        <f>IF($O3132="","",IF(INDEX(Dossiers!$G$4:$G$63,60)="","",INDEX(Dossiers!$G$4:$G$63,60)))</f>
        <v/>
      </c>
      <c r="V3132">
        <f>IF(OR($O3132="",NOT(ISNUMBER($Q3132))),"",$Q3132*1000000+3132)</f>
        <v/>
      </c>
      <c r="W3132" s="29">
        <f>IF($B3132="","",IFERROR(INDEX($U$4:$U$3183,MATCH(SMALL($V$4:$V$3183,3129),$V$4:$V$3183,0)),""))</f>
        <v/>
      </c>
    </row>
    <row r="3133">
      <c r="A3133">
        <f>IFERROR(INDEX($N$4:$N$3183,MATCH(SMALL($V$4:$V$3183,3130),$V$4:$V$3183,0)),"")</f>
        <v/>
      </c>
      <c r="B3133">
        <f>IFERROR(INDEX($O$4:$O$3183,MATCH(SMALL($V$4:$V$3183,3130),$V$4:$V$3183,0)),"")</f>
        <v/>
      </c>
      <c r="C3133">
        <f>IFERROR(INDEX($P$4:$P$3183,MATCH(SMALL($V$4:$V$3183,3130),$V$4:$V$3183,0)),"")</f>
        <v/>
      </c>
      <c r="D3133" s="29">
        <f>IFERROR(INDEX($Q$4:$Q$3183,MATCH(SMALL($V$4:$V$3183,3130),$V$4:$V$3183,0)),"")</f>
        <v/>
      </c>
      <c r="E3133" s="29">
        <f>IFERROR(INDEX($R$4:$R$3183,MATCH(SMALL($V$4:$V$3183,3130),$V$4:$V$3183,0)),"")</f>
        <v/>
      </c>
      <c r="F3133">
        <f>IFERROR(INDEX($S$4:$S$3183,MATCH(SMALL($V$4:$V$3183,3130),$V$4:$V$3183,0)),"")</f>
        <v/>
      </c>
      <c r="I3133" s="29">
        <f>IF($B3133="","",IFERROR(INDEX($U$4:$U$3183,MATCH(SMALL($V$4:$V$3183,3130),$V$4:$V$3183,0)),""))</f>
        <v/>
      </c>
      <c r="J3133">
        <f>IF($B3133="","",IF($D3133&gt;$F$2,"À venir",IF($E3133&lt;$D$2,"Passé","Dans la période")))</f>
        <v/>
      </c>
      <c r="K3133">
        <f>IF(OR($B3133="",NOT(ISNUMBER($D3133))),"",IF(AND($E3133&lt;$D$2,$G3133&lt;&gt;"X",$F3133&lt;&gt;"Réalisé",$F3133&lt;&gt;"Clôturé"),"RETARD",""))</f>
        <v/>
      </c>
      <c r="L3133">
        <f>IF(OR($B3133="",NOT(ISNUMBER($D3133))),"",IF(AND($D3133&gt;=$D$2,$D3133&lt;=$H$2,$G3133&lt;&gt;"X",$F3133&lt;&gt;"Réalisé",$F3133&lt;&gt;"Clôturé"),"≤ 7 j",""))</f>
        <v/>
      </c>
      <c r="M3133" s="29">
        <f>IF($B3133="","",IFERROR(INDEX($T$4:$T$3183,MATCH(SMALL($V$4:$V$3183,3130),$V$4:$V$3183,0)),""))</f>
        <v/>
      </c>
      <c r="O3133">
        <f>IF(INDEX(Suivi!$B:$B,3193)="","",INDEX(Suivi!$B:$B,3193))</f>
        <v/>
      </c>
      <c r="P3133">
        <f>IF($O3133="","",IF(INDEX(Suivi!$D:$D,3193)="",INDEX(Suivi!$C:$C,3193),INDEX(Suivi!$D:$D,3193)))</f>
        <v/>
      </c>
      <c r="Q3133">
        <f>IF($O3133="","",INDEX(Suivi!$E:$E,3193))</f>
        <v/>
      </c>
      <c r="R3133">
        <f>IF($O3133="","",INDEX(Suivi!$F:$F,3193))</f>
        <v/>
      </c>
      <c r="S3133">
        <f>IF($O3133="","",INDEX(Suivi!$G:$G,3193))</f>
        <v/>
      </c>
      <c r="T3133">
        <f>IF($O3133="","",IF(INDEX(Dossiers!$F$4:$F$63,60)="","",INDEX(Dossiers!$F$4:$F$63,60)))</f>
        <v/>
      </c>
      <c r="U3133">
        <f>IF($O3133="","",IF(INDEX(Dossiers!$G$4:$G$63,60)="","",INDEX(Dossiers!$G$4:$G$63,60)))</f>
        <v/>
      </c>
      <c r="V3133">
        <f>IF(OR($O3133="",NOT(ISNUMBER($Q3133))),"",$Q3133*1000000+3133)</f>
        <v/>
      </c>
      <c r="W3133" s="29">
        <f>IF($B3133="","",IFERROR(INDEX($U$4:$U$3183,MATCH(SMALL($V$4:$V$3183,3130),$V$4:$V$3183,0)),""))</f>
        <v/>
      </c>
    </row>
    <row r="3134">
      <c r="A3134">
        <f>IFERROR(INDEX($N$4:$N$3183,MATCH(SMALL($V$4:$V$3183,3131),$V$4:$V$3183,0)),"")</f>
        <v/>
      </c>
      <c r="B3134">
        <f>IFERROR(INDEX($O$4:$O$3183,MATCH(SMALL($V$4:$V$3183,3131),$V$4:$V$3183,0)),"")</f>
        <v/>
      </c>
      <c r="C3134">
        <f>IFERROR(INDEX($P$4:$P$3183,MATCH(SMALL($V$4:$V$3183,3131),$V$4:$V$3183,0)),"")</f>
        <v/>
      </c>
      <c r="D3134" s="29">
        <f>IFERROR(INDEX($Q$4:$Q$3183,MATCH(SMALL($V$4:$V$3183,3131),$V$4:$V$3183,0)),"")</f>
        <v/>
      </c>
      <c r="E3134" s="29">
        <f>IFERROR(INDEX($R$4:$R$3183,MATCH(SMALL($V$4:$V$3183,3131),$V$4:$V$3183,0)),"")</f>
        <v/>
      </c>
      <c r="F3134">
        <f>IFERROR(INDEX($S$4:$S$3183,MATCH(SMALL($V$4:$V$3183,3131),$V$4:$V$3183,0)),"")</f>
        <v/>
      </c>
      <c r="I3134" s="29">
        <f>IF($B3134="","",IFERROR(INDEX($U$4:$U$3183,MATCH(SMALL($V$4:$V$3183,3131),$V$4:$V$3183,0)),""))</f>
        <v/>
      </c>
      <c r="J3134">
        <f>IF($B3134="","",IF($D3134&gt;$F$2,"À venir",IF($E3134&lt;$D$2,"Passé","Dans la période")))</f>
        <v/>
      </c>
      <c r="K3134">
        <f>IF(OR($B3134="",NOT(ISNUMBER($D3134))),"",IF(AND($E3134&lt;$D$2,$G3134&lt;&gt;"X",$F3134&lt;&gt;"Réalisé",$F3134&lt;&gt;"Clôturé"),"RETARD",""))</f>
        <v/>
      </c>
      <c r="L3134">
        <f>IF(OR($B3134="",NOT(ISNUMBER($D3134))),"",IF(AND($D3134&gt;=$D$2,$D3134&lt;=$H$2,$G3134&lt;&gt;"X",$F3134&lt;&gt;"Réalisé",$F3134&lt;&gt;"Clôturé"),"≤ 7 j",""))</f>
        <v/>
      </c>
      <c r="M3134" s="29">
        <f>IF($B3134="","",IFERROR(INDEX($T$4:$T$3183,MATCH(SMALL($V$4:$V$3183,3131),$V$4:$V$3183,0)),""))</f>
        <v/>
      </c>
      <c r="O3134">
        <f>IF(INDEX(Suivi!$B:$B,3194)="","",INDEX(Suivi!$B:$B,3194))</f>
        <v/>
      </c>
      <c r="P3134">
        <f>IF($O3134="","",IF(INDEX(Suivi!$D:$D,3194)="",INDEX(Suivi!$C:$C,3194),INDEX(Suivi!$D:$D,3194)))</f>
        <v/>
      </c>
      <c r="Q3134">
        <f>IF($O3134="","",INDEX(Suivi!$E:$E,3194))</f>
        <v/>
      </c>
      <c r="R3134">
        <f>IF($O3134="","",INDEX(Suivi!$F:$F,3194))</f>
        <v/>
      </c>
      <c r="S3134">
        <f>IF($O3134="","",INDEX(Suivi!$G:$G,3194))</f>
        <v/>
      </c>
      <c r="T3134">
        <f>IF($O3134="","",IF(INDEX(Dossiers!$F$4:$F$63,60)="","",INDEX(Dossiers!$F$4:$F$63,60)))</f>
        <v/>
      </c>
      <c r="U3134">
        <f>IF($O3134="","",IF(INDEX(Dossiers!$G$4:$G$63,60)="","",INDEX(Dossiers!$G$4:$G$63,60)))</f>
        <v/>
      </c>
      <c r="V3134">
        <f>IF(OR($O3134="",NOT(ISNUMBER($Q3134))),"",$Q3134*1000000+3134)</f>
        <v/>
      </c>
      <c r="W3134" s="29">
        <f>IF($B3134="","",IFERROR(INDEX($U$4:$U$3183,MATCH(SMALL($V$4:$V$3183,3131),$V$4:$V$3183,0)),""))</f>
        <v/>
      </c>
    </row>
    <row r="3135">
      <c r="A3135">
        <f>IFERROR(INDEX($N$4:$N$3183,MATCH(SMALL($V$4:$V$3183,3132),$V$4:$V$3183,0)),"")</f>
        <v/>
      </c>
      <c r="B3135">
        <f>IFERROR(INDEX($O$4:$O$3183,MATCH(SMALL($V$4:$V$3183,3132),$V$4:$V$3183,0)),"")</f>
        <v/>
      </c>
      <c r="C3135">
        <f>IFERROR(INDEX($P$4:$P$3183,MATCH(SMALL($V$4:$V$3183,3132),$V$4:$V$3183,0)),"")</f>
        <v/>
      </c>
      <c r="D3135" s="29">
        <f>IFERROR(INDEX($Q$4:$Q$3183,MATCH(SMALL($V$4:$V$3183,3132),$V$4:$V$3183,0)),"")</f>
        <v/>
      </c>
      <c r="E3135" s="29">
        <f>IFERROR(INDEX($R$4:$R$3183,MATCH(SMALL($V$4:$V$3183,3132),$V$4:$V$3183,0)),"")</f>
        <v/>
      </c>
      <c r="F3135">
        <f>IFERROR(INDEX($S$4:$S$3183,MATCH(SMALL($V$4:$V$3183,3132),$V$4:$V$3183,0)),"")</f>
        <v/>
      </c>
      <c r="I3135" s="29">
        <f>IF($B3135="","",IFERROR(INDEX($U$4:$U$3183,MATCH(SMALL($V$4:$V$3183,3132),$V$4:$V$3183,0)),""))</f>
        <v/>
      </c>
      <c r="J3135">
        <f>IF($B3135="","",IF($D3135&gt;$F$2,"À venir",IF($E3135&lt;$D$2,"Passé","Dans la période")))</f>
        <v/>
      </c>
      <c r="K3135">
        <f>IF(OR($B3135="",NOT(ISNUMBER($D3135))),"",IF(AND($E3135&lt;$D$2,$G3135&lt;&gt;"X",$F3135&lt;&gt;"Réalisé",$F3135&lt;&gt;"Clôturé"),"RETARD",""))</f>
        <v/>
      </c>
      <c r="L3135">
        <f>IF(OR($B3135="",NOT(ISNUMBER($D3135))),"",IF(AND($D3135&gt;=$D$2,$D3135&lt;=$H$2,$G3135&lt;&gt;"X",$F3135&lt;&gt;"Réalisé",$F3135&lt;&gt;"Clôturé"),"≤ 7 j",""))</f>
        <v/>
      </c>
      <c r="M3135" s="29">
        <f>IF($B3135="","",IFERROR(INDEX($T$4:$T$3183,MATCH(SMALL($V$4:$V$3183,3132),$V$4:$V$3183,0)),""))</f>
        <v/>
      </c>
      <c r="O3135">
        <f>IF(INDEX(Suivi!$B:$B,3195)="","",INDEX(Suivi!$B:$B,3195))</f>
        <v/>
      </c>
      <c r="P3135">
        <f>IF($O3135="","",IF(INDEX(Suivi!$D:$D,3195)="",INDEX(Suivi!$C:$C,3195),INDEX(Suivi!$D:$D,3195)))</f>
        <v/>
      </c>
      <c r="Q3135">
        <f>IF($O3135="","",INDEX(Suivi!$E:$E,3195))</f>
        <v/>
      </c>
      <c r="R3135">
        <f>IF($O3135="","",INDEX(Suivi!$F:$F,3195))</f>
        <v/>
      </c>
      <c r="S3135">
        <f>IF($O3135="","",INDEX(Suivi!$G:$G,3195))</f>
        <v/>
      </c>
      <c r="T3135">
        <f>IF($O3135="","",IF(INDEX(Dossiers!$F$4:$F$63,60)="","",INDEX(Dossiers!$F$4:$F$63,60)))</f>
        <v/>
      </c>
      <c r="U3135">
        <f>IF($O3135="","",IF(INDEX(Dossiers!$G$4:$G$63,60)="","",INDEX(Dossiers!$G$4:$G$63,60)))</f>
        <v/>
      </c>
      <c r="V3135">
        <f>IF(OR($O3135="",NOT(ISNUMBER($Q3135))),"",$Q3135*1000000+3135)</f>
        <v/>
      </c>
      <c r="W3135" s="29">
        <f>IF($B3135="","",IFERROR(INDEX($U$4:$U$3183,MATCH(SMALL($V$4:$V$3183,3132),$V$4:$V$3183,0)),""))</f>
        <v/>
      </c>
    </row>
    <row r="3136">
      <c r="A3136">
        <f>IFERROR(INDEX($N$4:$N$3183,MATCH(SMALL($V$4:$V$3183,3133),$V$4:$V$3183,0)),"")</f>
        <v/>
      </c>
      <c r="B3136">
        <f>IFERROR(INDEX($O$4:$O$3183,MATCH(SMALL($V$4:$V$3183,3133),$V$4:$V$3183,0)),"")</f>
        <v/>
      </c>
      <c r="C3136">
        <f>IFERROR(INDEX($P$4:$P$3183,MATCH(SMALL($V$4:$V$3183,3133),$V$4:$V$3183,0)),"")</f>
        <v/>
      </c>
      <c r="D3136" s="29">
        <f>IFERROR(INDEX($Q$4:$Q$3183,MATCH(SMALL($V$4:$V$3183,3133),$V$4:$V$3183,0)),"")</f>
        <v/>
      </c>
      <c r="E3136" s="29">
        <f>IFERROR(INDEX($R$4:$R$3183,MATCH(SMALL($V$4:$V$3183,3133),$V$4:$V$3183,0)),"")</f>
        <v/>
      </c>
      <c r="F3136">
        <f>IFERROR(INDEX($S$4:$S$3183,MATCH(SMALL($V$4:$V$3183,3133),$V$4:$V$3183,0)),"")</f>
        <v/>
      </c>
      <c r="I3136" s="29">
        <f>IF($B3136="","",IFERROR(INDEX($U$4:$U$3183,MATCH(SMALL($V$4:$V$3183,3133),$V$4:$V$3183,0)),""))</f>
        <v/>
      </c>
      <c r="J3136">
        <f>IF($B3136="","",IF($D3136&gt;$F$2,"À venir",IF($E3136&lt;$D$2,"Passé","Dans la période")))</f>
        <v/>
      </c>
      <c r="K3136">
        <f>IF(OR($B3136="",NOT(ISNUMBER($D3136))),"",IF(AND($E3136&lt;$D$2,$G3136&lt;&gt;"X",$F3136&lt;&gt;"Réalisé",$F3136&lt;&gt;"Clôturé"),"RETARD",""))</f>
        <v/>
      </c>
      <c r="L3136">
        <f>IF(OR($B3136="",NOT(ISNUMBER($D3136))),"",IF(AND($D3136&gt;=$D$2,$D3136&lt;=$H$2,$G3136&lt;&gt;"X",$F3136&lt;&gt;"Réalisé",$F3136&lt;&gt;"Clôturé"),"≤ 7 j",""))</f>
        <v/>
      </c>
      <c r="M3136" s="29">
        <f>IF($B3136="","",IFERROR(INDEX($T$4:$T$3183,MATCH(SMALL($V$4:$V$3183,3133),$V$4:$V$3183,0)),""))</f>
        <v/>
      </c>
      <c r="O3136">
        <f>IF(INDEX(Suivi!$B:$B,3196)="","",INDEX(Suivi!$B:$B,3196))</f>
        <v/>
      </c>
      <c r="P3136">
        <f>IF($O3136="","",IF(INDEX(Suivi!$D:$D,3196)="",INDEX(Suivi!$C:$C,3196),INDEX(Suivi!$D:$D,3196)))</f>
        <v/>
      </c>
      <c r="Q3136">
        <f>IF($O3136="","",INDEX(Suivi!$E:$E,3196))</f>
        <v/>
      </c>
      <c r="R3136">
        <f>IF($O3136="","",INDEX(Suivi!$F:$F,3196))</f>
        <v/>
      </c>
      <c r="S3136">
        <f>IF($O3136="","",INDEX(Suivi!$G:$G,3196))</f>
        <v/>
      </c>
      <c r="T3136">
        <f>IF($O3136="","",IF(INDEX(Dossiers!$F$4:$F$63,60)="","",INDEX(Dossiers!$F$4:$F$63,60)))</f>
        <v/>
      </c>
      <c r="U3136">
        <f>IF($O3136="","",IF(INDEX(Dossiers!$G$4:$G$63,60)="","",INDEX(Dossiers!$G$4:$G$63,60)))</f>
        <v/>
      </c>
      <c r="V3136">
        <f>IF(OR($O3136="",NOT(ISNUMBER($Q3136))),"",$Q3136*1000000+3136)</f>
        <v/>
      </c>
      <c r="W3136" s="29">
        <f>IF($B3136="","",IFERROR(INDEX($U$4:$U$3183,MATCH(SMALL($V$4:$V$3183,3133),$V$4:$V$3183,0)),""))</f>
        <v/>
      </c>
    </row>
    <row r="3137">
      <c r="A3137">
        <f>IFERROR(INDEX($N$4:$N$3183,MATCH(SMALL($V$4:$V$3183,3134),$V$4:$V$3183,0)),"")</f>
        <v/>
      </c>
      <c r="B3137">
        <f>IFERROR(INDEX($O$4:$O$3183,MATCH(SMALL($V$4:$V$3183,3134),$V$4:$V$3183,0)),"")</f>
        <v/>
      </c>
      <c r="C3137">
        <f>IFERROR(INDEX($P$4:$P$3183,MATCH(SMALL($V$4:$V$3183,3134),$V$4:$V$3183,0)),"")</f>
        <v/>
      </c>
      <c r="D3137" s="29">
        <f>IFERROR(INDEX($Q$4:$Q$3183,MATCH(SMALL($V$4:$V$3183,3134),$V$4:$V$3183,0)),"")</f>
        <v/>
      </c>
      <c r="E3137" s="29">
        <f>IFERROR(INDEX($R$4:$R$3183,MATCH(SMALL($V$4:$V$3183,3134),$V$4:$V$3183,0)),"")</f>
        <v/>
      </c>
      <c r="F3137">
        <f>IFERROR(INDEX($S$4:$S$3183,MATCH(SMALL($V$4:$V$3183,3134),$V$4:$V$3183,0)),"")</f>
        <v/>
      </c>
      <c r="I3137" s="29">
        <f>IF($B3137="","",IFERROR(INDEX($U$4:$U$3183,MATCH(SMALL($V$4:$V$3183,3134),$V$4:$V$3183,0)),""))</f>
        <v/>
      </c>
      <c r="J3137">
        <f>IF($B3137="","",IF($D3137&gt;$F$2,"À venir",IF($E3137&lt;$D$2,"Passé","Dans la période")))</f>
        <v/>
      </c>
      <c r="K3137">
        <f>IF(OR($B3137="",NOT(ISNUMBER($D3137))),"",IF(AND($E3137&lt;$D$2,$G3137&lt;&gt;"X",$F3137&lt;&gt;"Réalisé",$F3137&lt;&gt;"Clôturé"),"RETARD",""))</f>
        <v/>
      </c>
      <c r="L3137">
        <f>IF(OR($B3137="",NOT(ISNUMBER($D3137))),"",IF(AND($D3137&gt;=$D$2,$D3137&lt;=$H$2,$G3137&lt;&gt;"X",$F3137&lt;&gt;"Réalisé",$F3137&lt;&gt;"Clôturé"),"≤ 7 j",""))</f>
        <v/>
      </c>
      <c r="M3137" s="29">
        <f>IF($B3137="","",IFERROR(INDEX($T$4:$T$3183,MATCH(SMALL($V$4:$V$3183,3134),$V$4:$V$3183,0)),""))</f>
        <v/>
      </c>
      <c r="O3137">
        <f>IF(INDEX(Suivi!$B:$B,3197)="","",INDEX(Suivi!$B:$B,3197))</f>
        <v/>
      </c>
      <c r="P3137">
        <f>IF($O3137="","",IF(INDEX(Suivi!$D:$D,3197)="",INDEX(Suivi!$C:$C,3197),INDEX(Suivi!$D:$D,3197)))</f>
        <v/>
      </c>
      <c r="Q3137">
        <f>IF($O3137="","",INDEX(Suivi!$E:$E,3197))</f>
        <v/>
      </c>
      <c r="R3137">
        <f>IF($O3137="","",INDEX(Suivi!$F:$F,3197))</f>
        <v/>
      </c>
      <c r="S3137">
        <f>IF($O3137="","",INDEX(Suivi!$G:$G,3197))</f>
        <v/>
      </c>
      <c r="T3137">
        <f>IF($O3137="","",IF(INDEX(Dossiers!$F$4:$F$63,60)="","",INDEX(Dossiers!$F$4:$F$63,60)))</f>
        <v/>
      </c>
      <c r="U3137">
        <f>IF($O3137="","",IF(INDEX(Dossiers!$G$4:$G$63,60)="","",INDEX(Dossiers!$G$4:$G$63,60)))</f>
        <v/>
      </c>
      <c r="V3137">
        <f>IF(OR($O3137="",NOT(ISNUMBER($Q3137))),"",$Q3137*1000000+3137)</f>
        <v/>
      </c>
      <c r="W3137" s="29">
        <f>IF($B3137="","",IFERROR(INDEX($U$4:$U$3183,MATCH(SMALL($V$4:$V$3183,3134),$V$4:$V$3183,0)),""))</f>
        <v/>
      </c>
    </row>
    <row r="3138">
      <c r="A3138">
        <f>IFERROR(INDEX($N$4:$N$3183,MATCH(SMALL($V$4:$V$3183,3135),$V$4:$V$3183,0)),"")</f>
        <v/>
      </c>
      <c r="B3138">
        <f>IFERROR(INDEX($O$4:$O$3183,MATCH(SMALL($V$4:$V$3183,3135),$V$4:$V$3183,0)),"")</f>
        <v/>
      </c>
      <c r="C3138">
        <f>IFERROR(INDEX($P$4:$P$3183,MATCH(SMALL($V$4:$V$3183,3135),$V$4:$V$3183,0)),"")</f>
        <v/>
      </c>
      <c r="D3138" s="29">
        <f>IFERROR(INDEX($Q$4:$Q$3183,MATCH(SMALL($V$4:$V$3183,3135),$V$4:$V$3183,0)),"")</f>
        <v/>
      </c>
      <c r="E3138" s="29">
        <f>IFERROR(INDEX($R$4:$R$3183,MATCH(SMALL($V$4:$V$3183,3135),$V$4:$V$3183,0)),"")</f>
        <v/>
      </c>
      <c r="F3138">
        <f>IFERROR(INDEX($S$4:$S$3183,MATCH(SMALL($V$4:$V$3183,3135),$V$4:$V$3183,0)),"")</f>
        <v/>
      </c>
      <c r="I3138" s="29">
        <f>IF($B3138="","",IFERROR(INDEX($U$4:$U$3183,MATCH(SMALL($V$4:$V$3183,3135),$V$4:$V$3183,0)),""))</f>
        <v/>
      </c>
      <c r="J3138">
        <f>IF($B3138="","",IF($D3138&gt;$F$2,"À venir",IF($E3138&lt;$D$2,"Passé","Dans la période")))</f>
        <v/>
      </c>
      <c r="K3138">
        <f>IF(OR($B3138="",NOT(ISNUMBER($D3138))),"",IF(AND($E3138&lt;$D$2,$G3138&lt;&gt;"X",$F3138&lt;&gt;"Réalisé",$F3138&lt;&gt;"Clôturé"),"RETARD",""))</f>
        <v/>
      </c>
      <c r="L3138">
        <f>IF(OR($B3138="",NOT(ISNUMBER($D3138))),"",IF(AND($D3138&gt;=$D$2,$D3138&lt;=$H$2,$G3138&lt;&gt;"X",$F3138&lt;&gt;"Réalisé",$F3138&lt;&gt;"Clôturé"),"≤ 7 j",""))</f>
        <v/>
      </c>
      <c r="M3138" s="29">
        <f>IF($B3138="","",IFERROR(INDEX($T$4:$T$3183,MATCH(SMALL($V$4:$V$3183,3135),$V$4:$V$3183,0)),""))</f>
        <v/>
      </c>
      <c r="O3138">
        <f>IF(INDEX(Suivi!$B:$B,3198)="","",INDEX(Suivi!$B:$B,3198))</f>
        <v/>
      </c>
      <c r="P3138">
        <f>IF($O3138="","",IF(INDEX(Suivi!$D:$D,3198)="",INDEX(Suivi!$C:$C,3198),INDEX(Suivi!$D:$D,3198)))</f>
        <v/>
      </c>
      <c r="Q3138">
        <f>IF($O3138="","",INDEX(Suivi!$E:$E,3198))</f>
        <v/>
      </c>
      <c r="R3138">
        <f>IF($O3138="","",INDEX(Suivi!$F:$F,3198))</f>
        <v/>
      </c>
      <c r="S3138">
        <f>IF($O3138="","",INDEX(Suivi!$G:$G,3198))</f>
        <v/>
      </c>
      <c r="T3138">
        <f>IF($O3138="","",IF(INDEX(Dossiers!$F$4:$F$63,60)="","",INDEX(Dossiers!$F$4:$F$63,60)))</f>
        <v/>
      </c>
      <c r="U3138">
        <f>IF($O3138="","",IF(INDEX(Dossiers!$G$4:$G$63,60)="","",INDEX(Dossiers!$G$4:$G$63,60)))</f>
        <v/>
      </c>
      <c r="V3138">
        <f>IF(OR($O3138="",NOT(ISNUMBER($Q3138))),"",$Q3138*1000000+3138)</f>
        <v/>
      </c>
      <c r="W3138" s="29">
        <f>IF($B3138="","",IFERROR(INDEX($U$4:$U$3183,MATCH(SMALL($V$4:$V$3183,3135),$V$4:$V$3183,0)),""))</f>
        <v/>
      </c>
    </row>
    <row r="3139">
      <c r="A3139">
        <f>IFERROR(INDEX($N$4:$N$3183,MATCH(SMALL($V$4:$V$3183,3136),$V$4:$V$3183,0)),"")</f>
        <v/>
      </c>
      <c r="B3139">
        <f>IFERROR(INDEX($O$4:$O$3183,MATCH(SMALL($V$4:$V$3183,3136),$V$4:$V$3183,0)),"")</f>
        <v/>
      </c>
      <c r="C3139">
        <f>IFERROR(INDEX($P$4:$P$3183,MATCH(SMALL($V$4:$V$3183,3136),$V$4:$V$3183,0)),"")</f>
        <v/>
      </c>
      <c r="D3139" s="29">
        <f>IFERROR(INDEX($Q$4:$Q$3183,MATCH(SMALL($V$4:$V$3183,3136),$V$4:$V$3183,0)),"")</f>
        <v/>
      </c>
      <c r="E3139" s="29">
        <f>IFERROR(INDEX($R$4:$R$3183,MATCH(SMALL($V$4:$V$3183,3136),$V$4:$V$3183,0)),"")</f>
        <v/>
      </c>
      <c r="F3139">
        <f>IFERROR(INDEX($S$4:$S$3183,MATCH(SMALL($V$4:$V$3183,3136),$V$4:$V$3183,0)),"")</f>
        <v/>
      </c>
      <c r="I3139" s="29">
        <f>IF($B3139="","",IFERROR(INDEX($U$4:$U$3183,MATCH(SMALL($V$4:$V$3183,3136),$V$4:$V$3183,0)),""))</f>
        <v/>
      </c>
      <c r="J3139">
        <f>IF($B3139="","",IF($D3139&gt;$F$2,"À venir",IF($E3139&lt;$D$2,"Passé","Dans la période")))</f>
        <v/>
      </c>
      <c r="K3139">
        <f>IF(OR($B3139="",NOT(ISNUMBER($D3139))),"",IF(AND($E3139&lt;$D$2,$G3139&lt;&gt;"X",$F3139&lt;&gt;"Réalisé",$F3139&lt;&gt;"Clôturé"),"RETARD",""))</f>
        <v/>
      </c>
      <c r="L3139">
        <f>IF(OR($B3139="",NOT(ISNUMBER($D3139))),"",IF(AND($D3139&gt;=$D$2,$D3139&lt;=$H$2,$G3139&lt;&gt;"X",$F3139&lt;&gt;"Réalisé",$F3139&lt;&gt;"Clôturé"),"≤ 7 j",""))</f>
        <v/>
      </c>
      <c r="M3139" s="29">
        <f>IF($B3139="","",IFERROR(INDEX($T$4:$T$3183,MATCH(SMALL($V$4:$V$3183,3136),$V$4:$V$3183,0)),""))</f>
        <v/>
      </c>
      <c r="O3139">
        <f>IF(INDEX(Suivi!$B:$B,3199)="","",INDEX(Suivi!$B:$B,3199))</f>
        <v/>
      </c>
      <c r="P3139">
        <f>IF($O3139="","",IF(INDEX(Suivi!$D:$D,3199)="",INDEX(Suivi!$C:$C,3199),INDEX(Suivi!$D:$D,3199)))</f>
        <v/>
      </c>
      <c r="Q3139">
        <f>IF($O3139="","",INDEX(Suivi!$E:$E,3199))</f>
        <v/>
      </c>
      <c r="R3139">
        <f>IF($O3139="","",INDEX(Suivi!$F:$F,3199))</f>
        <v/>
      </c>
      <c r="S3139">
        <f>IF($O3139="","",INDEX(Suivi!$G:$G,3199))</f>
        <v/>
      </c>
      <c r="T3139">
        <f>IF($O3139="","",IF(INDEX(Dossiers!$F$4:$F$63,60)="","",INDEX(Dossiers!$F$4:$F$63,60)))</f>
        <v/>
      </c>
      <c r="U3139">
        <f>IF($O3139="","",IF(INDEX(Dossiers!$G$4:$G$63,60)="","",INDEX(Dossiers!$G$4:$G$63,60)))</f>
        <v/>
      </c>
      <c r="V3139">
        <f>IF(OR($O3139="",NOT(ISNUMBER($Q3139))),"",$Q3139*1000000+3139)</f>
        <v/>
      </c>
      <c r="W3139" s="29">
        <f>IF($B3139="","",IFERROR(INDEX($U$4:$U$3183,MATCH(SMALL($V$4:$V$3183,3136),$V$4:$V$3183,0)),""))</f>
        <v/>
      </c>
    </row>
    <row r="3140">
      <c r="A3140">
        <f>IFERROR(INDEX($N$4:$N$3183,MATCH(SMALL($V$4:$V$3183,3137),$V$4:$V$3183,0)),"")</f>
        <v/>
      </c>
      <c r="B3140">
        <f>IFERROR(INDEX($O$4:$O$3183,MATCH(SMALL($V$4:$V$3183,3137),$V$4:$V$3183,0)),"")</f>
        <v/>
      </c>
      <c r="C3140">
        <f>IFERROR(INDEX($P$4:$P$3183,MATCH(SMALL($V$4:$V$3183,3137),$V$4:$V$3183,0)),"")</f>
        <v/>
      </c>
      <c r="D3140" s="29">
        <f>IFERROR(INDEX($Q$4:$Q$3183,MATCH(SMALL($V$4:$V$3183,3137),$V$4:$V$3183,0)),"")</f>
        <v/>
      </c>
      <c r="E3140" s="29">
        <f>IFERROR(INDEX($R$4:$R$3183,MATCH(SMALL($V$4:$V$3183,3137),$V$4:$V$3183,0)),"")</f>
        <v/>
      </c>
      <c r="F3140">
        <f>IFERROR(INDEX($S$4:$S$3183,MATCH(SMALL($V$4:$V$3183,3137),$V$4:$V$3183,0)),"")</f>
        <v/>
      </c>
      <c r="I3140" s="29">
        <f>IF($B3140="","",IFERROR(INDEX($U$4:$U$3183,MATCH(SMALL($V$4:$V$3183,3137),$V$4:$V$3183,0)),""))</f>
        <v/>
      </c>
      <c r="J3140">
        <f>IF($B3140="","",IF($D3140&gt;$F$2,"À venir",IF($E3140&lt;$D$2,"Passé","Dans la période")))</f>
        <v/>
      </c>
      <c r="K3140">
        <f>IF(OR($B3140="",NOT(ISNUMBER($D3140))),"",IF(AND($E3140&lt;$D$2,$G3140&lt;&gt;"X",$F3140&lt;&gt;"Réalisé",$F3140&lt;&gt;"Clôturé"),"RETARD",""))</f>
        <v/>
      </c>
      <c r="L3140">
        <f>IF(OR($B3140="",NOT(ISNUMBER($D3140))),"",IF(AND($D3140&gt;=$D$2,$D3140&lt;=$H$2,$G3140&lt;&gt;"X",$F3140&lt;&gt;"Réalisé",$F3140&lt;&gt;"Clôturé"),"≤ 7 j",""))</f>
        <v/>
      </c>
      <c r="M3140" s="29">
        <f>IF($B3140="","",IFERROR(INDEX($T$4:$T$3183,MATCH(SMALL($V$4:$V$3183,3137),$V$4:$V$3183,0)),""))</f>
        <v/>
      </c>
      <c r="O3140">
        <f>IF(INDEX(Suivi!$B:$B,3200)="","",INDEX(Suivi!$B:$B,3200))</f>
        <v/>
      </c>
      <c r="P3140">
        <f>IF($O3140="","",IF(INDEX(Suivi!$D:$D,3200)="",INDEX(Suivi!$C:$C,3200),INDEX(Suivi!$D:$D,3200)))</f>
        <v/>
      </c>
      <c r="Q3140">
        <f>IF($O3140="","",INDEX(Suivi!$E:$E,3200))</f>
        <v/>
      </c>
      <c r="R3140">
        <f>IF($O3140="","",INDEX(Suivi!$F:$F,3200))</f>
        <v/>
      </c>
      <c r="S3140">
        <f>IF($O3140="","",INDEX(Suivi!$G:$G,3200))</f>
        <v/>
      </c>
      <c r="T3140">
        <f>IF($O3140="","",IF(INDEX(Dossiers!$F$4:$F$63,60)="","",INDEX(Dossiers!$F$4:$F$63,60)))</f>
        <v/>
      </c>
      <c r="U3140">
        <f>IF($O3140="","",IF(INDEX(Dossiers!$G$4:$G$63,60)="","",INDEX(Dossiers!$G$4:$G$63,60)))</f>
        <v/>
      </c>
      <c r="V3140">
        <f>IF(OR($O3140="",NOT(ISNUMBER($Q3140))),"",$Q3140*1000000+3140)</f>
        <v/>
      </c>
      <c r="W3140" s="29">
        <f>IF($B3140="","",IFERROR(INDEX($U$4:$U$3183,MATCH(SMALL($V$4:$V$3183,3137),$V$4:$V$3183,0)),""))</f>
        <v/>
      </c>
    </row>
    <row r="3141">
      <c r="A3141">
        <f>IFERROR(INDEX($N$4:$N$3183,MATCH(SMALL($V$4:$V$3183,3138),$V$4:$V$3183,0)),"")</f>
        <v/>
      </c>
      <c r="B3141">
        <f>IFERROR(INDEX($O$4:$O$3183,MATCH(SMALL($V$4:$V$3183,3138),$V$4:$V$3183,0)),"")</f>
        <v/>
      </c>
      <c r="C3141">
        <f>IFERROR(INDEX($P$4:$P$3183,MATCH(SMALL($V$4:$V$3183,3138),$V$4:$V$3183,0)),"")</f>
        <v/>
      </c>
      <c r="D3141" s="29">
        <f>IFERROR(INDEX($Q$4:$Q$3183,MATCH(SMALL($V$4:$V$3183,3138),$V$4:$V$3183,0)),"")</f>
        <v/>
      </c>
      <c r="E3141" s="29">
        <f>IFERROR(INDEX($R$4:$R$3183,MATCH(SMALL($V$4:$V$3183,3138),$V$4:$V$3183,0)),"")</f>
        <v/>
      </c>
      <c r="F3141">
        <f>IFERROR(INDEX($S$4:$S$3183,MATCH(SMALL($V$4:$V$3183,3138),$V$4:$V$3183,0)),"")</f>
        <v/>
      </c>
      <c r="I3141" s="29">
        <f>IF($B3141="","",IFERROR(INDEX($U$4:$U$3183,MATCH(SMALL($V$4:$V$3183,3138),$V$4:$V$3183,0)),""))</f>
        <v/>
      </c>
      <c r="J3141">
        <f>IF($B3141="","",IF($D3141&gt;$F$2,"À venir",IF($E3141&lt;$D$2,"Passé","Dans la période")))</f>
        <v/>
      </c>
      <c r="K3141">
        <f>IF(OR($B3141="",NOT(ISNUMBER($D3141))),"",IF(AND($E3141&lt;$D$2,$G3141&lt;&gt;"X",$F3141&lt;&gt;"Réalisé",$F3141&lt;&gt;"Clôturé"),"RETARD",""))</f>
        <v/>
      </c>
      <c r="L3141">
        <f>IF(OR($B3141="",NOT(ISNUMBER($D3141))),"",IF(AND($D3141&gt;=$D$2,$D3141&lt;=$H$2,$G3141&lt;&gt;"X",$F3141&lt;&gt;"Réalisé",$F3141&lt;&gt;"Clôturé"),"≤ 7 j",""))</f>
        <v/>
      </c>
      <c r="M3141" s="29">
        <f>IF($B3141="","",IFERROR(INDEX($T$4:$T$3183,MATCH(SMALL($V$4:$V$3183,3138),$V$4:$V$3183,0)),""))</f>
        <v/>
      </c>
      <c r="O3141">
        <f>IF(INDEX(Suivi!$B:$B,3201)="","",INDEX(Suivi!$B:$B,3201))</f>
        <v/>
      </c>
      <c r="P3141">
        <f>IF($O3141="","",IF(INDEX(Suivi!$D:$D,3201)="",INDEX(Suivi!$C:$C,3201),INDEX(Suivi!$D:$D,3201)))</f>
        <v/>
      </c>
      <c r="Q3141">
        <f>IF($O3141="","",INDEX(Suivi!$E:$E,3201))</f>
        <v/>
      </c>
      <c r="R3141">
        <f>IF($O3141="","",INDEX(Suivi!$F:$F,3201))</f>
        <v/>
      </c>
      <c r="S3141">
        <f>IF($O3141="","",INDEX(Suivi!$G:$G,3201))</f>
        <v/>
      </c>
      <c r="T3141">
        <f>IF($O3141="","",IF(INDEX(Dossiers!$F$4:$F$63,60)="","",INDEX(Dossiers!$F$4:$F$63,60)))</f>
        <v/>
      </c>
      <c r="U3141">
        <f>IF($O3141="","",IF(INDEX(Dossiers!$G$4:$G$63,60)="","",INDEX(Dossiers!$G$4:$G$63,60)))</f>
        <v/>
      </c>
      <c r="V3141">
        <f>IF(OR($O3141="",NOT(ISNUMBER($Q3141))),"",$Q3141*1000000+3141)</f>
        <v/>
      </c>
      <c r="W3141" s="29">
        <f>IF($B3141="","",IFERROR(INDEX($U$4:$U$3183,MATCH(SMALL($V$4:$V$3183,3138),$V$4:$V$3183,0)),""))</f>
        <v/>
      </c>
    </row>
    <row r="3142">
      <c r="A3142">
        <f>IFERROR(INDEX($N$4:$N$3183,MATCH(SMALL($V$4:$V$3183,3139),$V$4:$V$3183,0)),"")</f>
        <v/>
      </c>
      <c r="B3142">
        <f>IFERROR(INDEX($O$4:$O$3183,MATCH(SMALL($V$4:$V$3183,3139),$V$4:$V$3183,0)),"")</f>
        <v/>
      </c>
      <c r="C3142">
        <f>IFERROR(INDEX($P$4:$P$3183,MATCH(SMALL($V$4:$V$3183,3139),$V$4:$V$3183,0)),"")</f>
        <v/>
      </c>
      <c r="D3142" s="29">
        <f>IFERROR(INDEX($Q$4:$Q$3183,MATCH(SMALL($V$4:$V$3183,3139),$V$4:$V$3183,0)),"")</f>
        <v/>
      </c>
      <c r="E3142" s="29">
        <f>IFERROR(INDEX($R$4:$R$3183,MATCH(SMALL($V$4:$V$3183,3139),$V$4:$V$3183,0)),"")</f>
        <v/>
      </c>
      <c r="F3142">
        <f>IFERROR(INDEX($S$4:$S$3183,MATCH(SMALL($V$4:$V$3183,3139),$V$4:$V$3183,0)),"")</f>
        <v/>
      </c>
      <c r="I3142" s="29">
        <f>IF($B3142="","",IFERROR(INDEX($U$4:$U$3183,MATCH(SMALL($V$4:$V$3183,3139),$V$4:$V$3183,0)),""))</f>
        <v/>
      </c>
      <c r="J3142">
        <f>IF($B3142="","",IF($D3142&gt;$F$2,"À venir",IF($E3142&lt;$D$2,"Passé","Dans la période")))</f>
        <v/>
      </c>
      <c r="K3142">
        <f>IF(OR($B3142="",NOT(ISNUMBER($D3142))),"",IF(AND($E3142&lt;$D$2,$G3142&lt;&gt;"X",$F3142&lt;&gt;"Réalisé",$F3142&lt;&gt;"Clôturé"),"RETARD",""))</f>
        <v/>
      </c>
      <c r="L3142">
        <f>IF(OR($B3142="",NOT(ISNUMBER($D3142))),"",IF(AND($D3142&gt;=$D$2,$D3142&lt;=$H$2,$G3142&lt;&gt;"X",$F3142&lt;&gt;"Réalisé",$F3142&lt;&gt;"Clôturé"),"≤ 7 j",""))</f>
        <v/>
      </c>
      <c r="M3142" s="29">
        <f>IF($B3142="","",IFERROR(INDEX($T$4:$T$3183,MATCH(SMALL($V$4:$V$3183,3139),$V$4:$V$3183,0)),""))</f>
        <v/>
      </c>
      <c r="O3142">
        <f>IF(INDEX(Suivi!$B:$B,3202)="","",INDEX(Suivi!$B:$B,3202))</f>
        <v/>
      </c>
      <c r="P3142">
        <f>IF($O3142="","",IF(INDEX(Suivi!$D:$D,3202)="",INDEX(Suivi!$C:$C,3202),INDEX(Suivi!$D:$D,3202)))</f>
        <v/>
      </c>
      <c r="Q3142">
        <f>IF($O3142="","",INDEX(Suivi!$E:$E,3202))</f>
        <v/>
      </c>
      <c r="R3142">
        <f>IF($O3142="","",INDEX(Suivi!$F:$F,3202))</f>
        <v/>
      </c>
      <c r="S3142">
        <f>IF($O3142="","",INDEX(Suivi!$G:$G,3202))</f>
        <v/>
      </c>
      <c r="T3142">
        <f>IF($O3142="","",IF(INDEX(Dossiers!$F$4:$F$63,60)="","",INDEX(Dossiers!$F$4:$F$63,60)))</f>
        <v/>
      </c>
      <c r="U3142">
        <f>IF($O3142="","",IF(INDEX(Dossiers!$G$4:$G$63,60)="","",INDEX(Dossiers!$G$4:$G$63,60)))</f>
        <v/>
      </c>
      <c r="V3142">
        <f>IF(OR($O3142="",NOT(ISNUMBER($Q3142))),"",$Q3142*1000000+3142)</f>
        <v/>
      </c>
      <c r="W3142" s="29">
        <f>IF($B3142="","",IFERROR(INDEX($U$4:$U$3183,MATCH(SMALL($V$4:$V$3183,3139),$V$4:$V$3183,0)),""))</f>
        <v/>
      </c>
    </row>
    <row r="3143">
      <c r="A3143">
        <f>IFERROR(INDEX($N$4:$N$3183,MATCH(SMALL($V$4:$V$3183,3140),$V$4:$V$3183,0)),"")</f>
        <v/>
      </c>
      <c r="B3143">
        <f>IFERROR(INDEX($O$4:$O$3183,MATCH(SMALL($V$4:$V$3183,3140),$V$4:$V$3183,0)),"")</f>
        <v/>
      </c>
      <c r="C3143">
        <f>IFERROR(INDEX($P$4:$P$3183,MATCH(SMALL($V$4:$V$3183,3140),$V$4:$V$3183,0)),"")</f>
        <v/>
      </c>
      <c r="D3143" s="29">
        <f>IFERROR(INDEX($Q$4:$Q$3183,MATCH(SMALL($V$4:$V$3183,3140),$V$4:$V$3183,0)),"")</f>
        <v/>
      </c>
      <c r="E3143" s="29">
        <f>IFERROR(INDEX($R$4:$R$3183,MATCH(SMALL($V$4:$V$3183,3140),$V$4:$V$3183,0)),"")</f>
        <v/>
      </c>
      <c r="F3143">
        <f>IFERROR(INDEX($S$4:$S$3183,MATCH(SMALL($V$4:$V$3183,3140),$V$4:$V$3183,0)),"")</f>
        <v/>
      </c>
      <c r="I3143" s="29">
        <f>IF($B3143="","",IFERROR(INDEX($U$4:$U$3183,MATCH(SMALL($V$4:$V$3183,3140),$V$4:$V$3183,0)),""))</f>
        <v/>
      </c>
      <c r="J3143">
        <f>IF($B3143="","",IF($D3143&gt;$F$2,"À venir",IF($E3143&lt;$D$2,"Passé","Dans la période")))</f>
        <v/>
      </c>
      <c r="K3143">
        <f>IF(OR($B3143="",NOT(ISNUMBER($D3143))),"",IF(AND($E3143&lt;$D$2,$G3143&lt;&gt;"X",$F3143&lt;&gt;"Réalisé",$F3143&lt;&gt;"Clôturé"),"RETARD",""))</f>
        <v/>
      </c>
      <c r="L3143">
        <f>IF(OR($B3143="",NOT(ISNUMBER($D3143))),"",IF(AND($D3143&gt;=$D$2,$D3143&lt;=$H$2,$G3143&lt;&gt;"X",$F3143&lt;&gt;"Réalisé",$F3143&lt;&gt;"Clôturé"),"≤ 7 j",""))</f>
        <v/>
      </c>
      <c r="M3143" s="29">
        <f>IF($B3143="","",IFERROR(INDEX($T$4:$T$3183,MATCH(SMALL($V$4:$V$3183,3140),$V$4:$V$3183,0)),""))</f>
        <v/>
      </c>
      <c r="O3143">
        <f>IF(INDEX(Suivi!$B:$B,3203)="","",INDEX(Suivi!$B:$B,3203))</f>
        <v/>
      </c>
      <c r="P3143">
        <f>IF($O3143="","",IF(INDEX(Suivi!$D:$D,3203)="",INDEX(Suivi!$C:$C,3203),INDEX(Suivi!$D:$D,3203)))</f>
        <v/>
      </c>
      <c r="Q3143">
        <f>IF($O3143="","",INDEX(Suivi!$E:$E,3203))</f>
        <v/>
      </c>
      <c r="R3143">
        <f>IF($O3143="","",INDEX(Suivi!$F:$F,3203))</f>
        <v/>
      </c>
      <c r="S3143">
        <f>IF($O3143="","",INDEX(Suivi!$G:$G,3203))</f>
        <v/>
      </c>
      <c r="T3143">
        <f>IF($O3143="","",IF(INDEX(Dossiers!$F$4:$F$63,60)="","",INDEX(Dossiers!$F$4:$F$63,60)))</f>
        <v/>
      </c>
      <c r="U3143">
        <f>IF($O3143="","",IF(INDEX(Dossiers!$G$4:$G$63,60)="","",INDEX(Dossiers!$G$4:$G$63,60)))</f>
        <v/>
      </c>
      <c r="V3143">
        <f>IF(OR($O3143="",NOT(ISNUMBER($Q3143))),"",$Q3143*1000000+3143)</f>
        <v/>
      </c>
      <c r="W3143" s="29">
        <f>IF($B3143="","",IFERROR(INDEX($U$4:$U$3183,MATCH(SMALL($V$4:$V$3183,3140),$V$4:$V$3183,0)),""))</f>
        <v/>
      </c>
    </row>
    <row r="3144">
      <c r="A3144">
        <f>IFERROR(INDEX($N$4:$N$3183,MATCH(SMALL($V$4:$V$3183,3141),$V$4:$V$3183,0)),"")</f>
        <v/>
      </c>
      <c r="B3144">
        <f>IFERROR(INDEX($O$4:$O$3183,MATCH(SMALL($V$4:$V$3183,3141),$V$4:$V$3183,0)),"")</f>
        <v/>
      </c>
      <c r="C3144">
        <f>IFERROR(INDEX($P$4:$P$3183,MATCH(SMALL($V$4:$V$3183,3141),$V$4:$V$3183,0)),"")</f>
        <v/>
      </c>
      <c r="D3144" s="29">
        <f>IFERROR(INDEX($Q$4:$Q$3183,MATCH(SMALL($V$4:$V$3183,3141),$V$4:$V$3183,0)),"")</f>
        <v/>
      </c>
      <c r="E3144" s="29">
        <f>IFERROR(INDEX($R$4:$R$3183,MATCH(SMALL($V$4:$V$3183,3141),$V$4:$V$3183,0)),"")</f>
        <v/>
      </c>
      <c r="F3144">
        <f>IFERROR(INDEX($S$4:$S$3183,MATCH(SMALL($V$4:$V$3183,3141),$V$4:$V$3183,0)),"")</f>
        <v/>
      </c>
      <c r="I3144" s="29">
        <f>IF($B3144="","",IFERROR(INDEX($U$4:$U$3183,MATCH(SMALL($V$4:$V$3183,3141),$V$4:$V$3183,0)),""))</f>
        <v/>
      </c>
      <c r="J3144">
        <f>IF($B3144="","",IF($D3144&gt;$F$2,"À venir",IF($E3144&lt;$D$2,"Passé","Dans la période")))</f>
        <v/>
      </c>
      <c r="K3144">
        <f>IF(OR($B3144="",NOT(ISNUMBER($D3144))),"",IF(AND($E3144&lt;$D$2,$G3144&lt;&gt;"X",$F3144&lt;&gt;"Réalisé",$F3144&lt;&gt;"Clôturé"),"RETARD",""))</f>
        <v/>
      </c>
      <c r="L3144">
        <f>IF(OR($B3144="",NOT(ISNUMBER($D3144))),"",IF(AND($D3144&gt;=$D$2,$D3144&lt;=$H$2,$G3144&lt;&gt;"X",$F3144&lt;&gt;"Réalisé",$F3144&lt;&gt;"Clôturé"),"≤ 7 j",""))</f>
        <v/>
      </c>
      <c r="M3144" s="29">
        <f>IF($B3144="","",IFERROR(INDEX($T$4:$T$3183,MATCH(SMALL($V$4:$V$3183,3141),$V$4:$V$3183,0)),""))</f>
        <v/>
      </c>
      <c r="O3144">
        <f>IF(INDEX(Suivi!$B:$B,3204)="","",INDEX(Suivi!$B:$B,3204))</f>
        <v/>
      </c>
      <c r="P3144">
        <f>IF($O3144="","",IF(INDEX(Suivi!$D:$D,3204)="",INDEX(Suivi!$C:$C,3204),INDEX(Suivi!$D:$D,3204)))</f>
        <v/>
      </c>
      <c r="Q3144">
        <f>IF($O3144="","",INDEX(Suivi!$E:$E,3204))</f>
        <v/>
      </c>
      <c r="R3144">
        <f>IF($O3144="","",INDEX(Suivi!$F:$F,3204))</f>
        <v/>
      </c>
      <c r="S3144">
        <f>IF($O3144="","",INDEX(Suivi!$G:$G,3204))</f>
        <v/>
      </c>
      <c r="T3144">
        <f>IF($O3144="","",IF(INDEX(Dossiers!$F$4:$F$63,60)="","",INDEX(Dossiers!$F$4:$F$63,60)))</f>
        <v/>
      </c>
      <c r="U3144">
        <f>IF($O3144="","",IF(INDEX(Dossiers!$G$4:$G$63,60)="","",INDEX(Dossiers!$G$4:$G$63,60)))</f>
        <v/>
      </c>
      <c r="V3144">
        <f>IF(OR($O3144="",NOT(ISNUMBER($Q3144))),"",$Q3144*1000000+3144)</f>
        <v/>
      </c>
      <c r="W3144" s="29">
        <f>IF($B3144="","",IFERROR(INDEX($U$4:$U$3183,MATCH(SMALL($V$4:$V$3183,3141),$V$4:$V$3183,0)),""))</f>
        <v/>
      </c>
    </row>
    <row r="3145">
      <c r="A3145">
        <f>IFERROR(INDEX($N$4:$N$3183,MATCH(SMALL($V$4:$V$3183,3142),$V$4:$V$3183,0)),"")</f>
        <v/>
      </c>
      <c r="B3145">
        <f>IFERROR(INDEX($O$4:$O$3183,MATCH(SMALL($V$4:$V$3183,3142),$V$4:$V$3183,0)),"")</f>
        <v/>
      </c>
      <c r="C3145">
        <f>IFERROR(INDEX($P$4:$P$3183,MATCH(SMALL($V$4:$V$3183,3142),$V$4:$V$3183,0)),"")</f>
        <v/>
      </c>
      <c r="D3145" s="29">
        <f>IFERROR(INDEX($Q$4:$Q$3183,MATCH(SMALL($V$4:$V$3183,3142),$V$4:$V$3183,0)),"")</f>
        <v/>
      </c>
      <c r="E3145" s="29">
        <f>IFERROR(INDEX($R$4:$R$3183,MATCH(SMALL($V$4:$V$3183,3142),$V$4:$V$3183,0)),"")</f>
        <v/>
      </c>
      <c r="F3145">
        <f>IFERROR(INDEX($S$4:$S$3183,MATCH(SMALL($V$4:$V$3183,3142),$V$4:$V$3183,0)),"")</f>
        <v/>
      </c>
      <c r="I3145" s="29">
        <f>IF($B3145="","",IFERROR(INDEX($U$4:$U$3183,MATCH(SMALL($V$4:$V$3183,3142),$V$4:$V$3183,0)),""))</f>
        <v/>
      </c>
      <c r="J3145">
        <f>IF($B3145="","",IF($D3145&gt;$F$2,"À venir",IF($E3145&lt;$D$2,"Passé","Dans la période")))</f>
        <v/>
      </c>
      <c r="K3145">
        <f>IF(OR($B3145="",NOT(ISNUMBER($D3145))),"",IF(AND($E3145&lt;$D$2,$G3145&lt;&gt;"X",$F3145&lt;&gt;"Réalisé",$F3145&lt;&gt;"Clôturé"),"RETARD",""))</f>
        <v/>
      </c>
      <c r="L3145">
        <f>IF(OR($B3145="",NOT(ISNUMBER($D3145))),"",IF(AND($D3145&gt;=$D$2,$D3145&lt;=$H$2,$G3145&lt;&gt;"X",$F3145&lt;&gt;"Réalisé",$F3145&lt;&gt;"Clôturé"),"≤ 7 j",""))</f>
        <v/>
      </c>
      <c r="M3145" s="29">
        <f>IF($B3145="","",IFERROR(INDEX($T$4:$T$3183,MATCH(SMALL($V$4:$V$3183,3142),$V$4:$V$3183,0)),""))</f>
        <v/>
      </c>
      <c r="O3145">
        <f>IF(INDEX(Suivi!$B:$B,3205)="","",INDEX(Suivi!$B:$B,3205))</f>
        <v/>
      </c>
      <c r="P3145">
        <f>IF($O3145="","",IF(INDEX(Suivi!$D:$D,3205)="",INDEX(Suivi!$C:$C,3205),INDEX(Suivi!$D:$D,3205)))</f>
        <v/>
      </c>
      <c r="Q3145">
        <f>IF($O3145="","",INDEX(Suivi!$E:$E,3205))</f>
        <v/>
      </c>
      <c r="R3145">
        <f>IF($O3145="","",INDEX(Suivi!$F:$F,3205))</f>
        <v/>
      </c>
      <c r="S3145">
        <f>IF($O3145="","",INDEX(Suivi!$G:$G,3205))</f>
        <v/>
      </c>
      <c r="T3145">
        <f>IF($O3145="","",IF(INDEX(Dossiers!$F$4:$F$63,60)="","",INDEX(Dossiers!$F$4:$F$63,60)))</f>
        <v/>
      </c>
      <c r="U3145">
        <f>IF($O3145="","",IF(INDEX(Dossiers!$G$4:$G$63,60)="","",INDEX(Dossiers!$G$4:$G$63,60)))</f>
        <v/>
      </c>
      <c r="V3145">
        <f>IF(OR($O3145="",NOT(ISNUMBER($Q3145))),"",$Q3145*1000000+3145)</f>
        <v/>
      </c>
      <c r="W3145" s="29">
        <f>IF($B3145="","",IFERROR(INDEX($U$4:$U$3183,MATCH(SMALL($V$4:$V$3183,3142),$V$4:$V$3183,0)),""))</f>
        <v/>
      </c>
    </row>
    <row r="3146">
      <c r="A3146">
        <f>IFERROR(INDEX($N$4:$N$3183,MATCH(SMALL($V$4:$V$3183,3143),$V$4:$V$3183,0)),"")</f>
        <v/>
      </c>
      <c r="B3146">
        <f>IFERROR(INDEX($O$4:$O$3183,MATCH(SMALL($V$4:$V$3183,3143),$V$4:$V$3183,0)),"")</f>
        <v/>
      </c>
      <c r="C3146">
        <f>IFERROR(INDEX($P$4:$P$3183,MATCH(SMALL($V$4:$V$3183,3143),$V$4:$V$3183,0)),"")</f>
        <v/>
      </c>
      <c r="D3146" s="29">
        <f>IFERROR(INDEX($Q$4:$Q$3183,MATCH(SMALL($V$4:$V$3183,3143),$V$4:$V$3183,0)),"")</f>
        <v/>
      </c>
      <c r="E3146" s="29">
        <f>IFERROR(INDEX($R$4:$R$3183,MATCH(SMALL($V$4:$V$3183,3143),$V$4:$V$3183,0)),"")</f>
        <v/>
      </c>
      <c r="F3146">
        <f>IFERROR(INDEX($S$4:$S$3183,MATCH(SMALL($V$4:$V$3183,3143),$V$4:$V$3183,0)),"")</f>
        <v/>
      </c>
      <c r="I3146" s="29">
        <f>IF($B3146="","",IFERROR(INDEX($U$4:$U$3183,MATCH(SMALL($V$4:$V$3183,3143),$V$4:$V$3183,0)),""))</f>
        <v/>
      </c>
      <c r="J3146">
        <f>IF($B3146="","",IF($D3146&gt;$F$2,"À venir",IF($E3146&lt;$D$2,"Passé","Dans la période")))</f>
        <v/>
      </c>
      <c r="K3146">
        <f>IF(OR($B3146="",NOT(ISNUMBER($D3146))),"",IF(AND($E3146&lt;$D$2,$G3146&lt;&gt;"X",$F3146&lt;&gt;"Réalisé",$F3146&lt;&gt;"Clôturé"),"RETARD",""))</f>
        <v/>
      </c>
      <c r="L3146">
        <f>IF(OR($B3146="",NOT(ISNUMBER($D3146))),"",IF(AND($D3146&gt;=$D$2,$D3146&lt;=$H$2,$G3146&lt;&gt;"X",$F3146&lt;&gt;"Réalisé",$F3146&lt;&gt;"Clôturé"),"≤ 7 j",""))</f>
        <v/>
      </c>
      <c r="M3146" s="29">
        <f>IF($B3146="","",IFERROR(INDEX($T$4:$T$3183,MATCH(SMALL($V$4:$V$3183,3143),$V$4:$V$3183,0)),""))</f>
        <v/>
      </c>
      <c r="O3146">
        <f>IF(INDEX(Suivi!$B:$B,3206)="","",INDEX(Suivi!$B:$B,3206))</f>
        <v/>
      </c>
      <c r="P3146">
        <f>IF($O3146="","",IF(INDEX(Suivi!$D:$D,3206)="",INDEX(Suivi!$C:$C,3206),INDEX(Suivi!$D:$D,3206)))</f>
        <v/>
      </c>
      <c r="Q3146">
        <f>IF($O3146="","",INDEX(Suivi!$E:$E,3206))</f>
        <v/>
      </c>
      <c r="R3146">
        <f>IF($O3146="","",INDEX(Suivi!$F:$F,3206))</f>
        <v/>
      </c>
      <c r="S3146">
        <f>IF($O3146="","",INDEX(Suivi!$G:$G,3206))</f>
        <v/>
      </c>
      <c r="T3146">
        <f>IF($O3146="","",IF(INDEX(Dossiers!$F$4:$F$63,60)="","",INDEX(Dossiers!$F$4:$F$63,60)))</f>
        <v/>
      </c>
      <c r="U3146">
        <f>IF($O3146="","",IF(INDEX(Dossiers!$G$4:$G$63,60)="","",INDEX(Dossiers!$G$4:$G$63,60)))</f>
        <v/>
      </c>
      <c r="V3146">
        <f>IF(OR($O3146="",NOT(ISNUMBER($Q3146))),"",$Q3146*1000000+3146)</f>
        <v/>
      </c>
      <c r="W3146" s="29">
        <f>IF($B3146="","",IFERROR(INDEX($U$4:$U$3183,MATCH(SMALL($V$4:$V$3183,3143),$V$4:$V$3183,0)),""))</f>
        <v/>
      </c>
    </row>
    <row r="3147">
      <c r="A3147">
        <f>IFERROR(INDEX($N$4:$N$3183,MATCH(SMALL($V$4:$V$3183,3144),$V$4:$V$3183,0)),"")</f>
        <v/>
      </c>
      <c r="B3147">
        <f>IFERROR(INDEX($O$4:$O$3183,MATCH(SMALL($V$4:$V$3183,3144),$V$4:$V$3183,0)),"")</f>
        <v/>
      </c>
      <c r="C3147">
        <f>IFERROR(INDEX($P$4:$P$3183,MATCH(SMALL($V$4:$V$3183,3144),$V$4:$V$3183,0)),"")</f>
        <v/>
      </c>
      <c r="D3147" s="29">
        <f>IFERROR(INDEX($Q$4:$Q$3183,MATCH(SMALL($V$4:$V$3183,3144),$V$4:$V$3183,0)),"")</f>
        <v/>
      </c>
      <c r="E3147" s="29">
        <f>IFERROR(INDEX($R$4:$R$3183,MATCH(SMALL($V$4:$V$3183,3144),$V$4:$V$3183,0)),"")</f>
        <v/>
      </c>
      <c r="F3147">
        <f>IFERROR(INDEX($S$4:$S$3183,MATCH(SMALL($V$4:$V$3183,3144),$V$4:$V$3183,0)),"")</f>
        <v/>
      </c>
      <c r="I3147" s="29">
        <f>IF($B3147="","",IFERROR(INDEX($U$4:$U$3183,MATCH(SMALL($V$4:$V$3183,3144),$V$4:$V$3183,0)),""))</f>
        <v/>
      </c>
      <c r="J3147">
        <f>IF($B3147="","",IF($D3147&gt;$F$2,"À venir",IF($E3147&lt;$D$2,"Passé","Dans la période")))</f>
        <v/>
      </c>
      <c r="K3147">
        <f>IF(OR($B3147="",NOT(ISNUMBER($D3147))),"",IF(AND($E3147&lt;$D$2,$G3147&lt;&gt;"X",$F3147&lt;&gt;"Réalisé",$F3147&lt;&gt;"Clôturé"),"RETARD",""))</f>
        <v/>
      </c>
      <c r="L3147">
        <f>IF(OR($B3147="",NOT(ISNUMBER($D3147))),"",IF(AND($D3147&gt;=$D$2,$D3147&lt;=$H$2,$G3147&lt;&gt;"X",$F3147&lt;&gt;"Réalisé",$F3147&lt;&gt;"Clôturé"),"≤ 7 j",""))</f>
        <v/>
      </c>
      <c r="M3147" s="29">
        <f>IF($B3147="","",IFERROR(INDEX($T$4:$T$3183,MATCH(SMALL($V$4:$V$3183,3144),$V$4:$V$3183,0)),""))</f>
        <v/>
      </c>
      <c r="O3147">
        <f>IF(INDEX(Suivi!$B:$B,3207)="","",INDEX(Suivi!$B:$B,3207))</f>
        <v/>
      </c>
      <c r="P3147">
        <f>IF($O3147="","",IF(INDEX(Suivi!$D:$D,3207)="",INDEX(Suivi!$C:$C,3207),INDEX(Suivi!$D:$D,3207)))</f>
        <v/>
      </c>
      <c r="Q3147">
        <f>IF($O3147="","",INDEX(Suivi!$E:$E,3207))</f>
        <v/>
      </c>
      <c r="R3147">
        <f>IF($O3147="","",INDEX(Suivi!$F:$F,3207))</f>
        <v/>
      </c>
      <c r="S3147">
        <f>IF($O3147="","",INDEX(Suivi!$G:$G,3207))</f>
        <v/>
      </c>
      <c r="T3147">
        <f>IF($O3147="","",IF(INDEX(Dossiers!$F$4:$F$63,60)="","",INDEX(Dossiers!$F$4:$F$63,60)))</f>
        <v/>
      </c>
      <c r="U3147">
        <f>IF($O3147="","",IF(INDEX(Dossiers!$G$4:$G$63,60)="","",INDEX(Dossiers!$G$4:$G$63,60)))</f>
        <v/>
      </c>
      <c r="V3147">
        <f>IF(OR($O3147="",NOT(ISNUMBER($Q3147))),"",$Q3147*1000000+3147)</f>
        <v/>
      </c>
      <c r="W3147" s="29">
        <f>IF($B3147="","",IFERROR(INDEX($U$4:$U$3183,MATCH(SMALL($V$4:$V$3183,3144),$V$4:$V$3183,0)),""))</f>
        <v/>
      </c>
    </row>
    <row r="3148">
      <c r="A3148">
        <f>IFERROR(INDEX($N$4:$N$3183,MATCH(SMALL($V$4:$V$3183,3145),$V$4:$V$3183,0)),"")</f>
        <v/>
      </c>
      <c r="B3148">
        <f>IFERROR(INDEX($O$4:$O$3183,MATCH(SMALL($V$4:$V$3183,3145),$V$4:$V$3183,0)),"")</f>
        <v/>
      </c>
      <c r="C3148">
        <f>IFERROR(INDEX($P$4:$P$3183,MATCH(SMALL($V$4:$V$3183,3145),$V$4:$V$3183,0)),"")</f>
        <v/>
      </c>
      <c r="D3148" s="29">
        <f>IFERROR(INDEX($Q$4:$Q$3183,MATCH(SMALL($V$4:$V$3183,3145),$V$4:$V$3183,0)),"")</f>
        <v/>
      </c>
      <c r="E3148" s="29">
        <f>IFERROR(INDEX($R$4:$R$3183,MATCH(SMALL($V$4:$V$3183,3145),$V$4:$V$3183,0)),"")</f>
        <v/>
      </c>
      <c r="F3148">
        <f>IFERROR(INDEX($S$4:$S$3183,MATCH(SMALL($V$4:$V$3183,3145),$V$4:$V$3183,0)),"")</f>
        <v/>
      </c>
      <c r="I3148" s="29">
        <f>IF($B3148="","",IFERROR(INDEX($U$4:$U$3183,MATCH(SMALL($V$4:$V$3183,3145),$V$4:$V$3183,0)),""))</f>
        <v/>
      </c>
      <c r="J3148">
        <f>IF($B3148="","",IF($D3148&gt;$F$2,"À venir",IF($E3148&lt;$D$2,"Passé","Dans la période")))</f>
        <v/>
      </c>
      <c r="K3148">
        <f>IF(OR($B3148="",NOT(ISNUMBER($D3148))),"",IF(AND($E3148&lt;$D$2,$G3148&lt;&gt;"X",$F3148&lt;&gt;"Réalisé",$F3148&lt;&gt;"Clôturé"),"RETARD",""))</f>
        <v/>
      </c>
      <c r="L3148">
        <f>IF(OR($B3148="",NOT(ISNUMBER($D3148))),"",IF(AND($D3148&gt;=$D$2,$D3148&lt;=$H$2,$G3148&lt;&gt;"X",$F3148&lt;&gt;"Réalisé",$F3148&lt;&gt;"Clôturé"),"≤ 7 j",""))</f>
        <v/>
      </c>
      <c r="M3148" s="29">
        <f>IF($B3148="","",IFERROR(INDEX($T$4:$T$3183,MATCH(SMALL($V$4:$V$3183,3145),$V$4:$V$3183,0)),""))</f>
        <v/>
      </c>
      <c r="O3148">
        <f>IF(INDEX(Suivi!$B:$B,3208)="","",INDEX(Suivi!$B:$B,3208))</f>
        <v/>
      </c>
      <c r="P3148">
        <f>IF($O3148="","",IF(INDEX(Suivi!$D:$D,3208)="",INDEX(Suivi!$C:$C,3208),INDEX(Suivi!$D:$D,3208)))</f>
        <v/>
      </c>
      <c r="Q3148">
        <f>IF($O3148="","",INDEX(Suivi!$E:$E,3208))</f>
        <v/>
      </c>
      <c r="R3148">
        <f>IF($O3148="","",INDEX(Suivi!$F:$F,3208))</f>
        <v/>
      </c>
      <c r="S3148">
        <f>IF($O3148="","",INDEX(Suivi!$G:$G,3208))</f>
        <v/>
      </c>
      <c r="T3148">
        <f>IF($O3148="","",IF(INDEX(Dossiers!$F$4:$F$63,60)="","",INDEX(Dossiers!$F$4:$F$63,60)))</f>
        <v/>
      </c>
      <c r="U3148">
        <f>IF($O3148="","",IF(INDEX(Dossiers!$G$4:$G$63,60)="","",INDEX(Dossiers!$G$4:$G$63,60)))</f>
        <v/>
      </c>
      <c r="V3148">
        <f>IF(OR($O3148="",NOT(ISNUMBER($Q3148))),"",$Q3148*1000000+3148)</f>
        <v/>
      </c>
      <c r="W3148" s="29">
        <f>IF($B3148="","",IFERROR(INDEX($U$4:$U$3183,MATCH(SMALL($V$4:$V$3183,3145),$V$4:$V$3183,0)),""))</f>
        <v/>
      </c>
    </row>
    <row r="3149">
      <c r="A3149">
        <f>IFERROR(INDEX($N$4:$N$3183,MATCH(SMALL($V$4:$V$3183,3146),$V$4:$V$3183,0)),"")</f>
        <v/>
      </c>
      <c r="B3149">
        <f>IFERROR(INDEX($O$4:$O$3183,MATCH(SMALL($V$4:$V$3183,3146),$V$4:$V$3183,0)),"")</f>
        <v/>
      </c>
      <c r="C3149">
        <f>IFERROR(INDEX($P$4:$P$3183,MATCH(SMALL($V$4:$V$3183,3146),$V$4:$V$3183,0)),"")</f>
        <v/>
      </c>
      <c r="D3149" s="29">
        <f>IFERROR(INDEX($Q$4:$Q$3183,MATCH(SMALL($V$4:$V$3183,3146),$V$4:$V$3183,0)),"")</f>
        <v/>
      </c>
      <c r="E3149" s="29">
        <f>IFERROR(INDEX($R$4:$R$3183,MATCH(SMALL($V$4:$V$3183,3146),$V$4:$V$3183,0)),"")</f>
        <v/>
      </c>
      <c r="F3149">
        <f>IFERROR(INDEX($S$4:$S$3183,MATCH(SMALL($V$4:$V$3183,3146),$V$4:$V$3183,0)),"")</f>
        <v/>
      </c>
      <c r="I3149" s="29">
        <f>IF($B3149="","",IFERROR(INDEX($U$4:$U$3183,MATCH(SMALL($V$4:$V$3183,3146),$V$4:$V$3183,0)),""))</f>
        <v/>
      </c>
      <c r="J3149">
        <f>IF($B3149="","",IF($D3149&gt;$F$2,"À venir",IF($E3149&lt;$D$2,"Passé","Dans la période")))</f>
        <v/>
      </c>
      <c r="K3149">
        <f>IF(OR($B3149="",NOT(ISNUMBER($D3149))),"",IF(AND($E3149&lt;$D$2,$G3149&lt;&gt;"X",$F3149&lt;&gt;"Réalisé",$F3149&lt;&gt;"Clôturé"),"RETARD",""))</f>
        <v/>
      </c>
      <c r="L3149">
        <f>IF(OR($B3149="",NOT(ISNUMBER($D3149))),"",IF(AND($D3149&gt;=$D$2,$D3149&lt;=$H$2,$G3149&lt;&gt;"X",$F3149&lt;&gt;"Réalisé",$F3149&lt;&gt;"Clôturé"),"≤ 7 j",""))</f>
        <v/>
      </c>
      <c r="M3149" s="29">
        <f>IF($B3149="","",IFERROR(INDEX($T$4:$T$3183,MATCH(SMALL($V$4:$V$3183,3146),$V$4:$V$3183,0)),""))</f>
        <v/>
      </c>
      <c r="O3149">
        <f>IF(INDEX(Suivi!$B:$B,3209)="","",INDEX(Suivi!$B:$B,3209))</f>
        <v/>
      </c>
      <c r="P3149">
        <f>IF($O3149="","",IF(INDEX(Suivi!$D:$D,3209)="",INDEX(Suivi!$C:$C,3209),INDEX(Suivi!$D:$D,3209)))</f>
        <v/>
      </c>
      <c r="Q3149">
        <f>IF($O3149="","",INDEX(Suivi!$E:$E,3209))</f>
        <v/>
      </c>
      <c r="R3149">
        <f>IF($O3149="","",INDEX(Suivi!$F:$F,3209))</f>
        <v/>
      </c>
      <c r="S3149">
        <f>IF($O3149="","",INDEX(Suivi!$G:$G,3209))</f>
        <v/>
      </c>
      <c r="T3149">
        <f>IF($O3149="","",IF(INDEX(Dossiers!$F$4:$F$63,60)="","",INDEX(Dossiers!$F$4:$F$63,60)))</f>
        <v/>
      </c>
      <c r="U3149">
        <f>IF($O3149="","",IF(INDEX(Dossiers!$G$4:$G$63,60)="","",INDEX(Dossiers!$G$4:$G$63,60)))</f>
        <v/>
      </c>
      <c r="V3149">
        <f>IF(OR($O3149="",NOT(ISNUMBER($Q3149))),"",$Q3149*1000000+3149)</f>
        <v/>
      </c>
      <c r="W3149" s="29">
        <f>IF($B3149="","",IFERROR(INDEX($U$4:$U$3183,MATCH(SMALL($V$4:$V$3183,3146),$V$4:$V$3183,0)),""))</f>
        <v/>
      </c>
    </row>
    <row r="3150">
      <c r="A3150">
        <f>IFERROR(INDEX($N$4:$N$3183,MATCH(SMALL($V$4:$V$3183,3147),$V$4:$V$3183,0)),"")</f>
        <v/>
      </c>
      <c r="B3150">
        <f>IFERROR(INDEX($O$4:$O$3183,MATCH(SMALL($V$4:$V$3183,3147),$V$4:$V$3183,0)),"")</f>
        <v/>
      </c>
      <c r="C3150">
        <f>IFERROR(INDEX($P$4:$P$3183,MATCH(SMALL($V$4:$V$3183,3147),$V$4:$V$3183,0)),"")</f>
        <v/>
      </c>
      <c r="D3150" s="29">
        <f>IFERROR(INDEX($Q$4:$Q$3183,MATCH(SMALL($V$4:$V$3183,3147),$V$4:$V$3183,0)),"")</f>
        <v/>
      </c>
      <c r="E3150" s="29">
        <f>IFERROR(INDEX($R$4:$R$3183,MATCH(SMALL($V$4:$V$3183,3147),$V$4:$V$3183,0)),"")</f>
        <v/>
      </c>
      <c r="F3150">
        <f>IFERROR(INDEX($S$4:$S$3183,MATCH(SMALL($V$4:$V$3183,3147),$V$4:$V$3183,0)),"")</f>
        <v/>
      </c>
      <c r="I3150" s="29">
        <f>IF($B3150="","",IFERROR(INDEX($U$4:$U$3183,MATCH(SMALL($V$4:$V$3183,3147),$V$4:$V$3183,0)),""))</f>
        <v/>
      </c>
      <c r="J3150">
        <f>IF($B3150="","",IF($D3150&gt;$F$2,"À venir",IF($E3150&lt;$D$2,"Passé","Dans la période")))</f>
        <v/>
      </c>
      <c r="K3150">
        <f>IF(OR($B3150="",NOT(ISNUMBER($D3150))),"",IF(AND($E3150&lt;$D$2,$G3150&lt;&gt;"X",$F3150&lt;&gt;"Réalisé",$F3150&lt;&gt;"Clôturé"),"RETARD",""))</f>
        <v/>
      </c>
      <c r="L3150">
        <f>IF(OR($B3150="",NOT(ISNUMBER($D3150))),"",IF(AND($D3150&gt;=$D$2,$D3150&lt;=$H$2,$G3150&lt;&gt;"X",$F3150&lt;&gt;"Réalisé",$F3150&lt;&gt;"Clôturé"),"≤ 7 j",""))</f>
        <v/>
      </c>
      <c r="M3150" s="29">
        <f>IF($B3150="","",IFERROR(INDEX($T$4:$T$3183,MATCH(SMALL($V$4:$V$3183,3147),$V$4:$V$3183,0)),""))</f>
        <v/>
      </c>
      <c r="O3150">
        <f>IF(INDEX(Suivi!$B:$B,3210)="","",INDEX(Suivi!$B:$B,3210))</f>
        <v/>
      </c>
      <c r="P3150">
        <f>IF($O3150="","",IF(INDEX(Suivi!$D:$D,3210)="",INDEX(Suivi!$C:$C,3210),INDEX(Suivi!$D:$D,3210)))</f>
        <v/>
      </c>
      <c r="Q3150">
        <f>IF($O3150="","",INDEX(Suivi!$E:$E,3210))</f>
        <v/>
      </c>
      <c r="R3150">
        <f>IF($O3150="","",INDEX(Suivi!$F:$F,3210))</f>
        <v/>
      </c>
      <c r="S3150">
        <f>IF($O3150="","",INDEX(Suivi!$G:$G,3210))</f>
        <v/>
      </c>
      <c r="T3150">
        <f>IF($O3150="","",IF(INDEX(Dossiers!$F$4:$F$63,60)="","",INDEX(Dossiers!$F$4:$F$63,60)))</f>
        <v/>
      </c>
      <c r="U3150">
        <f>IF($O3150="","",IF(INDEX(Dossiers!$G$4:$G$63,60)="","",INDEX(Dossiers!$G$4:$G$63,60)))</f>
        <v/>
      </c>
      <c r="V3150">
        <f>IF(OR($O3150="",NOT(ISNUMBER($Q3150))),"",$Q3150*1000000+3150)</f>
        <v/>
      </c>
      <c r="W3150" s="29">
        <f>IF($B3150="","",IFERROR(INDEX($U$4:$U$3183,MATCH(SMALL($V$4:$V$3183,3147),$V$4:$V$3183,0)),""))</f>
        <v/>
      </c>
    </row>
    <row r="3151">
      <c r="A3151">
        <f>IFERROR(INDEX($N$4:$N$3183,MATCH(SMALL($V$4:$V$3183,3148),$V$4:$V$3183,0)),"")</f>
        <v/>
      </c>
      <c r="B3151">
        <f>IFERROR(INDEX($O$4:$O$3183,MATCH(SMALL($V$4:$V$3183,3148),$V$4:$V$3183,0)),"")</f>
        <v/>
      </c>
      <c r="C3151">
        <f>IFERROR(INDEX($P$4:$P$3183,MATCH(SMALL($V$4:$V$3183,3148),$V$4:$V$3183,0)),"")</f>
        <v/>
      </c>
      <c r="D3151" s="29">
        <f>IFERROR(INDEX($Q$4:$Q$3183,MATCH(SMALL($V$4:$V$3183,3148),$V$4:$V$3183,0)),"")</f>
        <v/>
      </c>
      <c r="E3151" s="29">
        <f>IFERROR(INDEX($R$4:$R$3183,MATCH(SMALL($V$4:$V$3183,3148),$V$4:$V$3183,0)),"")</f>
        <v/>
      </c>
      <c r="F3151">
        <f>IFERROR(INDEX($S$4:$S$3183,MATCH(SMALL($V$4:$V$3183,3148),$V$4:$V$3183,0)),"")</f>
        <v/>
      </c>
      <c r="I3151" s="29">
        <f>IF($B3151="","",IFERROR(INDEX($U$4:$U$3183,MATCH(SMALL($V$4:$V$3183,3148),$V$4:$V$3183,0)),""))</f>
        <v/>
      </c>
      <c r="J3151">
        <f>IF($B3151="","",IF($D3151&gt;$F$2,"À venir",IF($E3151&lt;$D$2,"Passé","Dans la période")))</f>
        <v/>
      </c>
      <c r="K3151">
        <f>IF(OR($B3151="",NOT(ISNUMBER($D3151))),"",IF(AND($E3151&lt;$D$2,$G3151&lt;&gt;"X",$F3151&lt;&gt;"Réalisé",$F3151&lt;&gt;"Clôturé"),"RETARD",""))</f>
        <v/>
      </c>
      <c r="L3151">
        <f>IF(OR($B3151="",NOT(ISNUMBER($D3151))),"",IF(AND($D3151&gt;=$D$2,$D3151&lt;=$H$2,$G3151&lt;&gt;"X",$F3151&lt;&gt;"Réalisé",$F3151&lt;&gt;"Clôturé"),"≤ 7 j",""))</f>
        <v/>
      </c>
      <c r="M3151" s="29">
        <f>IF($B3151="","",IFERROR(INDEX($T$4:$T$3183,MATCH(SMALL($V$4:$V$3183,3148),$V$4:$V$3183,0)),""))</f>
        <v/>
      </c>
      <c r="O3151">
        <f>IF(INDEX(Suivi!$B:$B,3211)="","",INDEX(Suivi!$B:$B,3211))</f>
        <v/>
      </c>
      <c r="P3151">
        <f>IF($O3151="","",IF(INDEX(Suivi!$D:$D,3211)="",INDEX(Suivi!$C:$C,3211),INDEX(Suivi!$D:$D,3211)))</f>
        <v/>
      </c>
      <c r="Q3151">
        <f>IF($O3151="","",INDEX(Suivi!$E:$E,3211))</f>
        <v/>
      </c>
      <c r="R3151">
        <f>IF($O3151="","",INDEX(Suivi!$F:$F,3211))</f>
        <v/>
      </c>
      <c r="S3151">
        <f>IF($O3151="","",INDEX(Suivi!$G:$G,3211))</f>
        <v/>
      </c>
      <c r="T3151">
        <f>IF($O3151="","",IF(INDEX(Dossiers!$F$4:$F$63,60)="","",INDEX(Dossiers!$F$4:$F$63,60)))</f>
        <v/>
      </c>
      <c r="U3151">
        <f>IF($O3151="","",IF(INDEX(Dossiers!$G$4:$G$63,60)="","",INDEX(Dossiers!$G$4:$G$63,60)))</f>
        <v/>
      </c>
      <c r="V3151">
        <f>IF(OR($O3151="",NOT(ISNUMBER($Q3151))),"",$Q3151*1000000+3151)</f>
        <v/>
      </c>
      <c r="W3151" s="29">
        <f>IF($B3151="","",IFERROR(INDEX($U$4:$U$3183,MATCH(SMALL($V$4:$V$3183,3148),$V$4:$V$3183,0)),""))</f>
        <v/>
      </c>
    </row>
    <row r="3152">
      <c r="A3152">
        <f>IFERROR(INDEX($N$4:$N$3183,MATCH(SMALL($V$4:$V$3183,3149),$V$4:$V$3183,0)),"")</f>
        <v/>
      </c>
      <c r="B3152">
        <f>IFERROR(INDEX($O$4:$O$3183,MATCH(SMALL($V$4:$V$3183,3149),$V$4:$V$3183,0)),"")</f>
        <v/>
      </c>
      <c r="C3152">
        <f>IFERROR(INDEX($P$4:$P$3183,MATCH(SMALL($V$4:$V$3183,3149),$V$4:$V$3183,0)),"")</f>
        <v/>
      </c>
      <c r="D3152" s="29">
        <f>IFERROR(INDEX($Q$4:$Q$3183,MATCH(SMALL($V$4:$V$3183,3149),$V$4:$V$3183,0)),"")</f>
        <v/>
      </c>
      <c r="E3152" s="29">
        <f>IFERROR(INDEX($R$4:$R$3183,MATCH(SMALL($V$4:$V$3183,3149),$V$4:$V$3183,0)),"")</f>
        <v/>
      </c>
      <c r="F3152">
        <f>IFERROR(INDEX($S$4:$S$3183,MATCH(SMALL($V$4:$V$3183,3149),$V$4:$V$3183,0)),"")</f>
        <v/>
      </c>
      <c r="I3152" s="29">
        <f>IF($B3152="","",IFERROR(INDEX($U$4:$U$3183,MATCH(SMALL($V$4:$V$3183,3149),$V$4:$V$3183,0)),""))</f>
        <v/>
      </c>
      <c r="J3152">
        <f>IF($B3152="","",IF($D3152&gt;$F$2,"À venir",IF($E3152&lt;$D$2,"Passé","Dans la période")))</f>
        <v/>
      </c>
      <c r="K3152">
        <f>IF(OR($B3152="",NOT(ISNUMBER($D3152))),"",IF(AND($E3152&lt;$D$2,$G3152&lt;&gt;"X",$F3152&lt;&gt;"Réalisé",$F3152&lt;&gt;"Clôturé"),"RETARD",""))</f>
        <v/>
      </c>
      <c r="L3152">
        <f>IF(OR($B3152="",NOT(ISNUMBER($D3152))),"",IF(AND($D3152&gt;=$D$2,$D3152&lt;=$H$2,$G3152&lt;&gt;"X",$F3152&lt;&gt;"Réalisé",$F3152&lt;&gt;"Clôturé"),"≤ 7 j",""))</f>
        <v/>
      </c>
      <c r="M3152" s="29">
        <f>IF($B3152="","",IFERROR(INDEX($T$4:$T$3183,MATCH(SMALL($V$4:$V$3183,3149),$V$4:$V$3183,0)),""))</f>
        <v/>
      </c>
      <c r="O3152">
        <f>IF(INDEX(Suivi!$B:$B,3212)="","",INDEX(Suivi!$B:$B,3212))</f>
        <v/>
      </c>
      <c r="P3152">
        <f>IF($O3152="","",IF(INDEX(Suivi!$D:$D,3212)="",INDEX(Suivi!$C:$C,3212),INDEX(Suivi!$D:$D,3212)))</f>
        <v/>
      </c>
      <c r="Q3152">
        <f>IF($O3152="","",INDEX(Suivi!$E:$E,3212))</f>
        <v/>
      </c>
      <c r="R3152">
        <f>IF($O3152="","",INDEX(Suivi!$F:$F,3212))</f>
        <v/>
      </c>
      <c r="S3152">
        <f>IF($O3152="","",INDEX(Suivi!$G:$G,3212))</f>
        <v/>
      </c>
      <c r="T3152">
        <f>IF($O3152="","",IF(INDEX(Dossiers!$F$4:$F$63,60)="","",INDEX(Dossiers!$F$4:$F$63,60)))</f>
        <v/>
      </c>
      <c r="U3152">
        <f>IF($O3152="","",IF(INDEX(Dossiers!$G$4:$G$63,60)="","",INDEX(Dossiers!$G$4:$G$63,60)))</f>
        <v/>
      </c>
      <c r="V3152">
        <f>IF(OR($O3152="",NOT(ISNUMBER($Q3152))),"",$Q3152*1000000+3152)</f>
        <v/>
      </c>
      <c r="W3152" s="29">
        <f>IF($B3152="","",IFERROR(INDEX($U$4:$U$3183,MATCH(SMALL($V$4:$V$3183,3149),$V$4:$V$3183,0)),""))</f>
        <v/>
      </c>
    </row>
    <row r="3153">
      <c r="A3153">
        <f>IFERROR(INDEX($N$4:$N$3183,MATCH(SMALL($V$4:$V$3183,3150),$V$4:$V$3183,0)),"")</f>
        <v/>
      </c>
      <c r="B3153">
        <f>IFERROR(INDEX($O$4:$O$3183,MATCH(SMALL($V$4:$V$3183,3150),$V$4:$V$3183,0)),"")</f>
        <v/>
      </c>
      <c r="C3153">
        <f>IFERROR(INDEX($P$4:$P$3183,MATCH(SMALL($V$4:$V$3183,3150),$V$4:$V$3183,0)),"")</f>
        <v/>
      </c>
      <c r="D3153" s="29">
        <f>IFERROR(INDEX($Q$4:$Q$3183,MATCH(SMALL($V$4:$V$3183,3150),$V$4:$V$3183,0)),"")</f>
        <v/>
      </c>
      <c r="E3153" s="29">
        <f>IFERROR(INDEX($R$4:$R$3183,MATCH(SMALL($V$4:$V$3183,3150),$V$4:$V$3183,0)),"")</f>
        <v/>
      </c>
      <c r="F3153">
        <f>IFERROR(INDEX($S$4:$S$3183,MATCH(SMALL($V$4:$V$3183,3150),$V$4:$V$3183,0)),"")</f>
        <v/>
      </c>
      <c r="I3153" s="29">
        <f>IF($B3153="","",IFERROR(INDEX($U$4:$U$3183,MATCH(SMALL($V$4:$V$3183,3150),$V$4:$V$3183,0)),""))</f>
        <v/>
      </c>
      <c r="J3153">
        <f>IF($B3153="","",IF($D3153&gt;$F$2,"À venir",IF($E3153&lt;$D$2,"Passé","Dans la période")))</f>
        <v/>
      </c>
      <c r="K3153">
        <f>IF(OR($B3153="",NOT(ISNUMBER($D3153))),"",IF(AND($E3153&lt;$D$2,$G3153&lt;&gt;"X",$F3153&lt;&gt;"Réalisé",$F3153&lt;&gt;"Clôturé"),"RETARD",""))</f>
        <v/>
      </c>
      <c r="L3153">
        <f>IF(OR($B3153="",NOT(ISNUMBER($D3153))),"",IF(AND($D3153&gt;=$D$2,$D3153&lt;=$H$2,$G3153&lt;&gt;"X",$F3153&lt;&gt;"Réalisé",$F3153&lt;&gt;"Clôturé"),"≤ 7 j",""))</f>
        <v/>
      </c>
      <c r="M3153" s="29">
        <f>IF($B3153="","",IFERROR(INDEX($T$4:$T$3183,MATCH(SMALL($V$4:$V$3183,3150),$V$4:$V$3183,0)),""))</f>
        <v/>
      </c>
      <c r="O3153">
        <f>IF(INDEX(Suivi!$B:$B,3213)="","",INDEX(Suivi!$B:$B,3213))</f>
        <v/>
      </c>
      <c r="P3153">
        <f>IF($O3153="","",IF(INDEX(Suivi!$D:$D,3213)="",INDEX(Suivi!$C:$C,3213),INDEX(Suivi!$D:$D,3213)))</f>
        <v/>
      </c>
      <c r="Q3153">
        <f>IF($O3153="","",INDEX(Suivi!$E:$E,3213))</f>
        <v/>
      </c>
      <c r="R3153">
        <f>IF($O3153="","",INDEX(Suivi!$F:$F,3213))</f>
        <v/>
      </c>
      <c r="S3153">
        <f>IF($O3153="","",INDEX(Suivi!$G:$G,3213))</f>
        <v/>
      </c>
      <c r="T3153">
        <f>IF($O3153="","",IF(INDEX(Dossiers!$F$4:$F$63,60)="","",INDEX(Dossiers!$F$4:$F$63,60)))</f>
        <v/>
      </c>
      <c r="U3153">
        <f>IF($O3153="","",IF(INDEX(Dossiers!$G$4:$G$63,60)="","",INDEX(Dossiers!$G$4:$G$63,60)))</f>
        <v/>
      </c>
      <c r="V3153">
        <f>IF(OR($O3153="",NOT(ISNUMBER($Q3153))),"",$Q3153*1000000+3153)</f>
        <v/>
      </c>
      <c r="W3153" s="29">
        <f>IF($B3153="","",IFERROR(INDEX($U$4:$U$3183,MATCH(SMALL($V$4:$V$3183,3150),$V$4:$V$3183,0)),""))</f>
        <v/>
      </c>
    </row>
    <row r="3154">
      <c r="A3154">
        <f>IFERROR(INDEX($N$4:$N$3183,MATCH(SMALL($V$4:$V$3183,3151),$V$4:$V$3183,0)),"")</f>
        <v/>
      </c>
      <c r="B3154">
        <f>IFERROR(INDEX($O$4:$O$3183,MATCH(SMALL($V$4:$V$3183,3151),$V$4:$V$3183,0)),"")</f>
        <v/>
      </c>
      <c r="C3154">
        <f>IFERROR(INDEX($P$4:$P$3183,MATCH(SMALL($V$4:$V$3183,3151),$V$4:$V$3183,0)),"")</f>
        <v/>
      </c>
      <c r="D3154" s="29">
        <f>IFERROR(INDEX($Q$4:$Q$3183,MATCH(SMALL($V$4:$V$3183,3151),$V$4:$V$3183,0)),"")</f>
        <v/>
      </c>
      <c r="E3154" s="29">
        <f>IFERROR(INDEX($R$4:$R$3183,MATCH(SMALL($V$4:$V$3183,3151),$V$4:$V$3183,0)),"")</f>
        <v/>
      </c>
      <c r="F3154">
        <f>IFERROR(INDEX($S$4:$S$3183,MATCH(SMALL($V$4:$V$3183,3151),$V$4:$V$3183,0)),"")</f>
        <v/>
      </c>
      <c r="I3154" s="29">
        <f>IF($B3154="","",IFERROR(INDEX($U$4:$U$3183,MATCH(SMALL($V$4:$V$3183,3151),$V$4:$V$3183,0)),""))</f>
        <v/>
      </c>
      <c r="J3154">
        <f>IF($B3154="","",IF($D3154&gt;$F$2,"À venir",IF($E3154&lt;$D$2,"Passé","Dans la période")))</f>
        <v/>
      </c>
      <c r="K3154">
        <f>IF(OR($B3154="",NOT(ISNUMBER($D3154))),"",IF(AND($E3154&lt;$D$2,$G3154&lt;&gt;"X",$F3154&lt;&gt;"Réalisé",$F3154&lt;&gt;"Clôturé"),"RETARD",""))</f>
        <v/>
      </c>
      <c r="L3154">
        <f>IF(OR($B3154="",NOT(ISNUMBER($D3154))),"",IF(AND($D3154&gt;=$D$2,$D3154&lt;=$H$2,$G3154&lt;&gt;"X",$F3154&lt;&gt;"Réalisé",$F3154&lt;&gt;"Clôturé"),"≤ 7 j",""))</f>
        <v/>
      </c>
      <c r="M3154" s="29">
        <f>IF($B3154="","",IFERROR(INDEX($T$4:$T$3183,MATCH(SMALL($V$4:$V$3183,3151),$V$4:$V$3183,0)),""))</f>
        <v/>
      </c>
      <c r="O3154">
        <f>IF(INDEX(Suivi!$B:$B,3214)="","",INDEX(Suivi!$B:$B,3214))</f>
        <v/>
      </c>
      <c r="P3154">
        <f>IF($O3154="","",IF(INDEX(Suivi!$D:$D,3214)="",INDEX(Suivi!$C:$C,3214),INDEX(Suivi!$D:$D,3214)))</f>
        <v/>
      </c>
      <c r="Q3154">
        <f>IF($O3154="","",INDEX(Suivi!$E:$E,3214))</f>
        <v/>
      </c>
      <c r="R3154">
        <f>IF($O3154="","",INDEX(Suivi!$F:$F,3214))</f>
        <v/>
      </c>
      <c r="S3154">
        <f>IF($O3154="","",INDEX(Suivi!$G:$G,3214))</f>
        <v/>
      </c>
      <c r="T3154">
        <f>IF($O3154="","",IF(INDEX(Dossiers!$F$4:$F$63,60)="","",INDEX(Dossiers!$F$4:$F$63,60)))</f>
        <v/>
      </c>
      <c r="U3154">
        <f>IF($O3154="","",IF(INDEX(Dossiers!$G$4:$G$63,60)="","",INDEX(Dossiers!$G$4:$G$63,60)))</f>
        <v/>
      </c>
      <c r="V3154">
        <f>IF(OR($O3154="",NOT(ISNUMBER($Q3154))),"",$Q3154*1000000+3154)</f>
        <v/>
      </c>
      <c r="W3154" s="29">
        <f>IF($B3154="","",IFERROR(INDEX($U$4:$U$3183,MATCH(SMALL($V$4:$V$3183,3151),$V$4:$V$3183,0)),""))</f>
        <v/>
      </c>
    </row>
    <row r="3155">
      <c r="A3155">
        <f>IFERROR(INDEX($N$4:$N$3183,MATCH(SMALL($V$4:$V$3183,3152),$V$4:$V$3183,0)),"")</f>
        <v/>
      </c>
      <c r="B3155">
        <f>IFERROR(INDEX($O$4:$O$3183,MATCH(SMALL($V$4:$V$3183,3152),$V$4:$V$3183,0)),"")</f>
        <v/>
      </c>
      <c r="C3155">
        <f>IFERROR(INDEX($P$4:$P$3183,MATCH(SMALL($V$4:$V$3183,3152),$V$4:$V$3183,0)),"")</f>
        <v/>
      </c>
      <c r="D3155" s="29">
        <f>IFERROR(INDEX($Q$4:$Q$3183,MATCH(SMALL($V$4:$V$3183,3152),$V$4:$V$3183,0)),"")</f>
        <v/>
      </c>
      <c r="E3155" s="29">
        <f>IFERROR(INDEX($R$4:$R$3183,MATCH(SMALL($V$4:$V$3183,3152),$V$4:$V$3183,0)),"")</f>
        <v/>
      </c>
      <c r="F3155">
        <f>IFERROR(INDEX($S$4:$S$3183,MATCH(SMALL($V$4:$V$3183,3152),$V$4:$V$3183,0)),"")</f>
        <v/>
      </c>
      <c r="I3155" s="29">
        <f>IF($B3155="","",IFERROR(INDEX($U$4:$U$3183,MATCH(SMALL($V$4:$V$3183,3152),$V$4:$V$3183,0)),""))</f>
        <v/>
      </c>
      <c r="J3155">
        <f>IF($B3155="","",IF($D3155&gt;$F$2,"À venir",IF($E3155&lt;$D$2,"Passé","Dans la période")))</f>
        <v/>
      </c>
      <c r="K3155">
        <f>IF(OR($B3155="",NOT(ISNUMBER($D3155))),"",IF(AND($E3155&lt;$D$2,$G3155&lt;&gt;"X",$F3155&lt;&gt;"Réalisé",$F3155&lt;&gt;"Clôturé"),"RETARD",""))</f>
        <v/>
      </c>
      <c r="L3155">
        <f>IF(OR($B3155="",NOT(ISNUMBER($D3155))),"",IF(AND($D3155&gt;=$D$2,$D3155&lt;=$H$2,$G3155&lt;&gt;"X",$F3155&lt;&gt;"Réalisé",$F3155&lt;&gt;"Clôturé"),"≤ 7 j",""))</f>
        <v/>
      </c>
      <c r="M3155" s="29">
        <f>IF($B3155="","",IFERROR(INDEX($T$4:$T$3183,MATCH(SMALL($V$4:$V$3183,3152),$V$4:$V$3183,0)),""))</f>
        <v/>
      </c>
      <c r="O3155">
        <f>IF(INDEX(Suivi!$B:$B,3215)="","",INDEX(Suivi!$B:$B,3215))</f>
        <v/>
      </c>
      <c r="P3155">
        <f>IF($O3155="","",IF(INDEX(Suivi!$D:$D,3215)="",INDEX(Suivi!$C:$C,3215),INDEX(Suivi!$D:$D,3215)))</f>
        <v/>
      </c>
      <c r="Q3155">
        <f>IF($O3155="","",INDEX(Suivi!$E:$E,3215))</f>
        <v/>
      </c>
      <c r="R3155">
        <f>IF($O3155="","",INDEX(Suivi!$F:$F,3215))</f>
        <v/>
      </c>
      <c r="S3155">
        <f>IF($O3155="","",INDEX(Suivi!$G:$G,3215))</f>
        <v/>
      </c>
      <c r="T3155">
        <f>IF($O3155="","",IF(INDEX(Dossiers!$F$4:$F$63,60)="","",INDEX(Dossiers!$F$4:$F$63,60)))</f>
        <v/>
      </c>
      <c r="U3155">
        <f>IF($O3155="","",IF(INDEX(Dossiers!$G$4:$G$63,60)="","",INDEX(Dossiers!$G$4:$G$63,60)))</f>
        <v/>
      </c>
      <c r="V3155">
        <f>IF(OR($O3155="",NOT(ISNUMBER($Q3155))),"",$Q3155*1000000+3155)</f>
        <v/>
      </c>
      <c r="W3155" s="29">
        <f>IF($B3155="","",IFERROR(INDEX($U$4:$U$3183,MATCH(SMALL($V$4:$V$3183,3152),$V$4:$V$3183,0)),""))</f>
        <v/>
      </c>
    </row>
    <row r="3156">
      <c r="A3156">
        <f>IFERROR(INDEX($N$4:$N$3183,MATCH(SMALL($V$4:$V$3183,3153),$V$4:$V$3183,0)),"")</f>
        <v/>
      </c>
      <c r="B3156">
        <f>IFERROR(INDEX($O$4:$O$3183,MATCH(SMALL($V$4:$V$3183,3153),$V$4:$V$3183,0)),"")</f>
        <v/>
      </c>
      <c r="C3156">
        <f>IFERROR(INDEX($P$4:$P$3183,MATCH(SMALL($V$4:$V$3183,3153),$V$4:$V$3183,0)),"")</f>
        <v/>
      </c>
      <c r="D3156" s="29">
        <f>IFERROR(INDEX($Q$4:$Q$3183,MATCH(SMALL($V$4:$V$3183,3153),$V$4:$V$3183,0)),"")</f>
        <v/>
      </c>
      <c r="E3156" s="29">
        <f>IFERROR(INDEX($R$4:$R$3183,MATCH(SMALL($V$4:$V$3183,3153),$V$4:$V$3183,0)),"")</f>
        <v/>
      </c>
      <c r="F3156">
        <f>IFERROR(INDEX($S$4:$S$3183,MATCH(SMALL($V$4:$V$3183,3153),$V$4:$V$3183,0)),"")</f>
        <v/>
      </c>
      <c r="I3156" s="29">
        <f>IF($B3156="","",IFERROR(INDEX($U$4:$U$3183,MATCH(SMALL($V$4:$V$3183,3153),$V$4:$V$3183,0)),""))</f>
        <v/>
      </c>
      <c r="J3156">
        <f>IF($B3156="","",IF($D3156&gt;$F$2,"À venir",IF($E3156&lt;$D$2,"Passé","Dans la période")))</f>
        <v/>
      </c>
      <c r="K3156">
        <f>IF(OR($B3156="",NOT(ISNUMBER($D3156))),"",IF(AND($E3156&lt;$D$2,$G3156&lt;&gt;"X",$F3156&lt;&gt;"Réalisé",$F3156&lt;&gt;"Clôturé"),"RETARD",""))</f>
        <v/>
      </c>
      <c r="L3156">
        <f>IF(OR($B3156="",NOT(ISNUMBER($D3156))),"",IF(AND($D3156&gt;=$D$2,$D3156&lt;=$H$2,$G3156&lt;&gt;"X",$F3156&lt;&gt;"Réalisé",$F3156&lt;&gt;"Clôturé"),"≤ 7 j",""))</f>
        <v/>
      </c>
      <c r="M3156" s="29">
        <f>IF($B3156="","",IFERROR(INDEX($T$4:$T$3183,MATCH(SMALL($V$4:$V$3183,3153),$V$4:$V$3183,0)),""))</f>
        <v/>
      </c>
      <c r="O3156">
        <f>IF(INDEX(Suivi!$B:$B,3216)="","",INDEX(Suivi!$B:$B,3216))</f>
        <v/>
      </c>
      <c r="P3156">
        <f>IF($O3156="","",IF(INDEX(Suivi!$D:$D,3216)="",INDEX(Suivi!$C:$C,3216),INDEX(Suivi!$D:$D,3216)))</f>
        <v/>
      </c>
      <c r="Q3156">
        <f>IF($O3156="","",INDEX(Suivi!$E:$E,3216))</f>
        <v/>
      </c>
      <c r="R3156">
        <f>IF($O3156="","",INDEX(Suivi!$F:$F,3216))</f>
        <v/>
      </c>
      <c r="S3156">
        <f>IF($O3156="","",INDEX(Suivi!$G:$G,3216))</f>
        <v/>
      </c>
      <c r="T3156">
        <f>IF($O3156="","",IF(INDEX(Dossiers!$F$4:$F$63,60)="","",INDEX(Dossiers!$F$4:$F$63,60)))</f>
        <v/>
      </c>
      <c r="U3156">
        <f>IF($O3156="","",IF(INDEX(Dossiers!$G$4:$G$63,60)="","",INDEX(Dossiers!$G$4:$G$63,60)))</f>
        <v/>
      </c>
      <c r="V3156">
        <f>IF(OR($O3156="",NOT(ISNUMBER($Q3156))),"",$Q3156*1000000+3156)</f>
        <v/>
      </c>
      <c r="W3156" s="29">
        <f>IF($B3156="","",IFERROR(INDEX($U$4:$U$3183,MATCH(SMALL($V$4:$V$3183,3153),$V$4:$V$3183,0)),""))</f>
        <v/>
      </c>
    </row>
    <row r="3157">
      <c r="A3157">
        <f>IFERROR(INDEX($N$4:$N$3183,MATCH(SMALL($V$4:$V$3183,3154),$V$4:$V$3183,0)),"")</f>
        <v/>
      </c>
      <c r="B3157">
        <f>IFERROR(INDEX($O$4:$O$3183,MATCH(SMALL($V$4:$V$3183,3154),$V$4:$V$3183,0)),"")</f>
        <v/>
      </c>
      <c r="C3157">
        <f>IFERROR(INDEX($P$4:$P$3183,MATCH(SMALL($V$4:$V$3183,3154),$V$4:$V$3183,0)),"")</f>
        <v/>
      </c>
      <c r="D3157" s="29">
        <f>IFERROR(INDEX($Q$4:$Q$3183,MATCH(SMALL($V$4:$V$3183,3154),$V$4:$V$3183,0)),"")</f>
        <v/>
      </c>
      <c r="E3157" s="29">
        <f>IFERROR(INDEX($R$4:$R$3183,MATCH(SMALL($V$4:$V$3183,3154),$V$4:$V$3183,0)),"")</f>
        <v/>
      </c>
      <c r="F3157">
        <f>IFERROR(INDEX($S$4:$S$3183,MATCH(SMALL($V$4:$V$3183,3154),$V$4:$V$3183,0)),"")</f>
        <v/>
      </c>
      <c r="I3157" s="29">
        <f>IF($B3157="","",IFERROR(INDEX($U$4:$U$3183,MATCH(SMALL($V$4:$V$3183,3154),$V$4:$V$3183,0)),""))</f>
        <v/>
      </c>
      <c r="J3157">
        <f>IF($B3157="","",IF($D3157&gt;$F$2,"À venir",IF($E3157&lt;$D$2,"Passé","Dans la période")))</f>
        <v/>
      </c>
      <c r="K3157">
        <f>IF(OR($B3157="",NOT(ISNUMBER($D3157))),"",IF(AND($E3157&lt;$D$2,$G3157&lt;&gt;"X",$F3157&lt;&gt;"Réalisé",$F3157&lt;&gt;"Clôturé"),"RETARD",""))</f>
        <v/>
      </c>
      <c r="L3157">
        <f>IF(OR($B3157="",NOT(ISNUMBER($D3157))),"",IF(AND($D3157&gt;=$D$2,$D3157&lt;=$H$2,$G3157&lt;&gt;"X",$F3157&lt;&gt;"Réalisé",$F3157&lt;&gt;"Clôturé"),"≤ 7 j",""))</f>
        <v/>
      </c>
      <c r="M3157" s="29">
        <f>IF($B3157="","",IFERROR(INDEX($T$4:$T$3183,MATCH(SMALL($V$4:$V$3183,3154),$V$4:$V$3183,0)),""))</f>
        <v/>
      </c>
      <c r="O3157">
        <f>IF(INDEX(Suivi!$B:$B,3217)="","",INDEX(Suivi!$B:$B,3217))</f>
        <v/>
      </c>
      <c r="P3157">
        <f>IF($O3157="","",IF(INDEX(Suivi!$D:$D,3217)="",INDEX(Suivi!$C:$C,3217),INDEX(Suivi!$D:$D,3217)))</f>
        <v/>
      </c>
      <c r="Q3157">
        <f>IF($O3157="","",INDEX(Suivi!$E:$E,3217))</f>
        <v/>
      </c>
      <c r="R3157">
        <f>IF($O3157="","",INDEX(Suivi!$F:$F,3217))</f>
        <v/>
      </c>
      <c r="S3157">
        <f>IF($O3157="","",INDEX(Suivi!$G:$G,3217))</f>
        <v/>
      </c>
      <c r="T3157">
        <f>IF($O3157="","",IF(INDEX(Dossiers!$F$4:$F$63,60)="","",INDEX(Dossiers!$F$4:$F$63,60)))</f>
        <v/>
      </c>
      <c r="U3157">
        <f>IF($O3157="","",IF(INDEX(Dossiers!$G$4:$G$63,60)="","",INDEX(Dossiers!$G$4:$G$63,60)))</f>
        <v/>
      </c>
      <c r="V3157">
        <f>IF(OR($O3157="",NOT(ISNUMBER($Q3157))),"",$Q3157*1000000+3157)</f>
        <v/>
      </c>
      <c r="W3157" s="29">
        <f>IF($B3157="","",IFERROR(INDEX($U$4:$U$3183,MATCH(SMALL($V$4:$V$3183,3154),$V$4:$V$3183,0)),""))</f>
        <v/>
      </c>
    </row>
    <row r="3158">
      <c r="A3158">
        <f>IFERROR(INDEX($N$4:$N$3183,MATCH(SMALL($V$4:$V$3183,3155),$V$4:$V$3183,0)),"")</f>
        <v/>
      </c>
      <c r="B3158">
        <f>IFERROR(INDEX($O$4:$O$3183,MATCH(SMALL($V$4:$V$3183,3155),$V$4:$V$3183,0)),"")</f>
        <v/>
      </c>
      <c r="C3158">
        <f>IFERROR(INDEX($P$4:$P$3183,MATCH(SMALL($V$4:$V$3183,3155),$V$4:$V$3183,0)),"")</f>
        <v/>
      </c>
      <c r="D3158" s="29">
        <f>IFERROR(INDEX($Q$4:$Q$3183,MATCH(SMALL($V$4:$V$3183,3155),$V$4:$V$3183,0)),"")</f>
        <v/>
      </c>
      <c r="E3158" s="29">
        <f>IFERROR(INDEX($R$4:$R$3183,MATCH(SMALL($V$4:$V$3183,3155),$V$4:$V$3183,0)),"")</f>
        <v/>
      </c>
      <c r="F3158">
        <f>IFERROR(INDEX($S$4:$S$3183,MATCH(SMALL($V$4:$V$3183,3155),$V$4:$V$3183,0)),"")</f>
        <v/>
      </c>
      <c r="I3158" s="29">
        <f>IF($B3158="","",IFERROR(INDEX($U$4:$U$3183,MATCH(SMALL($V$4:$V$3183,3155),$V$4:$V$3183,0)),""))</f>
        <v/>
      </c>
      <c r="J3158">
        <f>IF($B3158="","",IF($D3158&gt;$F$2,"À venir",IF($E3158&lt;$D$2,"Passé","Dans la période")))</f>
        <v/>
      </c>
      <c r="K3158">
        <f>IF(OR($B3158="",NOT(ISNUMBER($D3158))),"",IF(AND($E3158&lt;$D$2,$G3158&lt;&gt;"X",$F3158&lt;&gt;"Réalisé",$F3158&lt;&gt;"Clôturé"),"RETARD",""))</f>
        <v/>
      </c>
      <c r="L3158">
        <f>IF(OR($B3158="",NOT(ISNUMBER($D3158))),"",IF(AND($D3158&gt;=$D$2,$D3158&lt;=$H$2,$G3158&lt;&gt;"X",$F3158&lt;&gt;"Réalisé",$F3158&lt;&gt;"Clôturé"),"≤ 7 j",""))</f>
        <v/>
      </c>
      <c r="M3158" s="29">
        <f>IF($B3158="","",IFERROR(INDEX($T$4:$T$3183,MATCH(SMALL($V$4:$V$3183,3155),$V$4:$V$3183,0)),""))</f>
        <v/>
      </c>
      <c r="O3158">
        <f>IF(INDEX(Suivi!$B:$B,3218)="","",INDEX(Suivi!$B:$B,3218))</f>
        <v/>
      </c>
      <c r="P3158">
        <f>IF($O3158="","",IF(INDEX(Suivi!$D:$D,3218)="",INDEX(Suivi!$C:$C,3218),INDEX(Suivi!$D:$D,3218)))</f>
        <v/>
      </c>
      <c r="Q3158">
        <f>IF($O3158="","",INDEX(Suivi!$E:$E,3218))</f>
        <v/>
      </c>
      <c r="R3158">
        <f>IF($O3158="","",INDEX(Suivi!$F:$F,3218))</f>
        <v/>
      </c>
      <c r="S3158">
        <f>IF($O3158="","",INDEX(Suivi!$G:$G,3218))</f>
        <v/>
      </c>
      <c r="T3158">
        <f>IF($O3158="","",IF(INDEX(Dossiers!$F$4:$F$63,60)="","",INDEX(Dossiers!$F$4:$F$63,60)))</f>
        <v/>
      </c>
      <c r="U3158">
        <f>IF($O3158="","",IF(INDEX(Dossiers!$G$4:$G$63,60)="","",INDEX(Dossiers!$G$4:$G$63,60)))</f>
        <v/>
      </c>
      <c r="V3158">
        <f>IF(OR($O3158="",NOT(ISNUMBER($Q3158))),"",$Q3158*1000000+3158)</f>
        <v/>
      </c>
      <c r="W3158" s="29">
        <f>IF($B3158="","",IFERROR(INDEX($U$4:$U$3183,MATCH(SMALL($V$4:$V$3183,3155),$V$4:$V$3183,0)),""))</f>
        <v/>
      </c>
    </row>
    <row r="3159">
      <c r="A3159">
        <f>IFERROR(INDEX($N$4:$N$3183,MATCH(SMALL($V$4:$V$3183,3156),$V$4:$V$3183,0)),"")</f>
        <v/>
      </c>
      <c r="B3159">
        <f>IFERROR(INDEX($O$4:$O$3183,MATCH(SMALL($V$4:$V$3183,3156),$V$4:$V$3183,0)),"")</f>
        <v/>
      </c>
      <c r="C3159">
        <f>IFERROR(INDEX($P$4:$P$3183,MATCH(SMALL($V$4:$V$3183,3156),$V$4:$V$3183,0)),"")</f>
        <v/>
      </c>
      <c r="D3159" s="29">
        <f>IFERROR(INDEX($Q$4:$Q$3183,MATCH(SMALL($V$4:$V$3183,3156),$V$4:$V$3183,0)),"")</f>
        <v/>
      </c>
      <c r="E3159" s="29">
        <f>IFERROR(INDEX($R$4:$R$3183,MATCH(SMALL($V$4:$V$3183,3156),$V$4:$V$3183,0)),"")</f>
        <v/>
      </c>
      <c r="F3159">
        <f>IFERROR(INDEX($S$4:$S$3183,MATCH(SMALL($V$4:$V$3183,3156),$V$4:$V$3183,0)),"")</f>
        <v/>
      </c>
      <c r="I3159" s="29">
        <f>IF($B3159="","",IFERROR(INDEX($U$4:$U$3183,MATCH(SMALL($V$4:$V$3183,3156),$V$4:$V$3183,0)),""))</f>
        <v/>
      </c>
      <c r="J3159">
        <f>IF($B3159="","",IF($D3159&gt;$F$2,"À venir",IF($E3159&lt;$D$2,"Passé","Dans la période")))</f>
        <v/>
      </c>
      <c r="K3159">
        <f>IF(OR($B3159="",NOT(ISNUMBER($D3159))),"",IF(AND($E3159&lt;$D$2,$G3159&lt;&gt;"X",$F3159&lt;&gt;"Réalisé",$F3159&lt;&gt;"Clôturé"),"RETARD",""))</f>
        <v/>
      </c>
      <c r="L3159">
        <f>IF(OR($B3159="",NOT(ISNUMBER($D3159))),"",IF(AND($D3159&gt;=$D$2,$D3159&lt;=$H$2,$G3159&lt;&gt;"X",$F3159&lt;&gt;"Réalisé",$F3159&lt;&gt;"Clôturé"),"≤ 7 j",""))</f>
        <v/>
      </c>
      <c r="M3159" s="29">
        <f>IF($B3159="","",IFERROR(INDEX($T$4:$T$3183,MATCH(SMALL($V$4:$V$3183,3156),$V$4:$V$3183,0)),""))</f>
        <v/>
      </c>
      <c r="O3159">
        <f>IF(INDEX(Suivi!$B:$B,3219)="","",INDEX(Suivi!$B:$B,3219))</f>
        <v/>
      </c>
      <c r="P3159">
        <f>IF($O3159="","",IF(INDEX(Suivi!$D:$D,3219)="",INDEX(Suivi!$C:$C,3219),INDEX(Suivi!$D:$D,3219)))</f>
        <v/>
      </c>
      <c r="Q3159">
        <f>IF($O3159="","",INDEX(Suivi!$E:$E,3219))</f>
        <v/>
      </c>
      <c r="R3159">
        <f>IF($O3159="","",INDEX(Suivi!$F:$F,3219))</f>
        <v/>
      </c>
      <c r="S3159">
        <f>IF($O3159="","",INDEX(Suivi!$G:$G,3219))</f>
        <v/>
      </c>
      <c r="T3159">
        <f>IF($O3159="","",IF(INDEX(Dossiers!$F$4:$F$63,60)="","",INDEX(Dossiers!$F$4:$F$63,60)))</f>
        <v/>
      </c>
      <c r="U3159">
        <f>IF($O3159="","",IF(INDEX(Dossiers!$G$4:$G$63,60)="","",INDEX(Dossiers!$G$4:$G$63,60)))</f>
        <v/>
      </c>
      <c r="V3159">
        <f>IF(OR($O3159="",NOT(ISNUMBER($Q3159))),"",$Q3159*1000000+3159)</f>
        <v/>
      </c>
      <c r="W3159" s="29">
        <f>IF($B3159="","",IFERROR(INDEX($U$4:$U$3183,MATCH(SMALL($V$4:$V$3183,3156),$V$4:$V$3183,0)),""))</f>
        <v/>
      </c>
    </row>
    <row r="3160">
      <c r="A3160">
        <f>IFERROR(INDEX($N$4:$N$3183,MATCH(SMALL($V$4:$V$3183,3157),$V$4:$V$3183,0)),"")</f>
        <v/>
      </c>
      <c r="B3160">
        <f>IFERROR(INDEX($O$4:$O$3183,MATCH(SMALL($V$4:$V$3183,3157),$V$4:$V$3183,0)),"")</f>
        <v/>
      </c>
      <c r="C3160">
        <f>IFERROR(INDEX($P$4:$P$3183,MATCH(SMALL($V$4:$V$3183,3157),$V$4:$V$3183,0)),"")</f>
        <v/>
      </c>
      <c r="D3160" s="29">
        <f>IFERROR(INDEX($Q$4:$Q$3183,MATCH(SMALL($V$4:$V$3183,3157),$V$4:$V$3183,0)),"")</f>
        <v/>
      </c>
      <c r="E3160" s="29">
        <f>IFERROR(INDEX($R$4:$R$3183,MATCH(SMALL($V$4:$V$3183,3157),$V$4:$V$3183,0)),"")</f>
        <v/>
      </c>
      <c r="F3160">
        <f>IFERROR(INDEX($S$4:$S$3183,MATCH(SMALL($V$4:$V$3183,3157),$V$4:$V$3183,0)),"")</f>
        <v/>
      </c>
      <c r="I3160" s="29">
        <f>IF($B3160="","",IFERROR(INDEX($U$4:$U$3183,MATCH(SMALL($V$4:$V$3183,3157),$V$4:$V$3183,0)),""))</f>
        <v/>
      </c>
      <c r="J3160">
        <f>IF($B3160="","",IF($D3160&gt;$F$2,"À venir",IF($E3160&lt;$D$2,"Passé","Dans la période")))</f>
        <v/>
      </c>
      <c r="K3160">
        <f>IF(OR($B3160="",NOT(ISNUMBER($D3160))),"",IF(AND($E3160&lt;$D$2,$G3160&lt;&gt;"X",$F3160&lt;&gt;"Réalisé",$F3160&lt;&gt;"Clôturé"),"RETARD",""))</f>
        <v/>
      </c>
      <c r="L3160">
        <f>IF(OR($B3160="",NOT(ISNUMBER($D3160))),"",IF(AND($D3160&gt;=$D$2,$D3160&lt;=$H$2,$G3160&lt;&gt;"X",$F3160&lt;&gt;"Réalisé",$F3160&lt;&gt;"Clôturé"),"≤ 7 j",""))</f>
        <v/>
      </c>
      <c r="M3160" s="29">
        <f>IF($B3160="","",IFERROR(INDEX($T$4:$T$3183,MATCH(SMALL($V$4:$V$3183,3157),$V$4:$V$3183,0)),""))</f>
        <v/>
      </c>
      <c r="O3160">
        <f>IF(INDEX(Suivi!$B:$B,3220)="","",INDEX(Suivi!$B:$B,3220))</f>
        <v/>
      </c>
      <c r="P3160">
        <f>IF($O3160="","",IF(INDEX(Suivi!$D:$D,3220)="",INDEX(Suivi!$C:$C,3220),INDEX(Suivi!$D:$D,3220)))</f>
        <v/>
      </c>
      <c r="Q3160">
        <f>IF($O3160="","",INDEX(Suivi!$E:$E,3220))</f>
        <v/>
      </c>
      <c r="R3160">
        <f>IF($O3160="","",INDEX(Suivi!$F:$F,3220))</f>
        <v/>
      </c>
      <c r="S3160">
        <f>IF($O3160="","",INDEX(Suivi!$G:$G,3220))</f>
        <v/>
      </c>
      <c r="T3160">
        <f>IF($O3160="","",IF(INDEX(Dossiers!$F$4:$F$63,60)="","",INDEX(Dossiers!$F$4:$F$63,60)))</f>
        <v/>
      </c>
      <c r="U3160">
        <f>IF($O3160="","",IF(INDEX(Dossiers!$G$4:$G$63,60)="","",INDEX(Dossiers!$G$4:$G$63,60)))</f>
        <v/>
      </c>
      <c r="V3160">
        <f>IF(OR($O3160="",NOT(ISNUMBER($Q3160))),"",$Q3160*1000000+3160)</f>
        <v/>
      </c>
      <c r="W3160" s="29">
        <f>IF($B3160="","",IFERROR(INDEX($U$4:$U$3183,MATCH(SMALL($V$4:$V$3183,3157),$V$4:$V$3183,0)),""))</f>
        <v/>
      </c>
    </row>
    <row r="3161">
      <c r="A3161">
        <f>IFERROR(INDEX($N$4:$N$3183,MATCH(SMALL($V$4:$V$3183,3158),$V$4:$V$3183,0)),"")</f>
        <v/>
      </c>
      <c r="B3161">
        <f>IFERROR(INDEX($O$4:$O$3183,MATCH(SMALL($V$4:$V$3183,3158),$V$4:$V$3183,0)),"")</f>
        <v/>
      </c>
      <c r="C3161">
        <f>IFERROR(INDEX($P$4:$P$3183,MATCH(SMALL($V$4:$V$3183,3158),$V$4:$V$3183,0)),"")</f>
        <v/>
      </c>
      <c r="D3161" s="29">
        <f>IFERROR(INDEX($Q$4:$Q$3183,MATCH(SMALL($V$4:$V$3183,3158),$V$4:$V$3183,0)),"")</f>
        <v/>
      </c>
      <c r="E3161" s="29">
        <f>IFERROR(INDEX($R$4:$R$3183,MATCH(SMALL($V$4:$V$3183,3158),$V$4:$V$3183,0)),"")</f>
        <v/>
      </c>
      <c r="F3161">
        <f>IFERROR(INDEX($S$4:$S$3183,MATCH(SMALL($V$4:$V$3183,3158),$V$4:$V$3183,0)),"")</f>
        <v/>
      </c>
      <c r="I3161" s="29">
        <f>IF($B3161="","",IFERROR(INDEX($U$4:$U$3183,MATCH(SMALL($V$4:$V$3183,3158),$V$4:$V$3183,0)),""))</f>
        <v/>
      </c>
      <c r="J3161">
        <f>IF($B3161="","",IF($D3161&gt;$F$2,"À venir",IF($E3161&lt;$D$2,"Passé","Dans la période")))</f>
        <v/>
      </c>
      <c r="K3161">
        <f>IF(OR($B3161="",NOT(ISNUMBER($D3161))),"",IF(AND($E3161&lt;$D$2,$G3161&lt;&gt;"X",$F3161&lt;&gt;"Réalisé",$F3161&lt;&gt;"Clôturé"),"RETARD",""))</f>
        <v/>
      </c>
      <c r="L3161">
        <f>IF(OR($B3161="",NOT(ISNUMBER($D3161))),"",IF(AND($D3161&gt;=$D$2,$D3161&lt;=$H$2,$G3161&lt;&gt;"X",$F3161&lt;&gt;"Réalisé",$F3161&lt;&gt;"Clôturé"),"≤ 7 j",""))</f>
        <v/>
      </c>
      <c r="M3161" s="29">
        <f>IF($B3161="","",IFERROR(INDEX($T$4:$T$3183,MATCH(SMALL($V$4:$V$3183,3158),$V$4:$V$3183,0)),""))</f>
        <v/>
      </c>
      <c r="O3161">
        <f>IF(INDEX(Suivi!$B:$B,3221)="","",INDEX(Suivi!$B:$B,3221))</f>
        <v/>
      </c>
      <c r="P3161">
        <f>IF($O3161="","",IF(INDEX(Suivi!$D:$D,3221)="",INDEX(Suivi!$C:$C,3221),INDEX(Suivi!$D:$D,3221)))</f>
        <v/>
      </c>
      <c r="Q3161">
        <f>IF($O3161="","",INDEX(Suivi!$E:$E,3221))</f>
        <v/>
      </c>
      <c r="R3161">
        <f>IF($O3161="","",INDEX(Suivi!$F:$F,3221))</f>
        <v/>
      </c>
      <c r="S3161">
        <f>IF($O3161="","",INDEX(Suivi!$G:$G,3221))</f>
        <v/>
      </c>
      <c r="T3161">
        <f>IF($O3161="","",IF(INDEX(Dossiers!$F$4:$F$63,60)="","",INDEX(Dossiers!$F$4:$F$63,60)))</f>
        <v/>
      </c>
      <c r="U3161">
        <f>IF($O3161="","",IF(INDEX(Dossiers!$G$4:$G$63,60)="","",INDEX(Dossiers!$G$4:$G$63,60)))</f>
        <v/>
      </c>
      <c r="V3161">
        <f>IF(OR($O3161="",NOT(ISNUMBER($Q3161))),"",$Q3161*1000000+3161)</f>
        <v/>
      </c>
      <c r="W3161" s="29">
        <f>IF($B3161="","",IFERROR(INDEX($U$4:$U$3183,MATCH(SMALL($V$4:$V$3183,3158),$V$4:$V$3183,0)),""))</f>
        <v/>
      </c>
    </row>
    <row r="3162">
      <c r="A3162">
        <f>IFERROR(INDEX($N$4:$N$3183,MATCH(SMALL($V$4:$V$3183,3159),$V$4:$V$3183,0)),"")</f>
        <v/>
      </c>
      <c r="B3162">
        <f>IFERROR(INDEX($O$4:$O$3183,MATCH(SMALL($V$4:$V$3183,3159),$V$4:$V$3183,0)),"")</f>
        <v/>
      </c>
      <c r="C3162">
        <f>IFERROR(INDEX($P$4:$P$3183,MATCH(SMALL($V$4:$V$3183,3159),$V$4:$V$3183,0)),"")</f>
        <v/>
      </c>
      <c r="D3162" s="29">
        <f>IFERROR(INDEX($Q$4:$Q$3183,MATCH(SMALL($V$4:$V$3183,3159),$V$4:$V$3183,0)),"")</f>
        <v/>
      </c>
      <c r="E3162" s="29">
        <f>IFERROR(INDEX($R$4:$R$3183,MATCH(SMALL($V$4:$V$3183,3159),$V$4:$V$3183,0)),"")</f>
        <v/>
      </c>
      <c r="F3162">
        <f>IFERROR(INDEX($S$4:$S$3183,MATCH(SMALL($V$4:$V$3183,3159),$V$4:$V$3183,0)),"")</f>
        <v/>
      </c>
      <c r="I3162" s="29">
        <f>IF($B3162="","",IFERROR(INDEX($U$4:$U$3183,MATCH(SMALL($V$4:$V$3183,3159),$V$4:$V$3183,0)),""))</f>
        <v/>
      </c>
      <c r="J3162">
        <f>IF($B3162="","",IF($D3162&gt;$F$2,"À venir",IF($E3162&lt;$D$2,"Passé","Dans la période")))</f>
        <v/>
      </c>
      <c r="K3162">
        <f>IF(OR($B3162="",NOT(ISNUMBER($D3162))),"",IF(AND($E3162&lt;$D$2,$G3162&lt;&gt;"X",$F3162&lt;&gt;"Réalisé",$F3162&lt;&gt;"Clôturé"),"RETARD",""))</f>
        <v/>
      </c>
      <c r="L3162">
        <f>IF(OR($B3162="",NOT(ISNUMBER($D3162))),"",IF(AND($D3162&gt;=$D$2,$D3162&lt;=$H$2,$G3162&lt;&gt;"X",$F3162&lt;&gt;"Réalisé",$F3162&lt;&gt;"Clôturé"),"≤ 7 j",""))</f>
        <v/>
      </c>
      <c r="M3162" s="29">
        <f>IF($B3162="","",IFERROR(INDEX($T$4:$T$3183,MATCH(SMALL($V$4:$V$3183,3159),$V$4:$V$3183,0)),""))</f>
        <v/>
      </c>
      <c r="O3162">
        <f>IF(INDEX(Suivi!$B:$B,3222)="","",INDEX(Suivi!$B:$B,3222))</f>
        <v/>
      </c>
      <c r="P3162">
        <f>IF($O3162="","",IF(INDEX(Suivi!$D:$D,3222)="",INDEX(Suivi!$C:$C,3222),INDEX(Suivi!$D:$D,3222)))</f>
        <v/>
      </c>
      <c r="Q3162">
        <f>IF($O3162="","",INDEX(Suivi!$E:$E,3222))</f>
        <v/>
      </c>
      <c r="R3162">
        <f>IF($O3162="","",INDEX(Suivi!$F:$F,3222))</f>
        <v/>
      </c>
      <c r="S3162">
        <f>IF($O3162="","",INDEX(Suivi!$G:$G,3222))</f>
        <v/>
      </c>
      <c r="T3162">
        <f>IF($O3162="","",IF(INDEX(Dossiers!$F$4:$F$63,60)="","",INDEX(Dossiers!$F$4:$F$63,60)))</f>
        <v/>
      </c>
      <c r="U3162">
        <f>IF($O3162="","",IF(INDEX(Dossiers!$G$4:$G$63,60)="","",INDEX(Dossiers!$G$4:$G$63,60)))</f>
        <v/>
      </c>
      <c r="V3162">
        <f>IF(OR($O3162="",NOT(ISNUMBER($Q3162))),"",$Q3162*1000000+3162)</f>
        <v/>
      </c>
      <c r="W3162" s="29">
        <f>IF($B3162="","",IFERROR(INDEX($U$4:$U$3183,MATCH(SMALL($V$4:$V$3183,3159),$V$4:$V$3183,0)),""))</f>
        <v/>
      </c>
    </row>
    <row r="3163">
      <c r="A3163">
        <f>IFERROR(INDEX($N$4:$N$3183,MATCH(SMALL($V$4:$V$3183,3160),$V$4:$V$3183,0)),"")</f>
        <v/>
      </c>
      <c r="B3163">
        <f>IFERROR(INDEX($O$4:$O$3183,MATCH(SMALL($V$4:$V$3183,3160),$V$4:$V$3183,0)),"")</f>
        <v/>
      </c>
      <c r="C3163">
        <f>IFERROR(INDEX($P$4:$P$3183,MATCH(SMALL($V$4:$V$3183,3160),$V$4:$V$3183,0)),"")</f>
        <v/>
      </c>
      <c r="D3163" s="29">
        <f>IFERROR(INDEX($Q$4:$Q$3183,MATCH(SMALL($V$4:$V$3183,3160),$V$4:$V$3183,0)),"")</f>
        <v/>
      </c>
      <c r="E3163" s="29">
        <f>IFERROR(INDEX($R$4:$R$3183,MATCH(SMALL($V$4:$V$3183,3160),$V$4:$V$3183,0)),"")</f>
        <v/>
      </c>
      <c r="F3163">
        <f>IFERROR(INDEX($S$4:$S$3183,MATCH(SMALL($V$4:$V$3183,3160),$V$4:$V$3183,0)),"")</f>
        <v/>
      </c>
      <c r="I3163" s="29">
        <f>IF($B3163="","",IFERROR(INDEX($U$4:$U$3183,MATCH(SMALL($V$4:$V$3183,3160),$V$4:$V$3183,0)),""))</f>
        <v/>
      </c>
      <c r="J3163">
        <f>IF($B3163="","",IF($D3163&gt;$F$2,"À venir",IF($E3163&lt;$D$2,"Passé","Dans la période")))</f>
        <v/>
      </c>
      <c r="K3163">
        <f>IF(OR($B3163="",NOT(ISNUMBER($D3163))),"",IF(AND($E3163&lt;$D$2,$G3163&lt;&gt;"X",$F3163&lt;&gt;"Réalisé",$F3163&lt;&gt;"Clôturé"),"RETARD",""))</f>
        <v/>
      </c>
      <c r="L3163">
        <f>IF(OR($B3163="",NOT(ISNUMBER($D3163))),"",IF(AND($D3163&gt;=$D$2,$D3163&lt;=$H$2,$G3163&lt;&gt;"X",$F3163&lt;&gt;"Réalisé",$F3163&lt;&gt;"Clôturé"),"≤ 7 j",""))</f>
        <v/>
      </c>
      <c r="M3163" s="29">
        <f>IF($B3163="","",IFERROR(INDEX($T$4:$T$3183,MATCH(SMALL($V$4:$V$3183,3160),$V$4:$V$3183,0)),""))</f>
        <v/>
      </c>
      <c r="O3163">
        <f>IF(INDEX(Suivi!$B:$B,3223)="","",INDEX(Suivi!$B:$B,3223))</f>
        <v/>
      </c>
      <c r="P3163">
        <f>IF($O3163="","",IF(INDEX(Suivi!$D:$D,3223)="",INDEX(Suivi!$C:$C,3223),INDEX(Suivi!$D:$D,3223)))</f>
        <v/>
      </c>
      <c r="Q3163">
        <f>IF($O3163="","",INDEX(Suivi!$E:$E,3223))</f>
        <v/>
      </c>
      <c r="R3163">
        <f>IF($O3163="","",INDEX(Suivi!$F:$F,3223))</f>
        <v/>
      </c>
      <c r="S3163">
        <f>IF($O3163="","",INDEX(Suivi!$G:$G,3223))</f>
        <v/>
      </c>
      <c r="T3163">
        <f>IF($O3163="","",IF(INDEX(Dossiers!$F$4:$F$63,60)="","",INDEX(Dossiers!$F$4:$F$63,60)))</f>
        <v/>
      </c>
      <c r="U3163">
        <f>IF($O3163="","",IF(INDEX(Dossiers!$G$4:$G$63,60)="","",INDEX(Dossiers!$G$4:$G$63,60)))</f>
        <v/>
      </c>
      <c r="V3163">
        <f>IF(OR($O3163="",NOT(ISNUMBER($Q3163))),"",$Q3163*1000000+3163)</f>
        <v/>
      </c>
      <c r="W3163" s="29">
        <f>IF($B3163="","",IFERROR(INDEX($U$4:$U$3183,MATCH(SMALL($V$4:$V$3183,3160),$V$4:$V$3183,0)),""))</f>
        <v/>
      </c>
    </row>
    <row r="3164">
      <c r="A3164">
        <f>IFERROR(INDEX($N$4:$N$3183,MATCH(SMALL($V$4:$V$3183,3161),$V$4:$V$3183,0)),"")</f>
        <v/>
      </c>
      <c r="B3164">
        <f>IFERROR(INDEX($O$4:$O$3183,MATCH(SMALL($V$4:$V$3183,3161),$V$4:$V$3183,0)),"")</f>
        <v/>
      </c>
      <c r="C3164">
        <f>IFERROR(INDEX($P$4:$P$3183,MATCH(SMALL($V$4:$V$3183,3161),$V$4:$V$3183,0)),"")</f>
        <v/>
      </c>
      <c r="D3164" s="29">
        <f>IFERROR(INDEX($Q$4:$Q$3183,MATCH(SMALL($V$4:$V$3183,3161),$V$4:$V$3183,0)),"")</f>
        <v/>
      </c>
      <c r="E3164" s="29">
        <f>IFERROR(INDEX($R$4:$R$3183,MATCH(SMALL($V$4:$V$3183,3161),$V$4:$V$3183,0)),"")</f>
        <v/>
      </c>
      <c r="F3164">
        <f>IFERROR(INDEX($S$4:$S$3183,MATCH(SMALL($V$4:$V$3183,3161),$V$4:$V$3183,0)),"")</f>
        <v/>
      </c>
      <c r="I3164" s="29">
        <f>IF($B3164="","",IFERROR(INDEX($U$4:$U$3183,MATCH(SMALL($V$4:$V$3183,3161),$V$4:$V$3183,0)),""))</f>
        <v/>
      </c>
      <c r="J3164">
        <f>IF($B3164="","",IF($D3164&gt;$F$2,"À venir",IF($E3164&lt;$D$2,"Passé","Dans la période")))</f>
        <v/>
      </c>
      <c r="K3164">
        <f>IF(OR($B3164="",NOT(ISNUMBER($D3164))),"",IF(AND($E3164&lt;$D$2,$G3164&lt;&gt;"X",$F3164&lt;&gt;"Réalisé",$F3164&lt;&gt;"Clôturé"),"RETARD",""))</f>
        <v/>
      </c>
      <c r="L3164">
        <f>IF(OR($B3164="",NOT(ISNUMBER($D3164))),"",IF(AND($D3164&gt;=$D$2,$D3164&lt;=$H$2,$G3164&lt;&gt;"X",$F3164&lt;&gt;"Réalisé",$F3164&lt;&gt;"Clôturé"),"≤ 7 j",""))</f>
        <v/>
      </c>
      <c r="M3164" s="29">
        <f>IF($B3164="","",IFERROR(INDEX($T$4:$T$3183,MATCH(SMALL($V$4:$V$3183,3161),$V$4:$V$3183,0)),""))</f>
        <v/>
      </c>
      <c r="O3164">
        <f>IF(INDEX(Suivi!$B:$B,3224)="","",INDEX(Suivi!$B:$B,3224))</f>
        <v/>
      </c>
      <c r="P3164">
        <f>IF($O3164="","",IF(INDEX(Suivi!$D:$D,3224)="",INDEX(Suivi!$C:$C,3224),INDEX(Suivi!$D:$D,3224)))</f>
        <v/>
      </c>
      <c r="Q3164">
        <f>IF($O3164="","",INDEX(Suivi!$E:$E,3224))</f>
        <v/>
      </c>
      <c r="R3164">
        <f>IF($O3164="","",INDEX(Suivi!$F:$F,3224))</f>
        <v/>
      </c>
      <c r="S3164">
        <f>IF($O3164="","",INDEX(Suivi!$G:$G,3224))</f>
        <v/>
      </c>
      <c r="T3164">
        <f>IF($O3164="","",IF(INDEX(Dossiers!$F$4:$F$63,60)="","",INDEX(Dossiers!$F$4:$F$63,60)))</f>
        <v/>
      </c>
      <c r="U3164">
        <f>IF($O3164="","",IF(INDEX(Dossiers!$G$4:$G$63,60)="","",INDEX(Dossiers!$G$4:$G$63,60)))</f>
        <v/>
      </c>
      <c r="V3164">
        <f>IF(OR($O3164="",NOT(ISNUMBER($Q3164))),"",$Q3164*1000000+3164)</f>
        <v/>
      </c>
      <c r="W3164" s="29">
        <f>IF($B3164="","",IFERROR(INDEX($U$4:$U$3183,MATCH(SMALL($V$4:$V$3183,3161),$V$4:$V$3183,0)),""))</f>
        <v/>
      </c>
    </row>
    <row r="3165">
      <c r="A3165">
        <f>IFERROR(INDEX($N$4:$N$3183,MATCH(SMALL($V$4:$V$3183,3162),$V$4:$V$3183,0)),"")</f>
        <v/>
      </c>
      <c r="B3165">
        <f>IFERROR(INDEX($O$4:$O$3183,MATCH(SMALL($V$4:$V$3183,3162),$V$4:$V$3183,0)),"")</f>
        <v/>
      </c>
      <c r="C3165">
        <f>IFERROR(INDEX($P$4:$P$3183,MATCH(SMALL($V$4:$V$3183,3162),$V$4:$V$3183,0)),"")</f>
        <v/>
      </c>
      <c r="D3165" s="29">
        <f>IFERROR(INDEX($Q$4:$Q$3183,MATCH(SMALL($V$4:$V$3183,3162),$V$4:$V$3183,0)),"")</f>
        <v/>
      </c>
      <c r="E3165" s="29">
        <f>IFERROR(INDEX($R$4:$R$3183,MATCH(SMALL($V$4:$V$3183,3162),$V$4:$V$3183,0)),"")</f>
        <v/>
      </c>
      <c r="F3165">
        <f>IFERROR(INDEX($S$4:$S$3183,MATCH(SMALL($V$4:$V$3183,3162),$V$4:$V$3183,0)),"")</f>
        <v/>
      </c>
      <c r="I3165" s="29">
        <f>IF($B3165="","",IFERROR(INDEX($U$4:$U$3183,MATCH(SMALL($V$4:$V$3183,3162),$V$4:$V$3183,0)),""))</f>
        <v/>
      </c>
      <c r="J3165">
        <f>IF($B3165="","",IF($D3165&gt;$F$2,"À venir",IF($E3165&lt;$D$2,"Passé","Dans la période")))</f>
        <v/>
      </c>
      <c r="K3165">
        <f>IF(OR($B3165="",NOT(ISNUMBER($D3165))),"",IF(AND($E3165&lt;$D$2,$G3165&lt;&gt;"X",$F3165&lt;&gt;"Réalisé",$F3165&lt;&gt;"Clôturé"),"RETARD",""))</f>
        <v/>
      </c>
      <c r="L3165">
        <f>IF(OR($B3165="",NOT(ISNUMBER($D3165))),"",IF(AND($D3165&gt;=$D$2,$D3165&lt;=$H$2,$G3165&lt;&gt;"X",$F3165&lt;&gt;"Réalisé",$F3165&lt;&gt;"Clôturé"),"≤ 7 j",""))</f>
        <v/>
      </c>
      <c r="M3165" s="29">
        <f>IF($B3165="","",IFERROR(INDEX($T$4:$T$3183,MATCH(SMALL($V$4:$V$3183,3162),$V$4:$V$3183,0)),""))</f>
        <v/>
      </c>
      <c r="O3165">
        <f>IF(INDEX(Suivi!$B:$B,3225)="","",INDEX(Suivi!$B:$B,3225))</f>
        <v/>
      </c>
      <c r="P3165">
        <f>IF($O3165="","",IF(INDEX(Suivi!$D:$D,3225)="",INDEX(Suivi!$C:$C,3225),INDEX(Suivi!$D:$D,3225)))</f>
        <v/>
      </c>
      <c r="Q3165">
        <f>IF($O3165="","",INDEX(Suivi!$E:$E,3225))</f>
        <v/>
      </c>
      <c r="R3165">
        <f>IF($O3165="","",INDEX(Suivi!$F:$F,3225))</f>
        <v/>
      </c>
      <c r="S3165">
        <f>IF($O3165="","",INDEX(Suivi!$G:$G,3225))</f>
        <v/>
      </c>
      <c r="T3165">
        <f>IF($O3165="","",IF(INDEX(Dossiers!$F$4:$F$63,60)="","",INDEX(Dossiers!$F$4:$F$63,60)))</f>
        <v/>
      </c>
      <c r="U3165">
        <f>IF($O3165="","",IF(INDEX(Dossiers!$G$4:$G$63,60)="","",INDEX(Dossiers!$G$4:$G$63,60)))</f>
        <v/>
      </c>
      <c r="V3165">
        <f>IF(OR($O3165="",NOT(ISNUMBER($Q3165))),"",$Q3165*1000000+3165)</f>
        <v/>
      </c>
      <c r="W3165" s="29">
        <f>IF($B3165="","",IFERROR(INDEX($U$4:$U$3183,MATCH(SMALL($V$4:$V$3183,3162),$V$4:$V$3183,0)),""))</f>
        <v/>
      </c>
    </row>
    <row r="3166">
      <c r="A3166">
        <f>IFERROR(INDEX($N$4:$N$3183,MATCH(SMALL($V$4:$V$3183,3163),$V$4:$V$3183,0)),"")</f>
        <v/>
      </c>
      <c r="B3166">
        <f>IFERROR(INDEX($O$4:$O$3183,MATCH(SMALL($V$4:$V$3183,3163),$V$4:$V$3183,0)),"")</f>
        <v/>
      </c>
      <c r="C3166">
        <f>IFERROR(INDEX($P$4:$P$3183,MATCH(SMALL($V$4:$V$3183,3163),$V$4:$V$3183,0)),"")</f>
        <v/>
      </c>
      <c r="D3166" s="29">
        <f>IFERROR(INDEX($Q$4:$Q$3183,MATCH(SMALL($V$4:$V$3183,3163),$V$4:$V$3183,0)),"")</f>
        <v/>
      </c>
      <c r="E3166" s="29">
        <f>IFERROR(INDEX($R$4:$R$3183,MATCH(SMALL($V$4:$V$3183,3163),$V$4:$V$3183,0)),"")</f>
        <v/>
      </c>
      <c r="F3166">
        <f>IFERROR(INDEX($S$4:$S$3183,MATCH(SMALL($V$4:$V$3183,3163),$V$4:$V$3183,0)),"")</f>
        <v/>
      </c>
      <c r="I3166" s="29">
        <f>IF($B3166="","",IFERROR(INDEX($U$4:$U$3183,MATCH(SMALL($V$4:$V$3183,3163),$V$4:$V$3183,0)),""))</f>
        <v/>
      </c>
      <c r="J3166">
        <f>IF($B3166="","",IF($D3166&gt;$F$2,"À venir",IF($E3166&lt;$D$2,"Passé","Dans la période")))</f>
        <v/>
      </c>
      <c r="K3166">
        <f>IF(OR($B3166="",NOT(ISNUMBER($D3166))),"",IF(AND($E3166&lt;$D$2,$G3166&lt;&gt;"X",$F3166&lt;&gt;"Réalisé",$F3166&lt;&gt;"Clôturé"),"RETARD",""))</f>
        <v/>
      </c>
      <c r="L3166">
        <f>IF(OR($B3166="",NOT(ISNUMBER($D3166))),"",IF(AND($D3166&gt;=$D$2,$D3166&lt;=$H$2,$G3166&lt;&gt;"X",$F3166&lt;&gt;"Réalisé",$F3166&lt;&gt;"Clôturé"),"≤ 7 j",""))</f>
        <v/>
      </c>
      <c r="M3166" s="29">
        <f>IF($B3166="","",IFERROR(INDEX($T$4:$T$3183,MATCH(SMALL($V$4:$V$3183,3163),$V$4:$V$3183,0)),""))</f>
        <v/>
      </c>
      <c r="O3166">
        <f>IF(INDEX(Suivi!$B:$B,3226)="","",INDEX(Suivi!$B:$B,3226))</f>
        <v/>
      </c>
      <c r="P3166">
        <f>IF($O3166="","",IF(INDEX(Suivi!$D:$D,3226)="",INDEX(Suivi!$C:$C,3226),INDEX(Suivi!$D:$D,3226)))</f>
        <v/>
      </c>
      <c r="Q3166">
        <f>IF($O3166="","",INDEX(Suivi!$E:$E,3226))</f>
        <v/>
      </c>
      <c r="R3166">
        <f>IF($O3166="","",INDEX(Suivi!$F:$F,3226))</f>
        <v/>
      </c>
      <c r="S3166">
        <f>IF($O3166="","",INDEX(Suivi!$G:$G,3226))</f>
        <v/>
      </c>
      <c r="T3166">
        <f>IF($O3166="","",IF(INDEX(Dossiers!$F$4:$F$63,60)="","",INDEX(Dossiers!$F$4:$F$63,60)))</f>
        <v/>
      </c>
      <c r="U3166">
        <f>IF($O3166="","",IF(INDEX(Dossiers!$G$4:$G$63,60)="","",INDEX(Dossiers!$G$4:$G$63,60)))</f>
        <v/>
      </c>
      <c r="V3166">
        <f>IF(OR($O3166="",NOT(ISNUMBER($Q3166))),"",$Q3166*1000000+3166)</f>
        <v/>
      </c>
      <c r="W3166" s="29">
        <f>IF($B3166="","",IFERROR(INDEX($U$4:$U$3183,MATCH(SMALL($V$4:$V$3183,3163),$V$4:$V$3183,0)),""))</f>
        <v/>
      </c>
    </row>
    <row r="3167">
      <c r="A3167">
        <f>IFERROR(INDEX($N$4:$N$3183,MATCH(SMALL($V$4:$V$3183,3164),$V$4:$V$3183,0)),"")</f>
        <v/>
      </c>
      <c r="B3167">
        <f>IFERROR(INDEX($O$4:$O$3183,MATCH(SMALL($V$4:$V$3183,3164),$V$4:$V$3183,0)),"")</f>
        <v/>
      </c>
      <c r="C3167">
        <f>IFERROR(INDEX($P$4:$P$3183,MATCH(SMALL($V$4:$V$3183,3164),$V$4:$V$3183,0)),"")</f>
        <v/>
      </c>
      <c r="D3167" s="29">
        <f>IFERROR(INDEX($Q$4:$Q$3183,MATCH(SMALL($V$4:$V$3183,3164),$V$4:$V$3183,0)),"")</f>
        <v/>
      </c>
      <c r="E3167" s="29">
        <f>IFERROR(INDEX($R$4:$R$3183,MATCH(SMALL($V$4:$V$3183,3164),$V$4:$V$3183,0)),"")</f>
        <v/>
      </c>
      <c r="F3167">
        <f>IFERROR(INDEX($S$4:$S$3183,MATCH(SMALL($V$4:$V$3183,3164),$V$4:$V$3183,0)),"")</f>
        <v/>
      </c>
      <c r="I3167" s="29">
        <f>IF($B3167="","",IFERROR(INDEX($U$4:$U$3183,MATCH(SMALL($V$4:$V$3183,3164),$V$4:$V$3183,0)),""))</f>
        <v/>
      </c>
      <c r="J3167">
        <f>IF($B3167="","",IF($D3167&gt;$F$2,"À venir",IF($E3167&lt;$D$2,"Passé","Dans la période")))</f>
        <v/>
      </c>
      <c r="K3167">
        <f>IF(OR($B3167="",NOT(ISNUMBER($D3167))),"",IF(AND($E3167&lt;$D$2,$G3167&lt;&gt;"X",$F3167&lt;&gt;"Réalisé",$F3167&lt;&gt;"Clôturé"),"RETARD",""))</f>
        <v/>
      </c>
      <c r="L3167">
        <f>IF(OR($B3167="",NOT(ISNUMBER($D3167))),"",IF(AND($D3167&gt;=$D$2,$D3167&lt;=$H$2,$G3167&lt;&gt;"X",$F3167&lt;&gt;"Réalisé",$F3167&lt;&gt;"Clôturé"),"≤ 7 j",""))</f>
        <v/>
      </c>
      <c r="M3167" s="29">
        <f>IF($B3167="","",IFERROR(INDEX($T$4:$T$3183,MATCH(SMALL($V$4:$V$3183,3164),$V$4:$V$3183,0)),""))</f>
        <v/>
      </c>
      <c r="O3167">
        <f>IF(INDEX(Suivi!$B:$B,3227)="","",INDEX(Suivi!$B:$B,3227))</f>
        <v/>
      </c>
      <c r="P3167">
        <f>IF($O3167="","",IF(INDEX(Suivi!$D:$D,3227)="",INDEX(Suivi!$C:$C,3227),INDEX(Suivi!$D:$D,3227)))</f>
        <v/>
      </c>
      <c r="Q3167">
        <f>IF($O3167="","",INDEX(Suivi!$E:$E,3227))</f>
        <v/>
      </c>
      <c r="R3167">
        <f>IF($O3167="","",INDEX(Suivi!$F:$F,3227))</f>
        <v/>
      </c>
      <c r="S3167">
        <f>IF($O3167="","",INDEX(Suivi!$G:$G,3227))</f>
        <v/>
      </c>
      <c r="T3167">
        <f>IF($O3167="","",IF(INDEX(Dossiers!$F$4:$F$63,60)="","",INDEX(Dossiers!$F$4:$F$63,60)))</f>
        <v/>
      </c>
      <c r="U3167">
        <f>IF($O3167="","",IF(INDEX(Dossiers!$G$4:$G$63,60)="","",INDEX(Dossiers!$G$4:$G$63,60)))</f>
        <v/>
      </c>
      <c r="V3167">
        <f>IF(OR($O3167="",NOT(ISNUMBER($Q3167))),"",$Q3167*1000000+3167)</f>
        <v/>
      </c>
      <c r="W3167" s="29">
        <f>IF($B3167="","",IFERROR(INDEX($U$4:$U$3183,MATCH(SMALL($V$4:$V$3183,3164),$V$4:$V$3183,0)),""))</f>
        <v/>
      </c>
    </row>
    <row r="3168">
      <c r="A3168">
        <f>IFERROR(INDEX($N$4:$N$3183,MATCH(SMALL($V$4:$V$3183,3165),$V$4:$V$3183,0)),"")</f>
        <v/>
      </c>
      <c r="B3168">
        <f>IFERROR(INDEX($O$4:$O$3183,MATCH(SMALL($V$4:$V$3183,3165),$V$4:$V$3183,0)),"")</f>
        <v/>
      </c>
      <c r="C3168">
        <f>IFERROR(INDEX($P$4:$P$3183,MATCH(SMALL($V$4:$V$3183,3165),$V$4:$V$3183,0)),"")</f>
        <v/>
      </c>
      <c r="D3168" s="29">
        <f>IFERROR(INDEX($Q$4:$Q$3183,MATCH(SMALL($V$4:$V$3183,3165),$V$4:$V$3183,0)),"")</f>
        <v/>
      </c>
      <c r="E3168" s="29">
        <f>IFERROR(INDEX($R$4:$R$3183,MATCH(SMALL($V$4:$V$3183,3165),$V$4:$V$3183,0)),"")</f>
        <v/>
      </c>
      <c r="F3168">
        <f>IFERROR(INDEX($S$4:$S$3183,MATCH(SMALL($V$4:$V$3183,3165),$V$4:$V$3183,0)),"")</f>
        <v/>
      </c>
      <c r="I3168" s="29">
        <f>IF($B3168="","",IFERROR(INDEX($U$4:$U$3183,MATCH(SMALL($V$4:$V$3183,3165),$V$4:$V$3183,0)),""))</f>
        <v/>
      </c>
      <c r="J3168">
        <f>IF($B3168="","",IF($D3168&gt;$F$2,"À venir",IF($E3168&lt;$D$2,"Passé","Dans la période")))</f>
        <v/>
      </c>
      <c r="K3168">
        <f>IF(OR($B3168="",NOT(ISNUMBER($D3168))),"",IF(AND($E3168&lt;$D$2,$G3168&lt;&gt;"X",$F3168&lt;&gt;"Réalisé",$F3168&lt;&gt;"Clôturé"),"RETARD",""))</f>
        <v/>
      </c>
      <c r="L3168">
        <f>IF(OR($B3168="",NOT(ISNUMBER($D3168))),"",IF(AND($D3168&gt;=$D$2,$D3168&lt;=$H$2,$G3168&lt;&gt;"X",$F3168&lt;&gt;"Réalisé",$F3168&lt;&gt;"Clôturé"),"≤ 7 j",""))</f>
        <v/>
      </c>
      <c r="M3168" s="29">
        <f>IF($B3168="","",IFERROR(INDEX($T$4:$T$3183,MATCH(SMALL($V$4:$V$3183,3165),$V$4:$V$3183,0)),""))</f>
        <v/>
      </c>
      <c r="O3168">
        <f>IF(INDEX(Suivi!$B:$B,3228)="","",INDEX(Suivi!$B:$B,3228))</f>
        <v/>
      </c>
      <c r="P3168">
        <f>IF($O3168="","",IF(INDEX(Suivi!$D:$D,3228)="",INDEX(Suivi!$C:$C,3228),INDEX(Suivi!$D:$D,3228)))</f>
        <v/>
      </c>
      <c r="Q3168">
        <f>IF($O3168="","",INDEX(Suivi!$E:$E,3228))</f>
        <v/>
      </c>
      <c r="R3168">
        <f>IF($O3168="","",INDEX(Suivi!$F:$F,3228))</f>
        <v/>
      </c>
      <c r="S3168">
        <f>IF($O3168="","",INDEX(Suivi!$G:$G,3228))</f>
        <v/>
      </c>
      <c r="T3168">
        <f>IF($O3168="","",IF(INDEX(Dossiers!$F$4:$F$63,60)="","",INDEX(Dossiers!$F$4:$F$63,60)))</f>
        <v/>
      </c>
      <c r="U3168">
        <f>IF($O3168="","",IF(INDEX(Dossiers!$G$4:$G$63,60)="","",INDEX(Dossiers!$G$4:$G$63,60)))</f>
        <v/>
      </c>
      <c r="V3168">
        <f>IF(OR($O3168="",NOT(ISNUMBER($Q3168))),"",$Q3168*1000000+3168)</f>
        <v/>
      </c>
      <c r="W3168" s="29">
        <f>IF($B3168="","",IFERROR(INDEX($U$4:$U$3183,MATCH(SMALL($V$4:$V$3183,3165),$V$4:$V$3183,0)),""))</f>
        <v/>
      </c>
    </row>
    <row r="3169">
      <c r="A3169">
        <f>IFERROR(INDEX($N$4:$N$3183,MATCH(SMALL($V$4:$V$3183,3166),$V$4:$V$3183,0)),"")</f>
        <v/>
      </c>
      <c r="B3169">
        <f>IFERROR(INDEX($O$4:$O$3183,MATCH(SMALL($V$4:$V$3183,3166),$V$4:$V$3183,0)),"")</f>
        <v/>
      </c>
      <c r="C3169">
        <f>IFERROR(INDEX($P$4:$P$3183,MATCH(SMALL($V$4:$V$3183,3166),$V$4:$V$3183,0)),"")</f>
        <v/>
      </c>
      <c r="D3169" s="29">
        <f>IFERROR(INDEX($Q$4:$Q$3183,MATCH(SMALL($V$4:$V$3183,3166),$V$4:$V$3183,0)),"")</f>
        <v/>
      </c>
      <c r="E3169" s="29">
        <f>IFERROR(INDEX($R$4:$R$3183,MATCH(SMALL($V$4:$V$3183,3166),$V$4:$V$3183,0)),"")</f>
        <v/>
      </c>
      <c r="F3169">
        <f>IFERROR(INDEX($S$4:$S$3183,MATCH(SMALL($V$4:$V$3183,3166),$V$4:$V$3183,0)),"")</f>
        <v/>
      </c>
      <c r="I3169" s="29">
        <f>IF($B3169="","",IFERROR(INDEX($U$4:$U$3183,MATCH(SMALL($V$4:$V$3183,3166),$V$4:$V$3183,0)),""))</f>
        <v/>
      </c>
      <c r="J3169">
        <f>IF($B3169="","",IF($D3169&gt;$F$2,"À venir",IF($E3169&lt;$D$2,"Passé","Dans la période")))</f>
        <v/>
      </c>
      <c r="K3169">
        <f>IF(OR($B3169="",NOT(ISNUMBER($D3169))),"",IF(AND($E3169&lt;$D$2,$G3169&lt;&gt;"X",$F3169&lt;&gt;"Réalisé",$F3169&lt;&gt;"Clôturé"),"RETARD",""))</f>
        <v/>
      </c>
      <c r="L3169">
        <f>IF(OR($B3169="",NOT(ISNUMBER($D3169))),"",IF(AND($D3169&gt;=$D$2,$D3169&lt;=$H$2,$G3169&lt;&gt;"X",$F3169&lt;&gt;"Réalisé",$F3169&lt;&gt;"Clôturé"),"≤ 7 j",""))</f>
        <v/>
      </c>
      <c r="M3169" s="29">
        <f>IF($B3169="","",IFERROR(INDEX($T$4:$T$3183,MATCH(SMALL($V$4:$V$3183,3166),$V$4:$V$3183,0)),""))</f>
        <v/>
      </c>
      <c r="O3169">
        <f>IF(INDEX(Suivi!$B:$B,3229)="","",INDEX(Suivi!$B:$B,3229))</f>
        <v/>
      </c>
      <c r="P3169">
        <f>IF($O3169="","",IF(INDEX(Suivi!$D:$D,3229)="",INDEX(Suivi!$C:$C,3229),INDEX(Suivi!$D:$D,3229)))</f>
        <v/>
      </c>
      <c r="Q3169">
        <f>IF($O3169="","",INDEX(Suivi!$E:$E,3229))</f>
        <v/>
      </c>
      <c r="R3169">
        <f>IF($O3169="","",INDEX(Suivi!$F:$F,3229))</f>
        <v/>
      </c>
      <c r="S3169">
        <f>IF($O3169="","",INDEX(Suivi!$G:$G,3229))</f>
        <v/>
      </c>
      <c r="T3169">
        <f>IF($O3169="","",IF(INDEX(Dossiers!$F$4:$F$63,60)="","",INDEX(Dossiers!$F$4:$F$63,60)))</f>
        <v/>
      </c>
      <c r="U3169">
        <f>IF($O3169="","",IF(INDEX(Dossiers!$G$4:$G$63,60)="","",INDEX(Dossiers!$G$4:$G$63,60)))</f>
        <v/>
      </c>
      <c r="V3169">
        <f>IF(OR($O3169="",NOT(ISNUMBER($Q3169))),"",$Q3169*1000000+3169)</f>
        <v/>
      </c>
      <c r="W3169" s="29">
        <f>IF($B3169="","",IFERROR(INDEX($U$4:$U$3183,MATCH(SMALL($V$4:$V$3183,3166),$V$4:$V$3183,0)),""))</f>
        <v/>
      </c>
    </row>
    <row r="3170">
      <c r="A3170">
        <f>IFERROR(INDEX($N$4:$N$3183,MATCH(SMALL($V$4:$V$3183,3167),$V$4:$V$3183,0)),"")</f>
        <v/>
      </c>
      <c r="B3170">
        <f>IFERROR(INDEX($O$4:$O$3183,MATCH(SMALL($V$4:$V$3183,3167),$V$4:$V$3183,0)),"")</f>
        <v/>
      </c>
      <c r="C3170">
        <f>IFERROR(INDEX($P$4:$P$3183,MATCH(SMALL($V$4:$V$3183,3167),$V$4:$V$3183,0)),"")</f>
        <v/>
      </c>
      <c r="D3170" s="29">
        <f>IFERROR(INDEX($Q$4:$Q$3183,MATCH(SMALL($V$4:$V$3183,3167),$V$4:$V$3183,0)),"")</f>
        <v/>
      </c>
      <c r="E3170" s="29">
        <f>IFERROR(INDEX($R$4:$R$3183,MATCH(SMALL($V$4:$V$3183,3167),$V$4:$V$3183,0)),"")</f>
        <v/>
      </c>
      <c r="F3170">
        <f>IFERROR(INDEX($S$4:$S$3183,MATCH(SMALL($V$4:$V$3183,3167),$V$4:$V$3183,0)),"")</f>
        <v/>
      </c>
      <c r="I3170" s="29">
        <f>IF($B3170="","",IFERROR(INDEX($U$4:$U$3183,MATCH(SMALL($V$4:$V$3183,3167),$V$4:$V$3183,0)),""))</f>
        <v/>
      </c>
      <c r="J3170">
        <f>IF($B3170="","",IF($D3170&gt;$F$2,"À venir",IF($E3170&lt;$D$2,"Passé","Dans la période")))</f>
        <v/>
      </c>
      <c r="K3170">
        <f>IF(OR($B3170="",NOT(ISNUMBER($D3170))),"",IF(AND($E3170&lt;$D$2,$G3170&lt;&gt;"X",$F3170&lt;&gt;"Réalisé",$F3170&lt;&gt;"Clôturé"),"RETARD",""))</f>
        <v/>
      </c>
      <c r="L3170">
        <f>IF(OR($B3170="",NOT(ISNUMBER($D3170))),"",IF(AND($D3170&gt;=$D$2,$D3170&lt;=$H$2,$G3170&lt;&gt;"X",$F3170&lt;&gt;"Réalisé",$F3170&lt;&gt;"Clôturé"),"≤ 7 j",""))</f>
        <v/>
      </c>
      <c r="M3170" s="29">
        <f>IF($B3170="","",IFERROR(INDEX($T$4:$T$3183,MATCH(SMALL($V$4:$V$3183,3167),$V$4:$V$3183,0)),""))</f>
        <v/>
      </c>
      <c r="O3170">
        <f>IF(INDEX(Suivi!$B:$B,3230)="","",INDEX(Suivi!$B:$B,3230))</f>
        <v/>
      </c>
      <c r="P3170">
        <f>IF($O3170="","",IF(INDEX(Suivi!$D:$D,3230)="",INDEX(Suivi!$C:$C,3230),INDEX(Suivi!$D:$D,3230)))</f>
        <v/>
      </c>
      <c r="Q3170">
        <f>IF($O3170="","",INDEX(Suivi!$E:$E,3230))</f>
        <v/>
      </c>
      <c r="R3170">
        <f>IF($O3170="","",INDEX(Suivi!$F:$F,3230))</f>
        <v/>
      </c>
      <c r="S3170">
        <f>IF($O3170="","",INDEX(Suivi!$G:$G,3230))</f>
        <v/>
      </c>
      <c r="T3170">
        <f>IF($O3170="","",IF(INDEX(Dossiers!$F$4:$F$63,60)="","",INDEX(Dossiers!$F$4:$F$63,60)))</f>
        <v/>
      </c>
      <c r="U3170">
        <f>IF($O3170="","",IF(INDEX(Dossiers!$G$4:$G$63,60)="","",INDEX(Dossiers!$G$4:$G$63,60)))</f>
        <v/>
      </c>
      <c r="V3170">
        <f>IF(OR($O3170="",NOT(ISNUMBER($Q3170))),"",$Q3170*1000000+3170)</f>
        <v/>
      </c>
      <c r="W3170" s="29">
        <f>IF($B3170="","",IFERROR(INDEX($U$4:$U$3183,MATCH(SMALL($V$4:$V$3183,3167),$V$4:$V$3183,0)),""))</f>
        <v/>
      </c>
    </row>
    <row r="3171">
      <c r="A3171">
        <f>IFERROR(INDEX($N$4:$N$3183,MATCH(SMALL($V$4:$V$3183,3168),$V$4:$V$3183,0)),"")</f>
        <v/>
      </c>
      <c r="B3171">
        <f>IFERROR(INDEX($O$4:$O$3183,MATCH(SMALL($V$4:$V$3183,3168),$V$4:$V$3183,0)),"")</f>
        <v/>
      </c>
      <c r="C3171">
        <f>IFERROR(INDEX($P$4:$P$3183,MATCH(SMALL($V$4:$V$3183,3168),$V$4:$V$3183,0)),"")</f>
        <v/>
      </c>
      <c r="D3171" s="29">
        <f>IFERROR(INDEX($Q$4:$Q$3183,MATCH(SMALL($V$4:$V$3183,3168),$V$4:$V$3183,0)),"")</f>
        <v/>
      </c>
      <c r="E3171" s="29">
        <f>IFERROR(INDEX($R$4:$R$3183,MATCH(SMALL($V$4:$V$3183,3168),$V$4:$V$3183,0)),"")</f>
        <v/>
      </c>
      <c r="F3171">
        <f>IFERROR(INDEX($S$4:$S$3183,MATCH(SMALL($V$4:$V$3183,3168),$V$4:$V$3183,0)),"")</f>
        <v/>
      </c>
      <c r="I3171" s="29">
        <f>IF($B3171="","",IFERROR(INDEX($U$4:$U$3183,MATCH(SMALL($V$4:$V$3183,3168),$V$4:$V$3183,0)),""))</f>
        <v/>
      </c>
      <c r="J3171">
        <f>IF($B3171="","",IF($D3171&gt;$F$2,"À venir",IF($E3171&lt;$D$2,"Passé","Dans la période")))</f>
        <v/>
      </c>
      <c r="K3171">
        <f>IF(OR($B3171="",NOT(ISNUMBER($D3171))),"",IF(AND($E3171&lt;$D$2,$G3171&lt;&gt;"X",$F3171&lt;&gt;"Réalisé",$F3171&lt;&gt;"Clôturé"),"RETARD",""))</f>
        <v/>
      </c>
      <c r="L3171">
        <f>IF(OR($B3171="",NOT(ISNUMBER($D3171))),"",IF(AND($D3171&gt;=$D$2,$D3171&lt;=$H$2,$G3171&lt;&gt;"X",$F3171&lt;&gt;"Réalisé",$F3171&lt;&gt;"Clôturé"),"≤ 7 j",""))</f>
        <v/>
      </c>
      <c r="M3171" s="29">
        <f>IF($B3171="","",IFERROR(INDEX($T$4:$T$3183,MATCH(SMALL($V$4:$V$3183,3168),$V$4:$V$3183,0)),""))</f>
        <v/>
      </c>
      <c r="O3171">
        <f>IF(INDEX(Suivi!$B:$B,3231)="","",INDEX(Suivi!$B:$B,3231))</f>
        <v/>
      </c>
      <c r="P3171">
        <f>IF($O3171="","",IF(INDEX(Suivi!$D:$D,3231)="",INDEX(Suivi!$C:$C,3231),INDEX(Suivi!$D:$D,3231)))</f>
        <v/>
      </c>
      <c r="Q3171">
        <f>IF($O3171="","",INDEX(Suivi!$E:$E,3231))</f>
        <v/>
      </c>
      <c r="R3171">
        <f>IF($O3171="","",INDEX(Suivi!$F:$F,3231))</f>
        <v/>
      </c>
      <c r="S3171">
        <f>IF($O3171="","",INDEX(Suivi!$G:$G,3231))</f>
        <v/>
      </c>
      <c r="T3171">
        <f>IF($O3171="","",IF(INDEX(Dossiers!$F$4:$F$63,60)="","",INDEX(Dossiers!$F$4:$F$63,60)))</f>
        <v/>
      </c>
      <c r="U3171">
        <f>IF($O3171="","",IF(INDEX(Dossiers!$G$4:$G$63,60)="","",INDEX(Dossiers!$G$4:$G$63,60)))</f>
        <v/>
      </c>
      <c r="V3171">
        <f>IF(OR($O3171="",NOT(ISNUMBER($Q3171))),"",$Q3171*1000000+3171)</f>
        <v/>
      </c>
      <c r="W3171" s="29">
        <f>IF($B3171="","",IFERROR(INDEX($U$4:$U$3183,MATCH(SMALL($V$4:$V$3183,3168),$V$4:$V$3183,0)),""))</f>
        <v/>
      </c>
    </row>
    <row r="3172">
      <c r="A3172">
        <f>IFERROR(INDEX($N$4:$N$3183,MATCH(SMALL($V$4:$V$3183,3169),$V$4:$V$3183,0)),"")</f>
        <v/>
      </c>
      <c r="B3172">
        <f>IFERROR(INDEX($O$4:$O$3183,MATCH(SMALL($V$4:$V$3183,3169),$V$4:$V$3183,0)),"")</f>
        <v/>
      </c>
      <c r="C3172">
        <f>IFERROR(INDEX($P$4:$P$3183,MATCH(SMALL($V$4:$V$3183,3169),$V$4:$V$3183,0)),"")</f>
        <v/>
      </c>
      <c r="D3172" s="29">
        <f>IFERROR(INDEX($Q$4:$Q$3183,MATCH(SMALL($V$4:$V$3183,3169),$V$4:$V$3183,0)),"")</f>
        <v/>
      </c>
      <c r="E3172" s="29">
        <f>IFERROR(INDEX($R$4:$R$3183,MATCH(SMALL($V$4:$V$3183,3169),$V$4:$V$3183,0)),"")</f>
        <v/>
      </c>
      <c r="F3172">
        <f>IFERROR(INDEX($S$4:$S$3183,MATCH(SMALL($V$4:$V$3183,3169),$V$4:$V$3183,0)),"")</f>
        <v/>
      </c>
      <c r="I3172" s="29">
        <f>IF($B3172="","",IFERROR(INDEX($U$4:$U$3183,MATCH(SMALL($V$4:$V$3183,3169),$V$4:$V$3183,0)),""))</f>
        <v/>
      </c>
      <c r="J3172">
        <f>IF($B3172="","",IF($D3172&gt;$F$2,"À venir",IF($E3172&lt;$D$2,"Passé","Dans la période")))</f>
        <v/>
      </c>
      <c r="K3172">
        <f>IF(OR($B3172="",NOT(ISNUMBER($D3172))),"",IF(AND($E3172&lt;$D$2,$G3172&lt;&gt;"X",$F3172&lt;&gt;"Réalisé",$F3172&lt;&gt;"Clôturé"),"RETARD",""))</f>
        <v/>
      </c>
      <c r="L3172">
        <f>IF(OR($B3172="",NOT(ISNUMBER($D3172))),"",IF(AND($D3172&gt;=$D$2,$D3172&lt;=$H$2,$G3172&lt;&gt;"X",$F3172&lt;&gt;"Réalisé",$F3172&lt;&gt;"Clôturé"),"≤ 7 j",""))</f>
        <v/>
      </c>
      <c r="M3172" s="29">
        <f>IF($B3172="","",IFERROR(INDEX($T$4:$T$3183,MATCH(SMALL($V$4:$V$3183,3169),$V$4:$V$3183,0)),""))</f>
        <v/>
      </c>
      <c r="O3172">
        <f>IF(INDEX(Suivi!$B:$B,3232)="","",INDEX(Suivi!$B:$B,3232))</f>
        <v/>
      </c>
      <c r="P3172">
        <f>IF($O3172="","",IF(INDEX(Suivi!$D:$D,3232)="",INDEX(Suivi!$C:$C,3232),INDEX(Suivi!$D:$D,3232)))</f>
        <v/>
      </c>
      <c r="Q3172">
        <f>IF($O3172="","",INDEX(Suivi!$E:$E,3232))</f>
        <v/>
      </c>
      <c r="R3172">
        <f>IF($O3172="","",INDEX(Suivi!$F:$F,3232))</f>
        <v/>
      </c>
      <c r="S3172">
        <f>IF($O3172="","",INDEX(Suivi!$G:$G,3232))</f>
        <v/>
      </c>
      <c r="T3172">
        <f>IF($O3172="","",IF(INDEX(Dossiers!$F$4:$F$63,60)="","",INDEX(Dossiers!$F$4:$F$63,60)))</f>
        <v/>
      </c>
      <c r="U3172">
        <f>IF($O3172="","",IF(INDEX(Dossiers!$G$4:$G$63,60)="","",INDEX(Dossiers!$G$4:$G$63,60)))</f>
        <v/>
      </c>
      <c r="V3172">
        <f>IF(OR($O3172="",NOT(ISNUMBER($Q3172))),"",$Q3172*1000000+3172)</f>
        <v/>
      </c>
      <c r="W3172" s="29">
        <f>IF($B3172="","",IFERROR(INDEX($U$4:$U$3183,MATCH(SMALL($V$4:$V$3183,3169),$V$4:$V$3183,0)),""))</f>
        <v/>
      </c>
    </row>
    <row r="3173">
      <c r="A3173">
        <f>IFERROR(INDEX($N$4:$N$3183,MATCH(SMALL($V$4:$V$3183,3170),$V$4:$V$3183,0)),"")</f>
        <v/>
      </c>
      <c r="B3173">
        <f>IFERROR(INDEX($O$4:$O$3183,MATCH(SMALL($V$4:$V$3183,3170),$V$4:$V$3183,0)),"")</f>
        <v/>
      </c>
      <c r="C3173">
        <f>IFERROR(INDEX($P$4:$P$3183,MATCH(SMALL($V$4:$V$3183,3170),$V$4:$V$3183,0)),"")</f>
        <v/>
      </c>
      <c r="D3173" s="29">
        <f>IFERROR(INDEX($Q$4:$Q$3183,MATCH(SMALL($V$4:$V$3183,3170),$V$4:$V$3183,0)),"")</f>
        <v/>
      </c>
      <c r="E3173" s="29">
        <f>IFERROR(INDEX($R$4:$R$3183,MATCH(SMALL($V$4:$V$3183,3170),$V$4:$V$3183,0)),"")</f>
        <v/>
      </c>
      <c r="F3173">
        <f>IFERROR(INDEX($S$4:$S$3183,MATCH(SMALL($V$4:$V$3183,3170),$V$4:$V$3183,0)),"")</f>
        <v/>
      </c>
      <c r="I3173" s="29">
        <f>IF($B3173="","",IFERROR(INDEX($U$4:$U$3183,MATCH(SMALL($V$4:$V$3183,3170),$V$4:$V$3183,0)),""))</f>
        <v/>
      </c>
      <c r="J3173">
        <f>IF($B3173="","",IF($D3173&gt;$F$2,"À venir",IF($E3173&lt;$D$2,"Passé","Dans la période")))</f>
        <v/>
      </c>
      <c r="K3173">
        <f>IF(OR($B3173="",NOT(ISNUMBER($D3173))),"",IF(AND($E3173&lt;$D$2,$G3173&lt;&gt;"X",$F3173&lt;&gt;"Réalisé",$F3173&lt;&gt;"Clôturé"),"RETARD",""))</f>
        <v/>
      </c>
      <c r="L3173">
        <f>IF(OR($B3173="",NOT(ISNUMBER($D3173))),"",IF(AND($D3173&gt;=$D$2,$D3173&lt;=$H$2,$G3173&lt;&gt;"X",$F3173&lt;&gt;"Réalisé",$F3173&lt;&gt;"Clôturé"),"≤ 7 j",""))</f>
        <v/>
      </c>
      <c r="M3173" s="29">
        <f>IF($B3173="","",IFERROR(INDEX($T$4:$T$3183,MATCH(SMALL($V$4:$V$3183,3170),$V$4:$V$3183,0)),""))</f>
        <v/>
      </c>
      <c r="O3173">
        <f>IF(INDEX(Suivi!$B:$B,3233)="","",INDEX(Suivi!$B:$B,3233))</f>
        <v/>
      </c>
      <c r="P3173">
        <f>IF($O3173="","",IF(INDEX(Suivi!$D:$D,3233)="",INDEX(Suivi!$C:$C,3233),INDEX(Suivi!$D:$D,3233)))</f>
        <v/>
      </c>
      <c r="Q3173">
        <f>IF($O3173="","",INDEX(Suivi!$E:$E,3233))</f>
        <v/>
      </c>
      <c r="R3173">
        <f>IF($O3173="","",INDEX(Suivi!$F:$F,3233))</f>
        <v/>
      </c>
      <c r="S3173">
        <f>IF($O3173="","",INDEX(Suivi!$G:$G,3233))</f>
        <v/>
      </c>
      <c r="T3173">
        <f>IF($O3173="","",IF(INDEX(Dossiers!$F$4:$F$63,60)="","",INDEX(Dossiers!$F$4:$F$63,60)))</f>
        <v/>
      </c>
      <c r="U3173">
        <f>IF($O3173="","",IF(INDEX(Dossiers!$G$4:$G$63,60)="","",INDEX(Dossiers!$G$4:$G$63,60)))</f>
        <v/>
      </c>
      <c r="V3173">
        <f>IF(OR($O3173="",NOT(ISNUMBER($Q3173))),"",$Q3173*1000000+3173)</f>
        <v/>
      </c>
      <c r="W3173" s="29">
        <f>IF($B3173="","",IFERROR(INDEX($U$4:$U$3183,MATCH(SMALL($V$4:$V$3183,3170),$V$4:$V$3183,0)),""))</f>
        <v/>
      </c>
    </row>
    <row r="3174">
      <c r="A3174">
        <f>IFERROR(INDEX($N$4:$N$3183,MATCH(SMALL($V$4:$V$3183,3171),$V$4:$V$3183,0)),"")</f>
        <v/>
      </c>
      <c r="B3174">
        <f>IFERROR(INDEX($O$4:$O$3183,MATCH(SMALL($V$4:$V$3183,3171),$V$4:$V$3183,0)),"")</f>
        <v/>
      </c>
      <c r="C3174">
        <f>IFERROR(INDEX($P$4:$P$3183,MATCH(SMALL($V$4:$V$3183,3171),$V$4:$V$3183,0)),"")</f>
        <v/>
      </c>
      <c r="D3174" s="29">
        <f>IFERROR(INDEX($Q$4:$Q$3183,MATCH(SMALL($V$4:$V$3183,3171),$V$4:$V$3183,0)),"")</f>
        <v/>
      </c>
      <c r="E3174" s="29">
        <f>IFERROR(INDEX($R$4:$R$3183,MATCH(SMALL($V$4:$V$3183,3171),$V$4:$V$3183,0)),"")</f>
        <v/>
      </c>
      <c r="F3174">
        <f>IFERROR(INDEX($S$4:$S$3183,MATCH(SMALL($V$4:$V$3183,3171),$V$4:$V$3183,0)),"")</f>
        <v/>
      </c>
      <c r="I3174" s="29">
        <f>IF($B3174="","",IFERROR(INDEX($U$4:$U$3183,MATCH(SMALL($V$4:$V$3183,3171),$V$4:$V$3183,0)),""))</f>
        <v/>
      </c>
      <c r="J3174">
        <f>IF($B3174="","",IF($D3174&gt;$F$2,"À venir",IF($E3174&lt;$D$2,"Passé","Dans la période")))</f>
        <v/>
      </c>
      <c r="K3174">
        <f>IF(OR($B3174="",NOT(ISNUMBER($D3174))),"",IF(AND($E3174&lt;$D$2,$G3174&lt;&gt;"X",$F3174&lt;&gt;"Réalisé",$F3174&lt;&gt;"Clôturé"),"RETARD",""))</f>
        <v/>
      </c>
      <c r="L3174">
        <f>IF(OR($B3174="",NOT(ISNUMBER($D3174))),"",IF(AND($D3174&gt;=$D$2,$D3174&lt;=$H$2,$G3174&lt;&gt;"X",$F3174&lt;&gt;"Réalisé",$F3174&lt;&gt;"Clôturé"),"≤ 7 j",""))</f>
        <v/>
      </c>
      <c r="M3174" s="29">
        <f>IF($B3174="","",IFERROR(INDEX($T$4:$T$3183,MATCH(SMALL($V$4:$V$3183,3171),$V$4:$V$3183,0)),""))</f>
        <v/>
      </c>
      <c r="O3174">
        <f>IF(INDEX(Suivi!$B:$B,3234)="","",INDEX(Suivi!$B:$B,3234))</f>
        <v/>
      </c>
      <c r="P3174">
        <f>IF($O3174="","",IF(INDEX(Suivi!$D:$D,3234)="",INDEX(Suivi!$C:$C,3234),INDEX(Suivi!$D:$D,3234)))</f>
        <v/>
      </c>
      <c r="Q3174">
        <f>IF($O3174="","",INDEX(Suivi!$E:$E,3234))</f>
        <v/>
      </c>
      <c r="R3174">
        <f>IF($O3174="","",INDEX(Suivi!$F:$F,3234))</f>
        <v/>
      </c>
      <c r="S3174">
        <f>IF($O3174="","",INDEX(Suivi!$G:$G,3234))</f>
        <v/>
      </c>
      <c r="T3174">
        <f>IF($O3174="","",IF(INDEX(Dossiers!$F$4:$F$63,60)="","",INDEX(Dossiers!$F$4:$F$63,60)))</f>
        <v/>
      </c>
      <c r="U3174">
        <f>IF($O3174="","",IF(INDEX(Dossiers!$G$4:$G$63,60)="","",INDEX(Dossiers!$G$4:$G$63,60)))</f>
        <v/>
      </c>
      <c r="V3174">
        <f>IF(OR($O3174="",NOT(ISNUMBER($Q3174))),"",$Q3174*1000000+3174)</f>
        <v/>
      </c>
      <c r="W3174" s="29">
        <f>IF($B3174="","",IFERROR(INDEX($U$4:$U$3183,MATCH(SMALL($V$4:$V$3183,3171),$V$4:$V$3183,0)),""))</f>
        <v/>
      </c>
    </row>
    <row r="3175">
      <c r="A3175">
        <f>IFERROR(INDEX($N$4:$N$3183,MATCH(SMALL($V$4:$V$3183,3172),$V$4:$V$3183,0)),"")</f>
        <v/>
      </c>
      <c r="B3175">
        <f>IFERROR(INDEX($O$4:$O$3183,MATCH(SMALL($V$4:$V$3183,3172),$V$4:$V$3183,0)),"")</f>
        <v/>
      </c>
      <c r="C3175">
        <f>IFERROR(INDEX($P$4:$P$3183,MATCH(SMALL($V$4:$V$3183,3172),$V$4:$V$3183,0)),"")</f>
        <v/>
      </c>
      <c r="D3175" s="29">
        <f>IFERROR(INDEX($Q$4:$Q$3183,MATCH(SMALL($V$4:$V$3183,3172),$V$4:$V$3183,0)),"")</f>
        <v/>
      </c>
      <c r="E3175" s="29">
        <f>IFERROR(INDEX($R$4:$R$3183,MATCH(SMALL($V$4:$V$3183,3172),$V$4:$V$3183,0)),"")</f>
        <v/>
      </c>
      <c r="F3175">
        <f>IFERROR(INDEX($S$4:$S$3183,MATCH(SMALL($V$4:$V$3183,3172),$V$4:$V$3183,0)),"")</f>
        <v/>
      </c>
      <c r="I3175" s="29">
        <f>IF($B3175="","",IFERROR(INDEX($U$4:$U$3183,MATCH(SMALL($V$4:$V$3183,3172),$V$4:$V$3183,0)),""))</f>
        <v/>
      </c>
      <c r="J3175">
        <f>IF($B3175="","",IF($D3175&gt;$F$2,"À venir",IF($E3175&lt;$D$2,"Passé","Dans la période")))</f>
        <v/>
      </c>
      <c r="K3175">
        <f>IF(OR($B3175="",NOT(ISNUMBER($D3175))),"",IF(AND($E3175&lt;$D$2,$G3175&lt;&gt;"X",$F3175&lt;&gt;"Réalisé",$F3175&lt;&gt;"Clôturé"),"RETARD",""))</f>
        <v/>
      </c>
      <c r="L3175">
        <f>IF(OR($B3175="",NOT(ISNUMBER($D3175))),"",IF(AND($D3175&gt;=$D$2,$D3175&lt;=$H$2,$G3175&lt;&gt;"X",$F3175&lt;&gt;"Réalisé",$F3175&lt;&gt;"Clôturé"),"≤ 7 j",""))</f>
        <v/>
      </c>
      <c r="M3175" s="29">
        <f>IF($B3175="","",IFERROR(INDEX($T$4:$T$3183,MATCH(SMALL($V$4:$V$3183,3172),$V$4:$V$3183,0)),""))</f>
        <v/>
      </c>
      <c r="O3175">
        <f>IF(INDEX(Suivi!$B:$B,3235)="","",INDEX(Suivi!$B:$B,3235))</f>
        <v/>
      </c>
      <c r="P3175">
        <f>IF($O3175="","",IF(INDEX(Suivi!$D:$D,3235)="",INDEX(Suivi!$C:$C,3235),INDEX(Suivi!$D:$D,3235)))</f>
        <v/>
      </c>
      <c r="Q3175">
        <f>IF($O3175="","",INDEX(Suivi!$E:$E,3235))</f>
        <v/>
      </c>
      <c r="R3175">
        <f>IF($O3175="","",INDEX(Suivi!$F:$F,3235))</f>
        <v/>
      </c>
      <c r="S3175">
        <f>IF($O3175="","",INDEX(Suivi!$G:$G,3235))</f>
        <v/>
      </c>
      <c r="T3175">
        <f>IF($O3175="","",IF(INDEX(Dossiers!$F$4:$F$63,60)="","",INDEX(Dossiers!$F$4:$F$63,60)))</f>
        <v/>
      </c>
      <c r="U3175">
        <f>IF($O3175="","",IF(INDEX(Dossiers!$G$4:$G$63,60)="","",INDEX(Dossiers!$G$4:$G$63,60)))</f>
        <v/>
      </c>
      <c r="V3175">
        <f>IF(OR($O3175="",NOT(ISNUMBER($Q3175))),"",$Q3175*1000000+3175)</f>
        <v/>
      </c>
      <c r="W3175" s="29">
        <f>IF($B3175="","",IFERROR(INDEX($U$4:$U$3183,MATCH(SMALL($V$4:$V$3183,3172),$V$4:$V$3183,0)),""))</f>
        <v/>
      </c>
    </row>
    <row r="3176">
      <c r="A3176">
        <f>IFERROR(INDEX($N$4:$N$3183,MATCH(SMALL($V$4:$V$3183,3173),$V$4:$V$3183,0)),"")</f>
        <v/>
      </c>
      <c r="B3176">
        <f>IFERROR(INDEX($O$4:$O$3183,MATCH(SMALL($V$4:$V$3183,3173),$V$4:$V$3183,0)),"")</f>
        <v/>
      </c>
      <c r="C3176">
        <f>IFERROR(INDEX($P$4:$P$3183,MATCH(SMALL($V$4:$V$3183,3173),$V$4:$V$3183,0)),"")</f>
        <v/>
      </c>
      <c r="D3176" s="29">
        <f>IFERROR(INDEX($Q$4:$Q$3183,MATCH(SMALL($V$4:$V$3183,3173),$V$4:$V$3183,0)),"")</f>
        <v/>
      </c>
      <c r="E3176" s="29">
        <f>IFERROR(INDEX($R$4:$R$3183,MATCH(SMALL($V$4:$V$3183,3173),$V$4:$V$3183,0)),"")</f>
        <v/>
      </c>
      <c r="F3176">
        <f>IFERROR(INDEX($S$4:$S$3183,MATCH(SMALL($V$4:$V$3183,3173),$V$4:$V$3183,0)),"")</f>
        <v/>
      </c>
      <c r="I3176" s="29">
        <f>IF($B3176="","",IFERROR(INDEX($U$4:$U$3183,MATCH(SMALL($V$4:$V$3183,3173),$V$4:$V$3183,0)),""))</f>
        <v/>
      </c>
      <c r="J3176">
        <f>IF($B3176="","",IF($D3176&gt;$F$2,"À venir",IF($E3176&lt;$D$2,"Passé","Dans la période")))</f>
        <v/>
      </c>
      <c r="K3176">
        <f>IF(OR($B3176="",NOT(ISNUMBER($D3176))),"",IF(AND($E3176&lt;$D$2,$G3176&lt;&gt;"X",$F3176&lt;&gt;"Réalisé",$F3176&lt;&gt;"Clôturé"),"RETARD",""))</f>
        <v/>
      </c>
      <c r="L3176">
        <f>IF(OR($B3176="",NOT(ISNUMBER($D3176))),"",IF(AND($D3176&gt;=$D$2,$D3176&lt;=$H$2,$G3176&lt;&gt;"X",$F3176&lt;&gt;"Réalisé",$F3176&lt;&gt;"Clôturé"),"≤ 7 j",""))</f>
        <v/>
      </c>
      <c r="M3176" s="29">
        <f>IF($B3176="","",IFERROR(INDEX($T$4:$T$3183,MATCH(SMALL($V$4:$V$3183,3173),$V$4:$V$3183,0)),""))</f>
        <v/>
      </c>
      <c r="O3176">
        <f>IF(INDEX(Suivi!$B:$B,3236)="","",INDEX(Suivi!$B:$B,3236))</f>
        <v/>
      </c>
      <c r="P3176">
        <f>IF($O3176="","",IF(INDEX(Suivi!$D:$D,3236)="",INDEX(Suivi!$C:$C,3236),INDEX(Suivi!$D:$D,3236)))</f>
        <v/>
      </c>
      <c r="Q3176">
        <f>IF($O3176="","",INDEX(Suivi!$E:$E,3236))</f>
        <v/>
      </c>
      <c r="R3176">
        <f>IF($O3176="","",INDEX(Suivi!$F:$F,3236))</f>
        <v/>
      </c>
      <c r="S3176">
        <f>IF($O3176="","",INDEX(Suivi!$G:$G,3236))</f>
        <v/>
      </c>
      <c r="T3176">
        <f>IF($O3176="","",IF(INDEX(Dossiers!$F$4:$F$63,60)="","",INDEX(Dossiers!$F$4:$F$63,60)))</f>
        <v/>
      </c>
      <c r="U3176">
        <f>IF($O3176="","",IF(INDEX(Dossiers!$G$4:$G$63,60)="","",INDEX(Dossiers!$G$4:$G$63,60)))</f>
        <v/>
      </c>
      <c r="V3176">
        <f>IF(OR($O3176="",NOT(ISNUMBER($Q3176))),"",$Q3176*1000000+3176)</f>
        <v/>
      </c>
      <c r="W3176" s="29">
        <f>IF($B3176="","",IFERROR(INDEX($U$4:$U$3183,MATCH(SMALL($V$4:$V$3183,3173),$V$4:$V$3183,0)),""))</f>
        <v/>
      </c>
    </row>
    <row r="3177">
      <c r="A3177">
        <f>IFERROR(INDEX($N$4:$N$3183,MATCH(SMALL($V$4:$V$3183,3174),$V$4:$V$3183,0)),"")</f>
        <v/>
      </c>
      <c r="B3177">
        <f>IFERROR(INDEX($O$4:$O$3183,MATCH(SMALL($V$4:$V$3183,3174),$V$4:$V$3183,0)),"")</f>
        <v/>
      </c>
      <c r="C3177">
        <f>IFERROR(INDEX($P$4:$P$3183,MATCH(SMALL($V$4:$V$3183,3174),$V$4:$V$3183,0)),"")</f>
        <v/>
      </c>
      <c r="D3177" s="29">
        <f>IFERROR(INDEX($Q$4:$Q$3183,MATCH(SMALL($V$4:$V$3183,3174),$V$4:$V$3183,0)),"")</f>
        <v/>
      </c>
      <c r="E3177" s="29">
        <f>IFERROR(INDEX($R$4:$R$3183,MATCH(SMALL($V$4:$V$3183,3174),$V$4:$V$3183,0)),"")</f>
        <v/>
      </c>
      <c r="F3177">
        <f>IFERROR(INDEX($S$4:$S$3183,MATCH(SMALL($V$4:$V$3183,3174),$V$4:$V$3183,0)),"")</f>
        <v/>
      </c>
      <c r="I3177" s="29">
        <f>IF($B3177="","",IFERROR(INDEX($U$4:$U$3183,MATCH(SMALL($V$4:$V$3183,3174),$V$4:$V$3183,0)),""))</f>
        <v/>
      </c>
      <c r="J3177">
        <f>IF($B3177="","",IF($D3177&gt;$F$2,"À venir",IF($E3177&lt;$D$2,"Passé","Dans la période")))</f>
        <v/>
      </c>
      <c r="K3177">
        <f>IF(OR($B3177="",NOT(ISNUMBER($D3177))),"",IF(AND($E3177&lt;$D$2,$G3177&lt;&gt;"X",$F3177&lt;&gt;"Réalisé",$F3177&lt;&gt;"Clôturé"),"RETARD",""))</f>
        <v/>
      </c>
      <c r="L3177">
        <f>IF(OR($B3177="",NOT(ISNUMBER($D3177))),"",IF(AND($D3177&gt;=$D$2,$D3177&lt;=$H$2,$G3177&lt;&gt;"X",$F3177&lt;&gt;"Réalisé",$F3177&lt;&gt;"Clôturé"),"≤ 7 j",""))</f>
        <v/>
      </c>
      <c r="M3177" s="29">
        <f>IF($B3177="","",IFERROR(INDEX($T$4:$T$3183,MATCH(SMALL($V$4:$V$3183,3174),$V$4:$V$3183,0)),""))</f>
        <v/>
      </c>
      <c r="O3177">
        <f>IF(INDEX(Suivi!$B:$B,3237)="","",INDEX(Suivi!$B:$B,3237))</f>
        <v/>
      </c>
      <c r="P3177">
        <f>IF($O3177="","",IF(INDEX(Suivi!$D:$D,3237)="",INDEX(Suivi!$C:$C,3237),INDEX(Suivi!$D:$D,3237)))</f>
        <v/>
      </c>
      <c r="Q3177">
        <f>IF($O3177="","",INDEX(Suivi!$E:$E,3237))</f>
        <v/>
      </c>
      <c r="R3177">
        <f>IF($O3177="","",INDEX(Suivi!$F:$F,3237))</f>
        <v/>
      </c>
      <c r="S3177">
        <f>IF($O3177="","",INDEX(Suivi!$G:$G,3237))</f>
        <v/>
      </c>
      <c r="T3177">
        <f>IF($O3177="","",IF(INDEX(Dossiers!$F$4:$F$63,60)="","",INDEX(Dossiers!$F$4:$F$63,60)))</f>
        <v/>
      </c>
      <c r="U3177">
        <f>IF($O3177="","",IF(INDEX(Dossiers!$G$4:$G$63,60)="","",INDEX(Dossiers!$G$4:$G$63,60)))</f>
        <v/>
      </c>
      <c r="V3177">
        <f>IF(OR($O3177="",NOT(ISNUMBER($Q3177))),"",$Q3177*1000000+3177)</f>
        <v/>
      </c>
      <c r="W3177" s="29">
        <f>IF($B3177="","",IFERROR(INDEX($U$4:$U$3183,MATCH(SMALL($V$4:$V$3183,3174),$V$4:$V$3183,0)),""))</f>
        <v/>
      </c>
    </row>
    <row r="3178">
      <c r="A3178">
        <f>IFERROR(INDEX($N$4:$N$3183,MATCH(SMALL($V$4:$V$3183,3175),$V$4:$V$3183,0)),"")</f>
        <v/>
      </c>
      <c r="B3178">
        <f>IFERROR(INDEX($O$4:$O$3183,MATCH(SMALL($V$4:$V$3183,3175),$V$4:$V$3183,0)),"")</f>
        <v/>
      </c>
      <c r="C3178">
        <f>IFERROR(INDEX($P$4:$P$3183,MATCH(SMALL($V$4:$V$3183,3175),$V$4:$V$3183,0)),"")</f>
        <v/>
      </c>
      <c r="D3178" s="29">
        <f>IFERROR(INDEX($Q$4:$Q$3183,MATCH(SMALL($V$4:$V$3183,3175),$V$4:$V$3183,0)),"")</f>
        <v/>
      </c>
      <c r="E3178" s="29">
        <f>IFERROR(INDEX($R$4:$R$3183,MATCH(SMALL($V$4:$V$3183,3175),$V$4:$V$3183,0)),"")</f>
        <v/>
      </c>
      <c r="F3178">
        <f>IFERROR(INDEX($S$4:$S$3183,MATCH(SMALL($V$4:$V$3183,3175),$V$4:$V$3183,0)),"")</f>
        <v/>
      </c>
      <c r="I3178" s="29">
        <f>IF($B3178="","",IFERROR(INDEX($U$4:$U$3183,MATCH(SMALL($V$4:$V$3183,3175),$V$4:$V$3183,0)),""))</f>
        <v/>
      </c>
      <c r="J3178">
        <f>IF($B3178="","",IF($D3178&gt;$F$2,"À venir",IF($E3178&lt;$D$2,"Passé","Dans la période")))</f>
        <v/>
      </c>
      <c r="K3178">
        <f>IF(OR($B3178="",NOT(ISNUMBER($D3178))),"",IF(AND($E3178&lt;$D$2,$G3178&lt;&gt;"X",$F3178&lt;&gt;"Réalisé",$F3178&lt;&gt;"Clôturé"),"RETARD",""))</f>
        <v/>
      </c>
      <c r="L3178">
        <f>IF(OR($B3178="",NOT(ISNUMBER($D3178))),"",IF(AND($D3178&gt;=$D$2,$D3178&lt;=$H$2,$G3178&lt;&gt;"X",$F3178&lt;&gt;"Réalisé",$F3178&lt;&gt;"Clôturé"),"≤ 7 j",""))</f>
        <v/>
      </c>
      <c r="M3178" s="29">
        <f>IF($B3178="","",IFERROR(INDEX($T$4:$T$3183,MATCH(SMALL($V$4:$V$3183,3175),$V$4:$V$3183,0)),""))</f>
        <v/>
      </c>
      <c r="O3178">
        <f>IF(INDEX(Suivi!$B:$B,3238)="","",INDEX(Suivi!$B:$B,3238))</f>
        <v/>
      </c>
      <c r="P3178">
        <f>IF($O3178="","",IF(INDEX(Suivi!$D:$D,3238)="",INDEX(Suivi!$C:$C,3238),INDEX(Suivi!$D:$D,3238)))</f>
        <v/>
      </c>
      <c r="Q3178">
        <f>IF($O3178="","",INDEX(Suivi!$E:$E,3238))</f>
        <v/>
      </c>
      <c r="R3178">
        <f>IF($O3178="","",INDEX(Suivi!$F:$F,3238))</f>
        <v/>
      </c>
      <c r="S3178">
        <f>IF($O3178="","",INDEX(Suivi!$G:$G,3238))</f>
        <v/>
      </c>
      <c r="T3178">
        <f>IF($O3178="","",IF(INDEX(Dossiers!$F$4:$F$63,60)="","",INDEX(Dossiers!$F$4:$F$63,60)))</f>
        <v/>
      </c>
      <c r="U3178">
        <f>IF($O3178="","",IF(INDEX(Dossiers!$G$4:$G$63,60)="","",INDEX(Dossiers!$G$4:$G$63,60)))</f>
        <v/>
      </c>
      <c r="V3178">
        <f>IF(OR($O3178="",NOT(ISNUMBER($Q3178))),"",$Q3178*1000000+3178)</f>
        <v/>
      </c>
      <c r="W3178" s="29">
        <f>IF($B3178="","",IFERROR(INDEX($U$4:$U$3183,MATCH(SMALL($V$4:$V$3183,3175),$V$4:$V$3183,0)),""))</f>
        <v/>
      </c>
    </row>
    <row r="3179">
      <c r="A3179">
        <f>IFERROR(INDEX($N$4:$N$3183,MATCH(SMALL($V$4:$V$3183,3176),$V$4:$V$3183,0)),"")</f>
        <v/>
      </c>
      <c r="B3179">
        <f>IFERROR(INDEX($O$4:$O$3183,MATCH(SMALL($V$4:$V$3183,3176),$V$4:$V$3183,0)),"")</f>
        <v/>
      </c>
      <c r="C3179">
        <f>IFERROR(INDEX($P$4:$P$3183,MATCH(SMALL($V$4:$V$3183,3176),$V$4:$V$3183,0)),"")</f>
        <v/>
      </c>
      <c r="D3179" s="29">
        <f>IFERROR(INDEX($Q$4:$Q$3183,MATCH(SMALL($V$4:$V$3183,3176),$V$4:$V$3183,0)),"")</f>
        <v/>
      </c>
      <c r="E3179" s="29">
        <f>IFERROR(INDEX($R$4:$R$3183,MATCH(SMALL($V$4:$V$3183,3176),$V$4:$V$3183,0)),"")</f>
        <v/>
      </c>
      <c r="F3179">
        <f>IFERROR(INDEX($S$4:$S$3183,MATCH(SMALL($V$4:$V$3183,3176),$V$4:$V$3183,0)),"")</f>
        <v/>
      </c>
      <c r="I3179" s="29">
        <f>IF($B3179="","",IFERROR(INDEX($U$4:$U$3183,MATCH(SMALL($V$4:$V$3183,3176),$V$4:$V$3183,0)),""))</f>
        <v/>
      </c>
      <c r="J3179">
        <f>IF($B3179="","",IF($D3179&gt;$F$2,"À venir",IF($E3179&lt;$D$2,"Passé","Dans la période")))</f>
        <v/>
      </c>
      <c r="K3179">
        <f>IF(OR($B3179="",NOT(ISNUMBER($D3179))),"",IF(AND($E3179&lt;$D$2,$G3179&lt;&gt;"X",$F3179&lt;&gt;"Réalisé",$F3179&lt;&gt;"Clôturé"),"RETARD",""))</f>
        <v/>
      </c>
      <c r="L3179">
        <f>IF(OR($B3179="",NOT(ISNUMBER($D3179))),"",IF(AND($D3179&gt;=$D$2,$D3179&lt;=$H$2,$G3179&lt;&gt;"X",$F3179&lt;&gt;"Réalisé",$F3179&lt;&gt;"Clôturé"),"≤ 7 j",""))</f>
        <v/>
      </c>
      <c r="M3179" s="29">
        <f>IF($B3179="","",IFERROR(INDEX($T$4:$T$3183,MATCH(SMALL($V$4:$V$3183,3176),$V$4:$V$3183,0)),""))</f>
        <v/>
      </c>
      <c r="O3179">
        <f>IF(INDEX(Suivi!$B:$B,3239)="","",INDEX(Suivi!$B:$B,3239))</f>
        <v/>
      </c>
      <c r="P3179">
        <f>IF($O3179="","",IF(INDEX(Suivi!$D:$D,3239)="",INDEX(Suivi!$C:$C,3239),INDEX(Suivi!$D:$D,3239)))</f>
        <v/>
      </c>
      <c r="Q3179">
        <f>IF($O3179="","",INDEX(Suivi!$E:$E,3239))</f>
        <v/>
      </c>
      <c r="R3179">
        <f>IF($O3179="","",INDEX(Suivi!$F:$F,3239))</f>
        <v/>
      </c>
      <c r="S3179">
        <f>IF($O3179="","",INDEX(Suivi!$G:$G,3239))</f>
        <v/>
      </c>
      <c r="T3179">
        <f>IF($O3179="","",IF(INDEX(Dossiers!$F$4:$F$63,60)="","",INDEX(Dossiers!$F$4:$F$63,60)))</f>
        <v/>
      </c>
      <c r="U3179">
        <f>IF($O3179="","",IF(INDEX(Dossiers!$G$4:$G$63,60)="","",INDEX(Dossiers!$G$4:$G$63,60)))</f>
        <v/>
      </c>
      <c r="V3179">
        <f>IF(OR($O3179="",NOT(ISNUMBER($Q3179))),"",$Q3179*1000000+3179)</f>
        <v/>
      </c>
      <c r="W3179" s="29">
        <f>IF($B3179="","",IFERROR(INDEX($U$4:$U$3183,MATCH(SMALL($V$4:$V$3183,3176),$V$4:$V$3183,0)),""))</f>
        <v/>
      </c>
    </row>
    <row r="3180">
      <c r="A3180">
        <f>IFERROR(INDEX($N$4:$N$3183,MATCH(SMALL($V$4:$V$3183,3177),$V$4:$V$3183,0)),"")</f>
        <v/>
      </c>
      <c r="B3180">
        <f>IFERROR(INDEX($O$4:$O$3183,MATCH(SMALL($V$4:$V$3183,3177),$V$4:$V$3183,0)),"")</f>
        <v/>
      </c>
      <c r="C3180">
        <f>IFERROR(INDEX($P$4:$P$3183,MATCH(SMALL($V$4:$V$3183,3177),$V$4:$V$3183,0)),"")</f>
        <v/>
      </c>
      <c r="D3180" s="29">
        <f>IFERROR(INDEX($Q$4:$Q$3183,MATCH(SMALL($V$4:$V$3183,3177),$V$4:$V$3183,0)),"")</f>
        <v/>
      </c>
      <c r="E3180" s="29">
        <f>IFERROR(INDEX($R$4:$R$3183,MATCH(SMALL($V$4:$V$3183,3177),$V$4:$V$3183,0)),"")</f>
        <v/>
      </c>
      <c r="F3180">
        <f>IFERROR(INDEX($S$4:$S$3183,MATCH(SMALL($V$4:$V$3183,3177),$V$4:$V$3183,0)),"")</f>
        <v/>
      </c>
      <c r="I3180" s="29">
        <f>IF($B3180="","",IFERROR(INDEX($U$4:$U$3183,MATCH(SMALL($V$4:$V$3183,3177),$V$4:$V$3183,0)),""))</f>
        <v/>
      </c>
      <c r="J3180">
        <f>IF($B3180="","",IF($D3180&gt;$F$2,"À venir",IF($E3180&lt;$D$2,"Passé","Dans la période")))</f>
        <v/>
      </c>
      <c r="K3180">
        <f>IF(OR($B3180="",NOT(ISNUMBER($D3180))),"",IF(AND($E3180&lt;$D$2,$G3180&lt;&gt;"X",$F3180&lt;&gt;"Réalisé",$F3180&lt;&gt;"Clôturé"),"RETARD",""))</f>
        <v/>
      </c>
      <c r="L3180">
        <f>IF(OR($B3180="",NOT(ISNUMBER($D3180))),"",IF(AND($D3180&gt;=$D$2,$D3180&lt;=$H$2,$G3180&lt;&gt;"X",$F3180&lt;&gt;"Réalisé",$F3180&lt;&gt;"Clôturé"),"≤ 7 j",""))</f>
        <v/>
      </c>
      <c r="M3180" s="29">
        <f>IF($B3180="","",IFERROR(INDEX($T$4:$T$3183,MATCH(SMALL($V$4:$V$3183,3177),$V$4:$V$3183,0)),""))</f>
        <v/>
      </c>
      <c r="O3180">
        <f>IF(INDEX(Suivi!$B:$B,3240)="","",INDEX(Suivi!$B:$B,3240))</f>
        <v/>
      </c>
      <c r="P3180">
        <f>IF($O3180="","",IF(INDEX(Suivi!$D:$D,3240)="",INDEX(Suivi!$C:$C,3240),INDEX(Suivi!$D:$D,3240)))</f>
        <v/>
      </c>
      <c r="Q3180">
        <f>IF($O3180="","",INDEX(Suivi!$E:$E,3240))</f>
        <v/>
      </c>
      <c r="R3180">
        <f>IF($O3180="","",INDEX(Suivi!$F:$F,3240))</f>
        <v/>
      </c>
      <c r="S3180">
        <f>IF($O3180="","",INDEX(Suivi!$G:$G,3240))</f>
        <v/>
      </c>
      <c r="T3180">
        <f>IF($O3180="","",IF(INDEX(Dossiers!$F$4:$F$63,60)="","",INDEX(Dossiers!$F$4:$F$63,60)))</f>
        <v/>
      </c>
      <c r="U3180">
        <f>IF($O3180="","",IF(INDEX(Dossiers!$G$4:$G$63,60)="","",INDEX(Dossiers!$G$4:$G$63,60)))</f>
        <v/>
      </c>
      <c r="V3180">
        <f>IF(OR($O3180="",NOT(ISNUMBER($Q3180))),"",$Q3180*1000000+3180)</f>
        <v/>
      </c>
      <c r="W3180" s="29">
        <f>IF($B3180="","",IFERROR(INDEX($U$4:$U$3183,MATCH(SMALL($V$4:$V$3183,3177),$V$4:$V$3183,0)),""))</f>
        <v/>
      </c>
    </row>
    <row r="3181">
      <c r="A3181">
        <f>IFERROR(INDEX($N$4:$N$3183,MATCH(SMALL($V$4:$V$3183,3178),$V$4:$V$3183,0)),"")</f>
        <v/>
      </c>
      <c r="B3181">
        <f>IFERROR(INDEX($O$4:$O$3183,MATCH(SMALL($V$4:$V$3183,3178),$V$4:$V$3183,0)),"")</f>
        <v/>
      </c>
      <c r="C3181">
        <f>IFERROR(INDEX($P$4:$P$3183,MATCH(SMALL($V$4:$V$3183,3178),$V$4:$V$3183,0)),"")</f>
        <v/>
      </c>
      <c r="D3181" s="29">
        <f>IFERROR(INDEX($Q$4:$Q$3183,MATCH(SMALL($V$4:$V$3183,3178),$V$4:$V$3183,0)),"")</f>
        <v/>
      </c>
      <c r="E3181" s="29">
        <f>IFERROR(INDEX($R$4:$R$3183,MATCH(SMALL($V$4:$V$3183,3178),$V$4:$V$3183,0)),"")</f>
        <v/>
      </c>
      <c r="F3181">
        <f>IFERROR(INDEX($S$4:$S$3183,MATCH(SMALL($V$4:$V$3183,3178),$V$4:$V$3183,0)),"")</f>
        <v/>
      </c>
      <c r="I3181" s="29">
        <f>IF($B3181="","",IFERROR(INDEX($U$4:$U$3183,MATCH(SMALL($V$4:$V$3183,3178),$V$4:$V$3183,0)),""))</f>
        <v/>
      </c>
      <c r="J3181">
        <f>IF($B3181="","",IF($D3181&gt;$F$2,"À venir",IF($E3181&lt;$D$2,"Passé","Dans la période")))</f>
        <v/>
      </c>
      <c r="K3181">
        <f>IF(OR($B3181="",NOT(ISNUMBER($D3181))),"",IF(AND($E3181&lt;$D$2,$G3181&lt;&gt;"X",$F3181&lt;&gt;"Réalisé",$F3181&lt;&gt;"Clôturé"),"RETARD",""))</f>
        <v/>
      </c>
      <c r="L3181">
        <f>IF(OR($B3181="",NOT(ISNUMBER($D3181))),"",IF(AND($D3181&gt;=$D$2,$D3181&lt;=$H$2,$G3181&lt;&gt;"X",$F3181&lt;&gt;"Réalisé",$F3181&lt;&gt;"Clôturé"),"≤ 7 j",""))</f>
        <v/>
      </c>
      <c r="M3181" s="29">
        <f>IF($B3181="","",IFERROR(INDEX($T$4:$T$3183,MATCH(SMALL($V$4:$V$3183,3178),$V$4:$V$3183,0)),""))</f>
        <v/>
      </c>
      <c r="O3181">
        <f>IF(INDEX(Suivi!$B:$B,3241)="","",INDEX(Suivi!$B:$B,3241))</f>
        <v/>
      </c>
      <c r="P3181">
        <f>IF($O3181="","",IF(INDEX(Suivi!$D:$D,3241)="",INDEX(Suivi!$C:$C,3241),INDEX(Suivi!$D:$D,3241)))</f>
        <v/>
      </c>
      <c r="Q3181">
        <f>IF($O3181="","",INDEX(Suivi!$E:$E,3241))</f>
        <v/>
      </c>
      <c r="R3181">
        <f>IF($O3181="","",INDEX(Suivi!$F:$F,3241))</f>
        <v/>
      </c>
      <c r="S3181">
        <f>IF($O3181="","",INDEX(Suivi!$G:$G,3241))</f>
        <v/>
      </c>
      <c r="T3181">
        <f>IF($O3181="","",IF(INDEX(Dossiers!$F$4:$F$63,60)="","",INDEX(Dossiers!$F$4:$F$63,60)))</f>
        <v/>
      </c>
      <c r="U3181">
        <f>IF($O3181="","",IF(INDEX(Dossiers!$G$4:$G$63,60)="","",INDEX(Dossiers!$G$4:$G$63,60)))</f>
        <v/>
      </c>
      <c r="V3181">
        <f>IF(OR($O3181="",NOT(ISNUMBER($Q3181))),"",$Q3181*1000000+3181)</f>
        <v/>
      </c>
      <c r="W3181" s="29">
        <f>IF($B3181="","",IFERROR(INDEX($U$4:$U$3183,MATCH(SMALL($V$4:$V$3183,3178),$V$4:$V$3183,0)),""))</f>
        <v/>
      </c>
    </row>
    <row r="3182">
      <c r="A3182">
        <f>IFERROR(INDEX($N$4:$N$3183,MATCH(SMALL($V$4:$V$3183,3179),$V$4:$V$3183,0)),"")</f>
        <v/>
      </c>
      <c r="B3182">
        <f>IFERROR(INDEX($O$4:$O$3183,MATCH(SMALL($V$4:$V$3183,3179),$V$4:$V$3183,0)),"")</f>
        <v/>
      </c>
      <c r="C3182">
        <f>IFERROR(INDEX($P$4:$P$3183,MATCH(SMALL($V$4:$V$3183,3179),$V$4:$V$3183,0)),"")</f>
        <v/>
      </c>
      <c r="D3182" s="29">
        <f>IFERROR(INDEX($Q$4:$Q$3183,MATCH(SMALL($V$4:$V$3183,3179),$V$4:$V$3183,0)),"")</f>
        <v/>
      </c>
      <c r="E3182" s="29">
        <f>IFERROR(INDEX($R$4:$R$3183,MATCH(SMALL($V$4:$V$3183,3179),$V$4:$V$3183,0)),"")</f>
        <v/>
      </c>
      <c r="F3182">
        <f>IFERROR(INDEX($S$4:$S$3183,MATCH(SMALL($V$4:$V$3183,3179),$V$4:$V$3183,0)),"")</f>
        <v/>
      </c>
      <c r="I3182" s="29">
        <f>IF($B3182="","",IFERROR(INDEX($U$4:$U$3183,MATCH(SMALL($V$4:$V$3183,3179),$V$4:$V$3183,0)),""))</f>
        <v/>
      </c>
      <c r="J3182">
        <f>IF($B3182="","",IF($D3182&gt;$F$2,"À venir",IF($E3182&lt;$D$2,"Passé","Dans la période")))</f>
        <v/>
      </c>
      <c r="K3182">
        <f>IF(OR($B3182="",NOT(ISNUMBER($D3182))),"",IF(AND($E3182&lt;$D$2,$G3182&lt;&gt;"X",$F3182&lt;&gt;"Réalisé",$F3182&lt;&gt;"Clôturé"),"RETARD",""))</f>
        <v/>
      </c>
      <c r="L3182">
        <f>IF(OR($B3182="",NOT(ISNUMBER($D3182))),"",IF(AND($D3182&gt;=$D$2,$D3182&lt;=$H$2,$G3182&lt;&gt;"X",$F3182&lt;&gt;"Réalisé",$F3182&lt;&gt;"Clôturé"),"≤ 7 j",""))</f>
        <v/>
      </c>
      <c r="M3182" s="29">
        <f>IF($B3182="","",IFERROR(INDEX($T$4:$T$3183,MATCH(SMALL($V$4:$V$3183,3179),$V$4:$V$3183,0)),""))</f>
        <v/>
      </c>
      <c r="O3182">
        <f>IF(INDEX(Suivi!$B:$B,3242)="","",INDEX(Suivi!$B:$B,3242))</f>
        <v/>
      </c>
      <c r="P3182">
        <f>IF($O3182="","",IF(INDEX(Suivi!$D:$D,3242)="",INDEX(Suivi!$C:$C,3242),INDEX(Suivi!$D:$D,3242)))</f>
        <v/>
      </c>
      <c r="Q3182">
        <f>IF($O3182="","",INDEX(Suivi!$E:$E,3242))</f>
        <v/>
      </c>
      <c r="R3182">
        <f>IF($O3182="","",INDEX(Suivi!$F:$F,3242))</f>
        <v/>
      </c>
      <c r="S3182">
        <f>IF($O3182="","",INDEX(Suivi!$G:$G,3242))</f>
        <v/>
      </c>
      <c r="T3182">
        <f>IF($O3182="","",IF(INDEX(Dossiers!$F$4:$F$63,60)="","",INDEX(Dossiers!$F$4:$F$63,60)))</f>
        <v/>
      </c>
      <c r="U3182">
        <f>IF($O3182="","",IF(INDEX(Dossiers!$G$4:$G$63,60)="","",INDEX(Dossiers!$G$4:$G$63,60)))</f>
        <v/>
      </c>
      <c r="V3182">
        <f>IF(OR($O3182="",NOT(ISNUMBER($Q3182))),"",$Q3182*1000000+3182)</f>
        <v/>
      </c>
      <c r="W3182" s="29">
        <f>IF($B3182="","",IFERROR(INDEX($U$4:$U$3183,MATCH(SMALL($V$4:$V$3183,3179),$V$4:$V$3183,0)),""))</f>
        <v/>
      </c>
    </row>
    <row r="3183">
      <c r="A3183">
        <f>IFERROR(INDEX($N$4:$N$3183,MATCH(SMALL($V$4:$V$3183,3180),$V$4:$V$3183,0)),"")</f>
        <v/>
      </c>
      <c r="B3183">
        <f>IFERROR(INDEX($O$4:$O$3183,MATCH(SMALL($V$4:$V$3183,3180),$V$4:$V$3183,0)),"")</f>
        <v/>
      </c>
      <c r="C3183">
        <f>IFERROR(INDEX($P$4:$P$3183,MATCH(SMALL($V$4:$V$3183,3180),$V$4:$V$3183,0)),"")</f>
        <v/>
      </c>
      <c r="D3183" s="29">
        <f>IFERROR(INDEX($Q$4:$Q$3183,MATCH(SMALL($V$4:$V$3183,3180),$V$4:$V$3183,0)),"")</f>
        <v/>
      </c>
      <c r="E3183" s="29">
        <f>IFERROR(INDEX($R$4:$R$3183,MATCH(SMALL($V$4:$V$3183,3180),$V$4:$V$3183,0)),"")</f>
        <v/>
      </c>
      <c r="F3183">
        <f>IFERROR(INDEX($S$4:$S$3183,MATCH(SMALL($V$4:$V$3183,3180),$V$4:$V$3183,0)),"")</f>
        <v/>
      </c>
      <c r="I3183" s="29">
        <f>IF($B3183="","",IFERROR(INDEX($U$4:$U$3183,MATCH(SMALL($V$4:$V$3183,3180),$V$4:$V$3183,0)),""))</f>
        <v/>
      </c>
      <c r="J3183">
        <f>IF($B3183="","",IF($D3183&gt;$F$2,"À venir",IF($E3183&lt;$D$2,"Passé","Dans la période")))</f>
        <v/>
      </c>
      <c r="K3183">
        <f>IF(OR($B3183="",NOT(ISNUMBER($D3183))),"",IF(AND($E3183&lt;$D$2,$G3183&lt;&gt;"X",$F3183&lt;&gt;"Réalisé",$F3183&lt;&gt;"Clôturé"),"RETARD",""))</f>
        <v/>
      </c>
      <c r="L3183">
        <f>IF(OR($B3183="",NOT(ISNUMBER($D3183))),"",IF(AND($D3183&gt;=$D$2,$D3183&lt;=$H$2,$G3183&lt;&gt;"X",$F3183&lt;&gt;"Réalisé",$F3183&lt;&gt;"Clôturé"),"≤ 7 j",""))</f>
        <v/>
      </c>
      <c r="M3183" s="29">
        <f>IF($B3183="","",IFERROR(INDEX($T$4:$T$3183,MATCH(SMALL($V$4:$V$3183,3180),$V$4:$V$3183,0)),""))</f>
        <v/>
      </c>
      <c r="O3183">
        <f>IF(INDEX(Suivi!$B:$B,3243)="","",INDEX(Suivi!$B:$B,3243))</f>
        <v/>
      </c>
      <c r="P3183">
        <f>IF($O3183="","",IF(INDEX(Suivi!$D:$D,3243)="",INDEX(Suivi!$C:$C,3243),INDEX(Suivi!$D:$D,3243)))</f>
        <v/>
      </c>
      <c r="Q3183">
        <f>IF($O3183="","",INDEX(Suivi!$E:$E,3243))</f>
        <v/>
      </c>
      <c r="R3183">
        <f>IF($O3183="","",INDEX(Suivi!$F:$F,3243))</f>
        <v/>
      </c>
      <c r="S3183">
        <f>IF($O3183="","",INDEX(Suivi!$G:$G,3243))</f>
        <v/>
      </c>
      <c r="T3183">
        <f>IF($O3183="","",IF(INDEX(Dossiers!$F$4:$F$63,60)="","",INDEX(Dossiers!$F$4:$F$63,60)))</f>
        <v/>
      </c>
      <c r="U3183">
        <f>IF($O3183="","",IF(INDEX(Dossiers!$G$4:$G$63,60)="","",INDEX(Dossiers!$G$4:$G$63,60)))</f>
        <v/>
      </c>
      <c r="V3183">
        <f>IF(OR($O3183="",NOT(ISNUMBER($Q3183))),"",$Q3183*1000000+3183)</f>
        <v/>
      </c>
      <c r="W3183" s="29">
        <f>IF($B3183="","",IFERROR(INDEX($U$4:$U$3183,MATCH(SMALL($V$4:$V$3183,3180),$V$4:$V$3183,0)),""))</f>
        <v/>
      </c>
    </row>
  </sheetData>
  <autoFilter ref="A3:M3183"/>
  <conditionalFormatting sqref="A4:M3183">
    <cfRule type="expression" priority="1" dxfId="73" stopIfTrue="1">
      <formula>$K4="RETARD"</formula>
    </cfRule>
    <cfRule type="expression" priority="2" dxfId="74" stopIfTrue="1">
      <formula>$L4="≤ 7 j"</formula>
    </cfRule>
    <cfRule type="expression" priority="3" dxfId="70" stopIfTrue="1">
      <formula>$G4="X"</formula>
    </cfRule>
    <cfRule type="expression" priority="4" dxfId="71">
      <formula>OR($J4="Passé",$J4="À venir")</formula>
    </cfRule>
  </conditionalFormatting>
  <conditionalFormatting sqref="J4:J3183">
    <cfRule type="expression" priority="5" dxfId="75">
      <formula>$J4="Dans la période"</formula>
    </cfRule>
  </conditionalFormatting>
  <dataValidations count="1">
    <dataValidation sqref="G4:G3183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2026-10-13T20:22:25Z</dcterms:modified>
  <cp:lastModifiedBy>Guy-Franck FOURCROY</cp:lastModifiedBy>
  <cp:revision>0</cp:revision>
  <cp:lastPrinted>2026-10-11T14:32:02Z</cp:lastPrinted>
</cp:coreProperties>
</file>